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11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9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FS &amp; IS10312016" sheetId="1" r:id="rId4"/>
    <sheet state="hidden" name="Loan port" sheetId="2" r:id="rId5"/>
    <sheet state="hidden" name="Сарын дэлгэрэнгүй" sheetId="3" r:id="rId6"/>
    <sheet state="hidden" name="Avlaga uglug" sheetId="4" r:id="rId7"/>
    <sheet state="hidden" name="valuation" sheetId="5" r:id="rId8"/>
    <sheet state="hidden" name="FA, Investments" sheetId="6" r:id="rId9"/>
    <sheet state="hidden" name="Fair Value Reserve" sheetId="7" r:id="rId10"/>
    <sheet state="hidden" name="Ratios" sheetId="8" r:id="rId11"/>
    <sheet state="hidden" name="Huraangui" sheetId="9" r:id="rId12"/>
    <sheet state="hidden" name="ТТ-11" sheetId="10" r:id="rId13"/>
    <sheet state="hidden" name="ТТ-11-1" sheetId="11" r:id="rId14"/>
    <sheet state="hidden" name="Sheet3" sheetId="12" r:id="rId15"/>
    <sheet state="hidden" name="Sheet2" sheetId="13" r:id="rId16"/>
    <sheet state="visible" name="СТ-1" sheetId="14" r:id="rId17"/>
    <sheet state="hidden" name="Халиунаа" sheetId="15" r:id="rId18"/>
    <sheet state="visible" name="СТ-2" sheetId="16" r:id="rId19"/>
    <sheet state="visible" name="СТ-3" sheetId="17" r:id="rId20"/>
    <sheet state="hidden" name="СТ-4" sheetId="18" r:id="rId21"/>
    <sheet state="hidden" name="Sheet1" sheetId="19" r:id="rId22"/>
    <sheet state="visible" name="CF" sheetId="20" r:id="rId23"/>
    <sheet state="hidden" name="Суутган" sheetId="21" r:id="rId24"/>
    <sheet state="hidden" name="S.Insurance" sheetId="22" r:id="rId25"/>
    <sheet state="hidden" name="JIV" sheetId="23" r:id="rId26"/>
    <sheet state="hidden" name="MNP" sheetId="24" r:id="rId27"/>
    <sheet state="hidden" name="AIC" sheetId="25" r:id="rId28"/>
    <sheet state="hidden" name="rent" sheetId="26" r:id="rId29"/>
    <sheet state="hidden" name="management" sheetId="27" r:id="rId30"/>
    <sheet state="hidden" name="share sale" sheetId="28" r:id="rId31"/>
    <sheet state="hidden" name="ХБО" sheetId="29" r:id="rId32"/>
    <sheet state="hidden" name="rent ex" sheetId="30" r:id="rId33"/>
    <sheet state="hidden" name="Interest In" sheetId="31" r:id="rId34"/>
    <sheet state="hidden" name="Bond $ ₮" sheetId="32" r:id="rId35"/>
    <sheet state="hidden" name=" Interest payable" sheetId="33" r:id="rId36"/>
    <sheet state="hidden" name=" Intrest income" sheetId="34" r:id="rId37"/>
    <sheet state="hidden" name="Budget2016" sheetId="35" r:id="rId38"/>
    <sheet state="hidden" name="Cash flow-2016.10-12m" sheetId="36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/>
  <calcPr/>
  <extLst>
    <ext uri="GoogleSheetsCustomDataVersion1">
      <go:sheetsCustomData xmlns:go="http://customooxmlschemas.google.com/" r:id="rId51" roundtripDataSignature="AMtx7mhSNoJsPUs1ZEVrSh5LF6wGhurlxQ=="/>
    </ext>
  </extLst>
</workbook>
</file>

<file path=xl/sharedStrings.xml><?xml version="1.0" encoding="utf-8"?>
<sst xmlns="http://schemas.openxmlformats.org/spreadsheetml/2006/main" count="3793" uniqueCount="1441">
  <si>
    <t>Ард Санхүүгийн Нэгдэл ХК</t>
  </si>
  <si>
    <t xml:space="preserve"> 1.САНХҮҮГИЙН ТАЙЛАН</t>
  </si>
  <si>
    <t>Тайлант хугацаа:2017.12.31</t>
  </si>
  <si>
    <t>(сая төгрөгөөр)</t>
  </si>
  <si>
    <t>2015-q4</t>
  </si>
  <si>
    <t>2016-q1</t>
  </si>
  <si>
    <t>2016.04.30</t>
  </si>
  <si>
    <t>2016.05.31</t>
  </si>
  <si>
    <t>2016-q2</t>
  </si>
  <si>
    <t>2016-q3</t>
  </si>
  <si>
    <t>2016.10.31</t>
  </si>
  <si>
    <t>2016.11.30</t>
  </si>
  <si>
    <t>2016-q4</t>
  </si>
  <si>
    <t>2017.01.31</t>
  </si>
  <si>
    <t>2017.02.28</t>
  </si>
  <si>
    <t>2017-q1</t>
  </si>
  <si>
    <t>2017.04.30</t>
  </si>
  <si>
    <t>2017.05.31</t>
  </si>
  <si>
    <t>2017-q2</t>
  </si>
  <si>
    <t>2017-q4</t>
  </si>
  <si>
    <t>Өөрчлөлт</t>
  </si>
  <si>
    <t>A</t>
  </si>
  <si>
    <t>1</t>
  </si>
  <si>
    <t>B</t>
  </si>
  <si>
    <t>C</t>
  </si>
  <si>
    <t>2</t>
  </si>
  <si>
    <t>3</t>
  </si>
  <si>
    <t>4</t>
  </si>
  <si>
    <t>4-1</t>
  </si>
  <si>
    <t>4-2</t>
  </si>
  <si>
    <t>4-3</t>
  </si>
  <si>
    <t>Мөнгөн хөрөнгө</t>
  </si>
  <si>
    <t>Авлага, бараа материал</t>
  </si>
  <si>
    <t>Бусдад олгосон зээл</t>
  </si>
  <si>
    <t>Урьдчилж төлсөн тооцоо</t>
  </si>
  <si>
    <t>Үндсэн хөрөнгө</t>
  </si>
  <si>
    <t>БЗҮХХөрөнгө</t>
  </si>
  <si>
    <t>Биет бус хөрөнгө</t>
  </si>
  <si>
    <t>Урт хугацаат хөрөнгө оруулалт</t>
  </si>
  <si>
    <t>НИЙТ ХӨРӨНГИЙН ДҮН</t>
  </si>
  <si>
    <t>Дансны өглөг</t>
  </si>
  <si>
    <t>Бусдаас авсан зээл</t>
  </si>
  <si>
    <t>Татварын өр</t>
  </si>
  <si>
    <t>УХӨр төлбөр</t>
  </si>
  <si>
    <t>Хойшлогдсон татварын өглөг</t>
  </si>
  <si>
    <t>Өр төлбөрийн нийт дүн</t>
  </si>
  <si>
    <t>Хувьцаат капитал</t>
  </si>
  <si>
    <t>Энгийн хувьцаа</t>
  </si>
  <si>
    <t>Нэмж төлөгдсөн капитал</t>
  </si>
  <si>
    <t>Дахин үнэлгээний нэмэгдэл</t>
  </si>
  <si>
    <t>Эздийн өмчийн бусад хэсэг</t>
  </si>
  <si>
    <t>Хуримтлагдсан ашиг</t>
  </si>
  <si>
    <t>Өмнөх үеийн ашиг</t>
  </si>
  <si>
    <t>Тайлант үеийн цэвэр ашиг</t>
  </si>
  <si>
    <t>Эздийн өмчийн дүн</t>
  </si>
  <si>
    <t>ӨР ТӨЛБӨР БА ЭЗДИЙН ӨМЧИЙН ДҮН</t>
  </si>
  <si>
    <t xml:space="preserve">                                                          Нягтлан Бодогч:</t>
  </si>
  <si>
    <t xml:space="preserve"> Нягтлан Бодогч:</t>
  </si>
  <si>
    <t xml:space="preserve">                Т.Оюун-Эрдэнэ</t>
  </si>
  <si>
    <t xml:space="preserve">Т.Оюун-Эрдэнэ </t>
  </si>
  <si>
    <t xml:space="preserve">                                                         Санхүү Хариуцсан Захирал:</t>
  </si>
  <si>
    <t xml:space="preserve"> Санхүү Хариуцсан Захирал:</t>
  </si>
  <si>
    <t xml:space="preserve">                Ч.Ганзориг </t>
  </si>
  <si>
    <t xml:space="preserve">Ч.Ганзориг </t>
  </si>
  <si>
    <t>2. ОРЛОГЫН ТАЙЛАН</t>
  </si>
  <si>
    <t>Орлого үр дүнгийн тайлан</t>
  </si>
  <si>
    <t>Төсөв</t>
  </si>
  <si>
    <t>5</t>
  </si>
  <si>
    <t>5-4</t>
  </si>
  <si>
    <t>Хувьцаа ХО борлуулсны орлого</t>
  </si>
  <si>
    <t>Хувьцаа ХО өртөг</t>
  </si>
  <si>
    <t>Хөрөнгө Оруулалтын ашиг</t>
  </si>
  <si>
    <t>Хүүний орлого</t>
  </si>
  <si>
    <t>Ноогдол ашгийн орлого</t>
  </si>
  <si>
    <t>Түрээсийн орлого</t>
  </si>
  <si>
    <t>Менежментийн орлого</t>
  </si>
  <si>
    <t>Хувьцаа арилжааны орлого (Менежмент)</t>
  </si>
  <si>
    <t>Нийт орлого, ашиг</t>
  </si>
  <si>
    <t xml:space="preserve">Боловсон хүчний зардал </t>
  </si>
  <si>
    <t>Үйл ажиллагааны зардал</t>
  </si>
  <si>
    <t>Үйл ажиллагааны БУС зардал</t>
  </si>
  <si>
    <t>Санхүүгийн зардал</t>
  </si>
  <si>
    <t>Нийт зардал</t>
  </si>
  <si>
    <t>Бусад орлого</t>
  </si>
  <si>
    <t>Ханшийн зөрүүгийн ашиг (цэвэр)</t>
  </si>
  <si>
    <t>Бусад олз гарз</t>
  </si>
  <si>
    <t>Татвар төлөхийн өмнөх  ашиг/ алдагдал</t>
  </si>
  <si>
    <t>Орлогын татварын зардал</t>
  </si>
  <si>
    <t>Тайлант үеийн цэвэр ашиг (алдагдал)</t>
  </si>
  <si>
    <t xml:space="preserve">3. ЗАРДАЛ </t>
  </si>
  <si>
    <t>Нийт</t>
  </si>
  <si>
    <t>Түрээсийн зардал</t>
  </si>
  <si>
    <t>Ашиглалтын зардал (холбоо+бичиг хэрэг+элэгдэл+бусад)</t>
  </si>
  <si>
    <t>Томилолтын зардал</t>
  </si>
  <si>
    <t>Маркетинг, зар сурталчилгаа</t>
  </si>
  <si>
    <t>Тээвэр шатахууны зардал</t>
  </si>
  <si>
    <t>Мэргэжлийн байгууллагад төлсөн зардал</t>
  </si>
  <si>
    <t xml:space="preserve">Хандив тусламж, тусгай арга хэмжээ </t>
  </si>
  <si>
    <t>Гишүүнчлэлийн төлбөр</t>
  </si>
  <si>
    <t xml:space="preserve">Найдваргүй авлагын зардал </t>
  </si>
  <si>
    <t>Бизнес уулзалт, ТУЗ-н зардал</t>
  </si>
  <si>
    <t>Зээлийн хүүгийн зардал</t>
  </si>
  <si>
    <t>Банкны шимтгэл</t>
  </si>
  <si>
    <t xml:space="preserve">                                              Нягтлан Бодогч:</t>
  </si>
  <si>
    <t xml:space="preserve">          Т.Оюун-Эрдэнэ</t>
  </si>
  <si>
    <t xml:space="preserve">                                             Санхүү Хариуцсан Захирал:</t>
  </si>
  <si>
    <t>" Ард Санхүүгийн Нэгдэл " ХК</t>
  </si>
  <si>
    <t>4.1 ОЛГОСОН ЗЭЭЛ</t>
  </si>
  <si>
    <t>Ханш:</t>
  </si>
  <si>
    <t>№</t>
  </si>
  <si>
    <t>Зээл</t>
  </si>
  <si>
    <t xml:space="preserve"> 2016-q4</t>
  </si>
  <si>
    <t>Хүү</t>
  </si>
  <si>
    <t xml:space="preserve">Хүүгийн авлага  </t>
  </si>
  <si>
    <t>MNT</t>
  </si>
  <si>
    <t>USD</t>
  </si>
  <si>
    <t xml:space="preserve">Жилээр </t>
  </si>
  <si>
    <t>Зээл-Эрдэнэтогтох 750.000$</t>
  </si>
  <si>
    <t>Зээл-Уайлд</t>
  </si>
  <si>
    <t>Зээл-Бат-Итгэл</t>
  </si>
  <si>
    <t>Зээл-Ганзориг</t>
  </si>
  <si>
    <t>Зээл-Ганхуяг</t>
  </si>
  <si>
    <t>Зээл-Ард Кредит ББСБ</t>
  </si>
  <si>
    <t>Ард Даатгал ХХК</t>
  </si>
  <si>
    <t>Зээл-Ард Сек - $</t>
  </si>
  <si>
    <t>Зээл-Ард Сек - ₮</t>
  </si>
  <si>
    <t>Зээл-Ард Секюритиз</t>
  </si>
  <si>
    <t>МТНД ХХК</t>
  </si>
  <si>
    <t>Зээл-ТТДС - $</t>
  </si>
  <si>
    <t>Зээл-ТТДС - ₮</t>
  </si>
  <si>
    <t>Зээл-Рийл Эстэйт Траст ХХК</t>
  </si>
  <si>
    <t>Зээл-Эрдэнэтогтох 15.000.000</t>
  </si>
  <si>
    <t>Зээл- Ард Лайф</t>
  </si>
  <si>
    <t>Зээл- ХОY</t>
  </si>
  <si>
    <t>Зээл- Ард Менежмент</t>
  </si>
  <si>
    <t>Дүн</t>
  </si>
  <si>
    <t>Борлуулах зориулалттай үнэт цаас</t>
  </si>
  <si>
    <t xml:space="preserve"> 2015.12.31</t>
  </si>
  <si>
    <t>2017.03.31</t>
  </si>
  <si>
    <t>Тооцсон хүү</t>
  </si>
  <si>
    <t xml:space="preserve">Хүннү Бонд </t>
  </si>
  <si>
    <t>MMC&amp;MGG</t>
  </si>
  <si>
    <t xml:space="preserve">ЗГБонд </t>
  </si>
  <si>
    <t>Нийт зээл:</t>
  </si>
  <si>
    <t>(мянган төгрөг)</t>
  </si>
  <si>
    <t>2015 он</t>
  </si>
  <si>
    <t>НИЙТ</t>
  </si>
  <si>
    <t>1сар</t>
  </si>
  <si>
    <t>2сар</t>
  </si>
  <si>
    <t>3сар</t>
  </si>
  <si>
    <t>4сар</t>
  </si>
  <si>
    <t>5сар</t>
  </si>
  <si>
    <t>6сар</t>
  </si>
  <si>
    <t>7сар</t>
  </si>
  <si>
    <t>8сар</t>
  </si>
  <si>
    <t>9сар</t>
  </si>
  <si>
    <t>10сар</t>
  </si>
  <si>
    <t>11сар</t>
  </si>
  <si>
    <t>12сар</t>
  </si>
  <si>
    <t>Хөрөнгө оруулалтын ҮА-ны орлого</t>
  </si>
  <si>
    <t>Нийт орлого</t>
  </si>
  <si>
    <t>Боловсон хүчний зардал (цалин+НДШ)</t>
  </si>
  <si>
    <t>Үндсэн үйл ажиллагааны бусад зардал</t>
  </si>
  <si>
    <t>Санхүүгийн зардал/хүү</t>
  </si>
  <si>
    <t>Татвар төлөхийн өмнөх  ашиг (алдагдал)</t>
  </si>
  <si>
    <t>Маркетин+Зар сурталчилгаа</t>
  </si>
  <si>
    <t>Бусдаар гүйцэтгүүлсэн ажил</t>
  </si>
  <si>
    <t>Хандив тусламж/бусад</t>
  </si>
  <si>
    <t>зээлийн хүүгийн зардал</t>
  </si>
  <si>
    <t>Арилжааны ашиг алдагдал</t>
  </si>
  <si>
    <t>Бусад (MAK+BSP)</t>
  </si>
  <si>
    <t>Тайлан гаргасан:</t>
  </si>
  <si>
    <t>Г.Сэлэнгэ</t>
  </si>
  <si>
    <t>4. АВЛАГА</t>
  </si>
  <si>
    <t>Төрөл</t>
  </si>
  <si>
    <t>Авлага</t>
  </si>
  <si>
    <t>төгрөг</t>
  </si>
  <si>
    <t>доллар</t>
  </si>
  <si>
    <t>УНК ХХК</t>
  </si>
  <si>
    <t>Иргэн</t>
  </si>
  <si>
    <t>MTND</t>
  </si>
  <si>
    <t>ТэнГэр Системс</t>
  </si>
  <si>
    <t>Ард Лизинг ХХК</t>
  </si>
  <si>
    <t>НӨАТ авлага</t>
  </si>
  <si>
    <t>Зээлийн хүүгийн авлага</t>
  </si>
  <si>
    <t>Бусад</t>
  </si>
  <si>
    <t>НДШ авлага</t>
  </si>
  <si>
    <t>Цалингийн Урьдчилгаа</t>
  </si>
  <si>
    <t>Түрээсийн барьцаа- Шангри-Ла</t>
  </si>
  <si>
    <t>Түрээсийн авлага- Нийслэл</t>
  </si>
  <si>
    <t xml:space="preserve">АД-авлага </t>
  </si>
  <si>
    <t>АрдКредит</t>
  </si>
  <si>
    <t>ХОҮ</t>
  </si>
  <si>
    <t>ТТДС</t>
  </si>
  <si>
    <t>МПРС&amp;АКЕЛА</t>
  </si>
  <si>
    <t>Вайлд Дижитал</t>
  </si>
  <si>
    <t>Ард Менежмент</t>
  </si>
  <si>
    <t>Жинст-Увс ХК</t>
  </si>
  <si>
    <t>Алтан Хоромсог</t>
  </si>
  <si>
    <t>Арван Гэрийн Холбоо</t>
  </si>
  <si>
    <t>Хувьцааны авлага</t>
  </si>
  <si>
    <t>НИЙТ АВЛАГА</t>
  </si>
  <si>
    <t>Олгосон зээл</t>
  </si>
  <si>
    <t>Зээл-Ард Сек-Ашиг хуваалцах</t>
  </si>
  <si>
    <t>МТНД</t>
  </si>
  <si>
    <t>Зээл-Эрдэнэтогтох 15,000,000</t>
  </si>
  <si>
    <t>Зээл-ТТДС MNT</t>
  </si>
  <si>
    <t>Зээл-ТТДС USD</t>
  </si>
  <si>
    <t>Рийл Эстэйт Траст ХХК</t>
  </si>
  <si>
    <t>БЗХО</t>
  </si>
  <si>
    <t>БХХО-MGG,MMC</t>
  </si>
  <si>
    <t>Хүннү Бонд</t>
  </si>
  <si>
    <t>НИЙТ БХХО</t>
  </si>
  <si>
    <t>БҮТЭЗ</t>
  </si>
  <si>
    <t>Бараа материал</t>
  </si>
  <si>
    <t>БИЕТ БУС</t>
  </si>
  <si>
    <t>УТТ</t>
  </si>
  <si>
    <t>УТЗ-ТТДС</t>
  </si>
  <si>
    <t>УТЗ-ТНД</t>
  </si>
  <si>
    <t xml:space="preserve">УТЗ-Урамшуулал </t>
  </si>
  <si>
    <t>УТЗ-Тооцоо</t>
  </si>
  <si>
    <t>НИЙТ УТЗ</t>
  </si>
  <si>
    <t>НИЙТ АВЛАГА, БХХО, УТЗ</t>
  </si>
  <si>
    <t xml:space="preserve">5. ӨР ТӨЛБӨР </t>
  </si>
  <si>
    <t>Өр төлбөр</t>
  </si>
  <si>
    <t>Өглөг</t>
  </si>
  <si>
    <t>2017.06.30</t>
  </si>
  <si>
    <t>Ард Актив</t>
  </si>
  <si>
    <t>Хувьцааны өглөг (Чулуунцэцэг, Эрдэмбаяр)</t>
  </si>
  <si>
    <t>Ноогдол ашгийн ОАТ өглөг</t>
  </si>
  <si>
    <t>ХАОАТ өглөг</t>
  </si>
  <si>
    <t>ОАТ өглөг</t>
  </si>
  <si>
    <t>НӨАТ өр</t>
  </si>
  <si>
    <t>Суутган татварын өглөг</t>
  </si>
  <si>
    <t>Цалингийн өглөг</t>
  </si>
  <si>
    <t>НДШ-инй өглөг</t>
  </si>
  <si>
    <t>БДО-аудитын төлбөр 2016</t>
  </si>
  <si>
    <t>УОО-Шангри-Ла</t>
  </si>
  <si>
    <t xml:space="preserve">Дансны өглөг </t>
  </si>
  <si>
    <t>ТНД өглөг-МТНД ХХК</t>
  </si>
  <si>
    <t>Түрээсийн барьцаа өглөг</t>
  </si>
  <si>
    <t>Түрээсийн өглөг-Номын хишиг ХХК</t>
  </si>
  <si>
    <t>Хүүгийн өглөг- Бонд</t>
  </si>
  <si>
    <t>Дансны өр төлбөр</t>
  </si>
  <si>
    <t>АрдДаатгал ХХК</t>
  </si>
  <si>
    <t>АрдКредит ББСБ</t>
  </si>
  <si>
    <t>АрдСек</t>
  </si>
  <si>
    <t>Ард Бонд</t>
  </si>
  <si>
    <t>Хаан Банк</t>
  </si>
  <si>
    <t>Бусдаас авсан Эх үүсвэр</t>
  </si>
  <si>
    <t>Авлага-Иргэн</t>
  </si>
  <si>
    <t>5 Сар</t>
  </si>
  <si>
    <t>6 Сар</t>
  </si>
  <si>
    <t>Батболд</t>
  </si>
  <si>
    <t>Ганхуяг</t>
  </si>
  <si>
    <t>Зул</t>
  </si>
  <si>
    <t>Мобиком барьцаа</t>
  </si>
  <si>
    <t>Ганзориг</t>
  </si>
  <si>
    <t xml:space="preserve">Сэлэнгэ </t>
  </si>
  <si>
    <t>Цэнгүүн</t>
  </si>
  <si>
    <t>Гантулга</t>
  </si>
  <si>
    <t>Алтангүний</t>
  </si>
  <si>
    <t>Сэргэлэн</t>
  </si>
  <si>
    <t>Т.Батцэнгэл</t>
  </si>
  <si>
    <t>О.Одбаяр</t>
  </si>
  <si>
    <t>Далайбаяр</t>
  </si>
  <si>
    <t>Итгэл тооцоо</t>
  </si>
  <si>
    <t>Майзул</t>
  </si>
  <si>
    <t>Лхамдолгор</t>
  </si>
  <si>
    <t>Тэгшжаргал</t>
  </si>
  <si>
    <t>Сэлэнгэ</t>
  </si>
  <si>
    <t>Цаначин Ганболд</t>
  </si>
  <si>
    <t>Утасны тооцоо</t>
  </si>
  <si>
    <t>Тек Талент- W3W</t>
  </si>
  <si>
    <t>Номадик оф Рөүд</t>
  </si>
  <si>
    <t>Ерөөлт</t>
  </si>
  <si>
    <t>Батбаяр ( шатахуун)</t>
  </si>
  <si>
    <t>3.ҮНЭЛГЭЭ (тэрбум төгрөгөөр)</t>
  </si>
  <si>
    <t>Тайлант хугацаа: 2017.06.30</t>
  </si>
  <si>
    <t>2014-q4</t>
  </si>
  <si>
    <t>2016-q4 (340₮)</t>
  </si>
  <si>
    <t>2017-q1(375₮)</t>
  </si>
  <si>
    <t>2017.05.31 (386₮)</t>
  </si>
  <si>
    <t>2017-q2 (388 ₮)</t>
  </si>
  <si>
    <t>Эзэмшил хувь</t>
  </si>
  <si>
    <t>Хувьцааны тоо</t>
  </si>
  <si>
    <t xml:space="preserve">Нэгж үнэ </t>
  </si>
  <si>
    <t>Нийт үнэлгээ</t>
  </si>
  <si>
    <t xml:space="preserve">Монгол Шуудан ХК </t>
  </si>
  <si>
    <t xml:space="preserve">           Ард Санхүүгийн Нэгдэл дэх хувь</t>
  </si>
  <si>
    <t>+</t>
  </si>
  <si>
    <t xml:space="preserve"> Охин компаниудын эзэмшиж буй хувь</t>
  </si>
  <si>
    <t xml:space="preserve">           Ард Даатгал дахь хувь</t>
  </si>
  <si>
    <t xml:space="preserve">           Ард Секюритиз дэх хувь</t>
  </si>
  <si>
    <t xml:space="preserve">           Хөрөнгө Оруулагч Үндэстэн</t>
  </si>
  <si>
    <t xml:space="preserve">           МТНД </t>
  </si>
  <si>
    <t xml:space="preserve">          Алтан хоромсог дахь хувь</t>
  </si>
  <si>
    <t>Ард Кредит ББСБ ХХК</t>
  </si>
  <si>
    <t>Ард Секюритиз ҮЦК ХХК</t>
  </si>
  <si>
    <t>Номын Хишиг ХХК</t>
  </si>
  <si>
    <t>Бусад компанид оруулсан хөрөнгө оруулалт(өртөг)</t>
  </si>
  <si>
    <t>Урт хугацаат хөрөнгө оруулалтын дүн:</t>
  </si>
  <si>
    <t>Богино Хугацаат Хөрнгө Оруулалт</t>
  </si>
  <si>
    <t>Бонд- Хүннү, ЗГ</t>
  </si>
  <si>
    <t>Хөрөнгө ор-ын зориулалт бүхий үл хөдлөх хөрөнгө</t>
  </si>
  <si>
    <t>Богино Хугацаат Хөрнгө Оруулалтын Дүн:</t>
  </si>
  <si>
    <t>НИЙТ ХӨРӨНГӨ ОРУУЛАЛТ</t>
  </si>
  <si>
    <t>Бусад хөрөнгө</t>
  </si>
  <si>
    <t>Үндсэн хөрөнгө, биет бус хөрөнгө, бараа материал</t>
  </si>
  <si>
    <t>Бэлэн мөнгө</t>
  </si>
  <si>
    <t>Цэвэр авлага</t>
  </si>
  <si>
    <t>Үл хөдлөх хөрөнгөтэй холбоотой олз</t>
  </si>
  <si>
    <t xml:space="preserve">Бусад Хөрөнгийн Дүн: </t>
  </si>
  <si>
    <t>Нийт Үнэлгээ</t>
  </si>
  <si>
    <t>Саналын эрхтэй хувьцаа ( Ард Сек -ийн бүртгэл )</t>
  </si>
  <si>
    <t>ЭРГЭЛТЭД БАЙГАА ХУВЬЦАА</t>
  </si>
  <si>
    <t>Саналын эрхтэй хувьцаанд ноогдох нэгж хувьцааны үнэ ( Ард Сек -ийн бүртгэл )</t>
  </si>
  <si>
    <t>Нийт гаргасан хувьцаанд ноогдох нэгж хувьцааны үнэ</t>
  </si>
  <si>
    <t>Тайлбар</t>
  </si>
  <si>
    <t xml:space="preserve">Өртөг </t>
  </si>
  <si>
    <t>Алтан хоромсог</t>
  </si>
  <si>
    <t>Тэнгэр системс</t>
  </si>
  <si>
    <t>Жинст увс</t>
  </si>
  <si>
    <t>Нийт дүн:</t>
  </si>
  <si>
    <t>6. Үндсэн хөрөнгийн дэлгэрэнгүй</t>
  </si>
  <si>
    <t>Хөрөнгийн төрөл</t>
  </si>
  <si>
    <t xml:space="preserve">Дүн-2014-q4 </t>
  </si>
  <si>
    <t>Дүн-2015-q3</t>
  </si>
  <si>
    <t>Дүн-2016-04-30</t>
  </si>
  <si>
    <t>Дүн-2016-05-31</t>
  </si>
  <si>
    <t>2016-06-q2</t>
  </si>
  <si>
    <t>Дүн-2016-07-31</t>
  </si>
  <si>
    <t>Дүн-2016-08-31</t>
  </si>
  <si>
    <t>Тайлагнасан</t>
  </si>
  <si>
    <t>Ил тод</t>
  </si>
  <si>
    <t>Зөрүү</t>
  </si>
  <si>
    <t>q2-q1</t>
  </si>
  <si>
    <t>q3-q2</t>
  </si>
  <si>
    <t>Сити центрын офис</t>
  </si>
  <si>
    <t>Экспрес тауэр</t>
  </si>
  <si>
    <t>Гранд офис</t>
  </si>
  <si>
    <t>Автомашин</t>
  </si>
  <si>
    <t>Эд хогшил</t>
  </si>
  <si>
    <t>Компьютер</t>
  </si>
  <si>
    <t>Түрээсийн сайжруулалт</t>
  </si>
  <si>
    <t>7. Хөрөнгө оруулалтын дэлгэрэнгүй</t>
  </si>
  <si>
    <t xml:space="preserve">Ард Даатгал </t>
  </si>
  <si>
    <t>Ард Кредит</t>
  </si>
  <si>
    <t>Ард Секюритиз ҮЦК</t>
  </si>
  <si>
    <t>Ард Актив ХЗХ</t>
  </si>
  <si>
    <t>Ард Менежмент ХЗХ</t>
  </si>
  <si>
    <t>Номын хишиг</t>
  </si>
  <si>
    <t>Тэнгэр системс ХХК</t>
  </si>
  <si>
    <t>Жинст-Увс</t>
  </si>
  <si>
    <t>Вайлд</t>
  </si>
  <si>
    <t>Монгол шуудан</t>
  </si>
  <si>
    <t>Алтан Хоромсог ҮЦК</t>
  </si>
  <si>
    <t>БЗҮХХөрөнгө-Хийморь</t>
  </si>
  <si>
    <t>Нийт дүн :</t>
  </si>
  <si>
    <t>Т.Оюун-Эрдэнэ</t>
  </si>
  <si>
    <t xml:space="preserve">Хөрөнгө Оруулалтын Өөрчлөлтийн Тайлан </t>
  </si>
  <si>
    <t>Тайлант хугацаа: 2016.01.01-2016.12.31</t>
  </si>
  <si>
    <t>Хөрөнгө оруулалттай компаниуд</t>
  </si>
  <si>
    <t xml:space="preserve">Эхний үлдэгдэл (БҮЦТ) </t>
  </si>
  <si>
    <t>Нэмэгдүүлсэн ХО(өртөг)</t>
  </si>
  <si>
    <t>Хорогдуулсан ХО(өртөг)</t>
  </si>
  <si>
    <t>Эцсийн үлдэгдэл            ( 2015 оны БҮЦТ-р)</t>
  </si>
  <si>
    <t>БҮЦТ 2016</t>
  </si>
  <si>
    <t>Эцсийн үлдэгдэл            ( 2016 оны БҮЦТ-р)</t>
  </si>
  <si>
    <t>Дахин үнэлгээний нөөц</t>
  </si>
  <si>
    <t>Эцсийн үлдэгдэл   (Бодит үнэ )</t>
  </si>
  <si>
    <t>Монгол Шуудан ХК</t>
  </si>
  <si>
    <t xml:space="preserve">Вайлд Дижитал </t>
  </si>
  <si>
    <t>ХӨРӨНГӨ ОРУУЛАЛТЫН ДҮН</t>
  </si>
  <si>
    <t>The Qarter in Numbers</t>
  </si>
  <si>
    <t>in million MNT unless otherwise stated</t>
  </si>
  <si>
    <t>Change %</t>
  </si>
  <si>
    <t>Total Assets</t>
  </si>
  <si>
    <t>Loan Portfolio</t>
  </si>
  <si>
    <t>Fixed Assets</t>
  </si>
  <si>
    <t>Shareholders' Equity</t>
  </si>
  <si>
    <t>Total Liabilities</t>
  </si>
  <si>
    <t>Net profit</t>
  </si>
  <si>
    <t>Net income</t>
  </si>
  <si>
    <t>Number of Shares in Circulation</t>
  </si>
  <si>
    <t>Earnings per Share (MNT)</t>
  </si>
  <si>
    <t>Value per Share (MNT)</t>
  </si>
  <si>
    <t>Ratios</t>
  </si>
  <si>
    <t>Loan Portfolio to Assets</t>
  </si>
  <si>
    <t>Investments to Assets</t>
  </si>
  <si>
    <t>Debt to Assets</t>
  </si>
  <si>
    <t>Investments to Capital</t>
  </si>
  <si>
    <t>Expenses to Assets</t>
  </si>
  <si>
    <t>Salaries to Assets</t>
  </si>
  <si>
    <t>OpEx to Assets</t>
  </si>
  <si>
    <t>Financial Expenses to Assets</t>
  </si>
  <si>
    <t xml:space="preserve">ROE </t>
  </si>
  <si>
    <t>ROA</t>
  </si>
  <si>
    <t>3-2</t>
  </si>
  <si>
    <t>3-1</t>
  </si>
  <si>
    <t xml:space="preserve">Авлага </t>
  </si>
  <si>
    <t xml:space="preserve">Дансны авлага </t>
  </si>
  <si>
    <t xml:space="preserve">Хувьцааны авлага </t>
  </si>
  <si>
    <t xml:space="preserve">БЗХО </t>
  </si>
  <si>
    <t>УТТооцоо  ТНД</t>
  </si>
  <si>
    <t>УТТооцоо  Урамшуулал</t>
  </si>
  <si>
    <t xml:space="preserve">УТТооцоо  Бусад </t>
  </si>
  <si>
    <t>НИЙТ УТТ:</t>
  </si>
  <si>
    <t>НИЙТ АВЛАГА, УТЗ:</t>
  </si>
  <si>
    <t xml:space="preserve">Хувьцааны өглөг </t>
  </si>
  <si>
    <t>Татварын өглөг</t>
  </si>
  <si>
    <t>Хүүгийн өглөг</t>
  </si>
  <si>
    <t>Өр төлбөрийн дүн:</t>
  </si>
  <si>
    <t>Бусдаас авсан эх үүсвэр</t>
  </si>
  <si>
    <t>НИЙТ ӨР ТӨЛБӨР:</t>
  </si>
  <si>
    <t>ҮТЕГазрын даргын 2006 оны 267 тоот тушаалын 1-р хавсралт</t>
  </si>
  <si>
    <t xml:space="preserve">Маягт ТТ-11              ҮНДЭСНИЙ ТАТВАРЫН АЛБА                      </t>
  </si>
  <si>
    <t xml:space="preserve">Цалин, хөдөлмөрийн хөлс болон тэдгээртэй адилтгах </t>
  </si>
  <si>
    <t xml:space="preserve">орлогоос суутгасан албан татварын тайлан </t>
  </si>
  <si>
    <t xml:space="preserve">1.ТТД           / 5 / 0 / 2 / 4 / 1 / 4 / 5 /     </t>
  </si>
  <si>
    <t>2.Нэр:  Ард Санхүүгийн Нэгдэл ХК</t>
  </si>
  <si>
    <t>3.Тайлангийн хугацаа / 2 /0  /1  /8/  он   / 0 / 3 /  улирал</t>
  </si>
  <si>
    <t>(Тайлангийн үзүүлэлтүүдийг оны эхнээс өссөн дүнгээр бөглөнө)</t>
  </si>
  <si>
    <t>I.Шууд орлого</t>
  </si>
  <si>
    <t>/ төгрөгрөгөөр  /</t>
  </si>
  <si>
    <t>Үзүүлэлт</t>
  </si>
  <si>
    <t>Мөр</t>
  </si>
  <si>
    <t>Татвар төлөгчийн тоо</t>
  </si>
  <si>
    <t>I</t>
  </si>
  <si>
    <t>II</t>
  </si>
  <si>
    <t>III</t>
  </si>
  <si>
    <t>IY</t>
  </si>
  <si>
    <t>1.Цалин, хөдөлмөрийн хөлс, шагнал, урамшуулал болон тэдгээртэй адилтгах хөдөлмөр эрхлэлтийн орлого    (2+3)</t>
  </si>
  <si>
    <t>1.1 Ажил олгогчтой байгуулсан хөдөлмөрийн гэрээнд заасны дагуу авч байгаа            үндсэн цалин, нэмэгдэл хөлс, нэмэгдэл, шагнал, урамшуулал, амралтын нөхөн олговор, тэтгэвэр тэтгэмж тэдгээртэй адилтгах орлого (мян.төг)</t>
  </si>
  <si>
    <t>1.2 Үндсэн ажлын газраас бусад хуулийн этгээд болон хувь хүнтэй байгуулсан гэрээний үндсэн дээр ажил, үүрэг гүйцэтгэж авсан хөдөлмөрийн хөлс, шагнал, урамшуулал, тэдгээртэй адилтгах орлого (мян.төг)</t>
  </si>
  <si>
    <t>2.Эрүүл мэндийн даатгалын шимтгэлийн дүн</t>
  </si>
  <si>
    <t>3.Татвар ноогдуулах орлогын дүн</t>
  </si>
  <si>
    <t>4.Ногдуулсан татвар</t>
  </si>
  <si>
    <t>5. Ажил олгогчоос ажилтан, түүний гэр бүлийн гишүүнд олгосон тэтгэмж болон түүнтэйадилтгах бусад орлогод ногдуулсан татвар  (8*10 хувь)</t>
  </si>
  <si>
    <t>5.1 Ажил олгогчоос ажилтан, түүний гэр бүлийн гишүүнд олгосон тэтгэмж болон түүнтэй адилтгах бусад орлого</t>
  </si>
  <si>
    <t>6. Ажил олгогчоос ажилтан, түүний гэр бүлийн гишүүнд өгсөн бэлгэнд ногдуулсан татвар      (10*10 хувь)</t>
  </si>
  <si>
    <t>6.1Ажил олгогчоос ажилтан, түүний гэр бүлийн гишүүнд өгсөн бэлэг</t>
  </si>
  <si>
    <r>
      <rPr>
        <rFont val="Times New Roman"/>
        <b/>
        <color rgb="FF000000"/>
        <sz val="10.0"/>
      </rPr>
      <t>7.Төлөөлөн удирдах зөвлөл, хяналтын зөвлөл, орон тооны бус зөвлөл болон бусад зөвлөл, хороо, ажлын хэсгийн гишүүний цалин хөлс, шагнал, урамшуулал, тэдгээртэй адилтгах орлогод ногдуулсан татвар</t>
    </r>
    <r>
      <rPr>
        <rFont val="Times New Roman"/>
        <b val="0"/>
        <color rgb="FF000000"/>
        <sz val="10.0"/>
      </rPr>
      <t xml:space="preserve">  </t>
    </r>
    <r>
      <rPr>
        <rFont val="Times New Roman"/>
        <b/>
        <color rgb="FF000000"/>
        <sz val="10.0"/>
      </rPr>
      <t>(12*10 хувь)</t>
    </r>
  </si>
  <si>
    <t>7.1 Төлөөлөн удирдах зөвлөл, хяналтын зөвлөл, орон тооны бус зөвлөл болон бусад зөвлөл, хороо, ажлын хэсгийн гишүүний цалин хөлс, шагнал, урамшуулал, тэдгээртэй адилтгах орлого</t>
  </si>
  <si>
    <t>8. Гадаад, дотоодын аж ахуйн нэгж, байгууллага, иргэн болон бусад этгээдээс өгсөн бүх төрлийн шагнал, урамшуулалд ногдуулсан татвар   (14*10 хувь)</t>
  </si>
  <si>
    <t>8.1 Гадаад, дотоодын аж ахуйн нэгж, байгууллага, иргэн болон бусад этгээдээс өгсөн бүх төрлийн шагнал, урамшуулал</t>
  </si>
  <si>
    <r>
      <rPr>
        <rFont val="Times New Roman"/>
        <b/>
        <color rgb="FF000000"/>
        <sz val="10.0"/>
      </rPr>
      <t>9. Ногдуулсан нийт татварын дүн</t>
    </r>
    <r>
      <rPr>
        <rFont val="Times New Roman"/>
        <b val="0"/>
        <color rgb="FF000000"/>
        <sz val="10.0"/>
      </rPr>
      <t xml:space="preserve">  </t>
    </r>
    <r>
      <rPr>
        <rFont val="Times New Roman"/>
        <b/>
        <color rgb="FF000000"/>
        <sz val="10.0"/>
      </rPr>
      <t>(6+7+9+11+13)</t>
    </r>
  </si>
  <si>
    <t>10. Хөнгөлөгдөх татварын дүн</t>
  </si>
  <si>
    <t>11. Суутгавал зохих нийт татварын дүн (15-16)</t>
  </si>
  <si>
    <t xml:space="preserve">  II.ШУУД БУС ОРЛОГО</t>
  </si>
  <si>
    <t xml:space="preserve">13. Татвар ногдох шууд бус орлогын нийт дүн (19+20+21+22+23+24)(татвар ногдох шууд бус орлогод цалин, хөдөлмөрийн хөлс, шагнал, урамшуулал дээр ажил олгогчоос нэмж олгож байгаа тухайн ажилтнаас албан үүргээ гүйцэтгэхэд шууд холбогдолгүй дараахь бараа, үйлчилгээний орлогыг хамруулна) </t>
  </si>
  <si>
    <t xml:space="preserve">13.1 Үнэ төлбөргүй, эсхүл хөнгөлөлттэй үнээр тээврийн хэрэгслээр үйлчлэх, түүнчлэн унааны мөнгийг бэлнээр олгох </t>
  </si>
  <si>
    <t>13.2 орон сууцны ашиглалтын зардлын төлбөр, байрны хөлс, түлшний мөнгийг бэлнээр олгох</t>
  </si>
  <si>
    <t>13.3 хоолны мөнгийг бэлнээр олгох, үзвэр үйлчилгээний олговор</t>
  </si>
  <si>
    <t>13.4 ахуйн үйлчлэгч, жолооч, цэцэрлэгчийн болон бусад үйлчилгээ үзүүлэх</t>
  </si>
  <si>
    <t>13.5 ажил олгогчид, эсхүл бусад этгээдэд төлөх өр барагдуулсны төлбөр</t>
  </si>
  <si>
    <t>13.6 арилжааны зээлийн хүүгээс доогуур хүүтэй олгосон хүүгийн зөрүү</t>
  </si>
  <si>
    <t>13.7 адилтгах бусад орлого</t>
  </si>
  <si>
    <t>14. Шууд бус орлогод ногдуулсан татвар  (19*10 хувь)</t>
  </si>
  <si>
    <t>15. Суутгавал зохих нийт татварын дүн   (17+27)</t>
  </si>
  <si>
    <t>II.ТАТВАР ТООЦООЛОЛ</t>
  </si>
  <si>
    <t>Урьд тайлангийн эцсийн илүү /Кт/, дутуу /Дт/</t>
  </si>
  <si>
    <t>Тайлант хугацааны шилжүүлвэл зохих татварын дүн /Дт/</t>
  </si>
  <si>
    <t>Суутган тооцож төсөвт шилжүүлсэн татварын дүн /Кт/</t>
  </si>
  <si>
    <t>Тайлангийн эцсийн илүү /Кт/, дутуу /Дт/</t>
  </si>
  <si>
    <t xml:space="preserve"> Тайланг үнэн зөв гаргасан:</t>
  </si>
  <si>
    <t>Тайланг хүлээн авсан:</t>
  </si>
  <si>
    <t>Дарга /Захирал/ .  .  .  .  .  .  .  .  .  .  .  .  .  .  .  .  .</t>
  </si>
  <si>
    <t xml:space="preserve">Татварын улсын байцаагч . . . . . . . . </t>
  </si>
  <si>
    <t>Татварын итгэмжлэгдсэн нягтлан бодогч .. . . .. .. . .. /                                 /</t>
  </si>
  <si>
    <t xml:space="preserve">Суутган-1 татварын тайлан </t>
  </si>
  <si>
    <t>Тайлант хугацаа: 2018.01.01-2018.03.31</t>
  </si>
  <si>
    <t>Тайлант хугацаа: 2018.01.01-2018.12.31</t>
  </si>
  <si>
    <t>No</t>
  </si>
  <si>
    <t xml:space="preserve">Овог </t>
  </si>
  <si>
    <t xml:space="preserve">Нэр </t>
  </si>
  <si>
    <t>Регистр</t>
  </si>
  <si>
    <t>Q-1</t>
  </si>
  <si>
    <t xml:space="preserve">Суутгал </t>
  </si>
  <si>
    <t>хөнгөлөлт</t>
  </si>
  <si>
    <t>Нийт хөнгөлөх татвар</t>
  </si>
  <si>
    <t>Хөнгөлөгдөх</t>
  </si>
  <si>
    <t>Гарт олгосон</t>
  </si>
  <si>
    <t>Q-2</t>
  </si>
  <si>
    <t>Суутгал-1</t>
  </si>
  <si>
    <t>Цэвэр цалин</t>
  </si>
  <si>
    <t>Q-3</t>
  </si>
  <si>
    <t>Q-4</t>
  </si>
  <si>
    <t>Олгосон</t>
  </si>
  <si>
    <t>Өссөн дүнгээр</t>
  </si>
  <si>
    <t>НДШ-12%</t>
  </si>
  <si>
    <t>ХЧТА</t>
  </si>
  <si>
    <t>НДШ</t>
  </si>
  <si>
    <t>ХХОАТ</t>
  </si>
  <si>
    <t>ХХОАТ тохируулга</t>
  </si>
  <si>
    <t>Чулуун</t>
  </si>
  <si>
    <t>ЦБ73112011</t>
  </si>
  <si>
    <t>Соронзонболд</t>
  </si>
  <si>
    <t>Халиунаа</t>
  </si>
  <si>
    <t>УЕ83040525</t>
  </si>
  <si>
    <t>Мөнхбат</t>
  </si>
  <si>
    <t>Мөнх-Эрдэнэ</t>
  </si>
  <si>
    <t>ГЭ88061618</t>
  </si>
  <si>
    <t>Төмөрбаатар</t>
  </si>
  <si>
    <t>Оюун-Эрдэнэ</t>
  </si>
  <si>
    <t>АЭ85122907</t>
  </si>
  <si>
    <t>Энхбаяр</t>
  </si>
  <si>
    <t>Содномпилжээ</t>
  </si>
  <si>
    <t>УО85082452</t>
  </si>
  <si>
    <t>Батмөнх</t>
  </si>
  <si>
    <t>Ганболд</t>
  </si>
  <si>
    <t>ЕЮ91102211</t>
  </si>
  <si>
    <t>Жаргалан</t>
  </si>
  <si>
    <t>ЕП89071000</t>
  </si>
  <si>
    <t>ЖМ86040667</t>
  </si>
  <si>
    <t>Тод-Од</t>
  </si>
  <si>
    <t>УП91032235</t>
  </si>
  <si>
    <t>Билэгт</t>
  </si>
  <si>
    <t>Тамир</t>
  </si>
  <si>
    <t>ХД85111971</t>
  </si>
  <si>
    <t>Гарьд</t>
  </si>
  <si>
    <t>Тэнүүн</t>
  </si>
  <si>
    <t>ХП80051816</t>
  </si>
  <si>
    <t>Г</t>
  </si>
  <si>
    <t>Алимаа</t>
  </si>
  <si>
    <t>ГЭ67080506</t>
  </si>
  <si>
    <t>О</t>
  </si>
  <si>
    <t>Гомбожав</t>
  </si>
  <si>
    <t>УО88041451</t>
  </si>
  <si>
    <t>Нэргүй</t>
  </si>
  <si>
    <t>Төгөлдөр</t>
  </si>
  <si>
    <t>ШУ88062511</t>
  </si>
  <si>
    <t>Б</t>
  </si>
  <si>
    <t>Жавзмаа</t>
  </si>
  <si>
    <t>ХЙ77060207</t>
  </si>
  <si>
    <t>Э</t>
  </si>
  <si>
    <t>Энхзаяа</t>
  </si>
  <si>
    <t>ПО97071801</t>
  </si>
  <si>
    <t>Нийт дүн</t>
  </si>
  <si>
    <t>7002-01-001 - Ажиллагчдын цалингийн зардал</t>
  </si>
  <si>
    <t>Төгрөг</t>
  </si>
  <si>
    <t>Гүйлгээний дугаар</t>
  </si>
  <si>
    <t>Гүйлгээний огноо</t>
  </si>
  <si>
    <t>Харилцагч</t>
  </si>
  <si>
    <t>Гүйлгээний утга</t>
  </si>
  <si>
    <t>Харьцсан данс</t>
  </si>
  <si>
    <t>Дебит</t>
  </si>
  <si>
    <t>Кредит</t>
  </si>
  <si>
    <t>Үлдэгдэл</t>
  </si>
  <si>
    <t>Эхний үлдэгдэл</t>
  </si>
  <si>
    <t xml:space="preserve"> Манай байгууллага</t>
  </si>
  <si>
    <t>2018 оны 1 сарын сүүлийн цалин</t>
  </si>
  <si>
    <t>(олон данстай харьцсан)</t>
  </si>
  <si>
    <t>2018 оны 2 сарын сүүлийн цалин</t>
  </si>
  <si>
    <t>2018 оны 3 сарын сүүлийн цалин</t>
  </si>
  <si>
    <t>2018 оны 4 сарын сүүлийн цалин</t>
  </si>
  <si>
    <t>2018 оны 5 сарын сүүлийн цалин</t>
  </si>
  <si>
    <t>2018 оны 6 сарын сүүлийн цалин</t>
  </si>
  <si>
    <t xml:space="preserve"> СүхЭрдэнэ</t>
  </si>
  <si>
    <t>Сүх-Эрдэнэ цалин тооцоонд өөрчлөлт-Гэрээний дагуу</t>
  </si>
  <si>
    <t>2018 оны 7 сарын сүүлийн цалин</t>
  </si>
  <si>
    <t>2018 оны 8 сарын сүүлийн цалин</t>
  </si>
  <si>
    <t>2018 оны 9 сарын сүүлийн цалин</t>
  </si>
  <si>
    <t>2018 оны 10 сарын сүүлийн цалин</t>
  </si>
  <si>
    <t>2018 оны 11 сарын сүүлийн цалин</t>
  </si>
  <si>
    <t>2018 оны 12 сарын сүүлийн цалин</t>
  </si>
  <si>
    <t>7002-01-007 - Аж ахуйн нэгжээс төлсөн НДШ-ийн зардал</t>
  </si>
  <si>
    <t>1-0001 СБД-НДХ</t>
  </si>
  <si>
    <t>3104-01-001 - НДШ-ийн өглөг</t>
  </si>
  <si>
    <t>2018-01 сарын НДШ төлөв</t>
  </si>
  <si>
    <t>1101-01-001 - Хасбанк	5000004475</t>
  </si>
  <si>
    <t>2сарын НДШ</t>
  </si>
  <si>
    <t>НДШ шилжүүлэв 3сар</t>
  </si>
  <si>
    <t>НДШ шилжүүлэв 4сар</t>
  </si>
  <si>
    <t>СБД НДХ-с буцаан олгох шимтгэлийн дүн</t>
  </si>
  <si>
    <t>НДШ өр төлөв</t>
  </si>
  <si>
    <t>НДШ төлөв</t>
  </si>
  <si>
    <t>8-р сарын НДШ</t>
  </si>
  <si>
    <t>НДШ хөнгөлөлт</t>
  </si>
  <si>
    <t>3103-01-001 - ХХОАТ-өр</t>
  </si>
  <si>
    <t>1-0002 СБД-ТХ</t>
  </si>
  <si>
    <t>ХХОАТ төлөв</t>
  </si>
  <si>
    <t>1101-01-011 - Хасбанк	5000004476</t>
  </si>
  <si>
    <t>ХХОАТ тооцоо хийв</t>
  </si>
  <si>
    <t>1209 - Ажилчдаас авах авлага</t>
  </si>
  <si>
    <t>Боловсон хүчний зардлын дэлгэрэнгүй</t>
  </si>
  <si>
    <t>Ажилчдын нэрс</t>
  </si>
  <si>
    <t>Албан тушаал</t>
  </si>
  <si>
    <t>2017 он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</si>
  <si>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</si>
  <si>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</si>
  <si>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</si>
  <si>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</si>
  <si>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</si>
  <si>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</si>
  <si>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</si>
  <si>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</si>
  <si>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</si>
  <si>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</si>
  <si>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</si>
  <si>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</si>
  <si>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2018он</t>
  </si>
  <si>
    <t>Ч.Ганхуяг</t>
  </si>
  <si>
    <t>Гүйцэтгэх захирал</t>
  </si>
  <si>
    <t>Ж.Алтангүний</t>
  </si>
  <si>
    <t xml:space="preserve">ҮАХ захирал </t>
  </si>
  <si>
    <t>Г.Тэнүүн</t>
  </si>
  <si>
    <t>МТХ захирал</t>
  </si>
  <si>
    <t>С.Халиунаа</t>
  </si>
  <si>
    <t>комплайнс</t>
  </si>
  <si>
    <t>Ерөнхий нягтлан бодогч</t>
  </si>
  <si>
    <t>М.Мөнх-Эрдэнэ</t>
  </si>
  <si>
    <t>Дотоод аудитор</t>
  </si>
  <si>
    <t>нягтлан бодогч</t>
  </si>
  <si>
    <t>туслах ажилтан</t>
  </si>
  <si>
    <t>ЭУ захирал</t>
  </si>
  <si>
    <t>Б.Тамир</t>
  </si>
  <si>
    <t>ОНХЗахирал</t>
  </si>
  <si>
    <t>Г.Алимаа</t>
  </si>
  <si>
    <t>Эрдэнэт салбар захирал</t>
  </si>
  <si>
    <t>О.Гомбожав</t>
  </si>
  <si>
    <t>МЗахирал</t>
  </si>
  <si>
    <t>Н.Төгөлдөр</t>
  </si>
  <si>
    <t>маркетингийн ажилтан</t>
  </si>
  <si>
    <t>Э.Энхзаяа</t>
  </si>
  <si>
    <t>туслах нягтлан бодогч</t>
  </si>
  <si>
    <t>Б.Жавзмаа</t>
  </si>
  <si>
    <t>ТУЗ нарийн бичиг</t>
  </si>
  <si>
    <t>Цалингийн зардлын дүн</t>
  </si>
  <si>
    <t>НДШ зардал</t>
  </si>
  <si>
    <t>Нийт боловсон хүчний зардал</t>
  </si>
  <si>
    <t>САНХҮҮГИЙН БАЙДЛЫН ТАЙЛАН</t>
  </si>
  <si>
    <t>/төгрөгөөр/</t>
  </si>
  <si>
    <t>2020 оны 12-р сарын 31</t>
  </si>
  <si>
    <t>2021 оны 12-р сарын 31</t>
  </si>
  <si>
    <t>ХӨРӨНГӨ</t>
  </si>
  <si>
    <t>Эргэлтийн хөрөнгө</t>
  </si>
  <si>
    <t>1.1.1</t>
  </si>
  <si>
    <t>Мөнгө,түүнтэй адилтгах хөрөнгө</t>
  </si>
  <si>
    <t>1.1.2</t>
  </si>
  <si>
    <t>Дансны авлага</t>
  </si>
  <si>
    <t>1.1.3</t>
  </si>
  <si>
    <t>Татвар, НДШ – ийн авлага</t>
  </si>
  <si>
    <t>1.1.4</t>
  </si>
  <si>
    <t>Бусад авлага</t>
  </si>
  <si>
    <t>1.1.5</t>
  </si>
  <si>
    <t>Бусад санхүүгийн хөрөнгө</t>
  </si>
  <si>
    <t>1.1.6</t>
  </si>
  <si>
    <t>1.1.7</t>
  </si>
  <si>
    <t>Урьдчилж төлсөн зардал/тооцоо</t>
  </si>
  <si>
    <t>1.1.8</t>
  </si>
  <si>
    <t>Бусад эргэлтийн хөрөнгө</t>
  </si>
  <si>
    <t>1.1.9</t>
  </si>
  <si>
    <t xml:space="preserve">Борлуулах зорилгоор эзэмшиж буй эргэлтийн бус хөрөнгө </t>
  </si>
  <si>
    <t>1.1.10</t>
  </si>
  <si>
    <t>1.1.11</t>
  </si>
  <si>
    <t>Эргэлтийн хөрөнгийн дүн</t>
  </si>
  <si>
    <t>Эргэлтийн бус хөрөнгө</t>
  </si>
  <si>
    <t>1.2.1</t>
  </si>
  <si>
    <t>1.2.2</t>
  </si>
  <si>
    <t>1.2.3</t>
  </si>
  <si>
    <t>Биологийн хөрөнгө</t>
  </si>
  <si>
    <t>1.2.4</t>
  </si>
  <si>
    <t>Урт хугацаат  хөрөнгө оруулалт</t>
  </si>
  <si>
    <t>1.2.5</t>
  </si>
  <si>
    <t>Хайгуул ба үнэлгээний хөрөнгө</t>
  </si>
  <si>
    <t>1.2.6</t>
  </si>
  <si>
    <t>Хойшлогдсон татварын хөрөнгө</t>
  </si>
  <si>
    <t>1.2.7</t>
  </si>
  <si>
    <t>Хөрөнгө оруулалтын зориулалттай үл хөдлөх хөрөнгө</t>
  </si>
  <si>
    <t>1.2.8</t>
  </si>
  <si>
    <t>Бусад эргэлтийн бус хөрөнгө</t>
  </si>
  <si>
    <t>1.2.9</t>
  </si>
  <si>
    <t>1.2.10</t>
  </si>
  <si>
    <t>Эргэлтийн бус хөрөнгийн дүн</t>
  </si>
  <si>
    <t>ӨР ТӨЛБӨР БА ЭЗДИЙН ӨМЧ</t>
  </si>
  <si>
    <t>2.1.1</t>
  </si>
  <si>
    <t>Богино хугацаат өр төлбөр</t>
  </si>
  <si>
    <t>2.1.1.1</t>
  </si>
  <si>
    <t>2.1.1.2</t>
  </si>
  <si>
    <t>Цалингийн  өглөг</t>
  </si>
  <si>
    <t>2.1.1.3</t>
  </si>
  <si>
    <t>2.1.1.4</t>
  </si>
  <si>
    <t>НДШ - ийн  өглөг</t>
  </si>
  <si>
    <t>2.1.1.5</t>
  </si>
  <si>
    <t>Банкны богино хугацаат зээл</t>
  </si>
  <si>
    <t>2.1.1.6</t>
  </si>
  <si>
    <t>Хүүний  өглөг</t>
  </si>
  <si>
    <t>2.1.1.7</t>
  </si>
  <si>
    <t>Ногдол ашгийн  өглөг</t>
  </si>
  <si>
    <t>2.1.1.8</t>
  </si>
  <si>
    <t>Урьдчилж орсон орлого</t>
  </si>
  <si>
    <t>2.1.1.9</t>
  </si>
  <si>
    <t>Нөөц  /өр төлбөр/</t>
  </si>
  <si>
    <t>2.1.1.10</t>
  </si>
  <si>
    <t>Бусад богино хугацаат өр төлбөр</t>
  </si>
  <si>
    <t>2.1.1.11</t>
  </si>
  <si>
    <t>Борлуулах зорилгоор эзэмшиж буй бүлэг хөрөнгөнд хамаарах өр төлбөр</t>
  </si>
  <si>
    <t>Богино хугацаат өр төлбөрийн дүн</t>
  </si>
  <si>
    <t>2.1.2</t>
  </si>
  <si>
    <t>Урт хугацаат өр төлбөр</t>
  </si>
  <si>
    <t>2.1.2.1</t>
  </si>
  <si>
    <t>Урт хугацаат зээл</t>
  </si>
  <si>
    <t>2.1.2.2</t>
  </si>
  <si>
    <t>Нөөц /өр төлбөр/</t>
  </si>
  <si>
    <t>2.1.2.3</t>
  </si>
  <si>
    <t>Хойшлогдсон татварын өр</t>
  </si>
  <si>
    <t>2.1.2.4</t>
  </si>
  <si>
    <t>Бусад урт хугацаат өр төлбөр</t>
  </si>
  <si>
    <t>2.1.2.5</t>
  </si>
  <si>
    <t>2.1.2.6</t>
  </si>
  <si>
    <t>Урт хугацаат өр төлбөрийн дүн</t>
  </si>
  <si>
    <t>Эздийн өмч</t>
  </si>
  <si>
    <t>Өмч:</t>
  </si>
  <si>
    <t>2.3.1</t>
  </si>
  <si>
    <t xml:space="preserve">   -  төрийн</t>
  </si>
  <si>
    <t>2.3.2</t>
  </si>
  <si>
    <t xml:space="preserve">          -  хувийн</t>
  </si>
  <si>
    <t>2.3.3</t>
  </si>
  <si>
    <t xml:space="preserve">          -  хувьцаат</t>
  </si>
  <si>
    <t>2.3.4</t>
  </si>
  <si>
    <t>Халаасны хувьцаа</t>
  </si>
  <si>
    <t>2.3.5</t>
  </si>
  <si>
    <t>2.3.6</t>
  </si>
  <si>
    <t>Хөрөнгийн дахин үнэлгээний нэмэгдэл</t>
  </si>
  <si>
    <t>2.3.7</t>
  </si>
  <si>
    <t>Гадаад валютын хөрвүүлэлтийн нөөц</t>
  </si>
  <si>
    <t>2.3.8</t>
  </si>
  <si>
    <t>2.3.9</t>
  </si>
  <si>
    <t>2.3.10</t>
  </si>
  <si>
    <t>2.3.11</t>
  </si>
  <si>
    <t>САНХҮҮ ЭРХЭЛСЭН ЗАХИРАЛ</t>
  </si>
  <si>
    <t>Б.ЗОЛБОО</t>
  </si>
  <si>
    <t xml:space="preserve"> </t>
  </si>
  <si>
    <t>НЯГТЛАН БОДОГЧ</t>
  </si>
  <si>
    <t>Г.СЭЛЭНГЭ</t>
  </si>
  <si>
    <t>Сар</t>
  </si>
  <si>
    <t>Үндсэн цалин</t>
  </si>
  <si>
    <t>Нийт ажилласан цаг</t>
  </si>
  <si>
    <t>Илүү цагийн хөлс</t>
  </si>
  <si>
    <t>Нэмэгдлийн дүн</t>
  </si>
  <si>
    <t>Суутгалын дүн</t>
  </si>
  <si>
    <t>Тооцсон цалин</t>
  </si>
  <si>
    <t>Суутгал</t>
  </si>
  <si>
    <t>Урьдчилгаа</t>
  </si>
  <si>
    <t>Сарын сүүл</t>
  </si>
  <si>
    <t>Тэтгэмж</t>
  </si>
  <si>
    <t>Удирдлага</t>
  </si>
  <si>
    <t>НИЙТ ДҮН :</t>
  </si>
  <si>
    <t>ОРЛОГЫН ДЭЛГЭРЭНГҮЙ ТАЙЛАН</t>
  </si>
  <si>
    <t>2019 оны 12-р сарын 31</t>
  </si>
  <si>
    <t>Борлуулалтын орлого (цэвэр)</t>
  </si>
  <si>
    <t>Борлуулсан бүтээгдэхүүний өртөг</t>
  </si>
  <si>
    <t>Нийт ашиг ( алдагдал)</t>
  </si>
  <si>
    <t>Ногдол ашгийн орлого</t>
  </si>
  <si>
    <t>Эрхийн шимтгэлийн орлого</t>
  </si>
  <si>
    <t>Борлуулалт, маркетингийн зардал</t>
  </si>
  <si>
    <t>Ерөнхий ба удирдлагын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</si>
  <si>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</si>
  <si>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</si>
  <si>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</si>
  <si>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15</t>
  </si>
  <si>
    <t>Биет бус хөрөнгө данснаас хассаны олз (гарз)</t>
  </si>
  <si>
    <t>16</t>
  </si>
  <si>
    <t>Хөрөнгө оруулалт борлуулснаас үүссэн  олз (гарз)</t>
  </si>
  <si>
    <t>Бусад ашиг ( алдагдал)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</si>
  <si>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</si>
  <si>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</si>
  <si>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</si>
  <si>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</si>
  <si>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</si>
  <si>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</si>
  <si>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</si>
  <si>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</si>
  <si>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</si>
  <si>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 xml:space="preserve">                              НЯГТЛАН БОДОГЧ</t>
  </si>
  <si>
    <t>ӨМЧИЙН ӨӨРЧЛӨЛТИЙН ТАЙЛАН</t>
  </si>
  <si>
    <t>Багана</t>
  </si>
  <si>
    <t>ҮЗҮҮЛЭЛТ</t>
  </si>
  <si>
    <t>Өмч</t>
  </si>
  <si>
    <t>2020 оны 12-р сарын 31 -ний үлдэгдэл</t>
  </si>
  <si>
    <t>Нягтлан бодох бүртгэлийн бодлогын өөрчлөлтийн нөлөө, алдааны залруулга</t>
  </si>
  <si>
    <t>Залруулсан  үлдэгдэл</t>
  </si>
  <si>
    <t>Өмчид гарсан өөрчлөлт</t>
  </si>
  <si>
    <t>Зарласан ногдол ашиг</t>
  </si>
  <si>
    <t>Дахин үнэлгээний нэмэгдлийн хэрэгжсэн дүн</t>
  </si>
  <si>
    <t>2021 оны 12-р сарын 31 -ны үлдэгдэл</t>
  </si>
  <si>
    <t>МӨНГӨН ГҮЙЛГЭЭНИЙ ТАЙЛАН</t>
  </si>
  <si>
    <t>2017 оны 12 сарын 31</t>
  </si>
  <si>
    <t>2018 оны 11 сарын 30</t>
  </si>
  <si>
    <t>ҮНДСЭН ҮЙЛ АЖИЛЛАГААНЫ МӨНГӨН ГҮЙЛГЭЭ</t>
  </si>
  <si>
    <t xml:space="preserve">    Мөнгөн орлогын дүн</t>
  </si>
  <si>
    <t>Бараа борлуулсан, үйлчилгээ үзүүлсний орлого</t>
  </si>
  <si>
    <t>Эрхийн шимтгэл, хураамж, төлбөрийн орлого</t>
  </si>
  <si>
    <t xml:space="preserve">   Даатгалын нөхвөрөөс хүлээн авсан мөнгө</t>
  </si>
  <si>
    <t>Буцаан авсан албан татвар</t>
  </si>
  <si>
    <t>Татаас, санхүүжилтийн орлого</t>
  </si>
  <si>
    <t>Бусад мөнгөн орлого</t>
  </si>
  <si>
    <t>Мөнгөн зарлагын дүн</t>
  </si>
  <si>
    <t>Ажиллагчдад төлсөн</t>
  </si>
  <si>
    <t>Нийгмийн даатгалын байгууллагад төлсөн</t>
  </si>
  <si>
    <t>Бараа материал худалдан авахад төлсөн</t>
  </si>
  <si>
    <t>Ашиглалтын зардалд төлсөн</t>
  </si>
  <si>
    <t>Түлш шатахуун, тээврийн хөлс, сэлбэг хэрэгсэлд төлсөн</t>
  </si>
  <si>
    <t>Хүүний төлбөрт төлсөн ( санхүү )</t>
  </si>
  <si>
    <t>Татварын байгууллагад төлсөн</t>
  </si>
  <si>
    <t>Даатгалын төлбөрт төлсөн</t>
  </si>
  <si>
    <t>Бусад мөнгөн зарлага</t>
  </si>
  <si>
    <t>Үндсэн үйл ажиллагааны цэвэр мөнгөн гүйлгээний дүн</t>
  </si>
  <si>
    <t>ХӨРӨНГӨ ОРУУЛЛАЛТЫН МӨНГӨН ГҮЙЛГЭЭ</t>
  </si>
  <si>
    <t>Мөнгөн орлогын дүн</t>
  </si>
  <si>
    <t>Үндсэн хөрөнгө борлуулсны орлого</t>
  </si>
  <si>
    <t>Биет бус хөрөнгө борлуулсны орлого</t>
  </si>
  <si>
    <t>2.1.3</t>
  </si>
  <si>
    <t>Хөрөнгө оруулалт борлуулсны орлого</t>
  </si>
  <si>
    <t>2.1.4</t>
  </si>
  <si>
    <t>Бусад урт хугацаат хөрөнгө борлуулсны орлого</t>
  </si>
  <si>
    <t>2.1.5</t>
  </si>
  <si>
    <t>Бусдад олгосон зээл, мөнгөн   урьдчилгааны буцаан төлөлт</t>
  </si>
  <si>
    <t>2.1.6</t>
  </si>
  <si>
    <t>Хүлээн авсан хүүний орлого</t>
  </si>
  <si>
    <t>2.1.7</t>
  </si>
  <si>
    <t>Хүлээн авсан ногдол ашиг</t>
  </si>
  <si>
    <t>2.1.8</t>
  </si>
  <si>
    <t>2.2.1</t>
  </si>
  <si>
    <t>Үндсэн хөрөнгө олж эзэмшихэд төлсөн</t>
  </si>
  <si>
    <t>2.2.2</t>
  </si>
  <si>
    <t>Биет бус хөрөнгө олж эзэмшихэд төлсөн</t>
  </si>
  <si>
    <t>2.2.3</t>
  </si>
  <si>
    <t>Хөрөнгө оруулалт олж эзэмшихэд төлсөн</t>
  </si>
  <si>
    <t>2.2.4</t>
  </si>
  <si>
    <t>Бусад урт хугацаат хөрөнгө олж эзэмшихэд төлсөн</t>
  </si>
  <si>
    <t>2.2.5</t>
  </si>
  <si>
    <t>Бусдад олгосон зээл болон урьдчилгаа</t>
  </si>
  <si>
    <t>2.2.6</t>
  </si>
  <si>
    <t>Хөрөнгө оруулалтын үйл ажиллагааны цэвэр мөнгөн гүйлгээний дүн</t>
  </si>
  <si>
    <t>САНХҮҮГИЙН ҮЙЛ АЖИЛЛАГААНЫ МӨНГӨН ГҮЙЛГЭЭ</t>
  </si>
  <si>
    <t>3.1.1</t>
  </si>
  <si>
    <t>Зээл авсан, өрийн үнэт цаас гаргаснаас хүлээн авсан</t>
  </si>
  <si>
    <t>3.1.2</t>
  </si>
  <si>
    <t>Хувьцаа болон өмчийн бусад үнэт цаас гаргаснаас хүлээн авсан</t>
  </si>
  <si>
    <t>3.1.3</t>
  </si>
  <si>
    <t>Төрөл бүрийн хандив</t>
  </si>
  <si>
    <t>3.1.4</t>
  </si>
  <si>
    <t>3.2.1</t>
  </si>
  <si>
    <t>Зээл, өрийн үнэт цаасны төлбөрт төлсөн мөнгө</t>
  </si>
  <si>
    <t>3.2.2</t>
  </si>
  <si>
    <t>Санхүүгийн түрээсийн өглөгт төлсөн</t>
  </si>
  <si>
    <t>3.2.3</t>
  </si>
  <si>
    <t>Хувьцаа буцаан худалдаж авахад төлсөн</t>
  </si>
  <si>
    <t>3.2.4</t>
  </si>
  <si>
    <t>Төлсөн ногдол ашиг</t>
  </si>
  <si>
    <t>Санхүүгийн үйл ажиллагааны цэвэр мөнгөн гүйлгээний дүн</t>
  </si>
  <si>
    <t>Валютын ханшийн зөрүү</t>
  </si>
  <si>
    <t>Бүх цэвэр мөнгөн гүйлгээ</t>
  </si>
  <si>
    <t>Мөнгө, түүнтэй адилтгах хөрөнгийн эхний үлдэгдэл</t>
  </si>
  <si>
    <t>Мөнгө, түүнтэй адилтгах хөрөнгийн эцсийн үлдэгдэл</t>
  </si>
  <si>
    <t xml:space="preserve">                                САНХҮҮ ЭРХЭЛСЭН ЗАХИРАЛ</t>
  </si>
  <si>
    <t xml:space="preserve">                                НЯГТЛАН БОДОГЧ</t>
  </si>
  <si>
    <t>Эрдэмбаяр-с авсан хувьцааны төлбөрийн мэдээлэл</t>
  </si>
  <si>
    <t>Утга</t>
  </si>
  <si>
    <t>Тоо хэмжээ</t>
  </si>
  <si>
    <t xml:space="preserve">Гэрээний үнэ </t>
  </si>
  <si>
    <t>Ард Кредит-ийн зээлийн төлөлт</t>
  </si>
  <si>
    <t>МПРС&amp;АКЕЛЛА-д хувьцаагаар</t>
  </si>
  <si>
    <t>Гэрээний  үлдэгдэл төлбөр</t>
  </si>
  <si>
    <t>2020 оны 12 сарын 31</t>
  </si>
  <si>
    <t>2021 оны 12 сарын 31</t>
  </si>
  <si>
    <t xml:space="preserve">ТТД /Регистрийн дугаар/ </t>
  </si>
  <si>
    <t>Татвар төлөгч иргэний орлого, татварын бүртгэлийн дэвтрийн дугаар</t>
  </si>
  <si>
    <t>Орлогын төрөл</t>
  </si>
  <si>
    <t>Орлого олгосон огноо</t>
  </si>
  <si>
    <t>Орлогын дүн</t>
  </si>
  <si>
    <t>Татварын хувь хэмжээ</t>
  </si>
  <si>
    <t>Суутгасан татвар</t>
  </si>
  <si>
    <t>УХ94051116</t>
  </si>
  <si>
    <t>ДАШДЭНДЭВ</t>
  </si>
  <si>
    <t>ИТГЭЛТ</t>
  </si>
  <si>
    <t>14-MAR-19</t>
  </si>
  <si>
    <t>08-JAN-19</t>
  </si>
  <si>
    <t>ЦЖ86040702</t>
  </si>
  <si>
    <t>БАТСАЙХАН</t>
  </si>
  <si>
    <t>СОЛОНГО</t>
  </si>
  <si>
    <t>24-JAN-19</t>
  </si>
  <si>
    <t>ЦД80050232</t>
  </si>
  <si>
    <t>БААСАНСҮРЭН</t>
  </si>
  <si>
    <t>БАТТӨГС</t>
  </si>
  <si>
    <t>01-FEB-19</t>
  </si>
  <si>
    <t>УХ98052116</t>
  </si>
  <si>
    <t>БАТБАЯР</t>
  </si>
  <si>
    <t>АРИУНГЭГЭЭН</t>
  </si>
  <si>
    <t>04-FEB-19</t>
  </si>
  <si>
    <t>УИ94112533</t>
  </si>
  <si>
    <t>ЧУЛУУН</t>
  </si>
  <si>
    <t>ЭРДЭНЭОЧИР</t>
  </si>
  <si>
    <t>19-MAR-19</t>
  </si>
  <si>
    <t>УП88071351</t>
  </si>
  <si>
    <t>БАЯРТОГТОХ</t>
  </si>
  <si>
    <t>19-JAN-19</t>
  </si>
  <si>
    <t>УС76020402</t>
  </si>
  <si>
    <t>РЭНЦЭНДОРЖ</t>
  </si>
  <si>
    <t>ГАНДИЙМАА</t>
  </si>
  <si>
    <t>31-JAN-19</t>
  </si>
  <si>
    <t>ОЮ92030908</t>
  </si>
  <si>
    <t>ПҮРЭВЖАВ</t>
  </si>
  <si>
    <t>ДАВАА</t>
  </si>
  <si>
    <t>25-JAN-19</t>
  </si>
  <si>
    <t>УХ71121303</t>
  </si>
  <si>
    <t>МЯГМАРСҮРЭН</t>
  </si>
  <si>
    <t>ОДГЭРЭЛ</t>
  </si>
  <si>
    <t>УШ94073010</t>
  </si>
  <si>
    <t>БАТБААТАР</t>
  </si>
  <si>
    <t>БАТТӨР</t>
  </si>
  <si>
    <t>ЧВ80083194</t>
  </si>
  <si>
    <t>РИНЧИН</t>
  </si>
  <si>
    <t>ОТГОНБАТ</t>
  </si>
  <si>
    <t>21-FEB-19</t>
  </si>
  <si>
    <t>ЗМ87061615</t>
  </si>
  <si>
    <t>ГАНБОЛД</t>
  </si>
  <si>
    <t>ЭНХБОЛД</t>
  </si>
  <si>
    <t>УШ99042423</t>
  </si>
  <si>
    <t>ЦЭНДДОРЖ</t>
  </si>
  <si>
    <t>ЗОЛЗАЯА</t>
  </si>
  <si>
    <t>26-MAR-19</t>
  </si>
  <si>
    <t>ГЮ87111958</t>
  </si>
  <si>
    <t>ГАНБАТ</t>
  </si>
  <si>
    <t>ЭРДЭНЭГЭРЭЛ</t>
  </si>
  <si>
    <t>ЦБ75051768</t>
  </si>
  <si>
    <t>БАТЦЭНГЭЛ</t>
  </si>
  <si>
    <t>ХАШЭРДЭНЭ</t>
  </si>
  <si>
    <t>ТЖ80050275</t>
  </si>
  <si>
    <t>ВАНЧИГ</t>
  </si>
  <si>
    <t>ГАНЗОРИГ</t>
  </si>
  <si>
    <t>02-FEB-19</t>
  </si>
  <si>
    <t>УИ95012751</t>
  </si>
  <si>
    <t>НАЯНЖИН</t>
  </si>
  <si>
    <t>ГАНБИЛГҮҮН</t>
  </si>
  <si>
    <t>ЧИ73040107</t>
  </si>
  <si>
    <t>ДАШДОНДОГ</t>
  </si>
  <si>
    <t>НАРАН</t>
  </si>
  <si>
    <t>УХ90022871</t>
  </si>
  <si>
    <t>ЧУЛУУНБАТ</t>
  </si>
  <si>
    <t>ХАНТҮМЭН</t>
  </si>
  <si>
    <t>Цалингаас суутгасан НДШ</t>
  </si>
  <si>
    <t>2301-01-001 - Бусад дэлгэрэнгүй орлогоор илэрхийлэх ХО -&gt; 2-0012 Жинст-Увс ХК</t>
  </si>
  <si>
    <t>2-0012 Жинст-Увс ХК</t>
  </si>
  <si>
    <t>JIV хувьцаа авав 5595ш*1500₮, 1000ш*1540₮, 740ш*1550₮, 1571ш*1600₮, 1500ш*1690₮, 200ш*1700₮</t>
  </si>
  <si>
    <t>1101-01-006 - Хасбанк Эскроү	5001340803</t>
  </si>
  <si>
    <t>JIV хувьцаа авав 305ш*1550₮, 1000ш*1580₮</t>
  </si>
  <si>
    <t>JIV хувьцаа авав 225ш*1670₮, 320ш*1676₮, 1000ш*1679₮, 2748ш*1700₮, 200ш*1705₮, 1000ш*1760₮</t>
  </si>
  <si>
    <t>JIV хувьцаа авав 650ш*1400₮</t>
  </si>
  <si>
    <t>JIV хувьцаа авав 386ш*1430₮</t>
  </si>
  <si>
    <t>JIV хувьцаа авав 3006ш*1450₮</t>
  </si>
  <si>
    <t>JIV хувьцаа авав 1200ш*1400₮</t>
  </si>
  <si>
    <t>МХБ-ийн хаалтын ханш 2018,03,31 1709₮, тохируулга хийв JIV 171672ш+10000ш(5гэрээ бүртгэгдээгүй)</t>
  </si>
  <si>
    <t>ЖУ ХК 20861ш хувьцаа борлуулав</t>
  </si>
  <si>
    <t>ЖУ ХК 9474ш хувьцаа борлуулав</t>
  </si>
  <si>
    <t>ЖУ ХК 12279ш хувьцаа борлуулав</t>
  </si>
  <si>
    <t>ЖУ ХК 13199ш хувьцаа борлуулав</t>
  </si>
  <si>
    <t>ЖУ ХК 48206ш хувьцаа борлуулав</t>
  </si>
  <si>
    <t>ЖУ ХК 51622ш хувьцаа борлуулав</t>
  </si>
  <si>
    <t>ЖУ ХК 6490ш хувьцаа борлуулав</t>
  </si>
  <si>
    <t>МХБ-ийн хаалтын ханш 2018.04.30 1700₮, тохируулга хийв JIV 9541ш+10000ш(5гэрээ бүртгэгдээгүй)</t>
  </si>
  <si>
    <t>МХБ-ийн хаалтын ханш 2018.05.31 1500₮, тохируулга хийв JIV 9541ш+10000ш(5гэрээ бүртгэгдээгүй)</t>
  </si>
  <si>
    <t>МХБ-ийн хаалтын ханш 2018.06,30 1490₮, тохируулга хийв JIV 9541ш+10000ш(5гэрээ бүртгэгдээгүй)</t>
  </si>
  <si>
    <t>JIV хувьцаа авав 7916ш*1490₮</t>
  </si>
  <si>
    <t>МХБ-ийн хаалтын ханш 2018.07.31 1544₮, тохируулга хийв JIV 17457ш+10000ш(5гэрээ бүртгэгдээгүй)</t>
  </si>
  <si>
    <t>МХБ-ийн хаалтын ханш 2018.08.31 1470₮, тохируулга хийв JIV 17457ш+10000ш(5гэрээ бүртгэгдээгүй)</t>
  </si>
  <si>
    <t>АСН &amp;amp; АД гэрээний дагуу хийгдэв JIV 100,000ш*1670₮ шилжүүлэв</t>
  </si>
  <si>
    <t>АСН &amp;amp; АД гэрээний дагуу хийгдэв (1858-1670)*100.000ш=Гарз бүртгэв</t>
  </si>
  <si>
    <t>АСН &amp;amp; АД гэрээний дагуу хийгдэв 17457*1670шилжүүлэв. 08,31 ханш 1470*17457 тохируулга хийв</t>
  </si>
  <si>
    <t>АСН &amp;amp; АД гэрээний дагуу хийгдэв АСек-с JIV 1858₮*100,000ш шилжүүлэн авав</t>
  </si>
  <si>
    <t>МХБ-ийн хаалтын ханш 2018.09.30 1670₮, тохируулга хийв JIV 10000ш(5гэрээ бүртгэгдээгүй)</t>
  </si>
  <si>
    <t>МХБ-ийн хаалтын ханш 2018,10,31 1611₮, тохируулга хийв JIV 10000ш(5гэрээ бүртгэгдээгүй)</t>
  </si>
  <si>
    <t>МХБ-ийн хаалтын ханш 2018.11.30 1783₮, тохируулга хийв JIV 10000ш(5гэрээ бүртгэгдээгүй)</t>
  </si>
  <si>
    <t>МХБ-ийн хаалтын ханш 2018.12.31 2341₮, тохируулга хийв JIV 10000ш(5гэрээ бүртгэгдээгүй)</t>
  </si>
  <si>
    <t>2302-01-001 - Хараат компани оруулсан хөрөнгө оруулалт -&gt; 2-0005 Монгол шуудан ХК</t>
  </si>
  <si>
    <t>2-0005 Монгол шуудан ХК</t>
  </si>
  <si>
    <t>МХБ-ийн хаалтын ханш 2018,01,31 640.16₮, тохируулга хийв MNP 29,043,999ш</t>
  </si>
  <si>
    <t>АД ХХК-д MNP 706504ш*640,16 төгрөг хорогдуулав</t>
  </si>
  <si>
    <t>МШ ХК хувьцаа зарав 240ш*630төг,370ш*610төг,1000ш*600төг Нийт1610*640,16төг өртгөөр бууруулав</t>
  </si>
  <si>
    <t>АК ББСБ-д 116280ш MNP 640,16 төгрөгөөр хорогдуулав</t>
  </si>
  <si>
    <t>МХБ-ийн хаалтын ханш 2018,02,28 549.75₮, тохируулга хийв MNP 28,219,605ш</t>
  </si>
  <si>
    <t>МХБ-ийн хаалтын ханш 2018,03,31 581.21₮, тохируулга хийв MNP 28,219,605ш</t>
  </si>
  <si>
    <t>МШ 14960ш хувьцаа борлуулав</t>
  </si>
  <si>
    <t>МШ 7541*550₮ худалдав</t>
  </si>
  <si>
    <t>МШ 2104ш*550₮ худалдав</t>
  </si>
  <si>
    <t>МШ 2500ш*550₮, 2000ш*585₮ худалдан авав</t>
  </si>
  <si>
    <t>МХБ-ийн хаалтын ханш 2018,04,30 598₮, тохируулга хийв MNP 28,199,500ш</t>
  </si>
  <si>
    <t>МХБ-ийн хаалтын ханш 2018.05.31 570₮, тохируулга хийв MNP 28,199,500ш</t>
  </si>
  <si>
    <t>МХБ-ийн хаалтын ханш 2018,06,30 578.26₮, тохируулга хийв MNP 28,199,500ш</t>
  </si>
  <si>
    <t>MNP 376380ш*580₮ худалдан авав</t>
  </si>
  <si>
    <t>MNP 99900ш*580₮ худалдан авав</t>
  </si>
  <si>
    <t>18/6/01-03 тоот 3 гэрээний дагуух арилжаа АСН 1233154ш*1750₮, MNP 3596699*600₮арилжив Өртөг 578,26₮*3596699ш</t>
  </si>
  <si>
    <t>МХБ-ийн хаалтын ханш 2018,07,31 583.8₮, тохируулга хийв MNP 25,079,081ш</t>
  </si>
  <si>
    <t>МХБ-ийн хаалтын ханш 2018.08.31590₮, тохируулга хийв MNP 25,079,081ш</t>
  </si>
  <si>
    <t>АСН &amp;amp; АД гэрээний дагуу хийгдэв MNP 1200.000ш*541,12₮ шилжүүлэв</t>
  </si>
  <si>
    <t>МХБ-ийн хаалтын ханш 2018.09.30ны  541,12₮, тохируулга хийв MNP (25,079,081-1200,000)=23.879.081ш</t>
  </si>
  <si>
    <t>МХБ-ийн хаалтын ханш 2018.10.31ны  539.99₮, тохируулга хийв MNP (25,079,081-1200,000)=23.879.081ш</t>
  </si>
  <si>
    <t>МХБ-ийн хаалтын ханш 2018.11.30ны  585₮, тохируулга хийв MNP (25,079,081-1200,000)=23.879.081ш</t>
  </si>
  <si>
    <t>МХБ-ийн хаалтын ханш 2018.12.31ны  684.03₮, тохируулга хийв MNP (25,079,081-1200,000)=23.879.081ш</t>
  </si>
  <si>
    <t>2302-01-004 - Охин компанид оруулсан хөрөнгө оруулалт -&gt; 2-0006 Ард Даатгал ХХК</t>
  </si>
  <si>
    <t>2-0006 Ард Даатгал ХХК</t>
  </si>
  <si>
    <t>AIC-IPO захиалга</t>
  </si>
  <si>
    <t>AIC IPO хувьцаа захиалав</t>
  </si>
  <si>
    <t>AIC IPO хувьцаа</t>
  </si>
  <si>
    <t>АД ХК 16,754,591ш*700₮ үнэлгээ хийгдэв</t>
  </si>
  <si>
    <t>AIC хувьцаа авав 7500*770₮, 3707*767.99₮, 3200*765₮, 3000*773₮, 2000*772₮, 2000*768₮, 1800*764₮, 500*768₮, 100*765₮</t>
  </si>
  <si>
    <t>МХБ-ийн хаалтын ханш 2018.10.31 703.33₮, тохируулга хийв AIC 16.789.298ш</t>
  </si>
  <si>
    <t>МХБ-ийн хаалтын ханш 2018.11.30 774.65₮, тохируулга хийв AIC 16.789.298ш</t>
  </si>
  <si>
    <t>МХБ-ийн хаалтын ханш 2018.12.31 770₮, тохируулга хийв AIC 16.789.298ш</t>
  </si>
  <si>
    <t>5301-01-001 - Үйл ажиллагааны түрээсийн орлого</t>
  </si>
  <si>
    <t>2-0004 Ард Актив ХЗХ</t>
  </si>
  <si>
    <t>2018 оны 1-р сарын түрээс</t>
  </si>
  <si>
    <t xml:space="preserve"> Нийслэл Масс Медиа ХХК</t>
  </si>
  <si>
    <t>1,2-р сарын түрээс</t>
  </si>
  <si>
    <t>2-р сарын түрээс</t>
  </si>
  <si>
    <t>1-0051 Тек талент нетворк ХХК</t>
  </si>
  <si>
    <t>3-р сарын түрээс</t>
  </si>
  <si>
    <t>2-0002 Номын хишиг ХХК</t>
  </si>
  <si>
    <t>ӨХ байр түрээс 2018 он 3сар</t>
  </si>
  <si>
    <t>3115-01-001 - Холбоотой талд өгөх өр</t>
  </si>
  <si>
    <t>3-р сарын түрээсийн төлбөр W3W</t>
  </si>
  <si>
    <t>2018-04 сарын түрээс</t>
  </si>
  <si>
    <t>түрээсийн төлбөр</t>
  </si>
  <si>
    <t>2018-05 сарын түрээс</t>
  </si>
  <si>
    <t>6-р сарын түрээсийн төлбөр</t>
  </si>
  <si>
    <t>1213-01-001 - Холбоотой талаас авах авлага</t>
  </si>
  <si>
    <t>2018-06сарын түрээс</t>
  </si>
  <si>
    <t>Түрээсийн авлага бүртгэв</t>
  </si>
  <si>
    <t>2018-07 сарын түрээс</t>
  </si>
  <si>
    <t>2018-08сарын түрээс</t>
  </si>
  <si>
    <t xml:space="preserve"> И Ай Ти ХХК</t>
  </si>
  <si>
    <t>2018 оны 9 сарын түрээс</t>
  </si>
  <si>
    <t>7,8саруудын түрээсийн төлбөр</t>
  </si>
  <si>
    <t>МШ ХК-с Сентрал түрээс, менежмент 6,7,8,9сар</t>
  </si>
  <si>
    <t>10-р сарын түрээсийн төлбөр W3W</t>
  </si>
  <si>
    <t>МШ ХК-с Сентрал түрээс, менежмент 10 сар</t>
  </si>
  <si>
    <t>2018-10сарын түрээсийн тооцоо</t>
  </si>
  <si>
    <t>2018 оны 10 сарын түрээс</t>
  </si>
  <si>
    <t>11-р сарын түрээсийн орлого Шакелтон</t>
  </si>
  <si>
    <t>2018 оны 11 сарын түрээс</t>
  </si>
  <si>
    <t>12-р сарын түрээс</t>
  </si>
  <si>
    <t>АК</t>
  </si>
  <si>
    <t>АД</t>
  </si>
  <si>
    <t>5101-01-004 - Менежментийн үйлчилгээний орлого</t>
  </si>
  <si>
    <t>2018 оны 1-р сарын менежмент</t>
  </si>
  <si>
    <t>2018-2сарын менежмент</t>
  </si>
  <si>
    <t>2018-03сарын менежментийн төлбөр</t>
  </si>
  <si>
    <t>2018-04сарын менежментийн төлбөр</t>
  </si>
  <si>
    <t>2018-05сарын менежментийн төлбөр</t>
  </si>
  <si>
    <t>2018-06сарын менежментийн төлбөр</t>
  </si>
  <si>
    <t>2018-07 сарын менежмент</t>
  </si>
  <si>
    <t>2018-08сарын менежмент</t>
  </si>
  <si>
    <t>2018 оны 9 сарын менежмент</t>
  </si>
  <si>
    <t>2018 оны 10 сарын менежмент</t>
  </si>
  <si>
    <t>2018 оны 11 сарын менежмент</t>
  </si>
  <si>
    <t>12-р сарын менежмент</t>
  </si>
  <si>
    <t>5101-01-001 - Хувьцаа худалдсны орлого</t>
  </si>
  <si>
    <t>АД ХХК-д MNP 706504ш*107,69 төгрөг ашиг бүртгэв</t>
  </si>
  <si>
    <t>МШ ХК хувьцаа зарав 240ш*630төг,370ш*610төг,1000ш*600төг Нийтдүн</t>
  </si>
  <si>
    <t>АК ББСБ-д 116280ш MNP 107,69 төгрөгөөр ашиг бүртгэв</t>
  </si>
  <si>
    <t>2-0008 Ард Секюритиз ҮЦК</t>
  </si>
  <si>
    <t>АСек-с ИАйТи-д МАК-с авсан өртгөөр 169256ш*(2700-2405,50)₮ хувьцаа шилжүүлэв</t>
  </si>
  <si>
    <t>1301-01-005 - Зээл-Охин компани ₮</t>
  </si>
  <si>
    <t>Арилжааны гэрээний дагуу 89735ш*2500₮, 8BTC, 1BTC=11700.23$</t>
  </si>
  <si>
    <t>1211 - Дансны авлага-Охин компани-USD</t>
  </si>
  <si>
    <t>2-0023 Ард Лайф ХХК</t>
  </si>
  <si>
    <t>Хувьцаа худалдах, худалдан авах гэрээний тооцоо 3/45</t>
  </si>
  <si>
    <t xml:space="preserve"> ГоПэй ХХК</t>
  </si>
  <si>
    <t>ГоПэй ХХК-д 17712*2405,5₮ , 16771*2500₮ хувьцаа шилжүүлэв</t>
  </si>
  <si>
    <t>3101-02-001 - Дансны өглөг-Охин компани</t>
  </si>
  <si>
    <t>18/6/01-03 тоот 3 гэрээний дагуух арилжаа АСН 1233154ш*1750₮, MNP 3596699*600₮</t>
  </si>
  <si>
    <t>МАК хувьцаанаас 71600ш*(2405,5-2100) зөрүү бүртгэв-залруулга</t>
  </si>
  <si>
    <t>1201-01-002 - Дансны авлага-Охин компани</t>
  </si>
  <si>
    <t>2-0022 МПЕРС ХХК</t>
  </si>
  <si>
    <t>18/6/01-03 тоот 3 гэрээний дагуух арилжаа АСН 1233154ш*1750₮ авсан хувьцааг 2000₮ худалдав</t>
  </si>
  <si>
    <t>АСН &amp;amp; АД гэрээний дагуу хийгдэв JIV 117457ш*1670₮ шилжүүлэв</t>
  </si>
  <si>
    <t>2018,10,12-ны А/24/18 тоот ГЗ тушаалын дагуу маркетингийн зардал бүртгэв-Цэрэндолгор500ш, Ууганцэцэг1000ш АСНхувьцаа</t>
  </si>
  <si>
    <t>2018,10,12-ны А/23/18 тоот ГЗ тушаалын Г.Нарантуяад АСН 320ш хувьцаа олгов</t>
  </si>
  <si>
    <t xml:space="preserve"> Крипто Үндэстэн ХХК</t>
  </si>
  <si>
    <t>Ашиг хуваалцах гэрээний дагуу 78557ш*((2800-2000)*20%)</t>
  </si>
  <si>
    <t>Ашиг хуваалцах гэрээний дагуу 52631ш*((2850-2000)*20%)+25926ш*((2700-2000)*20%)</t>
  </si>
  <si>
    <t>Ашиг хуваалцах гэрээний дагуу 33300ш*((2700-2000)*20%)</t>
  </si>
  <si>
    <t>данс хооронд</t>
  </si>
  <si>
    <t>1102-01-004 - Хасбанк	5000007021</t>
  </si>
  <si>
    <t>БДК шимтгэл</t>
  </si>
  <si>
    <t>7002-01-023 - Банкны үйлчилгээний хураамж шимтгэл зардал</t>
  </si>
  <si>
    <t>1-0009 Хасбанк</t>
  </si>
  <si>
    <t>хүүгийн орлого 5001340803 -1сар</t>
  </si>
  <si>
    <t>5401-01-002 - Харилцах дансны хүүний орлого</t>
  </si>
  <si>
    <t>банкны үйлчилгээний шимтгэл</t>
  </si>
  <si>
    <t>JIV хувьцаа авах</t>
  </si>
  <si>
    <t>Данс хооронд шилжүүлэг</t>
  </si>
  <si>
    <t>хүүгийн орлого 5001340803 -2сар</t>
  </si>
  <si>
    <t>гүйлгээний шимтгэл</t>
  </si>
  <si>
    <t>7002-01-039 - Мэргэжлийн үйлчилгээний зардал</t>
  </si>
  <si>
    <t>2302-01-001 - Хараат компани оруулсан хөрөнгө оруулалт</t>
  </si>
  <si>
    <t>2018-05-р сарын хүүгийн орлого Эскроу данс</t>
  </si>
  <si>
    <t>хүүний орлого 5001340803 -7сар</t>
  </si>
  <si>
    <t>данс цэнэглэв</t>
  </si>
  <si>
    <t>Хоорондын тооцоо</t>
  </si>
  <si>
    <t>1-0013 ҮЦТТХТ</t>
  </si>
  <si>
    <t>хүүгийн орлого 5001340803 -10сар</t>
  </si>
  <si>
    <t>7005-01-003 - Түрээсийн зардал</t>
  </si>
  <si>
    <t xml:space="preserve"> Шангри-Ла улаанбаатар ХХК</t>
  </si>
  <si>
    <t>1-р сарын түрээс, менежментийн зардал ШангриЛа салбар</t>
  </si>
  <si>
    <t>1801-01-004 - Урьдчилж төлсөн тооцоо</t>
  </si>
  <si>
    <t>2018 оны 1-р сарын түрээсийн зардал</t>
  </si>
  <si>
    <t>2018-2сарын түрээс, менежмент, ариутгал</t>
  </si>
  <si>
    <t>НӨАТ салгав 2018-01сар ХА</t>
  </si>
  <si>
    <t>1203 - НӨАТ-ын авлага</t>
  </si>
  <si>
    <t>2018-02сарын ХА-НӨАТ салгав</t>
  </si>
  <si>
    <t>2018-02сарын түрээсийн зардал</t>
  </si>
  <si>
    <t>3-р сарын түрээсийн зардал</t>
  </si>
  <si>
    <t>3-р сарын түрээс, менежментийн төлбөр</t>
  </si>
  <si>
    <t>2018-03сарын ХА-НӨАТ салгав</t>
  </si>
  <si>
    <t>4-р сарын түрээс, менжментийн төлбөр-ШангриЛа салбар</t>
  </si>
  <si>
    <t>4-р сарын түрээсийн зардал</t>
  </si>
  <si>
    <t>4-р сарын НӨАТ салгав</t>
  </si>
  <si>
    <t>5-р сарын менежмент, түрээс</t>
  </si>
  <si>
    <t>5-р сарын түрээсийн зардал</t>
  </si>
  <si>
    <t>6-р сарын түрээсийн зардал</t>
  </si>
  <si>
    <t>түрээс, менежмент 6сар</t>
  </si>
  <si>
    <t>2018-06сарын НӨАТ тооцоо хийв</t>
  </si>
  <si>
    <t>Түрээсийн төлбөр 7сар</t>
  </si>
  <si>
    <t>Сентрал салбар-7сар түрээс, менежмент</t>
  </si>
  <si>
    <t>Сентрал-түрээс, менежмент 6сар</t>
  </si>
  <si>
    <t>Шангрила-Түрээс, менежмент 7сар</t>
  </si>
  <si>
    <t>2018-08 сарын түрээс ӨХ</t>
  </si>
  <si>
    <t>Сентрал-түрээс, менежмент 8сар</t>
  </si>
  <si>
    <t>9-р сарын түрээс, менжментийн төлбөр-ШангриЛа салбар</t>
  </si>
  <si>
    <t>Эрдэнэт салбар түрээсийн төлбөр төлөв</t>
  </si>
  <si>
    <t>9-р сарын түрээсийн зардал-ӨХ</t>
  </si>
  <si>
    <t>Сентрал-түрээс, менежмент 9сар+5сар түрээс</t>
  </si>
  <si>
    <t>8-р сарын түрээс , менежментийн төлбөр-ШангриЛа</t>
  </si>
  <si>
    <t>Сентрал-10 сарын түрээс, менежмент</t>
  </si>
  <si>
    <t>10 сарын түрээс, менежмент-ШангриЛа</t>
  </si>
  <si>
    <t>10-р сарын түрээс</t>
  </si>
  <si>
    <t>2018 оны 11-р сарын түрээсийн зардал-ӨХ</t>
  </si>
  <si>
    <t>11-р сарын түрээсийн зардал ШангриЛа</t>
  </si>
  <si>
    <t>11-р сарын түрээсийн зардал Сентрал</t>
  </si>
  <si>
    <t>11-р сарын түрээсийн зардал Эрдэнэт</t>
  </si>
  <si>
    <t>2018-12сар түрээс менежмент</t>
  </si>
  <si>
    <t>АСН ХК 12сар-Сентрал</t>
  </si>
  <si>
    <t>2018-12сар түрээс</t>
  </si>
  <si>
    <t>5401-01-005 - Зээлийн хүүний орлого</t>
  </si>
  <si>
    <t xml:space="preserve"> Рийл Эстэйт Траст ХХК</t>
  </si>
  <si>
    <t>ЗЭТ шилжүүлэв</t>
  </si>
  <si>
    <t>1-р сарын зээлийн хүү  7500*2419.09</t>
  </si>
  <si>
    <t>ИАйТи Зээлийн хүү төлөв</t>
  </si>
  <si>
    <t>2-0007 Ард Кредит ББСБ</t>
  </si>
  <si>
    <t>АК $ зээлийн хүү 1сар 1222.23$</t>
  </si>
  <si>
    <t>1207-02-001 - Хүүгийн авлага $</t>
  </si>
  <si>
    <t>3-0005 Ганзориг</t>
  </si>
  <si>
    <t>ХТ хүүгийн авлага $ 2018,01,31 76.44$ Ганзориг</t>
  </si>
  <si>
    <t>ХТ хүүгийн авлага 01,31 РЭТ ХХК</t>
  </si>
  <si>
    <t>1207-01-003 - Хүүгийн авлага ₮</t>
  </si>
  <si>
    <t>ЗЭТ тооцоо хийв</t>
  </si>
  <si>
    <t>Эрдэнэтогтох 750,0 usd зээлийн хүү 7500*2427,13 12сар</t>
  </si>
  <si>
    <t>зээлийн хүү орлого 147,0  1-2 сар</t>
  </si>
  <si>
    <t>АК $ зээлийн хүү 2сар 1103.95$*2395.30төг</t>
  </si>
  <si>
    <t>Зээлийг АК ББСБ-д шилжүүлэв</t>
  </si>
  <si>
    <t>Зээлийн хүүгийн авлага хуримтлуулав 1сар</t>
  </si>
  <si>
    <t>Зээлийн хүүгийн авлага хуримтлуулав 2 сар</t>
  </si>
  <si>
    <t>ХТ хүүгийн авлага $ 2018,02,28 69.04$ Ганзориг</t>
  </si>
  <si>
    <t>ХТ хүүгийн авлага 02,28 РЭТ ХХК</t>
  </si>
  <si>
    <t>2-0011 МТНД ХХК</t>
  </si>
  <si>
    <t>Зээл хаав</t>
  </si>
  <si>
    <t>2017 онд дутуу бүртгэсэн хүүгийн авлага хуримтлуулав</t>
  </si>
  <si>
    <t>РЭТ-с зээлийн эргэн төлөлт</t>
  </si>
  <si>
    <t>1-0015 Хүннү Эйр ХХК</t>
  </si>
  <si>
    <t>Хүннү бондын үндсэн болон хүүгийн төлбөр</t>
  </si>
  <si>
    <t>зээлийн хүү орлого 147,0  3сар</t>
  </si>
  <si>
    <t>145922,88$ зээлийн хүү орлого 3сар</t>
  </si>
  <si>
    <t>Эрдэнэтогтох 750,0 usd зээлийн хүү 7500$*2392.77₮ 3сар</t>
  </si>
  <si>
    <t>Зээлийн хүү хуримтлуулан бүртгэв 03,25-03,31 7хоног жил 16,8хувь ХҮННҮ БОНД 13,69$</t>
  </si>
  <si>
    <t>ХТ хүүгийн авлага $ 2018,01,31 76$ Ганзориг</t>
  </si>
  <si>
    <t>ХТ хүүгийн авлага 03,31 РЭТ ХХК</t>
  </si>
  <si>
    <t>ЗЭТ-АХ-ИАйТи ХХК</t>
  </si>
  <si>
    <t>РЭТ ЗЭТ</t>
  </si>
  <si>
    <t>Хүннү бондын үндсэн болон хүүгийн төлбөр 4сар</t>
  </si>
  <si>
    <t>Эрдэнэтогтох 750,0 usd зээлийн хүү 7500$*2401.65₮ 2018-4сар</t>
  </si>
  <si>
    <t>ХТ хүүгийн авлага $ 2018,04,30 73,97$ Ганзориг</t>
  </si>
  <si>
    <t>ХТ хүүгийн авлага хүннү 04,25-04,30</t>
  </si>
  <si>
    <t>АК 4-р сарын хүү 1399.79$</t>
  </si>
  <si>
    <t>ХТ хүүгийн авлага 04,30 РЭТ ХХК</t>
  </si>
  <si>
    <t>ХТ хүүгийн авлага 04,30</t>
  </si>
  <si>
    <t>ЗЭТ</t>
  </si>
  <si>
    <t>хоорондын тооцоо</t>
  </si>
  <si>
    <t>Эрдэнэтогтох 750,0 usd зээлийн хүү 7500$*2409.04₮ 5сар</t>
  </si>
  <si>
    <t>АК 4-р сар хадгаламжийн хүү 147,0 сая</t>
  </si>
  <si>
    <t>АК 5-р сарын хүү 1405.68$</t>
  </si>
  <si>
    <t>ХТ хүүгийн авлага $ 2018,05,31 76.44$ Ганзориг</t>
  </si>
  <si>
    <t>ХТ хүүгийн авлага 05,31 И Ай Ти</t>
  </si>
  <si>
    <t>ХТ хүүгийн авлага 05,31 РЭТ ХХК</t>
  </si>
  <si>
    <t>ХТ хүүгийн авлага 06,29 И Ай Ти ХХК</t>
  </si>
  <si>
    <t>6-р сарын зээлийн хүү  7500*2463.29</t>
  </si>
  <si>
    <t>ХТ хүүгийн авлага $ 2018,06,30 73,97$ Ганзориг</t>
  </si>
  <si>
    <t>АК хүүний орлого $ зээл</t>
  </si>
  <si>
    <t>АК 147,0 сая төгрөгийн зээлийн хүүний орлого 6сар</t>
  </si>
  <si>
    <t>ХТ хүүгийн авлага 06,30 РЭТ ХХК</t>
  </si>
  <si>
    <t>ЗЭТ-ИАйТи ХХК</t>
  </si>
  <si>
    <t>ЗЭТ-ИАйТи ХХК 3 хоног</t>
  </si>
  <si>
    <t>Эрдэнэтогтох 750,0 usd зээлийн хүү 7500$*2463,61₮ 7сар</t>
  </si>
  <si>
    <t>АК 7-р сар хадгаламжийн хүү 147,0 сая</t>
  </si>
  <si>
    <t>АК зээлийн хүү хуримтлуулав</t>
  </si>
  <si>
    <t>ХТ хүүгийн авлага $ 2018,07,31 76.44$ Ганзориг</t>
  </si>
  <si>
    <t>ХТ хүүгийн авлага 07,31  И Ай Ти</t>
  </si>
  <si>
    <t>ХТ хүүгийн авлага 07,31 РЭТ ХХК</t>
  </si>
  <si>
    <t>ХТ хүүгийн авлага $ 2018,08,31 76.44$ Ганзориг</t>
  </si>
  <si>
    <t>Эрдэнэтогтох 750,0 usd зээлийн хүү 7500$*2473.43₮ 8сар</t>
  </si>
  <si>
    <t>АК хүүний орлого $ зээлийн хүү хуримтлуулав</t>
  </si>
  <si>
    <t>АК хүүний орлого ₮ зээлийн хүү хуримтлуулав-8сар</t>
  </si>
  <si>
    <t>ХТ хүүгийн авлага 08,31  И Ай Ти</t>
  </si>
  <si>
    <t>ХТ хүүгийн авлага 08,31 РЭТ ХХК</t>
  </si>
  <si>
    <t>Эрдэнэтогтох 750,0 usd зээлийн хүү 7500$*2473,83₮ 2018-9сар</t>
  </si>
  <si>
    <t>АК хүүний орлого $ зээлийн хүү хуримтлуулав-9сар</t>
  </si>
  <si>
    <t>АК хүүний орлого ₮ зээлийн хүү хуримтлуулав-9сар</t>
  </si>
  <si>
    <t>ХТ хүүгийн авлага $ 2018.09.30 73.97$ Ганзориг</t>
  </si>
  <si>
    <t>ХТ хүүгийн авлага 09,30 И Ай Ти</t>
  </si>
  <si>
    <t>ХТ хүүгийн авлага 09,30 РЭТ ХХК</t>
  </si>
  <si>
    <t>Эрдэнэтогтох 750,0 usd зээлийн хүү 7500$*2552.13₮ 10сар</t>
  </si>
  <si>
    <t>ХТ хүүгийн авлага 10.31  АК ББСБ ХХК</t>
  </si>
  <si>
    <t>ХТ хүүгийн авлага 10,31ээрх</t>
  </si>
  <si>
    <t>ХТ хүүгийн авлага 10,31 Ганзориг</t>
  </si>
  <si>
    <t>11-р сарын зээлийн хүү  7500*2456.17</t>
  </si>
  <si>
    <t>ХТ хүүгийн авлага 11,30 рх</t>
  </si>
  <si>
    <t>ХТ хүүгийн авлага АК</t>
  </si>
  <si>
    <t>ХТ хүүгийн авлага 11.30 Ганзориг</t>
  </si>
  <si>
    <t>Эрдэнэтогтох 750,0 usd зээлийн хүү 7500$*2627,04₮ 12сар</t>
  </si>
  <si>
    <t>хоорондын тооцоо-с ЗЭТ төлөв</t>
  </si>
  <si>
    <t>ХТ хүүгийн авлага 12,31 И Ай Ти</t>
  </si>
  <si>
    <t>ХТ хүүгийн авлага 12,31 РЭТ ХХК</t>
  </si>
  <si>
    <t>ХТ хүүгийн авлага 12,31 Ганзориг</t>
  </si>
  <si>
    <t>3301-01-001 - Бондын өглөг MNT</t>
  </si>
  <si>
    <t>4ш бонд халааслав</t>
  </si>
  <si>
    <t>ард3 бонд төлбөр</t>
  </si>
  <si>
    <t>ард3 бонд андрайтер</t>
  </si>
  <si>
    <t>ард3 бондын төлбөр 9ш, 259,0*2%+1,450 суутгав,</t>
  </si>
  <si>
    <t>72ш бонд эргүүлэн авав</t>
  </si>
  <si>
    <t>70ш бонд эргүүлэн авав</t>
  </si>
  <si>
    <t>3201-02-002 - Бондын өглөг ДОЛЛАР</t>
  </si>
  <si>
    <t>5301 - Гадаад вальютын ханшийн зөрүүний олз</t>
  </si>
  <si>
    <t>7411 - Гадаад вальютын ханшийн зөрүүний гарз</t>
  </si>
  <si>
    <t>Бонд эргүүлэн авав</t>
  </si>
  <si>
    <t>ард бонд 85000$*2569.63₮</t>
  </si>
  <si>
    <t>бонд $</t>
  </si>
  <si>
    <t>ард бонд 20000$*2569.63₮</t>
  </si>
  <si>
    <t>Ард бонд 18,0$*2518,94₮</t>
  </si>
  <si>
    <t>данс андуурсан гүйлгээ залруулав</t>
  </si>
  <si>
    <t>2ш $ бондын төлбөр</t>
  </si>
  <si>
    <t>ард бонд 5000$*2569.63₮</t>
  </si>
  <si>
    <t>ХаанБанк</t>
  </si>
  <si>
    <t>2016.12.31</t>
  </si>
  <si>
    <t>Зээлийн хүүгийн тооцоолол</t>
  </si>
  <si>
    <t>Гэрээний дугаар:</t>
  </si>
  <si>
    <t>Гэрээний хугацаа:</t>
  </si>
  <si>
    <t>12 сар</t>
  </si>
  <si>
    <t>Зээлийн дүн:</t>
  </si>
  <si>
    <t>Хүү:</t>
  </si>
  <si>
    <t xml:space="preserve">Жилийн </t>
  </si>
  <si>
    <t xml:space="preserve">Зээлийн үндсэн дүн </t>
  </si>
  <si>
    <t>Хугацаа</t>
  </si>
  <si>
    <t>Хүү тооцох хоног</t>
  </si>
  <si>
    <t xml:space="preserve">Тооцсон хүү </t>
  </si>
  <si>
    <t>Эргэн төлөлт</t>
  </si>
  <si>
    <t>Үндсэн зээлийн үлдэгдэл</t>
  </si>
  <si>
    <t>Дүн:</t>
  </si>
  <si>
    <t xml:space="preserve">                        Тооцсон ня-бо:  ................................./ Т.Оюун-Эрдэнэ /</t>
  </si>
  <si>
    <t xml:space="preserve">АрдАктив ХЗХ </t>
  </si>
  <si>
    <t>Техник Технологийн Дээд Сургууль</t>
  </si>
  <si>
    <t xml:space="preserve">10 жил </t>
  </si>
  <si>
    <t>Жилийн Хүү:</t>
  </si>
  <si>
    <t>Үндсэн дүнгийн төлөлт</t>
  </si>
  <si>
    <t xml:space="preserve">Ам.доллар </t>
  </si>
  <si>
    <t>2017 оны төсөв, гүйцэтгэл</t>
  </si>
  <si>
    <t>1$ дундаж ханш</t>
  </si>
  <si>
    <t>2014,2015 оны гүйцэтгэл.  2016 оны төсвийн төсөөлөл</t>
  </si>
  <si>
    <t>Орлогын төлөвлөгөө</t>
  </si>
  <si>
    <t>2014 он</t>
  </si>
  <si>
    <t>2015 оны гүйцэтгэл</t>
  </si>
  <si>
    <t>2016 он</t>
  </si>
  <si>
    <t>2017 оны гүйцэтгэл</t>
  </si>
  <si>
    <t>Эзлэх хувь</t>
  </si>
  <si>
    <t>Гүйцэтгэл</t>
  </si>
  <si>
    <t>1 сард ноогдох</t>
  </si>
  <si>
    <t>Нийт төсөв</t>
  </si>
  <si>
    <t>Үйл ажиллагааны орлого</t>
  </si>
  <si>
    <t>Ард даатгал</t>
  </si>
  <si>
    <t>ТТДСургууль</t>
  </si>
  <si>
    <t>Удирдлагын шимтгэл</t>
  </si>
  <si>
    <t xml:space="preserve">Номын хишиг </t>
  </si>
  <si>
    <t>Тэнгэр Системс</t>
  </si>
  <si>
    <t xml:space="preserve">Хойд заалны 8 жижиг өрөө </t>
  </si>
  <si>
    <t xml:space="preserve">Хойд заал /50-70 хувийг түрээслэвэл/ </t>
  </si>
  <si>
    <t>Хувьцаа арилжааны шимтгэл</t>
  </si>
  <si>
    <t>Санхүүгийн орлого</t>
  </si>
  <si>
    <t>Зээлийн хүү</t>
  </si>
  <si>
    <t>ЗГ Бонд</t>
  </si>
  <si>
    <t>Хадгаламжийн хүү</t>
  </si>
  <si>
    <t>Санхүү, ҮА-ны орлого</t>
  </si>
  <si>
    <t>Зардлын төрөл</t>
  </si>
  <si>
    <t>2015 оны</t>
  </si>
  <si>
    <t>Гүйцэтгэл эхний 10 сар</t>
  </si>
  <si>
    <t>2016 оны</t>
  </si>
  <si>
    <t>Ажилтны тоо</t>
  </si>
  <si>
    <t>Цалин+ НДШ+ТНД</t>
  </si>
  <si>
    <t>Ашиглалт, хэрэглээний зардал</t>
  </si>
  <si>
    <t>Ашиглалт хэрэглээ, засвар</t>
  </si>
  <si>
    <t>Программ хангамж</t>
  </si>
  <si>
    <t>Албан томилолтын зардал</t>
  </si>
  <si>
    <t>Маркетинг зар суртачилгаа. Хандив тусламж</t>
  </si>
  <si>
    <t>Үндсэн хөрөнгийн элэгдлийн зардал</t>
  </si>
  <si>
    <t>Маркетинг, Зар сурталчилгааны зардал</t>
  </si>
  <si>
    <t>Бизнес уулзалт, Хандив тусгай арга хэмжээ</t>
  </si>
  <si>
    <t>Харилцаа, холбооны зардал, интернет</t>
  </si>
  <si>
    <t>Бичиг хэрэг, оффис хэрэглээний зардал</t>
  </si>
  <si>
    <t>Тээвэр шатахуун</t>
  </si>
  <si>
    <t>Шатахууны зардал</t>
  </si>
  <si>
    <t>Хөндлөнгийн хяналт, аудитын төлбөр</t>
  </si>
  <si>
    <t>ДҮН</t>
  </si>
  <si>
    <t>Мэргэжлийн байгууллагад төлөх төлбөр</t>
  </si>
  <si>
    <t>Бизнес уулзалт, тусгай арга хэмжээ</t>
  </si>
  <si>
    <t>Хандив тусламж</t>
  </si>
  <si>
    <t>Тээврийн хэрэгслийн татварын зардал</t>
  </si>
  <si>
    <t>Зээлийн хүү-УХЗээл</t>
  </si>
  <si>
    <t>Тээврийн хэрэгслийн даатгалын зардал</t>
  </si>
  <si>
    <t>Зээлийн хүү-Бусад</t>
  </si>
  <si>
    <t>Тээврийн зардал</t>
  </si>
  <si>
    <t>Санхүүгийн зардлын дүн</t>
  </si>
  <si>
    <t>Ариун цэвэр, хангамжийн материалын зардал</t>
  </si>
  <si>
    <t>НИЙТ ЗАРДАЛ</t>
  </si>
  <si>
    <t>Үл хөдлөх хөрөнгийн татварын зардал</t>
  </si>
  <si>
    <t>ҮА-ны цэвэр ашиг алдагдал</t>
  </si>
  <si>
    <t xml:space="preserve">ХО худалдсны орлого </t>
  </si>
  <si>
    <t>Ханшийн зөрүү</t>
  </si>
  <si>
    <t>Татварын өмнөх ашиг/ алдагдал</t>
  </si>
  <si>
    <t>Татварын зардал</t>
  </si>
  <si>
    <t>Татварын дараах ашиг/ алдагдал</t>
  </si>
  <si>
    <t>Хянасан,</t>
  </si>
  <si>
    <t>Бэлтгэсэн</t>
  </si>
  <si>
    <t>Нягтлан бодогч</t>
  </si>
  <si>
    <t>USD official rate</t>
  </si>
  <si>
    <t>CASH FLOW, 2016</t>
  </si>
  <si>
    <t>2016-10</t>
  </si>
  <si>
    <t>2016-11</t>
  </si>
  <si>
    <t>2016-12</t>
  </si>
  <si>
    <t>Sum</t>
  </si>
  <si>
    <t xml:space="preserve"> CASH &amp; CASH EQUIVALENTS BROUGTH FORWARD</t>
  </si>
  <si>
    <t>2016.10.1-2016.12.31</t>
  </si>
  <si>
    <t xml:space="preserve">CASH INFLOW </t>
  </si>
  <si>
    <t>Operational income</t>
  </si>
  <si>
    <t>Management fee</t>
  </si>
  <si>
    <t>1.1</t>
  </si>
  <si>
    <t>AD-85%</t>
  </si>
  <si>
    <t>AC-58%</t>
  </si>
  <si>
    <t>1.3</t>
  </si>
  <si>
    <t>Rent</t>
  </si>
  <si>
    <t>2.1</t>
  </si>
  <si>
    <t>2.2</t>
  </si>
  <si>
    <t>2.3</t>
  </si>
  <si>
    <t>Other</t>
  </si>
  <si>
    <t>Financial income</t>
  </si>
  <si>
    <t>Interest income- demand deposits</t>
  </si>
  <si>
    <t>Interest income-Loan</t>
  </si>
  <si>
    <t>4.1</t>
  </si>
  <si>
    <t>Interest income  Leasing Ard Insurance</t>
  </si>
  <si>
    <t>4.2</t>
  </si>
  <si>
    <t>Interest income Ard Credit-MNT</t>
  </si>
  <si>
    <t>Ergelzeetei</t>
  </si>
  <si>
    <t>4.3</t>
  </si>
  <si>
    <t>Interest income Erdenetogtoh 750.000$</t>
  </si>
  <si>
    <t>4.4</t>
  </si>
  <si>
    <t>Interest income ArdSecurities</t>
  </si>
  <si>
    <t>4.5</t>
  </si>
  <si>
    <t>Interest income Hunnu Air</t>
  </si>
  <si>
    <t>Principal payment</t>
  </si>
  <si>
    <t>5.1</t>
  </si>
  <si>
    <t>Repayment loan Hunnu Air</t>
  </si>
  <si>
    <t>5.2</t>
  </si>
  <si>
    <t>Repayment loan Ard Credit-MNT</t>
  </si>
  <si>
    <t>5.3</t>
  </si>
  <si>
    <t>Repayment Leasing Ard Insurance</t>
  </si>
  <si>
    <t>6</t>
  </si>
  <si>
    <t>6.1</t>
  </si>
  <si>
    <t>Loan Khanbank</t>
  </si>
  <si>
    <t>From shareholders/Share Purchasing/</t>
  </si>
  <si>
    <t>???????</t>
  </si>
  <si>
    <t>CASH OUTFLOW, 2016</t>
  </si>
  <si>
    <t>Operational cash outflow</t>
  </si>
  <si>
    <t xml:space="preserve">Personnel expense </t>
  </si>
  <si>
    <t>Financial payment</t>
  </si>
  <si>
    <t>Loan payment - KhanBank</t>
  </si>
  <si>
    <t>Financial fees</t>
  </si>
  <si>
    <t>Administrative Expenses</t>
  </si>
  <si>
    <t>3.1</t>
  </si>
  <si>
    <t>Office rent</t>
  </si>
  <si>
    <t>3.2</t>
  </si>
  <si>
    <t>Travel expense</t>
  </si>
  <si>
    <t>3.3</t>
  </si>
  <si>
    <t>Maintenance</t>
  </si>
  <si>
    <t>3.4</t>
  </si>
  <si>
    <t>GB Financial programm</t>
  </si>
  <si>
    <t>3.5</t>
  </si>
  <si>
    <t>Communication &amp; internet</t>
  </si>
  <si>
    <t>3.6</t>
  </si>
  <si>
    <t>Stationery &amp; printing expense</t>
  </si>
  <si>
    <t>3.7</t>
  </si>
  <si>
    <t>Transportation &amp; auto tax &amp; Insurance</t>
  </si>
  <si>
    <t>3.8</t>
  </si>
  <si>
    <t>Independent Audit Fees &amp; other</t>
  </si>
  <si>
    <t>3.9</t>
  </si>
  <si>
    <t>Donation and special …</t>
  </si>
  <si>
    <t>3.10</t>
  </si>
  <si>
    <t>Business meeting</t>
  </si>
  <si>
    <t>3.11</t>
  </si>
  <si>
    <t>Marketing</t>
  </si>
  <si>
    <t>3.12</t>
  </si>
  <si>
    <t>Property tax</t>
  </si>
  <si>
    <t>3.13</t>
  </si>
  <si>
    <t>Office supply</t>
  </si>
  <si>
    <t>Investment</t>
  </si>
  <si>
    <t>Investment - Ard Insurance</t>
  </si>
  <si>
    <t>Investment - Mongol post</t>
  </si>
  <si>
    <t>Purchasing-FIXED ASSETS</t>
  </si>
  <si>
    <t>Computer &amp; Furniture &amp; Auto</t>
  </si>
  <si>
    <t>Repair capital</t>
  </si>
  <si>
    <t>Itgeliin zasvar uldegdel, busad</t>
  </si>
  <si>
    <t>Tax payment</t>
  </si>
  <si>
    <t>VAT (Management fee)</t>
  </si>
  <si>
    <t>6.2</t>
  </si>
  <si>
    <t>CITax  (interest &amp; investment income)</t>
  </si>
  <si>
    <t>7</t>
  </si>
  <si>
    <t>Share payable</t>
  </si>
  <si>
    <t>Burnee</t>
  </si>
  <si>
    <t>8</t>
  </si>
  <si>
    <t>Other payable</t>
  </si>
  <si>
    <t>TTHA shimtgel</t>
  </si>
  <si>
    <t xml:space="preserve"> CASH &amp; CASH EQUIVALENTS CARRIED FORWARD</t>
  </si>
  <si>
    <t>NET CASH FLOW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</si>
</sst>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_(* #,##0_);_(* \(#,##0\);_(* &quot;-&quot;??_);_(@_)"/>
    <numFmt numFmtId="165" formatCode="_(* #,##0.00_);_(* \(#,##0.00\);_(* &quot;-&quot;??_);_(@_)"/>
    <numFmt numFmtId="166" formatCode="_(* #,##0.0000_);_(* \(#,##0.0000\);_(* &quot;-&quot;??_);_(@_)"/>
    <numFmt numFmtId="167" formatCode="_(&quot;$&quot;* #,##0_);_(&quot;$&quot;* \(#,##0\);_(&quot;$&quot;* &quot;-&quot;??_);_(@_)"/>
    <numFmt numFmtId="168" formatCode="_(&quot;$&quot;* #,##0.00_);_(&quot;$&quot;* \(#,##0.00\);_(&quot;$&quot;* &quot;-&quot;??_);_(@_)"/>
    <numFmt numFmtId="169" formatCode="_(* #,##0.00000_);_(* \(#,##0.00000\);_(* &quot;-&quot;??_);_(@_)"/>
    <numFmt numFmtId="170" formatCode="_(* #,##0.0_);_(* \(#,##0.0\);_(* &quot;-&quot;??_);_(@_)"/>
    <numFmt numFmtId="171" formatCode="0.0%"/>
    <numFmt numFmtId="172" formatCode="yyyy\-mm\-dd"/>
    <numFmt numFmtId="173" formatCode="[$-409]d\-mmm\-yy"/>
    <numFmt numFmtId="174" formatCode="[$-409]mmm\-yy"/>
  </numFmts>
  <fonts count="61">
    <font>
      <sz val="11.0"/>
      <color theme="1"/>
      <name val="Calibri"/>
    </font>
    <font>
      <sz val="9.0"/>
      <color theme="1"/>
      <name val="Times New Roman"/>
    </font>
    <font>
      <b/>
      <sz val="12.0"/>
      <color theme="1"/>
      <name val="Times New Roman"/>
    </font>
    <font>
      <b/>
      <sz val="10.0"/>
      <color theme="1"/>
      <name val="Times New Roman"/>
    </font>
    <font>
      <b/>
      <sz val="9.0"/>
      <color theme="1"/>
      <name val="Times New Roman"/>
    </font>
    <font/>
    <font>
      <b/>
      <sz val="8.0"/>
      <color theme="1"/>
      <name val="Times New Roman"/>
    </font>
    <font>
      <b/>
      <sz val="9.0"/>
      <color theme="1"/>
      <name val="Calibri"/>
    </font>
    <font>
      <sz val="8.0"/>
      <color rgb="FF000000"/>
      <name val="Times New Roman"/>
    </font>
    <font>
      <sz val="9.0"/>
      <color theme="1"/>
      <name val="Calibri"/>
    </font>
    <font>
      <b/>
      <sz val="9.0"/>
      <color rgb="FF262626"/>
      <name val="Calibri"/>
    </font>
    <font>
      <sz val="9.0"/>
      <color rgb="FF262626"/>
      <name val="Calibri"/>
    </font>
    <font>
      <sz val="9.0"/>
      <color rgb="FFFF0000"/>
      <name val="Calibri"/>
    </font>
    <font>
      <sz val="10.0"/>
      <color theme="1"/>
      <name val="Calibri"/>
    </font>
    <font>
      <b/>
      <sz val="9.0"/>
      <color rgb="FFFF0000"/>
      <name val="Times New Roman"/>
    </font>
    <font>
      <sz val="9.0"/>
      <color rgb="FFFF0000"/>
      <name val="Times New Roman"/>
    </font>
    <font>
      <b/>
      <u/>
      <sz val="9.0"/>
      <color theme="1"/>
      <name val="Times New Roman"/>
    </font>
    <font>
      <sz val="10.0"/>
      <color theme="1"/>
      <name val="Times New Roman"/>
    </font>
    <font>
      <sz val="11.0"/>
      <color theme="1"/>
      <name val="Times New Roman"/>
    </font>
    <font>
      <b/>
      <sz val="10.0"/>
      <color rgb="FFFF0000"/>
      <name val="Times New Roman"/>
    </font>
    <font>
      <b/>
      <sz val="10.0"/>
      <color rgb="FF000000"/>
      <name val="Times New Roman"/>
    </font>
    <font>
      <sz val="10.0"/>
      <color rgb="FF000000"/>
      <name val="Times New Roman"/>
    </font>
    <font>
      <sz val="10.0"/>
      <color rgb="FFFF0000"/>
      <name val="Times New Roman"/>
    </font>
    <font>
      <b/>
      <sz val="10.0"/>
      <color theme="0"/>
      <name val="Times New Roman"/>
    </font>
    <font>
      <sz val="10.0"/>
      <color theme="0"/>
      <name val="Times New Roman"/>
    </font>
    <font>
      <sz val="8.0"/>
      <color theme="1"/>
      <name val="Times New Roman"/>
    </font>
    <font>
      <sz val="8.0"/>
      <color theme="0"/>
      <name val="Times New Roman"/>
    </font>
    <font>
      <sz val="11.0"/>
      <color theme="0"/>
      <name val="Times New Roman"/>
    </font>
    <font>
      <b/>
      <sz val="11.0"/>
      <color rgb="FF000000"/>
      <name val="Calibri"/>
    </font>
    <font>
      <i/>
      <sz val="9.0"/>
      <color theme="1"/>
      <name val="Calibri"/>
    </font>
    <font>
      <b/>
      <sz val="11.0"/>
      <color theme="1"/>
      <name val="Calibri"/>
    </font>
    <font>
      <sz val="11.0"/>
      <color rgb="FF000000"/>
      <name val="Calibri"/>
    </font>
    <font>
      <sz val="11.0"/>
      <color rgb="FF000000"/>
      <name val="Times New Roman"/>
    </font>
    <font>
      <sz val="9.0"/>
      <color rgb="FF000000"/>
      <name val="Times New Roman"/>
    </font>
    <font>
      <b/>
      <sz val="16.0"/>
      <color rgb="FF000000"/>
      <name val="Times New Roman"/>
    </font>
    <font>
      <b/>
      <sz val="11.0"/>
      <color rgb="FF000000"/>
      <name val="Times New Roman"/>
    </font>
    <font>
      <sz val="9.0"/>
      <color rgb="FF000000"/>
      <name val="Calibri"/>
    </font>
    <font>
      <sz val="9.0"/>
      <color rgb="FF000000"/>
      <name val="Tahoma"/>
    </font>
    <font>
      <sz val="9.0"/>
      <color theme="0"/>
      <name val="Calibri"/>
    </font>
    <font>
      <b/>
      <sz val="9.0"/>
      <color rgb="FF000000"/>
      <name val="Calibri"/>
    </font>
    <font>
      <b/>
      <sz val="16.0"/>
      <color theme="1"/>
      <name val="Times New Roman"/>
    </font>
    <font>
      <b/>
      <sz val="14.0"/>
      <color theme="1"/>
      <name val="Times New Roman"/>
    </font>
    <font>
      <sz val="12.0"/>
      <color theme="1"/>
      <name val="Times New Roman"/>
    </font>
    <font>
      <b/>
      <u/>
      <sz val="12.0"/>
      <color theme="1"/>
      <name val="Times New Roman"/>
    </font>
    <font>
      <sz val="12.0"/>
      <color theme="1"/>
      <name val="Calibri"/>
    </font>
    <font>
      <b/>
      <u/>
      <sz val="9.0"/>
      <color theme="1"/>
      <name val="Times New Roman"/>
    </font>
    <font>
      <b/>
      <sz val="10.0"/>
      <color theme="1"/>
      <name val="Calibri"/>
    </font>
    <font>
      <i/>
      <sz val="10.0"/>
      <color theme="1"/>
      <name val="Calibri"/>
    </font>
    <font>
      <color theme="1"/>
      <name val="Calibri"/>
    </font>
    <font>
      <b/>
      <sz val="11.0"/>
      <color theme="1"/>
      <name val="Times New Roman"/>
    </font>
    <font>
      <sz val="11.0"/>
      <color theme="0"/>
      <name val="Calibri"/>
    </font>
    <font>
      <u/>
      <sz val="10.0"/>
      <color theme="1"/>
      <name val="Times New Roman"/>
    </font>
    <font>
      <b/>
      <sz val="14.0"/>
      <color rgb="FF000000"/>
      <name val="Times New Roman"/>
    </font>
    <font>
      <sz val="8.0"/>
      <color rgb="FF000000"/>
      <name val="Arial"/>
    </font>
    <font>
      <sz val="8.0"/>
      <color rgb="FF000000"/>
      <name val="Calibri"/>
    </font>
    <font>
      <sz val="8.0"/>
      <color theme="1"/>
      <name val="Calibri"/>
    </font>
    <font>
      <b/>
      <sz val="8.0"/>
      <color theme="1"/>
      <name val="Calibri"/>
    </font>
    <font>
      <b/>
      <sz val="8.0"/>
      <color rgb="FF000000"/>
      <name val="Calibri"/>
    </font>
    <font>
      <b/>
      <u/>
      <sz val="10.0"/>
      <color theme="1"/>
      <name val="Times New Roman"/>
    </font>
    <font>
      <b/>
      <sz val="9.0"/>
      <color rgb="FFC00000"/>
      <name val="Calibri"/>
    </font>
    <font>
      <b/>
      <sz val="9.0"/>
      <color rgb="FFFF0000"/>
      <name val="Calibri"/>
    </font>
  </fonts>
  <fills count="18">
    <fill>
      <patternFill patternType="none"/>
    </fill>
    <fill>
      <patternFill patternType="lightGray"/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  <fill>
      <patternFill patternType="solid">
        <fgColor theme="9"/>
        <bgColor theme="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theme="4"/>
        <bgColor theme="4"/>
      </patternFill>
    </fill>
    <fill>
      <patternFill patternType="solid">
        <fgColor rgb="FFF4B083"/>
        <bgColor rgb="FFF4B083"/>
      </patternFill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8496B0"/>
        <bgColor rgb="FF8496B0"/>
      </patternFill>
    </fill>
    <fill>
      <patternFill patternType="solid">
        <fgColor rgb="FF2E75B5"/>
        <bgColor rgb="FF2E75B5"/>
      </patternFill>
    </fill>
    <fill>
      <patternFill patternType="solid">
        <fgColor rgb="FFADB9CA"/>
        <bgColor rgb="FFADB9CA"/>
      </patternFill>
    </fill>
    <fill>
      <patternFill patternType="solid">
        <fgColor rgb="FF0070C0"/>
        <bgColor rgb="FF0070C0"/>
      </patternFill>
    </fill>
  </fills>
  <borders count="116">
    <border/>
    <border>
      <left/>
      <right/>
      <top/>
    </border>
    <border>
      <left/>
      <right/>
      <top/>
      <bottom style="hair">
        <color rgb="FF000000"/>
      </bottom>
    </border>
    <border>
      <left/>
      <top/>
      <bottom style="hair">
        <color rgb="FF000000"/>
      </bottom>
    </border>
    <border>
      <top/>
      <bottom style="hair">
        <color rgb="FF000000"/>
      </bottom>
    </border>
    <border>
      <left/>
      <right/>
    </border>
    <border>
      <left/>
      <right/>
      <top/>
      <bottom/>
    </border>
    <border>
      <left/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/>
    </border>
    <border>
      <left/>
      <right/>
      <bottom style="hair">
        <color rgb="FF000000"/>
      </bottom>
    </border>
    <border>
      <left style="hair">
        <color rgb="FF000000"/>
      </left>
      <top/>
      <bottom style="hair">
        <color rgb="FF000000"/>
      </bottom>
    </border>
    <border>
      <right style="hair">
        <color rgb="FF000000"/>
      </right>
      <top/>
      <bottom style="hair">
        <color rgb="FF000000"/>
      </bottom>
    </border>
    <border>
      <left style="hair">
        <color rgb="FF000000"/>
      </left>
      <right style="hair">
        <color rgb="FF000000"/>
      </right>
      <top/>
    </border>
    <border>
      <left style="hair">
        <color rgb="FF000000"/>
      </left>
      <right style="hair">
        <color rgb="FF000000"/>
      </right>
      <top/>
      <bottom/>
    </border>
    <border>
      <left style="thin">
        <color rgb="FF000000"/>
      </left>
      <right/>
      <top/>
      <bottom/>
    </border>
    <border>
      <left style="hair">
        <color rgb="FF000000"/>
      </left>
      <right style="hair">
        <color rgb="FF000000"/>
      </right>
    </border>
    <border>
      <left/>
      <top/>
      <bottom/>
    </border>
    <border>
      <top/>
      <bottom/>
    </border>
    <border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/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top style="hair">
        <color rgb="FF000000"/>
      </top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left style="hair">
        <color rgb="FF000000"/>
      </left>
      <top/>
      <bottom/>
    </border>
    <border>
      <right style="hair">
        <color rgb="FF000000"/>
      </right>
      <top/>
      <bottom/>
    </border>
    <border>
      <left style="hair">
        <color rgb="FF000000"/>
      </left>
      <right/>
      <top/>
      <bottom/>
    </border>
    <border>
      <left/>
      <right style="hair">
        <color rgb="FF000000"/>
      </right>
      <top/>
      <bottom/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 style="hair">
        <color rgb="FF000000"/>
      </left>
      <right/>
      <top/>
    </border>
    <border>
      <left style="hair">
        <color rgb="FF000000"/>
      </left>
      <right/>
    </border>
    <border>
      <left/>
      <right style="hair">
        <color rgb="FF000000"/>
      </right>
      <top/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/>
      <right style="hair">
        <color rgb="FF000000"/>
      </right>
    </border>
    <border>
      <left/>
      <right style="hair">
        <color rgb="FF000000"/>
      </right>
      <top/>
      <bottom style="thin">
        <color rgb="FF000000"/>
      </bottom>
    </border>
    <border>
      <left style="hair">
        <color rgb="FF000000"/>
      </left>
      <right style="hair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/>
    </border>
    <border>
      <left style="hair">
        <color rgb="FF000000"/>
      </left>
      <right style="hair">
        <color rgb="FF000000"/>
      </right>
      <top style="thin">
        <color rgb="FF000000"/>
      </top>
      <bottom/>
    </border>
    <border>
      <left style="hair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hair">
        <color rgb="FF000000"/>
      </right>
      <top/>
      <bottom/>
    </border>
    <border>
      <left style="hair">
        <color rgb="FF000000"/>
      </left>
      <right style="thin">
        <color rgb="FF000000"/>
      </right>
      <top/>
      <bottom/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hair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</border>
    <border>
      <left style="hair">
        <color rgb="FF000000"/>
      </left>
    </border>
    <border>
      <left style="thin">
        <color rgb="FF000000"/>
      </left>
      <right style="thin">
        <color rgb="FF000000"/>
      </right>
      <top/>
      <bottom/>
    </border>
    <border>
      <left style="hair">
        <color rgb="FF000000"/>
      </left>
      <right/>
      <top/>
      <bottom style="hair">
        <color rgb="FF000000"/>
      </bottom>
    </border>
    <border>
      <left/>
      <right style="hair">
        <color rgb="FF000000"/>
      </right>
      <top/>
      <bottom style="hair">
        <color rgb="FF000000"/>
      </bottom>
    </border>
    <border>
      <bottom style="thick">
        <color rgb="FF000000"/>
      </bottom>
    </border>
    <border>
      <top style="thick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left/>
      <right style="medium">
        <color rgb="FFD3E4A6"/>
      </right>
      <top/>
      <bottom style="medium">
        <color rgb="FFD3E4A6"/>
      </bottom>
    </border>
    <border>
      <left/>
      <right style="thin">
        <color rgb="FF000000"/>
      </right>
      <top/>
      <bottom/>
    </border>
    <border>
      <left/>
      <right style="thick">
        <color rgb="FFFFFFFF"/>
      </right>
      <top style="medium">
        <color rgb="FFDDDDDD"/>
      </top>
      <bottom/>
    </border>
    <border>
      <left/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</border>
    <border>
      <left style="hair">
        <color rgb="FF000000"/>
      </left>
      <right style="thin">
        <color rgb="FF000000"/>
      </right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/>
      <bottom style="hair">
        <color rgb="FF000000"/>
      </bottom>
    </border>
    <border>
      <left/>
      <right style="hair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</border>
    <border>
      <left style="medium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left style="hair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hair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/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/>
      <bottom style="hair">
        <color rgb="FF000000"/>
      </bottom>
    </border>
    <border>
      <left style="medium">
        <color rgb="FF000000"/>
      </left>
      <right style="medium">
        <color rgb="FF000000"/>
      </right>
      <top/>
      <bottom style="hair">
        <color rgb="FF000000"/>
      </bottom>
    </border>
    <border>
      <left style="hair">
        <color rgb="FF000000"/>
      </left>
      <right/>
      <top style="hair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hair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96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0" xfId="0" applyFont="1"/>
    <xf borderId="0" fillId="0" fontId="1" numFmtId="164" xfId="0" applyFont="1" applyNumberFormat="1"/>
    <xf borderId="0" fillId="0" fontId="1" numFmtId="9" xfId="0" applyFont="1" applyNumberFormat="1"/>
    <xf borderId="0" fillId="0" fontId="1" numFmtId="165" xfId="0" applyFont="1" applyNumberFormat="1"/>
    <xf borderId="0" fillId="0" fontId="1" numFmtId="165" xfId="0" applyAlignment="1" applyFont="1" applyNumberFormat="1">
      <alignment horizontal="center"/>
    </xf>
    <xf borderId="0" fillId="0" fontId="1" numFmtId="165" xfId="0" applyAlignment="1" applyFont="1" applyNumberFormat="1">
      <alignment horizontal="right"/>
    </xf>
    <xf borderId="0" fillId="0" fontId="1" numFmtId="0" xfId="0" applyAlignment="1" applyFont="1">
      <alignment vertical="center"/>
    </xf>
    <xf borderId="0" fillId="0" fontId="2" numFmtId="0" xfId="0" applyFont="1"/>
    <xf borderId="0" fillId="0" fontId="3" numFmtId="0" xfId="0" applyFont="1"/>
    <xf borderId="0" fillId="0" fontId="4" numFmtId="165" xfId="0" applyAlignment="1" applyFont="1" applyNumberFormat="1">
      <alignment horizontal="right"/>
    </xf>
    <xf borderId="1" fillId="2" fontId="4" numFmtId="0" xfId="0" applyAlignment="1" applyBorder="1" applyFill="1" applyFont="1">
      <alignment horizontal="center" readingOrder="1" shrinkToFit="0" vertical="center" wrapText="1"/>
    </xf>
    <xf borderId="2" fillId="2" fontId="4" numFmtId="164" xfId="0" applyAlignment="1" applyBorder="1" applyFont="1" applyNumberFormat="1">
      <alignment horizontal="center" readingOrder="1" shrinkToFit="0" vertical="center" wrapText="1"/>
    </xf>
    <xf borderId="2" fillId="2" fontId="4" numFmtId="49" xfId="0" applyAlignment="1" applyBorder="1" applyFont="1" applyNumberFormat="1">
      <alignment horizontal="center" readingOrder="1" shrinkToFit="0" vertical="center" wrapText="1"/>
    </xf>
    <xf borderId="2" fillId="2" fontId="4" numFmtId="0" xfId="0" applyAlignment="1" applyBorder="1" applyFont="1">
      <alignment horizontal="center" readingOrder="1" shrinkToFit="0" vertical="center" wrapText="1"/>
    </xf>
    <xf borderId="2" fillId="2" fontId="4" numFmtId="14" xfId="0" applyAlignment="1" applyBorder="1" applyFont="1" applyNumberFormat="1">
      <alignment horizontal="center" readingOrder="1" shrinkToFit="0" vertical="center" wrapText="1"/>
    </xf>
    <xf borderId="3" fillId="2" fontId="4" numFmtId="0" xfId="0" applyAlignment="1" applyBorder="1" applyFont="1">
      <alignment horizontal="center" readingOrder="1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2" fontId="4" numFmtId="164" xfId="0" applyAlignment="1" applyBorder="1" applyFont="1" applyNumberFormat="1">
      <alignment horizontal="center" readingOrder="1" shrinkToFit="0" vertical="center" wrapText="1"/>
    </xf>
    <xf borderId="6" fillId="2" fontId="4" numFmtId="0" xfId="0" applyAlignment="1" applyBorder="1" applyFont="1">
      <alignment horizontal="center" readingOrder="1" shrinkToFit="0" wrapText="1"/>
    </xf>
    <xf borderId="6" fillId="2" fontId="4" numFmtId="49" xfId="0" applyAlignment="1" applyBorder="1" applyFont="1" applyNumberFormat="1">
      <alignment horizontal="center" readingOrder="1" shrinkToFit="0" vertical="center" wrapText="1"/>
    </xf>
    <xf borderId="6" fillId="2" fontId="4" numFmtId="0" xfId="0" applyAlignment="1" applyBorder="1" applyFont="1">
      <alignment horizontal="center" readingOrder="1" shrinkToFit="0" vertical="center" wrapText="1"/>
    </xf>
    <xf borderId="6" fillId="2" fontId="4" numFmtId="14" xfId="0" applyAlignment="1" applyBorder="1" applyFont="1" applyNumberFormat="1">
      <alignment horizontal="center" readingOrder="1" shrinkToFit="0" vertical="center" wrapText="1"/>
    </xf>
    <xf borderId="6" fillId="3" fontId="1" numFmtId="0" xfId="0" applyAlignment="1" applyBorder="1" applyFill="1" applyFont="1">
      <alignment horizontal="left" readingOrder="1" shrinkToFit="0" vertical="center" wrapText="1"/>
    </xf>
    <xf borderId="6" fillId="3" fontId="1" numFmtId="164" xfId="0" applyAlignment="1" applyBorder="1" applyFont="1" applyNumberFormat="1">
      <alignment horizontal="center" readingOrder="1" shrinkToFit="0" vertical="center" wrapText="1"/>
    </xf>
    <xf borderId="6" fillId="3" fontId="1" numFmtId="164" xfId="0" applyAlignment="1" applyBorder="1" applyFont="1" applyNumberFormat="1">
      <alignment horizontal="center" shrinkToFit="0" vertical="center" wrapText="1"/>
    </xf>
    <xf borderId="6" fillId="3" fontId="1" numFmtId="9" xfId="0" applyAlignment="1" applyBorder="1" applyFont="1" applyNumberFormat="1">
      <alignment horizontal="center" shrinkToFit="0" vertical="center" wrapText="1"/>
    </xf>
    <xf borderId="0" fillId="0" fontId="1" numFmtId="165" xfId="0" applyAlignment="1" applyFont="1" applyNumberFormat="1">
      <alignment vertical="center"/>
    </xf>
    <xf borderId="2" fillId="3" fontId="1" numFmtId="164" xfId="0" applyAlignment="1" applyBorder="1" applyFont="1" applyNumberForma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7" fillId="2" fontId="4" numFmtId="0" xfId="0" applyAlignment="1" applyBorder="1" applyFont="1">
      <alignment horizontal="center" readingOrder="1" shrinkToFit="0" vertical="center" wrapText="1"/>
    </xf>
    <xf borderId="8" fillId="2" fontId="4" numFmtId="164" xfId="0" applyAlignment="1" applyBorder="1" applyFont="1" applyNumberFormat="1">
      <alignment horizontal="center" readingOrder="1" shrinkToFit="0" vertical="center" wrapText="1"/>
    </xf>
    <xf borderId="7" fillId="2" fontId="4" numFmtId="164" xfId="0" applyAlignment="1" applyBorder="1" applyFont="1" applyNumberFormat="1">
      <alignment horizontal="center" readingOrder="1" shrinkToFit="0" vertical="center" wrapText="1"/>
    </xf>
    <xf borderId="7" fillId="2" fontId="4" numFmtId="9" xfId="0" applyAlignment="1" applyBorder="1" applyFont="1" applyNumberFormat="1">
      <alignment horizontal="center" readingOrder="1" shrinkToFit="0" vertical="center" wrapText="1"/>
    </xf>
    <xf borderId="0" fillId="0" fontId="1" numFmtId="165" xfId="0" applyAlignment="1" applyFont="1" applyNumberFormat="1">
      <alignment horizontal="center" vertical="center"/>
    </xf>
    <xf borderId="8" fillId="3" fontId="1" numFmtId="164" xfId="0" applyAlignment="1" applyBorder="1" applyFont="1" applyNumberFormat="1">
      <alignment horizontal="center" readingOrder="1" shrinkToFit="0" vertical="center" wrapText="1"/>
    </xf>
    <xf borderId="8" fillId="3" fontId="1" numFmtId="164" xfId="0" applyAlignment="1" applyBorder="1" applyFont="1" applyNumberFormat="1">
      <alignment horizontal="center" shrinkToFit="0" vertical="center" wrapText="1"/>
    </xf>
    <xf borderId="6" fillId="3" fontId="1" numFmtId="165" xfId="0" applyAlignment="1" applyBorder="1" applyFont="1" applyNumberFormat="1">
      <alignment horizontal="center" shrinkToFit="0" vertical="center" wrapText="1"/>
    </xf>
    <xf borderId="2" fillId="3" fontId="1" numFmtId="164" xfId="0" applyAlignment="1" applyBorder="1" applyFont="1" applyNumberFormat="1">
      <alignment horizontal="center" readingOrder="1" shrinkToFit="0" vertical="center" wrapText="1"/>
    </xf>
    <xf borderId="8" fillId="3" fontId="4" numFmtId="0" xfId="0" applyAlignment="1" applyBorder="1" applyFont="1">
      <alignment horizontal="left" readingOrder="1" shrinkToFit="0" vertical="center" wrapText="1"/>
    </xf>
    <xf borderId="6" fillId="3" fontId="4" numFmtId="164" xfId="0" applyAlignment="1" applyBorder="1" applyFont="1" applyNumberFormat="1">
      <alignment horizontal="center" readingOrder="1" shrinkToFit="0" vertical="center" wrapText="1"/>
    </xf>
    <xf borderId="7" fillId="3" fontId="4" numFmtId="164" xfId="0" applyAlignment="1" applyBorder="1" applyFont="1" applyNumberFormat="1">
      <alignment horizontal="center" shrinkToFit="0" vertical="center" wrapText="1"/>
    </xf>
    <xf borderId="7" fillId="3" fontId="4" numFmtId="9" xfId="0" applyAlignment="1" applyBorder="1" applyFont="1" applyNumberFormat="1">
      <alignment horizontal="center" shrinkToFit="0" vertical="center" wrapText="1"/>
    </xf>
    <xf borderId="0" fillId="0" fontId="1" numFmtId="0" xfId="0" applyAlignment="1" applyFont="1">
      <alignment vertical="top"/>
    </xf>
    <xf borderId="8" fillId="3" fontId="4" numFmtId="0" xfId="0" applyAlignment="1" applyBorder="1" applyFont="1">
      <alignment horizontal="left" shrinkToFit="0" vertical="top" wrapText="1"/>
    </xf>
    <xf borderId="8" fillId="3" fontId="4" numFmtId="164" xfId="0" applyAlignment="1" applyBorder="1" applyFont="1" applyNumberFormat="1">
      <alignment horizontal="center" shrinkToFit="0" vertical="top" wrapText="1"/>
    </xf>
    <xf borderId="6" fillId="3" fontId="4" numFmtId="164" xfId="0" applyAlignment="1" applyBorder="1" applyFont="1" applyNumberFormat="1">
      <alignment horizontal="center" shrinkToFit="0" vertical="top" wrapText="1"/>
    </xf>
    <xf borderId="6" fillId="3" fontId="4" numFmtId="9" xfId="0" applyAlignment="1" applyBorder="1" applyFont="1" applyNumberFormat="1">
      <alignment horizontal="center" shrinkToFit="0" vertical="top" wrapText="1"/>
    </xf>
    <xf borderId="0" fillId="0" fontId="1" numFmtId="165" xfId="0" applyAlignment="1" applyFont="1" applyNumberFormat="1">
      <alignment vertical="top"/>
    </xf>
    <xf borderId="6" fillId="3" fontId="4" numFmtId="0" xfId="0" applyAlignment="1" applyBorder="1" applyFont="1">
      <alignment horizontal="left" readingOrder="1" shrinkToFit="0" vertical="center" wrapText="1"/>
    </xf>
    <xf borderId="6" fillId="3" fontId="4" numFmtId="164" xfId="0" applyAlignment="1" applyBorder="1" applyFont="1" applyNumberFormat="1">
      <alignment horizontal="center" shrinkToFit="0" vertical="center" wrapText="1"/>
    </xf>
    <xf borderId="6" fillId="3" fontId="4" numFmtId="9" xfId="0" applyAlignment="1" applyBorder="1" applyFont="1" applyNumberFormat="1">
      <alignment horizontal="center" shrinkToFit="0" vertical="center" wrapText="1"/>
    </xf>
    <xf borderId="6" fillId="3" fontId="1" numFmtId="0" xfId="0" applyAlignment="1" applyBorder="1" applyFont="1">
      <alignment horizontal="right" readingOrder="1" shrinkToFit="0" vertical="center" wrapText="1"/>
    </xf>
    <xf borderId="2" fillId="3" fontId="1" numFmtId="0" xfId="0" applyAlignment="1" applyBorder="1" applyFont="1">
      <alignment horizontal="right" readingOrder="1" shrinkToFit="0" vertical="center" wrapText="1"/>
    </xf>
    <xf borderId="2" fillId="3" fontId="1" numFmtId="9" xfId="0" applyAlignment="1" applyBorder="1" applyFont="1" applyNumberFormat="1">
      <alignment horizontal="center" shrinkToFit="0" vertical="center" wrapText="1"/>
    </xf>
    <xf borderId="7" fillId="3" fontId="4" numFmtId="0" xfId="0" applyAlignment="1" applyBorder="1" applyFont="1">
      <alignment horizontal="left" readingOrder="1" shrinkToFit="0" vertical="center" wrapText="1"/>
    </xf>
    <xf borderId="7" fillId="3" fontId="4" numFmtId="164" xfId="0" applyAlignment="1" applyBorder="1" applyFont="1" applyNumberFormat="1">
      <alignment horizontal="center" readingOrder="1" shrinkToFit="0" vertical="center" wrapText="1"/>
    </xf>
    <xf borderId="8" fillId="3" fontId="4" numFmtId="9" xfId="0" applyAlignment="1" applyBorder="1" applyFont="1" applyNumberFormat="1">
      <alignment horizontal="center" shrinkToFit="0" vertical="center" wrapText="1"/>
    </xf>
    <xf borderId="6" fillId="2" fontId="4" numFmtId="0" xfId="0" applyAlignment="1" applyBorder="1" applyFont="1">
      <alignment horizontal="left" readingOrder="1" shrinkToFit="0" vertical="center" wrapText="1"/>
    </xf>
    <xf borderId="8" fillId="2" fontId="4" numFmtId="164" xfId="0" applyAlignment="1" applyBorder="1" applyFont="1" applyNumberFormat="1">
      <alignment horizontal="center" shrinkToFit="0" vertical="center" wrapText="1"/>
    </xf>
    <xf borderId="6" fillId="2" fontId="4" numFmtId="164" xfId="0" applyAlignment="1" applyBorder="1" applyFont="1" applyNumberFormat="1">
      <alignment horizontal="center" shrinkToFit="0" vertical="center" wrapText="1"/>
    </xf>
    <xf borderId="6" fillId="2" fontId="4" numFmtId="9" xfId="0" applyAlignment="1" applyBorder="1" applyFont="1" applyNumberFormat="1">
      <alignment horizontal="center" shrinkToFit="0" vertical="center" wrapText="1"/>
    </xf>
    <xf borderId="0" fillId="0" fontId="1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right"/>
    </xf>
    <xf borderId="6" fillId="3" fontId="1" numFmtId="164" xfId="0" applyBorder="1" applyFont="1" applyNumberFormat="1"/>
    <xf borderId="6" fillId="3" fontId="1" numFmtId="0" xfId="0" applyAlignment="1" applyBorder="1" applyFont="1">
      <alignment horizontal="left"/>
    </xf>
    <xf borderId="6" fillId="3" fontId="1" numFmtId="0" xfId="0" applyBorder="1" applyFont="1"/>
    <xf borderId="6" fillId="3" fontId="3" numFmtId="0" xfId="0" applyBorder="1" applyFont="1"/>
    <xf borderId="6" fillId="3" fontId="1" numFmtId="165" xfId="0" applyBorder="1" applyFont="1" applyNumberFormat="1"/>
    <xf borderId="6" fillId="3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 readingOrder="1" shrinkToFit="0" vertical="center" wrapText="1"/>
    </xf>
    <xf borderId="6" fillId="2" fontId="4" numFmtId="49" xfId="0" applyAlignment="1" applyBorder="1" applyFont="1" applyNumberFormat="1">
      <alignment horizontal="center" vertical="center"/>
    </xf>
    <xf borderId="6" fillId="3" fontId="1" numFmtId="49" xfId="0" applyAlignment="1" applyBorder="1" applyFont="1" applyNumberFormat="1">
      <alignment horizontal="center" readingOrder="1" shrinkToFit="0" vertical="center" wrapText="1"/>
    </xf>
    <xf borderId="6" fillId="3" fontId="1" numFmtId="0" xfId="0" applyAlignment="1" applyBorder="1" applyFont="1">
      <alignment horizontal="center" readingOrder="1" shrinkToFit="0" vertical="center" wrapText="1"/>
    </xf>
    <xf borderId="6" fillId="3" fontId="1" numFmtId="9" xfId="0" applyAlignment="1" applyBorder="1" applyFont="1" applyNumberFormat="1">
      <alignment horizontal="center" readingOrder="1" shrinkToFit="0" vertical="center" wrapText="1"/>
    </xf>
    <xf borderId="6" fillId="3" fontId="1" numFmtId="0" xfId="0" applyAlignment="1" applyBorder="1" applyFont="1">
      <alignment horizontal="left" shrinkToFit="0" vertical="center" wrapText="1"/>
    </xf>
    <xf borderId="6" fillId="3" fontId="1" numFmtId="164" xfId="0" applyAlignment="1" applyBorder="1" applyFont="1" applyNumberFormat="1">
      <alignment horizontal="left" shrinkToFit="0" vertical="center" wrapText="1"/>
    </xf>
    <xf borderId="6" fillId="3" fontId="1" numFmtId="49" xfId="0" applyAlignment="1" applyBorder="1" applyFont="1" applyNumberFormat="1">
      <alignment horizontal="left" shrinkToFit="0" vertical="center" wrapText="1"/>
    </xf>
    <xf borderId="6" fillId="3" fontId="1" numFmtId="14" xfId="0" applyAlignment="1" applyBorder="1" applyFont="1" applyNumberFormat="1">
      <alignment horizontal="left" shrinkToFit="0" vertical="center" wrapText="1"/>
    </xf>
    <xf borderId="6" fillId="4" fontId="4" numFmtId="0" xfId="0" applyAlignment="1" applyBorder="1" applyFill="1" applyFont="1">
      <alignment horizontal="left" readingOrder="1" shrinkToFit="0" vertical="center" wrapText="1"/>
    </xf>
    <xf borderId="6" fillId="4" fontId="4" numFmtId="164" xfId="0" applyAlignment="1" applyBorder="1" applyFont="1" applyNumberFormat="1">
      <alignment horizontal="center" readingOrder="1" shrinkToFit="0" vertical="center" wrapText="1"/>
    </xf>
    <xf borderId="6" fillId="3" fontId="1" numFmtId="164" xfId="0" applyAlignment="1" applyBorder="1" applyFont="1" applyNumberFormat="1">
      <alignment horizontal="left" readingOrder="1" shrinkToFit="0" vertical="center" wrapText="1"/>
    </xf>
    <xf borderId="6" fillId="3" fontId="1" numFmtId="9" xfId="0" applyAlignment="1" applyBorder="1" applyFont="1" applyNumberFormat="1">
      <alignment horizontal="center"/>
    </xf>
    <xf borderId="6" fillId="3" fontId="1" numFmtId="10" xfId="0" applyBorder="1" applyFont="1" applyNumberFormat="1"/>
    <xf borderId="0" fillId="0" fontId="1" numFmtId="9" xfId="0" applyAlignment="1" applyFont="1" applyNumberFormat="1">
      <alignment horizontal="center"/>
    </xf>
    <xf borderId="7" fillId="2" fontId="4" numFmtId="0" xfId="0" applyAlignment="1" applyBorder="1" applyFont="1">
      <alignment horizontal="left" readingOrder="1" shrinkToFit="0" vertical="center" wrapText="1"/>
    </xf>
    <xf borderId="6" fillId="2" fontId="4" numFmtId="9" xfId="0" applyAlignment="1" applyBorder="1" applyFont="1" applyNumberFormat="1">
      <alignment horizontal="center" vertical="center"/>
    </xf>
    <xf borderId="6" fillId="3" fontId="1" numFmtId="164" xfId="0" applyAlignment="1" applyBorder="1" applyFont="1" applyNumberFormat="1">
      <alignment horizontal="center" vertical="center"/>
    </xf>
    <xf borderId="6" fillId="3" fontId="1" numFmtId="9" xfId="0" applyAlignment="1" applyBorder="1" applyFont="1" applyNumberFormat="1">
      <alignment horizontal="center" vertical="center"/>
    </xf>
    <xf borderId="6" fillId="3" fontId="1" numFmtId="0" xfId="0" applyAlignment="1" applyBorder="1" applyFont="1">
      <alignment horizontal="center" vertical="center"/>
    </xf>
    <xf borderId="6" fillId="3" fontId="1" numFmtId="165" xfId="0" applyAlignment="1" applyBorder="1" applyFont="1" applyNumberFormat="1">
      <alignment horizontal="center" vertical="center"/>
    </xf>
    <xf borderId="8" fillId="2" fontId="4" numFmtId="0" xfId="0" applyAlignment="1" applyBorder="1" applyFont="1">
      <alignment horizontal="left" readingOrder="1" shrinkToFit="0" vertical="center" wrapText="1"/>
    </xf>
    <xf borderId="6" fillId="2" fontId="4" numFmtId="164" xfId="0" applyAlignment="1" applyBorder="1" applyFont="1" applyNumberFormat="1">
      <alignment horizontal="center" vertical="center"/>
    </xf>
    <xf borderId="6" fillId="3" fontId="1" numFmtId="164" xfId="0" applyAlignment="1" applyBorder="1" applyFont="1" applyNumberFormat="1">
      <alignment shrinkToFit="0" vertical="center" wrapText="1"/>
    </xf>
    <xf borderId="6" fillId="3" fontId="1" numFmtId="164" xfId="0" applyAlignment="1" applyBorder="1" applyFont="1" applyNumberFormat="1">
      <alignment vertical="center"/>
    </xf>
    <xf borderId="6" fillId="3" fontId="1" numFmtId="165" xfId="0" applyAlignment="1" applyBorder="1" applyFont="1" applyNumberFormat="1">
      <alignment vertical="center"/>
    </xf>
    <xf borderId="2" fillId="3" fontId="1" numFmtId="164" xfId="0" applyAlignment="1" applyBorder="1" applyFont="1" applyNumberFormat="1">
      <alignment horizontal="left" readingOrder="1" shrinkToFit="0" vertical="center" wrapText="1"/>
    </xf>
    <xf borderId="2" fillId="3" fontId="1" numFmtId="164" xfId="0" applyBorder="1" applyFont="1" applyNumberFormat="1"/>
    <xf borderId="8" fillId="4" fontId="4" numFmtId="0" xfId="0" applyAlignment="1" applyBorder="1" applyFont="1">
      <alignment horizontal="left" readingOrder="1" shrinkToFit="0" vertical="center" wrapText="1"/>
    </xf>
    <xf borderId="6" fillId="4" fontId="4" numFmtId="9" xfId="0" applyAlignment="1" applyBorder="1" applyFont="1" applyNumberFormat="1">
      <alignment horizontal="center" readingOrder="1" shrinkToFit="0" vertical="center" wrapText="1"/>
    </xf>
    <xf borderId="2" fillId="4" fontId="4" numFmtId="9" xfId="0" applyAlignment="1" applyBorder="1" applyFont="1" applyNumberFormat="1">
      <alignment horizontal="center"/>
    </xf>
    <xf borderId="8" fillId="4" fontId="4" numFmtId="0" xfId="0" applyAlignment="1" applyBorder="1" applyFont="1">
      <alignment horizontal="left" readingOrder="1" shrinkToFit="0" vertical="top" wrapText="1"/>
    </xf>
    <xf borderId="8" fillId="4" fontId="4" numFmtId="164" xfId="0" applyAlignment="1" applyBorder="1" applyFont="1" applyNumberFormat="1">
      <alignment horizontal="center" readingOrder="1" shrinkToFit="0" vertical="center" wrapText="1"/>
    </xf>
    <xf borderId="8" fillId="4" fontId="4" numFmtId="9" xfId="0" applyAlignment="1" applyBorder="1" applyFont="1" applyNumberFormat="1">
      <alignment horizontal="center" readingOrder="1" shrinkToFit="0" vertical="center" wrapText="1"/>
    </xf>
    <xf borderId="6" fillId="4" fontId="4" numFmtId="9" xfId="0" applyAlignment="1" applyBorder="1" applyFont="1" applyNumberFormat="1">
      <alignment horizontal="center"/>
    </xf>
    <xf borderId="6" fillId="3" fontId="1" numFmtId="0" xfId="0" applyAlignment="1" applyBorder="1" applyFont="1">
      <alignment vertical="center"/>
    </xf>
    <xf borderId="6" fillId="3" fontId="1" numFmtId="9" xfId="0" applyBorder="1" applyFont="1" applyNumberFormat="1"/>
    <xf borderId="6" fillId="2" fontId="4" numFmtId="9" xfId="0" applyAlignment="1" applyBorder="1" applyFont="1" applyNumberFormat="1">
      <alignment horizontal="center" readingOrder="1" shrinkToFit="0" vertical="center" wrapText="1"/>
    </xf>
    <xf borderId="6" fillId="3" fontId="4" numFmtId="9" xfId="0" applyAlignment="1" applyBorder="1" applyFont="1" applyNumberFormat="1">
      <alignment horizontal="center" readingOrder="1" shrinkToFit="0" vertical="center" wrapText="1"/>
    </xf>
    <xf borderId="0" fillId="0" fontId="4" numFmtId="0" xfId="0" applyAlignment="1" applyFont="1">
      <alignment horizontal="left" readingOrder="1" shrinkToFit="0" vertical="center" wrapText="1"/>
    </xf>
    <xf borderId="0" fillId="0" fontId="4" numFmtId="164" xfId="0" applyAlignment="1" applyFont="1" applyNumberFormat="1">
      <alignment horizontal="center" readingOrder="1" shrinkToFit="0" vertical="center" wrapText="1"/>
    </xf>
    <xf borderId="6" fillId="3" fontId="1" numFmtId="164" xfId="0" applyAlignment="1" applyBorder="1" applyFont="1" applyNumberFormat="1">
      <alignment vertical="top"/>
    </xf>
    <xf borderId="6" fillId="3" fontId="1" numFmtId="9" xfId="0" applyAlignment="1" applyBorder="1" applyFont="1" applyNumberFormat="1">
      <alignment vertical="top"/>
    </xf>
    <xf borderId="0" fillId="0" fontId="4" numFmtId="0" xfId="0" applyAlignment="1" applyFont="1">
      <alignment horizontal="left" readingOrder="1" shrinkToFit="0" wrapText="1"/>
    </xf>
    <xf borderId="9" fillId="0" fontId="5" numFmtId="0" xfId="0" applyBorder="1" applyFont="1"/>
    <xf borderId="2" fillId="2" fontId="4" numFmtId="0" xfId="0" applyAlignment="1" applyBorder="1" applyFont="1">
      <alignment horizontal="center" readingOrder="1" shrinkToFit="0" wrapText="1"/>
    </xf>
    <xf borderId="6" fillId="3" fontId="4" numFmtId="164" xfId="0" applyBorder="1" applyFont="1" applyNumberFormat="1"/>
    <xf borderId="2" fillId="3" fontId="4" numFmtId="164" xfId="0" applyAlignment="1" applyBorder="1" applyFont="1" applyNumberFormat="1">
      <alignment horizontal="left" readingOrder="1" shrinkToFit="0" vertical="center" wrapText="1"/>
    </xf>
    <xf borderId="7" fillId="3" fontId="4" numFmtId="164" xfId="0" applyBorder="1" applyFont="1" applyNumberFormat="1"/>
    <xf borderId="7" fillId="3" fontId="4" numFmtId="9" xfId="0" applyAlignment="1" applyBorder="1" applyFont="1" applyNumberFormat="1">
      <alignment horizontal="center"/>
    </xf>
    <xf borderId="8" fillId="3" fontId="1" numFmtId="0" xfId="0" applyAlignment="1" applyBorder="1" applyFont="1">
      <alignment horizontal="left" readingOrder="1" shrinkToFit="0" vertical="center" wrapText="1"/>
    </xf>
    <xf borderId="8" fillId="3" fontId="1" numFmtId="164" xfId="0" applyAlignment="1" applyBorder="1" applyFont="1" applyNumberFormat="1">
      <alignment horizontal="left" readingOrder="1" shrinkToFit="0" vertical="center" wrapText="1"/>
    </xf>
    <xf borderId="6" fillId="3" fontId="1" numFmtId="165" xfId="0" applyAlignment="1" applyBorder="1" applyFont="1" applyNumberFormat="1">
      <alignment horizontal="left" readingOrder="1" shrinkToFit="0" vertical="center" wrapText="1"/>
    </xf>
    <xf borderId="8" fillId="3" fontId="1" numFmtId="164" xfId="0" applyBorder="1" applyFont="1" applyNumberFormat="1"/>
    <xf borderId="0" fillId="0" fontId="1" numFmtId="166" xfId="0" applyFont="1" applyNumberFormat="1"/>
    <xf borderId="2" fillId="3" fontId="4" numFmtId="0" xfId="0" applyAlignment="1" applyBorder="1" applyFont="1">
      <alignment horizontal="left" readingOrder="1" shrinkToFit="0" vertical="center" wrapText="1"/>
    </xf>
    <xf borderId="2" fillId="3" fontId="4" numFmtId="164" xfId="0" applyBorder="1" applyFont="1" applyNumberFormat="1"/>
    <xf borderId="2" fillId="3" fontId="4" numFmtId="9" xfId="0" applyAlignment="1" applyBorder="1" applyFont="1" applyNumberFormat="1">
      <alignment horizontal="center"/>
    </xf>
    <xf borderId="0" fillId="0" fontId="1" numFmtId="0" xfId="0" applyAlignment="1" applyFont="1">
      <alignment horizontal="left" readingOrder="1" shrinkToFit="0" vertical="center" wrapText="1"/>
    </xf>
    <xf borderId="0" fillId="0" fontId="1" numFmtId="164" xfId="0" applyAlignment="1" applyFont="1" applyNumberFormat="1">
      <alignment horizontal="left" readingOrder="1" shrinkToFit="0" vertical="center" wrapText="1"/>
    </xf>
    <xf borderId="6" fillId="3" fontId="2" numFmtId="0" xfId="0" applyBorder="1" applyFont="1"/>
    <xf borderId="6" fillId="3" fontId="4" numFmtId="0" xfId="0" applyAlignment="1" applyBorder="1" applyFont="1">
      <alignment horizontal="center"/>
    </xf>
    <xf borderId="6" fillId="3" fontId="6" numFmtId="165" xfId="0" applyBorder="1" applyFont="1" applyNumberFormat="1"/>
    <xf borderId="6" fillId="3" fontId="7" numFmtId="165" xfId="0" applyBorder="1" applyFont="1" applyNumberFormat="1"/>
    <xf borderId="6" fillId="3" fontId="4" numFmtId="165" xfId="0" applyBorder="1" applyFont="1" applyNumberFormat="1"/>
    <xf borderId="6" fillId="3" fontId="4" numFmtId="0" xfId="0" applyAlignment="1" applyBorder="1" applyFont="1">
      <alignment vertical="center"/>
    </xf>
    <xf borderId="1" fillId="2" fontId="4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center" shrinkToFit="0" vertical="center" wrapText="1"/>
    </xf>
    <xf borderId="3" fillId="2" fontId="4" numFmtId="0" xfId="0" applyAlignment="1" applyBorder="1" applyFont="1">
      <alignment horizontal="center" vertical="center"/>
    </xf>
    <xf borderId="10" fillId="2" fontId="4" numFmtId="14" xfId="0" applyAlignment="1" applyBorder="1" applyFont="1" applyNumberFormat="1">
      <alignment horizontal="center" vertical="center"/>
    </xf>
    <xf borderId="11" fillId="0" fontId="5" numFmtId="0" xfId="0" applyBorder="1" applyFont="1"/>
    <xf borderId="2" fillId="2" fontId="4" numFmtId="0" xfId="0" applyAlignment="1" applyBorder="1" applyFont="1">
      <alignment horizontal="center" vertical="center"/>
    </xf>
    <xf borderId="10" fillId="2" fontId="4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shrinkToFit="0" vertical="center" wrapText="1"/>
    </xf>
    <xf borderId="13" fillId="2" fontId="4" numFmtId="0" xfId="0" applyAlignment="1" applyBorder="1" applyFont="1">
      <alignment horizontal="center" vertical="center"/>
    </xf>
    <xf borderId="0" fillId="0" fontId="4" numFmtId="0" xfId="0" applyAlignment="1" applyFont="1">
      <alignment vertical="center"/>
    </xf>
    <xf borderId="6" fillId="2" fontId="4" numFmtId="0" xfId="0" applyAlignment="1" applyBorder="1" applyFont="1">
      <alignment horizontal="center" shrinkToFit="0" vertical="center" wrapText="1"/>
    </xf>
    <xf borderId="14" fillId="2" fontId="4" numFmtId="0" xfId="0" applyAlignment="1" applyBorder="1" applyFont="1">
      <alignment horizontal="center" shrinkToFit="0" vertical="center" wrapText="1"/>
    </xf>
    <xf borderId="15" fillId="0" fontId="5" numFmtId="0" xfId="0" applyBorder="1" applyFont="1"/>
    <xf borderId="14" fillId="3" fontId="1" numFmtId="164" xfId="0" applyBorder="1" applyFont="1" applyNumberFormat="1"/>
    <xf borderId="13" fillId="3" fontId="1" numFmtId="9" xfId="0" applyAlignment="1" applyBorder="1" applyFont="1" applyNumberFormat="1">
      <alignment horizontal="center" readingOrder="1" shrinkToFit="0" wrapText="1"/>
    </xf>
    <xf borderId="13" fillId="3" fontId="1" numFmtId="164" xfId="0" applyBorder="1" applyFont="1" applyNumberFormat="1"/>
    <xf borderId="6" fillId="3" fontId="1" numFmtId="164" xfId="0" applyAlignment="1" applyBorder="1" applyFont="1" applyNumberFormat="1">
      <alignment horizontal="right" vertical="center"/>
    </xf>
    <xf borderId="13" fillId="3" fontId="1" numFmtId="165" xfId="0" applyAlignment="1" applyBorder="1" applyFont="1" applyNumberFormat="1">
      <alignment horizontal="left"/>
    </xf>
    <xf borderId="6" fillId="3" fontId="8" numFmtId="0" xfId="0" applyAlignment="1" applyBorder="1" applyFont="1">
      <alignment vertical="center"/>
    </xf>
    <xf borderId="16" fillId="2" fontId="4" numFmtId="0" xfId="0" applyAlignment="1" applyBorder="1" applyFont="1">
      <alignment horizontal="center"/>
    </xf>
    <xf borderId="17" fillId="0" fontId="5" numFmtId="0" xfId="0" applyBorder="1" applyFont="1"/>
    <xf borderId="6" fillId="2" fontId="4" numFmtId="164" xfId="0" applyBorder="1" applyFont="1" applyNumberFormat="1"/>
    <xf borderId="13" fillId="2" fontId="4" numFmtId="164" xfId="0" applyBorder="1" applyFont="1" applyNumberFormat="1"/>
    <xf borderId="14" fillId="3" fontId="1" numFmtId="0" xfId="0" applyBorder="1" applyFont="1"/>
    <xf borderId="14" fillId="3" fontId="4" numFmtId="0" xfId="0" applyAlignment="1" applyBorder="1" applyFont="1">
      <alignment horizontal="center"/>
    </xf>
    <xf borderId="1" fillId="2" fontId="1" numFmtId="0" xfId="0" applyAlignment="1" applyBorder="1" applyFont="1">
      <alignment horizontal="center"/>
    </xf>
    <xf borderId="16" fillId="2" fontId="4" numFmtId="0" xfId="0" applyAlignment="1" applyBorder="1" applyFont="1">
      <alignment horizontal="center" vertical="center"/>
    </xf>
    <xf borderId="6" fillId="3" fontId="1" numFmtId="167" xfId="0" applyAlignment="1" applyBorder="1" applyFont="1" applyNumberFormat="1">
      <alignment horizontal="right" vertical="center"/>
    </xf>
    <xf borderId="13" fillId="3" fontId="1" numFmtId="165" xfId="0" applyAlignment="1" applyBorder="1" applyFont="1" applyNumberFormat="1">
      <alignment horizontal="center" readingOrder="1" shrinkToFit="0" wrapText="1"/>
    </xf>
    <xf borderId="6" fillId="3" fontId="1" numFmtId="168" xfId="0" applyAlignment="1" applyBorder="1" applyFont="1" applyNumberFormat="1">
      <alignment horizontal="right" vertical="center"/>
    </xf>
    <xf borderId="6" fillId="2" fontId="1" numFmtId="164" xfId="0" applyBorder="1" applyFont="1" applyNumberFormat="1"/>
    <xf borderId="6" fillId="2" fontId="4" numFmtId="167" xfId="0" applyBorder="1" applyFont="1" applyNumberFormat="1"/>
    <xf borderId="6" fillId="2" fontId="4" numFmtId="0" xfId="0" applyBorder="1" applyFont="1"/>
    <xf borderId="6" fillId="3" fontId="9" numFmtId="164" xfId="0" applyAlignment="1" applyBorder="1" applyFont="1" applyNumberFormat="1">
      <alignment horizontal="center" shrinkToFit="0" vertical="center" wrapText="1"/>
    </xf>
    <xf borderId="18" fillId="0" fontId="9" numFmtId="164" xfId="0" applyAlignment="1" applyBorder="1" applyFont="1" applyNumberFormat="1">
      <alignment horizontal="right"/>
    </xf>
    <xf borderId="18" fillId="0" fontId="5" numFmtId="0" xfId="0" applyBorder="1" applyFont="1"/>
    <xf borderId="0" fillId="0" fontId="0" numFmtId="164" xfId="0" applyFont="1" applyNumberFormat="1"/>
    <xf borderId="0" fillId="0" fontId="9" numFmtId="0" xfId="0" applyFont="1"/>
    <xf borderId="19" fillId="5" fontId="10" numFmtId="0" xfId="0" applyAlignment="1" applyBorder="1" applyFill="1" applyFont="1">
      <alignment horizontal="center" readingOrder="1" shrinkToFit="0" vertical="center" wrapText="1"/>
    </xf>
    <xf borderId="20" fillId="5" fontId="10" numFmtId="0" xfId="0" applyAlignment="1" applyBorder="1" applyFont="1">
      <alignment horizontal="center" readingOrder="1" shrinkToFit="0" vertical="center" wrapText="1"/>
    </xf>
    <xf borderId="21" fillId="0" fontId="5" numFmtId="0" xfId="0" applyBorder="1" applyFont="1"/>
    <xf borderId="22" fillId="5" fontId="10" numFmtId="0" xfId="0" applyAlignment="1" applyBorder="1" applyFont="1">
      <alignment horizontal="center" readingOrder="1" shrinkToFit="0" vertical="center" wrapText="1"/>
    </xf>
    <xf borderId="23" fillId="5" fontId="10" numFmtId="0" xfId="0" applyAlignment="1" applyBorder="1" applyFont="1">
      <alignment horizontal="center" readingOrder="1" shrinkToFit="0" vertical="center" wrapText="1"/>
    </xf>
    <xf borderId="0" fillId="0" fontId="9" numFmtId="164" xfId="0" applyFont="1" applyNumberFormat="1"/>
    <xf borderId="24" fillId="0" fontId="5" numFmtId="0" xfId="0" applyBorder="1" applyFont="1"/>
    <xf borderId="25" fillId="5" fontId="10" numFmtId="0" xfId="0" applyAlignment="1" applyBorder="1" applyFont="1">
      <alignment horizontal="center" readingOrder="1" shrinkToFit="0" vertical="center" wrapText="1"/>
    </xf>
    <xf borderId="26" fillId="5" fontId="10" numFmtId="0" xfId="0" applyAlignment="1" applyBorder="1" applyFont="1">
      <alignment horizontal="center" readingOrder="1" shrinkToFit="0" vertical="center" wrapText="1"/>
    </xf>
    <xf borderId="27" fillId="0" fontId="5" numFmtId="0" xfId="0" applyBorder="1" applyFont="1"/>
    <xf borderId="28" fillId="0" fontId="11" numFmtId="0" xfId="0" applyAlignment="1" applyBorder="1" applyFont="1">
      <alignment horizontal="left" readingOrder="1" shrinkToFit="0" vertical="center" wrapText="1"/>
    </xf>
    <xf borderId="29" fillId="0" fontId="11" numFmtId="164" xfId="0" applyAlignment="1" applyBorder="1" applyFont="1" applyNumberFormat="1">
      <alignment horizontal="center" readingOrder="1" shrinkToFit="0" vertical="center" wrapText="1"/>
    </xf>
    <xf borderId="29" fillId="0" fontId="11" numFmtId="164" xfId="0" applyAlignment="1" applyBorder="1" applyFont="1" applyNumberFormat="1">
      <alignment horizontal="left" readingOrder="1" shrinkToFit="0" vertical="center" wrapText="1"/>
    </xf>
    <xf borderId="30" fillId="0" fontId="11" numFmtId="164" xfId="0" applyAlignment="1" applyBorder="1" applyFont="1" applyNumberFormat="1">
      <alignment horizontal="left" readingOrder="1" shrinkToFit="0" vertical="center" wrapText="1"/>
    </xf>
    <xf borderId="31" fillId="0" fontId="11" numFmtId="164" xfId="0" applyAlignment="1" applyBorder="1" applyFont="1" applyNumberFormat="1">
      <alignment horizontal="left" readingOrder="1" shrinkToFit="0" vertical="center" wrapText="1"/>
    </xf>
    <xf borderId="32" fillId="0" fontId="11" numFmtId="0" xfId="0" applyAlignment="1" applyBorder="1" applyFont="1">
      <alignment horizontal="left" readingOrder="1" shrinkToFit="0" vertical="center" wrapText="1"/>
    </xf>
    <xf borderId="33" fillId="0" fontId="11" numFmtId="164" xfId="0" applyAlignment="1" applyBorder="1" applyFont="1" applyNumberFormat="1">
      <alignment horizontal="center" readingOrder="1" shrinkToFit="0" vertical="center" wrapText="1"/>
    </xf>
    <xf borderId="33" fillId="0" fontId="11" numFmtId="164" xfId="0" applyAlignment="1" applyBorder="1" applyFont="1" applyNumberFormat="1">
      <alignment horizontal="left" readingOrder="1" shrinkToFit="0" vertical="center" wrapText="1"/>
    </xf>
    <xf borderId="34" fillId="0" fontId="11" numFmtId="164" xfId="0" applyAlignment="1" applyBorder="1" applyFont="1" applyNumberFormat="1">
      <alignment horizontal="left" readingOrder="1" shrinkToFit="0" vertical="center" wrapText="1"/>
    </xf>
    <xf borderId="35" fillId="0" fontId="10" numFmtId="0" xfId="0" applyAlignment="1" applyBorder="1" applyFont="1">
      <alignment horizontal="left" readingOrder="1" shrinkToFit="0" vertical="center" wrapText="1"/>
    </xf>
    <xf borderId="36" fillId="0" fontId="10" numFmtId="164" xfId="0" applyAlignment="1" applyBorder="1" applyFont="1" applyNumberFormat="1">
      <alignment horizontal="center" readingOrder="1" shrinkToFit="0" vertical="center" wrapText="1"/>
    </xf>
    <xf borderId="20" fillId="0" fontId="10" numFmtId="164" xfId="0" applyAlignment="1" applyBorder="1" applyFont="1" applyNumberFormat="1">
      <alignment horizontal="center" readingOrder="1" shrinkToFit="0" vertical="center" wrapText="1"/>
    </xf>
    <xf borderId="37" fillId="0" fontId="10" numFmtId="164" xfId="0" applyAlignment="1" applyBorder="1" applyFont="1" applyNumberFormat="1">
      <alignment horizontal="center" readingOrder="1" shrinkToFit="0" vertical="center" wrapText="1"/>
    </xf>
    <xf borderId="24" fillId="0" fontId="11" numFmtId="0" xfId="0" applyAlignment="1" applyBorder="1" applyFont="1">
      <alignment horizontal="left" readingOrder="1" shrinkToFit="0" vertical="center" wrapText="1"/>
    </xf>
    <xf borderId="38" fillId="0" fontId="11" numFmtId="164" xfId="0" applyAlignment="1" applyBorder="1" applyFont="1" applyNumberFormat="1">
      <alignment horizontal="center" readingOrder="1" shrinkToFit="0" vertical="center" wrapText="1"/>
    </xf>
    <xf borderId="38" fillId="0" fontId="11" numFmtId="164" xfId="0" applyAlignment="1" applyBorder="1" applyFont="1" applyNumberFormat="1">
      <alignment horizontal="left" readingOrder="1" shrinkToFit="0" vertical="center" wrapText="1"/>
    </xf>
    <xf borderId="39" fillId="0" fontId="11" numFmtId="164" xfId="0" applyAlignment="1" applyBorder="1" applyFont="1" applyNumberFormat="1">
      <alignment horizontal="left" readingOrder="1" shrinkToFit="0" vertical="center" wrapText="1"/>
    </xf>
    <xf borderId="0" fillId="0" fontId="12" numFmtId="164" xfId="0" applyFont="1" applyNumberFormat="1"/>
    <xf borderId="24" fillId="0" fontId="10" numFmtId="0" xfId="0" applyAlignment="1" applyBorder="1" applyFont="1">
      <alignment horizontal="left" readingOrder="1" shrinkToFit="0" vertical="top" wrapText="1"/>
    </xf>
    <xf borderId="38" fillId="0" fontId="10" numFmtId="164" xfId="0" applyAlignment="1" applyBorder="1" applyFont="1" applyNumberFormat="1">
      <alignment horizontal="center" readingOrder="1" shrinkToFit="0" vertical="center" wrapText="1"/>
    </xf>
    <xf borderId="39" fillId="0" fontId="10" numFmtId="164" xfId="0" applyAlignment="1" applyBorder="1" applyFont="1" applyNumberFormat="1">
      <alignment horizontal="center" readingOrder="1" shrinkToFit="0" vertical="center" wrapText="1"/>
    </xf>
    <xf borderId="40" fillId="0" fontId="10" numFmtId="164" xfId="0" applyAlignment="1" applyBorder="1" applyFont="1" applyNumberFormat="1">
      <alignment horizontal="center" readingOrder="1" shrinkToFit="0" vertical="center" wrapText="1"/>
    </xf>
    <xf borderId="41" fillId="5" fontId="10" numFmtId="0" xfId="0" applyAlignment="1" applyBorder="1" applyFont="1">
      <alignment horizontal="left" readingOrder="1" shrinkToFit="0" vertical="center" wrapText="1"/>
    </xf>
    <xf borderId="25" fillId="5" fontId="7" numFmtId="164" xfId="0" applyBorder="1" applyFont="1" applyNumberFormat="1"/>
    <xf borderId="26" fillId="5" fontId="7" numFmtId="164" xfId="0" applyBorder="1" applyFont="1" applyNumberFormat="1"/>
    <xf borderId="42" fillId="5" fontId="7" numFmtId="164" xfId="0" applyBorder="1" applyFont="1" applyNumberFormat="1"/>
    <xf borderId="0" fillId="0" fontId="11" numFmtId="164" xfId="0" applyAlignment="1" applyFont="1" applyNumberFormat="1">
      <alignment horizontal="left" readingOrder="1" shrinkToFit="0" vertical="center" wrapText="1"/>
    </xf>
    <xf borderId="43" fillId="0" fontId="11" numFmtId="0" xfId="0" applyAlignment="1" applyBorder="1" applyFont="1">
      <alignment horizontal="left" readingOrder="1" shrinkToFit="0" vertical="center" wrapText="1"/>
    </xf>
    <xf borderId="44" fillId="0" fontId="11" numFmtId="164" xfId="0" applyAlignment="1" applyBorder="1" applyFont="1" applyNumberFormat="1">
      <alignment horizontal="center" readingOrder="1" shrinkToFit="0" vertical="center" wrapText="1"/>
    </xf>
    <xf borderId="44" fillId="0" fontId="11" numFmtId="164" xfId="0" applyAlignment="1" applyBorder="1" applyFont="1" applyNumberFormat="1">
      <alignment horizontal="left" readingOrder="1" shrinkToFit="0" vertical="center" wrapText="1"/>
    </xf>
    <xf borderId="45" fillId="0" fontId="11" numFmtId="164" xfId="0" applyAlignment="1" applyBorder="1" applyFont="1" applyNumberFormat="1">
      <alignment horizontal="left" readingOrder="1" shrinkToFit="0" vertical="center" wrapText="1"/>
    </xf>
    <xf borderId="46" fillId="0" fontId="11" numFmtId="164" xfId="0" applyAlignment="1" applyBorder="1" applyFont="1" applyNumberFormat="1">
      <alignment horizontal="left" readingOrder="1" shrinkToFit="0" vertical="center" wrapText="1"/>
    </xf>
    <xf borderId="47" fillId="0" fontId="11" numFmtId="0" xfId="0" applyAlignment="1" applyBorder="1" applyFont="1">
      <alignment horizontal="left" readingOrder="1" shrinkToFit="0" vertical="center" wrapText="1"/>
    </xf>
    <xf borderId="48" fillId="0" fontId="11" numFmtId="164" xfId="0" applyAlignment="1" applyBorder="1" applyFont="1" applyNumberFormat="1">
      <alignment horizontal="center" readingOrder="1" shrinkToFit="0" vertical="center" wrapText="1"/>
    </xf>
    <xf borderId="48" fillId="0" fontId="11" numFmtId="164" xfId="0" applyAlignment="1" applyBorder="1" applyFont="1" applyNumberFormat="1">
      <alignment horizontal="left" readingOrder="1" shrinkToFit="0" vertical="center" wrapText="1"/>
    </xf>
    <xf borderId="49" fillId="0" fontId="11" numFmtId="164" xfId="0" applyAlignment="1" applyBorder="1" applyFont="1" applyNumberFormat="1">
      <alignment horizontal="left" readingOrder="1" shrinkToFit="0" vertical="center" wrapText="1"/>
    </xf>
    <xf borderId="27" fillId="0" fontId="11" numFmtId="164" xfId="0" applyAlignment="1" applyBorder="1" applyFont="1" applyNumberFormat="1">
      <alignment horizontal="left" readingOrder="1" shrinkToFit="0" vertical="center" wrapText="1"/>
    </xf>
    <xf borderId="0" fillId="0" fontId="13" numFmtId="0" xfId="0" applyFont="1"/>
    <xf borderId="6" fillId="3" fontId="4" numFmtId="0" xfId="0" applyBorder="1" applyFont="1"/>
    <xf borderId="12" fillId="2" fontId="3" numFmtId="0" xfId="0" applyAlignment="1" applyBorder="1" applyFont="1">
      <alignment horizontal="center" vertical="center"/>
    </xf>
    <xf borderId="50" fillId="2" fontId="3" numFmtId="164" xfId="0" applyAlignment="1" applyBorder="1" applyFont="1" applyNumberFormat="1">
      <alignment horizontal="center"/>
    </xf>
    <xf borderId="51" fillId="0" fontId="5" numFmtId="0" xfId="0" applyBorder="1" applyFont="1"/>
    <xf borderId="16" fillId="2" fontId="3" numFmtId="164" xfId="0" applyAlignment="1" applyBorder="1" applyFont="1" applyNumberFormat="1">
      <alignment horizontal="center"/>
    </xf>
    <xf borderId="50" fillId="2" fontId="4" numFmtId="164" xfId="0" applyAlignment="1" applyBorder="1" applyFont="1" applyNumberFormat="1">
      <alignment horizontal="center"/>
    </xf>
    <xf borderId="52" fillId="2" fontId="3" numFmtId="164" xfId="0" applyAlignment="1" applyBorder="1" applyFont="1" applyNumberFormat="1">
      <alignment horizontal="center"/>
    </xf>
    <xf borderId="53" fillId="2" fontId="3" numFmtId="164" xfId="0" applyAlignment="1" applyBorder="1" applyFont="1" applyNumberFormat="1">
      <alignment horizontal="center"/>
    </xf>
    <xf borderId="52" fillId="2" fontId="3" numFmtId="165" xfId="0" applyAlignment="1" applyBorder="1" applyFont="1" applyNumberFormat="1">
      <alignment horizontal="center"/>
    </xf>
    <xf borderId="53" fillId="2" fontId="3" numFmtId="167" xfId="0" applyAlignment="1" applyBorder="1" applyFont="1" applyNumberFormat="1">
      <alignment horizontal="center"/>
    </xf>
    <xf borderId="6" fillId="2" fontId="3" numFmtId="165" xfId="0" applyAlignment="1" applyBorder="1" applyFont="1" applyNumberFormat="1">
      <alignment horizontal="center"/>
    </xf>
    <xf borderId="6" fillId="2" fontId="3" numFmtId="167" xfId="0" applyAlignment="1" applyBorder="1" applyFont="1" applyNumberFormat="1">
      <alignment horizontal="center"/>
    </xf>
    <xf borderId="12" fillId="3" fontId="4" numFmtId="0" xfId="0" applyAlignment="1" applyBorder="1" applyFont="1">
      <alignment horizontal="center" vertical="center"/>
    </xf>
    <xf borderId="13" fillId="3" fontId="1" numFmtId="0" xfId="0" applyAlignment="1" applyBorder="1" applyFont="1">
      <alignment horizontal="left"/>
    </xf>
    <xf borderId="52" fillId="3" fontId="1" numFmtId="164" xfId="0" applyBorder="1" applyFont="1" applyNumberFormat="1"/>
    <xf borderId="53" fillId="3" fontId="1" numFmtId="164" xfId="0" applyBorder="1" applyFont="1" applyNumberFormat="1"/>
    <xf borderId="6" fillId="3" fontId="14" numFmtId="165" xfId="0" applyBorder="1" applyFont="1" applyNumberFormat="1"/>
    <xf borderId="53" fillId="3" fontId="1" numFmtId="167" xfId="0" applyBorder="1" applyFont="1" applyNumberFormat="1"/>
    <xf borderId="6" fillId="3" fontId="1" numFmtId="167" xfId="0" applyBorder="1" applyFont="1" applyNumberFormat="1"/>
    <xf borderId="13" fillId="3" fontId="1" numFmtId="165" xfId="0" applyBorder="1" applyFont="1" applyNumberFormat="1"/>
    <xf borderId="6" fillId="3" fontId="15" numFmtId="164" xfId="0" applyBorder="1" applyFont="1" applyNumberFormat="1"/>
    <xf borderId="13" fillId="3" fontId="1" numFmtId="0" xfId="0" applyBorder="1" applyFont="1"/>
    <xf borderId="53" fillId="3" fontId="1" numFmtId="165" xfId="0" applyBorder="1" applyFont="1" applyNumberFormat="1"/>
    <xf borderId="38" fillId="0" fontId="5" numFmtId="0" xfId="0" applyBorder="1" applyFont="1"/>
    <xf borderId="13" fillId="2" fontId="3" numFmtId="0" xfId="0" applyBorder="1" applyFont="1"/>
    <xf borderId="52" fillId="2" fontId="3" numFmtId="164" xfId="0" applyBorder="1" applyFont="1" applyNumberFormat="1"/>
    <xf borderId="53" fillId="2" fontId="3" numFmtId="164" xfId="0" applyBorder="1" applyFont="1" applyNumberFormat="1"/>
    <xf borderId="52" fillId="2" fontId="3" numFmtId="165" xfId="0" applyBorder="1" applyFont="1" applyNumberFormat="1"/>
    <xf borderId="13" fillId="2" fontId="3" numFmtId="165" xfId="0" applyBorder="1" applyFont="1" applyNumberFormat="1"/>
    <xf borderId="12" fillId="3" fontId="4" numFmtId="0" xfId="0" applyAlignment="1" applyBorder="1" applyFont="1">
      <alignment horizontal="center" shrinkToFit="0" vertical="center" wrapText="1"/>
    </xf>
    <xf borderId="53" fillId="3" fontId="1" numFmtId="164" xfId="0" applyAlignment="1" applyBorder="1" applyFont="1" applyNumberFormat="1">
      <alignment horizontal="right" vertical="center"/>
    </xf>
    <xf borderId="53" fillId="3" fontId="1" numFmtId="168" xfId="0" applyAlignment="1" applyBorder="1" applyFont="1" applyNumberFormat="1">
      <alignment horizontal="right" vertical="center"/>
    </xf>
    <xf borderId="53" fillId="3" fontId="1" numFmtId="165" xfId="0" applyAlignment="1" applyBorder="1" applyFont="1" applyNumberFormat="1">
      <alignment horizontal="right" vertical="center"/>
    </xf>
    <xf borderId="6" fillId="3" fontId="1" numFmtId="165" xfId="0" applyAlignment="1" applyBorder="1" applyFont="1" applyNumberFormat="1">
      <alignment horizontal="right" vertical="center"/>
    </xf>
    <xf borderId="6" fillId="3" fontId="1" numFmtId="39" xfId="0" applyBorder="1" applyFont="1" applyNumberFormat="1"/>
    <xf borderId="13" fillId="3" fontId="4" numFmtId="0" xfId="0" applyAlignment="1" applyBorder="1" applyFont="1">
      <alignment horizontal="center" shrinkToFit="0" vertical="center" wrapText="1"/>
    </xf>
    <xf borderId="13" fillId="3" fontId="8" numFmtId="0" xfId="0" applyAlignment="1" applyBorder="1" applyFont="1">
      <alignment vertical="center"/>
    </xf>
    <xf borderId="50" fillId="2" fontId="4" numFmtId="0" xfId="0" applyAlignment="1" applyBorder="1" applyFont="1">
      <alignment horizontal="center"/>
    </xf>
    <xf borderId="52" fillId="2" fontId="4" numFmtId="164" xfId="0" applyAlignment="1" applyBorder="1" applyFont="1" applyNumberFormat="1">
      <alignment horizontal="right" vertical="center"/>
    </xf>
    <xf borderId="53" fillId="2" fontId="4" numFmtId="164" xfId="0" applyAlignment="1" applyBorder="1" applyFont="1" applyNumberFormat="1">
      <alignment horizontal="right" vertical="center"/>
    </xf>
    <xf borderId="13" fillId="2" fontId="4" numFmtId="165" xfId="0" applyAlignment="1" applyBorder="1" applyFont="1" applyNumberFormat="1">
      <alignment horizontal="right" vertical="center"/>
    </xf>
    <xf borderId="13" fillId="2" fontId="4" numFmtId="168" xfId="0" applyAlignment="1" applyBorder="1" applyFont="1" applyNumberFormat="1">
      <alignment horizontal="right" vertical="center"/>
    </xf>
    <xf borderId="52" fillId="3" fontId="4" numFmtId="0" xfId="0" applyAlignment="1" applyBorder="1" applyFont="1">
      <alignment horizontal="center" shrinkToFit="0" vertical="center" wrapText="1"/>
    </xf>
    <xf borderId="13" fillId="3" fontId="4" numFmtId="0" xfId="0" applyBorder="1" applyFont="1"/>
    <xf borderId="52" fillId="3" fontId="4" numFmtId="164" xfId="0" applyBorder="1" applyFont="1" applyNumberFormat="1"/>
    <xf borderId="53" fillId="3" fontId="4" numFmtId="164" xfId="0" applyBorder="1" applyFont="1" applyNumberFormat="1"/>
    <xf borderId="53" fillId="3" fontId="4" numFmtId="167" xfId="0" applyBorder="1" applyFont="1" applyNumberFormat="1"/>
    <xf borderId="6" fillId="3" fontId="4" numFmtId="167" xfId="0" applyBorder="1" applyFont="1" applyNumberFormat="1"/>
    <xf borderId="54" fillId="3" fontId="1" numFmtId="0" xfId="0" applyAlignment="1" applyBorder="1" applyFont="1">
      <alignment horizontal="center" shrinkToFit="0" vertical="center" wrapText="1"/>
    </xf>
    <xf borderId="55" fillId="3" fontId="4" numFmtId="0" xfId="0" applyAlignment="1" applyBorder="1" applyFont="1">
      <alignment horizontal="center" vertical="center"/>
    </xf>
    <xf borderId="52" fillId="3" fontId="1" numFmtId="164" xfId="0" applyAlignment="1" applyBorder="1" applyFont="1" applyNumberFormat="1">
      <alignment horizontal="right" vertical="center"/>
    </xf>
    <xf borderId="56" fillId="0" fontId="5" numFmtId="0" xfId="0" applyBorder="1" applyFont="1"/>
    <xf borderId="52" fillId="3" fontId="4" numFmtId="165" xfId="0" applyBorder="1" applyFont="1" applyNumberFormat="1"/>
    <xf borderId="13" fillId="3" fontId="4" numFmtId="165" xfId="0" applyBorder="1" applyFont="1" applyNumberFormat="1"/>
    <xf borderId="50" fillId="2" fontId="4" numFmtId="0" xfId="0" applyAlignment="1" applyBorder="1" applyFont="1">
      <alignment horizontal="center" vertical="center"/>
    </xf>
    <xf borderId="52" fillId="2" fontId="4" numFmtId="164" xfId="0" applyBorder="1" applyFont="1" applyNumberFormat="1"/>
    <xf borderId="53" fillId="2" fontId="1" numFmtId="164" xfId="0" applyBorder="1" applyFont="1" applyNumberFormat="1"/>
    <xf borderId="6" fillId="2" fontId="4" numFmtId="165" xfId="0" applyBorder="1" applyFont="1" applyNumberFormat="1"/>
    <xf borderId="53" fillId="2" fontId="4" numFmtId="165" xfId="0" applyBorder="1" applyFont="1" applyNumberFormat="1"/>
    <xf borderId="6" fillId="3" fontId="1" numFmtId="0" xfId="0" applyAlignment="1" applyBorder="1" applyFont="1">
      <alignment horizontal="right"/>
    </xf>
    <xf borderId="6" fillId="3" fontId="4" numFmtId="0" xfId="0" applyAlignment="1" applyBorder="1" applyFont="1">
      <alignment horizontal="center" vertical="center"/>
    </xf>
    <xf borderId="33" fillId="3" fontId="1" numFmtId="0" xfId="0" applyAlignment="1" applyBorder="1" applyFont="1">
      <alignment horizontal="center" shrinkToFit="0" vertical="center" wrapText="1"/>
    </xf>
    <xf borderId="12" fillId="2" fontId="4" numFmtId="0" xfId="0" applyAlignment="1" applyBorder="1" applyFont="1">
      <alignment horizontal="center" vertical="center"/>
    </xf>
    <xf borderId="16" fillId="2" fontId="4" numFmtId="164" xfId="0" applyAlignment="1" applyBorder="1" applyFont="1" applyNumberFormat="1">
      <alignment horizontal="center" vertical="center"/>
    </xf>
    <xf borderId="16" fillId="2" fontId="4" numFmtId="164" xfId="0" applyAlignment="1" applyBorder="1" applyFont="1" applyNumberFormat="1">
      <alignment horizontal="center"/>
    </xf>
    <xf borderId="50" fillId="2" fontId="4" numFmtId="164" xfId="0" applyAlignment="1" applyBorder="1" applyFont="1" applyNumberFormat="1">
      <alignment horizontal="center" vertical="center"/>
    </xf>
    <xf borderId="53" fillId="2" fontId="4" numFmtId="164" xfId="0" applyAlignment="1" applyBorder="1" applyFont="1" applyNumberFormat="1">
      <alignment horizontal="center" vertical="center"/>
    </xf>
    <xf borderId="52" fillId="2" fontId="4" numFmtId="165" xfId="0" applyAlignment="1" applyBorder="1" applyFont="1" applyNumberFormat="1">
      <alignment horizontal="center" vertical="center"/>
    </xf>
    <xf borderId="6" fillId="2" fontId="4" numFmtId="165" xfId="0" applyAlignment="1" applyBorder="1" applyFont="1" applyNumberFormat="1">
      <alignment horizontal="center" vertical="center"/>
    </xf>
    <xf borderId="13" fillId="3" fontId="1" numFmtId="0" xfId="0" applyAlignment="1" applyBorder="1" applyFont="1">
      <alignment vertical="center"/>
    </xf>
    <xf borderId="6" fillId="6" fontId="1" numFmtId="165" xfId="0" applyBorder="1" applyFill="1" applyFont="1" applyNumberFormat="1"/>
    <xf borderId="29" fillId="3" fontId="1" numFmtId="165" xfId="0" applyBorder="1" applyFont="1" applyNumberFormat="1"/>
    <xf borderId="13" fillId="2" fontId="4" numFmtId="0" xfId="0" applyAlignment="1" applyBorder="1" applyFont="1">
      <alignment vertical="center"/>
    </xf>
    <xf borderId="52" fillId="2" fontId="4" numFmtId="165" xfId="0" applyBorder="1" applyFont="1" applyNumberFormat="1"/>
    <xf borderId="13" fillId="2" fontId="4" numFmtId="165" xfId="0" applyBorder="1" applyFont="1" applyNumberFormat="1"/>
    <xf borderId="53" fillId="3" fontId="1" numFmtId="168" xfId="0" applyBorder="1" applyFont="1" applyNumberFormat="1"/>
    <xf borderId="6" fillId="3" fontId="1" numFmtId="168" xfId="0" applyBorder="1" applyFont="1" applyNumberFormat="1"/>
    <xf borderId="6" fillId="3" fontId="4" numFmtId="164" xfId="0" applyAlignment="1" applyBorder="1" applyFont="1" applyNumberFormat="1">
      <alignment horizontal="center"/>
    </xf>
    <xf borderId="6" fillId="3" fontId="4" numFmtId="165" xfId="0" applyAlignment="1" applyBorder="1" applyFont="1" applyNumberFormat="1">
      <alignment horizontal="center"/>
    </xf>
    <xf borderId="52" fillId="3" fontId="4" numFmtId="165" xfId="0" applyAlignment="1" applyBorder="1" applyFont="1" applyNumberFormat="1">
      <alignment horizontal="center"/>
    </xf>
    <xf borderId="52" fillId="3" fontId="4" numFmtId="164" xfId="0" applyAlignment="1" applyBorder="1" applyFont="1" applyNumberFormat="1">
      <alignment horizontal="center"/>
    </xf>
    <xf borderId="13" fillId="3" fontId="4" numFmtId="165" xfId="0" applyAlignment="1" applyBorder="1" applyFont="1" applyNumberFormat="1">
      <alignment horizontal="center"/>
    </xf>
    <xf borderId="53" fillId="2" fontId="4" numFmtId="0" xfId="0" applyBorder="1" applyFont="1"/>
    <xf borderId="6" fillId="3" fontId="1" numFmtId="169" xfId="0" applyBorder="1" applyFont="1" applyNumberFormat="1"/>
    <xf borderId="57" fillId="2" fontId="16" numFmtId="0" xfId="0" applyAlignment="1" applyBorder="1" applyFont="1">
      <alignment horizontal="center" vertical="center"/>
    </xf>
    <xf borderId="13" fillId="2" fontId="4" numFmtId="164" xfId="0" applyAlignment="1" applyBorder="1" applyFont="1" applyNumberFormat="1">
      <alignment horizontal="center"/>
    </xf>
    <xf borderId="13" fillId="2" fontId="4" numFmtId="14" xfId="0" applyAlignment="1" applyBorder="1" applyFont="1" applyNumberFormat="1">
      <alignment horizontal="center"/>
    </xf>
    <xf borderId="58" fillId="2" fontId="4" numFmtId="14" xfId="0" applyAlignment="1" applyBorder="1" applyFont="1" applyNumberFormat="1">
      <alignment horizontal="center"/>
    </xf>
    <xf borderId="6" fillId="3" fontId="4" numFmtId="14" xfId="0" applyAlignment="1" applyBorder="1" applyFont="1" applyNumberFormat="1">
      <alignment horizontal="center"/>
    </xf>
    <xf borderId="6" fillId="2" fontId="4" numFmtId="14" xfId="0" applyAlignment="1" applyBorder="1" applyFont="1" applyNumberFormat="1">
      <alignment horizontal="center"/>
    </xf>
    <xf borderId="59" fillId="0" fontId="5" numFmtId="0" xfId="0" applyBorder="1" applyFont="1"/>
    <xf borderId="53" fillId="3" fontId="1" numFmtId="0" xfId="0" applyBorder="1" applyFont="1"/>
    <xf borderId="13" fillId="3" fontId="15" numFmtId="165" xfId="0" applyBorder="1" applyFont="1" applyNumberFormat="1"/>
    <xf borderId="60" fillId="3" fontId="1" numFmtId="0" xfId="0" applyBorder="1" applyFont="1"/>
    <xf borderId="61" fillId="3" fontId="1" numFmtId="164" xfId="0" applyBorder="1" applyFont="1" applyNumberFormat="1"/>
    <xf borderId="61" fillId="3" fontId="1" numFmtId="165" xfId="0" applyBorder="1" applyFont="1" applyNumberFormat="1"/>
    <xf borderId="62" fillId="3" fontId="1" numFmtId="165" xfId="0" applyBorder="1" applyFont="1" applyNumberFormat="1"/>
    <xf borderId="6" fillId="3" fontId="17" numFmtId="0" xfId="0" applyAlignment="1" applyBorder="1" applyFont="1">
      <alignment vertical="center"/>
    </xf>
    <xf borderId="6" fillId="3" fontId="18" numFmtId="0" xfId="0" applyAlignment="1" applyBorder="1" applyFont="1">
      <alignment vertical="center"/>
    </xf>
    <xf borderId="6" fillId="3" fontId="18" numFmtId="165" xfId="0" applyAlignment="1" applyBorder="1" applyFont="1" applyNumberFormat="1">
      <alignment vertical="center"/>
    </xf>
    <xf borderId="6" fillId="3" fontId="19" numFmtId="0" xfId="0" applyAlignment="1" applyBorder="1" applyFont="1">
      <alignment vertical="center"/>
    </xf>
    <xf borderId="6" fillId="3" fontId="17" numFmtId="0" xfId="0" applyAlignment="1" applyBorder="1" applyFont="1">
      <alignment horizontal="center" vertical="center"/>
    </xf>
    <xf borderId="6" fillId="3" fontId="2" numFmtId="0" xfId="0" applyAlignment="1" applyBorder="1" applyFont="1">
      <alignment vertical="center"/>
    </xf>
    <xf borderId="6" fillId="3" fontId="3" numFmtId="0" xfId="0" applyAlignment="1" applyBorder="1" applyFont="1">
      <alignment horizontal="right" vertical="center"/>
    </xf>
    <xf borderId="6" fillId="3" fontId="20" numFmtId="165" xfId="0" applyAlignment="1" applyBorder="1" applyFont="1" applyNumberFormat="1">
      <alignment horizontal="right" vertical="center"/>
    </xf>
    <xf borderId="6" fillId="3" fontId="18" numFmtId="10" xfId="0" applyAlignment="1" applyBorder="1" applyFont="1" applyNumberFormat="1">
      <alignment vertical="center"/>
    </xf>
    <xf borderId="6" fillId="3" fontId="6" numFmtId="164" xfId="0" applyAlignment="1" applyBorder="1" applyFont="1" applyNumberFormat="1">
      <alignment vertical="center"/>
    </xf>
    <xf borderId="1" fillId="2" fontId="3" numFmtId="0" xfId="0" applyAlignment="1" applyBorder="1" applyFont="1">
      <alignment horizontal="center" shrinkToFit="0" vertical="center" wrapText="1"/>
    </xf>
    <xf borderId="1" fillId="2" fontId="3" numFmtId="0" xfId="0" applyAlignment="1" applyBorder="1" applyFont="1">
      <alignment horizontal="center" vertical="center"/>
    </xf>
    <xf borderId="1" fillId="2" fontId="3" numFmtId="14" xfId="0" applyAlignment="1" applyBorder="1" applyFont="1" applyNumberFormat="1">
      <alignment horizontal="center" vertical="center"/>
    </xf>
    <xf borderId="1" fillId="2" fontId="3" numFmtId="165" xfId="0" applyAlignment="1" applyBorder="1" applyFont="1" applyNumberFormat="1">
      <alignment horizontal="center" vertical="center"/>
    </xf>
    <xf borderId="1" fillId="2" fontId="6" numFmtId="0" xfId="0" applyAlignment="1" applyBorder="1" applyFont="1">
      <alignment horizontal="center" shrinkToFit="0" vertical="center" wrapText="1"/>
    </xf>
    <xf borderId="0" fillId="0" fontId="17" numFmtId="0" xfId="0" applyAlignment="1" applyFont="1">
      <alignment horizontal="center" vertical="center"/>
    </xf>
    <xf borderId="63" fillId="0" fontId="5" numFmtId="0" xfId="0" applyBorder="1" applyFont="1"/>
    <xf borderId="0" fillId="0" fontId="17" numFmtId="0" xfId="0" applyAlignment="1" applyFont="1">
      <alignment vertical="center"/>
    </xf>
    <xf borderId="13" fillId="3" fontId="20" numFmtId="0" xfId="0" applyAlignment="1" applyBorder="1" applyFont="1">
      <alignment horizontal="left" readingOrder="1" shrinkToFit="0" vertical="center" wrapText="1"/>
    </xf>
    <xf borderId="52" fillId="3" fontId="21" numFmtId="164" xfId="0" applyAlignment="1" applyBorder="1" applyFont="1" applyNumberFormat="1">
      <alignment vertical="center"/>
    </xf>
    <xf borderId="6" fillId="3" fontId="21" numFmtId="164" xfId="0" applyAlignment="1" applyBorder="1" applyFont="1" applyNumberFormat="1">
      <alignment vertical="center"/>
    </xf>
    <xf borderId="52" fillId="7" fontId="19" numFmtId="164" xfId="0" applyAlignment="1" applyBorder="1" applyFill="1" applyFont="1" applyNumberFormat="1">
      <alignment vertical="center"/>
    </xf>
    <xf borderId="6" fillId="7" fontId="22" numFmtId="164" xfId="0" applyAlignment="1" applyBorder="1" applyFont="1" applyNumberFormat="1">
      <alignment vertical="center"/>
    </xf>
    <xf borderId="6" fillId="7" fontId="3" numFmtId="164" xfId="0" applyAlignment="1" applyBorder="1" applyFont="1" applyNumberFormat="1">
      <alignment vertical="center"/>
    </xf>
    <xf borderId="13" fillId="3" fontId="3" numFmtId="164" xfId="0" applyAlignment="1" applyBorder="1" applyFont="1" applyNumberFormat="1">
      <alignment vertical="center"/>
    </xf>
    <xf borderId="64" fillId="3" fontId="6" numFmtId="10" xfId="0" applyAlignment="1" applyBorder="1" applyFont="1" applyNumberFormat="1">
      <alignment vertical="center"/>
    </xf>
    <xf borderId="65" fillId="3" fontId="6" numFmtId="164" xfId="0" applyAlignment="1" applyBorder="1" applyFont="1" applyNumberFormat="1">
      <alignment vertical="center"/>
    </xf>
    <xf borderId="66" fillId="3" fontId="6" numFmtId="164" xfId="0" applyAlignment="1" applyBorder="1" applyFont="1" applyNumberFormat="1">
      <alignment vertical="center"/>
    </xf>
    <xf borderId="0" fillId="0" fontId="22" numFmtId="0" xfId="0" applyAlignment="1" applyFont="1">
      <alignment vertical="center"/>
    </xf>
    <xf borderId="13" fillId="3" fontId="21" numFmtId="0" xfId="0" applyAlignment="1" applyBorder="1" applyFont="1">
      <alignment horizontal="left" readingOrder="1" shrinkToFit="0" vertical="center" wrapText="1"/>
    </xf>
    <xf borderId="52" fillId="7" fontId="22" numFmtId="164" xfId="0" applyAlignment="1" applyBorder="1" applyFont="1" applyNumberFormat="1">
      <alignment vertical="center"/>
    </xf>
    <xf borderId="6" fillId="7" fontId="17" numFmtId="164" xfId="0" applyAlignment="1" applyBorder="1" applyFont="1" applyNumberFormat="1">
      <alignment vertical="center"/>
    </xf>
    <xf borderId="13" fillId="3" fontId="17" numFmtId="164" xfId="0" applyAlignment="1" applyBorder="1" applyFont="1" applyNumberFormat="1">
      <alignment vertical="center"/>
    </xf>
    <xf borderId="67" fillId="3" fontId="17" numFmtId="10" xfId="0" applyAlignment="1" applyBorder="1" applyFont="1" applyNumberFormat="1">
      <alignment vertical="center"/>
    </xf>
    <xf borderId="68" fillId="3" fontId="17" numFmtId="164" xfId="0" applyAlignment="1" applyBorder="1" applyFont="1" applyNumberFormat="1">
      <alignment vertical="center"/>
    </xf>
    <xf borderId="0" fillId="0" fontId="17" numFmtId="165" xfId="0" applyAlignment="1" applyFont="1" applyNumberFormat="1">
      <alignment vertical="center"/>
    </xf>
    <xf borderId="67" fillId="3" fontId="3" numFmtId="10" xfId="0" applyAlignment="1" applyBorder="1" applyFont="1" applyNumberFormat="1">
      <alignment vertical="center"/>
    </xf>
    <xf borderId="68" fillId="3" fontId="3" numFmtId="164" xfId="0" applyAlignment="1" applyBorder="1" applyFont="1" applyNumberFormat="1">
      <alignment vertical="center"/>
    </xf>
    <xf borderId="0" fillId="0" fontId="22" numFmtId="10" xfId="0" applyAlignment="1" applyFont="1" applyNumberFormat="1">
      <alignment vertical="center"/>
    </xf>
    <xf borderId="69" fillId="3" fontId="17" numFmtId="10" xfId="0" applyAlignment="1" applyBorder="1" applyFont="1" applyNumberFormat="1">
      <alignment vertical="center"/>
    </xf>
    <xf borderId="61" fillId="3" fontId="17" numFmtId="164" xfId="0" applyAlignment="1" applyBorder="1" applyFont="1" applyNumberFormat="1">
      <alignment vertical="center"/>
    </xf>
    <xf borderId="70" fillId="3" fontId="17" numFmtId="164" xfId="0" applyAlignment="1" applyBorder="1" applyFont="1" applyNumberFormat="1">
      <alignment vertical="center"/>
    </xf>
    <xf borderId="52" fillId="7" fontId="21" numFmtId="164" xfId="0" applyAlignment="1" applyBorder="1" applyFont="1" applyNumberFormat="1">
      <alignment vertical="center"/>
    </xf>
    <xf borderId="6" fillId="7" fontId="21" numFmtId="164" xfId="0" applyAlignment="1" applyBorder="1" applyFont="1" applyNumberFormat="1">
      <alignment vertical="center"/>
    </xf>
    <xf borderId="13" fillId="3" fontId="22" numFmtId="164" xfId="0" applyAlignment="1" applyBorder="1" applyFont="1" applyNumberFormat="1">
      <alignment vertical="center"/>
    </xf>
    <xf borderId="64" fillId="3" fontId="17" numFmtId="10" xfId="0" applyAlignment="1" applyBorder="1" applyFont="1" applyNumberFormat="1">
      <alignment vertical="center"/>
    </xf>
    <xf borderId="65" fillId="3" fontId="17" numFmtId="164" xfId="0" applyAlignment="1" applyBorder="1" applyFont="1" applyNumberFormat="1">
      <alignment vertical="center"/>
    </xf>
    <xf borderId="66" fillId="3" fontId="17" numFmtId="164" xfId="0" applyAlignment="1" applyBorder="1" applyFont="1" applyNumberFormat="1">
      <alignment vertical="center"/>
    </xf>
    <xf borderId="52" fillId="7" fontId="17" numFmtId="164" xfId="0" applyAlignment="1" applyBorder="1" applyFont="1" applyNumberFormat="1">
      <alignment vertical="center"/>
    </xf>
    <xf borderId="13" fillId="3" fontId="17" numFmtId="164" xfId="0" applyBorder="1" applyFont="1" applyNumberFormat="1"/>
    <xf borderId="13" fillId="3" fontId="17" numFmtId="165" xfId="0" applyAlignment="1" applyBorder="1" applyFont="1" applyNumberFormat="1">
      <alignment vertical="center"/>
    </xf>
    <xf borderId="68" fillId="3" fontId="17" numFmtId="3" xfId="0" applyAlignment="1" applyBorder="1" applyFont="1" applyNumberFormat="1">
      <alignment horizontal="left" readingOrder="1" vertical="center"/>
    </xf>
    <xf borderId="71" fillId="0" fontId="17" numFmtId="164" xfId="0" applyAlignment="1" applyBorder="1" applyFont="1" applyNumberFormat="1">
      <alignment vertical="center"/>
    </xf>
    <xf borderId="61" fillId="3" fontId="17" numFmtId="165" xfId="0" applyAlignment="1" applyBorder="1" applyFont="1" applyNumberFormat="1">
      <alignment vertical="center"/>
    </xf>
    <xf borderId="6" fillId="3" fontId="3" numFmtId="0" xfId="0" applyAlignment="1" applyBorder="1" applyFont="1">
      <alignment vertical="center"/>
    </xf>
    <xf borderId="6" fillId="3" fontId="18" numFmtId="9" xfId="0" applyAlignment="1" applyBorder="1" applyFont="1" applyNumberFormat="1">
      <alignment vertical="center"/>
    </xf>
    <xf borderId="0" fillId="0" fontId="3" numFmtId="0" xfId="0" applyAlignment="1" applyFont="1">
      <alignment vertical="center"/>
    </xf>
    <xf borderId="13" fillId="3" fontId="3" numFmtId="0" xfId="0" applyAlignment="1" applyBorder="1" applyFont="1">
      <alignment horizontal="left" shrinkToFit="0" vertical="center" wrapText="1"/>
    </xf>
    <xf borderId="52" fillId="3" fontId="20" numFmtId="164" xfId="0" applyAlignment="1" applyBorder="1" applyFont="1" applyNumberFormat="1">
      <alignment vertical="center"/>
    </xf>
    <xf borderId="6" fillId="3" fontId="20" numFmtId="164" xfId="0" applyAlignment="1" applyBorder="1" applyFont="1" applyNumberFormat="1">
      <alignment vertical="center"/>
    </xf>
    <xf borderId="72" fillId="0" fontId="20" numFmtId="164" xfId="0" applyAlignment="1" applyBorder="1" applyFont="1" applyNumberFormat="1">
      <alignment vertical="center"/>
    </xf>
    <xf borderId="0" fillId="0" fontId="20" numFmtId="164" xfId="0" applyAlignment="1" applyFont="1" applyNumberFormat="1">
      <alignment vertical="center"/>
    </xf>
    <xf borderId="15" fillId="0" fontId="20" numFmtId="164" xfId="0" applyAlignment="1" applyBorder="1" applyFont="1" applyNumberFormat="1">
      <alignment vertical="center"/>
    </xf>
    <xf borderId="6" fillId="3" fontId="18" numFmtId="164" xfId="0" applyAlignment="1" applyBorder="1" applyFont="1" applyNumberFormat="1">
      <alignment vertical="center"/>
    </xf>
    <xf borderId="13" fillId="2" fontId="3" numFmtId="0" xfId="0" applyAlignment="1" applyBorder="1" applyFont="1">
      <alignment shrinkToFit="0" vertical="center" wrapText="1"/>
    </xf>
    <xf borderId="52" fillId="2" fontId="23" numFmtId="164" xfId="0" applyAlignment="1" applyBorder="1" applyFont="1" applyNumberFormat="1">
      <alignment vertical="center"/>
    </xf>
    <xf borderId="6" fillId="2" fontId="23" numFmtId="164" xfId="0" applyAlignment="1" applyBorder="1" applyFont="1" applyNumberFormat="1">
      <alignment vertical="center"/>
    </xf>
    <xf borderId="13" fillId="2" fontId="3" numFmtId="164" xfId="0" applyAlignment="1" applyBorder="1" applyFont="1" applyNumberFormat="1">
      <alignment vertical="center"/>
    </xf>
    <xf borderId="13" fillId="3" fontId="17" numFmtId="0" xfId="0" applyAlignment="1" applyBorder="1" applyFont="1">
      <alignment shrinkToFit="0" vertical="center" wrapText="1"/>
    </xf>
    <xf borderId="52" fillId="7" fontId="20" numFmtId="164" xfId="0" applyAlignment="1" applyBorder="1" applyFont="1" applyNumberFormat="1">
      <alignment vertical="center"/>
    </xf>
    <xf borderId="6" fillId="7" fontId="20" numFmtId="164" xfId="0" applyAlignment="1" applyBorder="1" applyFont="1" applyNumberFormat="1">
      <alignment vertical="center"/>
    </xf>
    <xf borderId="13" fillId="7" fontId="20" numFmtId="164" xfId="0" applyAlignment="1" applyBorder="1" applyFont="1" applyNumberFormat="1">
      <alignment vertical="center"/>
    </xf>
    <xf borderId="13" fillId="7" fontId="21" numFmtId="164" xfId="0" applyAlignment="1" applyBorder="1" applyFont="1" applyNumberFormat="1">
      <alignment vertical="center"/>
    </xf>
    <xf borderId="13" fillId="3" fontId="3" numFmtId="0" xfId="0" applyAlignment="1" applyBorder="1" applyFont="1">
      <alignment shrinkToFit="0" vertical="center" wrapText="1"/>
    </xf>
    <xf borderId="52" fillId="3" fontId="3" numFmtId="164" xfId="0" applyAlignment="1" applyBorder="1" applyFont="1" applyNumberFormat="1">
      <alignment vertical="center"/>
    </xf>
    <xf borderId="6" fillId="3" fontId="3" numFmtId="164" xfId="0" applyAlignment="1" applyBorder="1" applyFont="1" applyNumberFormat="1">
      <alignment vertical="center"/>
    </xf>
    <xf borderId="0" fillId="0" fontId="3" numFmtId="164" xfId="0" applyAlignment="1" applyFont="1" applyNumberFormat="1">
      <alignment vertical="center"/>
    </xf>
    <xf borderId="52" fillId="2" fontId="21" numFmtId="164" xfId="0" applyAlignment="1" applyBorder="1" applyFont="1" applyNumberFormat="1">
      <alignment vertical="center"/>
    </xf>
    <xf borderId="6" fillId="2" fontId="21" numFmtId="164" xfId="0" applyAlignment="1" applyBorder="1" applyFont="1" applyNumberFormat="1">
      <alignment vertical="center"/>
    </xf>
    <xf borderId="13" fillId="2" fontId="21" numFmtId="164" xfId="0" applyAlignment="1" applyBorder="1" applyFont="1" applyNumberFormat="1">
      <alignment vertical="center"/>
    </xf>
    <xf borderId="13" fillId="3" fontId="17" numFmtId="0" xfId="0" applyAlignment="1" applyBorder="1" applyFont="1">
      <alignment horizontal="left" shrinkToFit="0" vertical="center" wrapText="1"/>
    </xf>
    <xf borderId="72" fillId="0" fontId="21" numFmtId="164" xfId="0" applyAlignment="1" applyBorder="1" applyFont="1" applyNumberFormat="1">
      <alignment vertical="center"/>
    </xf>
    <xf borderId="0" fillId="0" fontId="21" numFmtId="164" xfId="0" applyAlignment="1" applyFont="1" applyNumberFormat="1">
      <alignment vertical="center"/>
    </xf>
    <xf borderId="13" fillId="7" fontId="17" numFmtId="164" xfId="0" applyAlignment="1" applyBorder="1" applyFont="1" applyNumberFormat="1">
      <alignment vertical="center"/>
    </xf>
    <xf borderId="72" fillId="0" fontId="3" numFmtId="164" xfId="0" applyAlignment="1" applyBorder="1" applyFont="1" applyNumberFormat="1">
      <alignment vertical="center"/>
    </xf>
    <xf borderId="15" fillId="0" fontId="3" numFmtId="164" xfId="0" applyAlignment="1" applyBorder="1" applyFont="1" applyNumberFormat="1">
      <alignment vertical="center"/>
    </xf>
    <xf borderId="52" fillId="7" fontId="3" numFmtId="164" xfId="0" applyAlignment="1" applyBorder="1" applyFont="1" applyNumberFormat="1">
      <alignment vertical="center"/>
    </xf>
    <xf borderId="13" fillId="7" fontId="3" numFmtId="164" xfId="0" applyAlignment="1" applyBorder="1" applyFont="1" applyNumberFormat="1">
      <alignment vertical="center"/>
    </xf>
    <xf borderId="52" fillId="7" fontId="3" numFmtId="164" xfId="0" applyAlignment="1" applyBorder="1" applyFont="1" applyNumberFormat="1">
      <alignment horizontal="right" vertical="center"/>
    </xf>
    <xf borderId="6" fillId="7" fontId="3" numFmtId="164" xfId="0" applyAlignment="1" applyBorder="1" applyFont="1" applyNumberFormat="1">
      <alignment horizontal="right" vertical="center"/>
    </xf>
    <xf borderId="13" fillId="8" fontId="3" numFmtId="164" xfId="0" applyAlignment="1" applyBorder="1" applyFill="1" applyFont="1" applyNumberFormat="1">
      <alignment horizontal="right" vertical="center"/>
    </xf>
    <xf borderId="52" fillId="2" fontId="3" numFmtId="164" xfId="0" applyAlignment="1" applyBorder="1" applyFont="1" applyNumberFormat="1">
      <alignment vertical="center"/>
    </xf>
    <xf borderId="6" fillId="2" fontId="3" numFmtId="164" xfId="0" applyAlignment="1" applyBorder="1" applyFont="1" applyNumberFormat="1">
      <alignment vertical="center"/>
    </xf>
    <xf borderId="6" fillId="2" fontId="3" numFmtId="0" xfId="0" applyAlignment="1" applyBorder="1" applyFont="1">
      <alignment shrinkToFit="0" vertical="center" wrapText="1"/>
    </xf>
    <xf borderId="0" fillId="0" fontId="17" numFmtId="0" xfId="0" applyAlignment="1" applyFont="1">
      <alignment shrinkToFit="0" vertical="center" wrapText="1"/>
    </xf>
    <xf borderId="6" fillId="2" fontId="17" numFmtId="164" xfId="0" applyAlignment="1" applyBorder="1" applyFont="1" applyNumberFormat="1">
      <alignment horizontal="center" vertical="center"/>
    </xf>
    <xf borderId="0" fillId="0" fontId="18" numFmtId="164" xfId="0" applyAlignment="1" applyFont="1" applyNumberFormat="1">
      <alignment vertical="center"/>
    </xf>
    <xf borderId="6" fillId="3" fontId="24" numFmtId="164" xfId="0" applyAlignment="1" applyBorder="1" applyFont="1" applyNumberFormat="1">
      <alignment horizontal="center" vertical="center"/>
    </xf>
    <xf borderId="6" fillId="3" fontId="17" numFmtId="0" xfId="0" applyAlignment="1" applyBorder="1" applyFont="1">
      <alignment shrinkToFit="0" vertical="center" wrapText="1"/>
    </xf>
    <xf borderId="6" fillId="3" fontId="25" numFmtId="164" xfId="0" applyAlignment="1" applyBorder="1" applyFont="1" applyNumberFormat="1">
      <alignment horizontal="center" vertical="center"/>
    </xf>
    <xf borderId="6" fillId="3" fontId="26" numFmtId="164" xfId="0" applyAlignment="1" applyBorder="1" applyFont="1" applyNumberFormat="1">
      <alignment horizontal="center" vertical="center"/>
    </xf>
    <xf borderId="6" fillId="3" fontId="22" numFmtId="164" xfId="0" applyAlignment="1" applyBorder="1" applyFont="1" applyNumberFormat="1">
      <alignment vertical="center"/>
    </xf>
    <xf borderId="6" fillId="2" fontId="3" numFmtId="0" xfId="0" applyAlignment="1" applyBorder="1" applyFont="1">
      <alignment vertical="center"/>
    </xf>
    <xf borderId="6" fillId="2" fontId="18" numFmtId="164" xfId="0" applyAlignment="1" applyBorder="1" applyFont="1" applyNumberFormat="1">
      <alignment vertical="center"/>
    </xf>
    <xf borderId="6" fillId="3" fontId="27" numFmtId="164" xfId="0" applyAlignment="1" applyBorder="1" applyFont="1" applyNumberFormat="1">
      <alignment vertical="center"/>
    </xf>
    <xf borderId="6" fillId="3" fontId="18" numFmtId="0" xfId="0" applyBorder="1" applyFont="1"/>
    <xf borderId="6" fillId="3" fontId="18" numFmtId="165" xfId="0" applyBorder="1" applyFont="1" applyNumberFormat="1"/>
    <xf borderId="6" fillId="3" fontId="17" numFmtId="165" xfId="0" applyAlignment="1" applyBorder="1" applyFont="1" applyNumberFormat="1">
      <alignment vertical="center"/>
    </xf>
    <xf borderId="0" fillId="0" fontId="3" numFmtId="164" xfId="0" applyFont="1" applyNumberFormat="1"/>
    <xf borderId="0" fillId="0" fontId="4" numFmtId="164" xfId="0" applyFont="1" applyNumberFormat="1"/>
    <xf borderId="0" fillId="0" fontId="4" numFmtId="164" xfId="0" applyAlignment="1" applyFont="1" applyNumberFormat="1">
      <alignment vertical="center"/>
    </xf>
    <xf borderId="1" fillId="2" fontId="4" numFmtId="164" xfId="0" applyAlignment="1" applyBorder="1" applyFont="1" applyNumberFormat="1">
      <alignment horizontal="center" vertical="center"/>
    </xf>
    <xf borderId="0" fillId="0" fontId="1" numFmtId="164" xfId="0" applyAlignment="1" applyFont="1" applyNumberFormat="1">
      <alignment horizontal="right" vertical="center"/>
    </xf>
    <xf borderId="37" fillId="0" fontId="1" numFmtId="164" xfId="0" applyAlignment="1" applyBorder="1" applyFont="1" applyNumberFormat="1">
      <alignment horizontal="right" vertical="center"/>
    </xf>
    <xf borderId="0" fillId="0" fontId="3" numFmtId="164" xfId="0" applyAlignment="1" applyFont="1" applyNumberFormat="1">
      <alignment horizontal="left"/>
    </xf>
    <xf borderId="6" fillId="3" fontId="1" numFmtId="164" xfId="0" applyAlignment="1" applyBorder="1" applyFont="1" applyNumberFormat="1">
      <alignment shrinkToFit="0" wrapText="1"/>
    </xf>
    <xf borderId="0" fillId="0" fontId="1" numFmtId="164" xfId="0" applyAlignment="1" applyFont="1" applyNumberFormat="1">
      <alignment shrinkToFit="0" wrapText="1"/>
    </xf>
    <xf borderId="0" fillId="0" fontId="8" numFmtId="165" xfId="0" applyAlignment="1" applyFont="1" applyNumberFormat="1">
      <alignment horizontal="right" vertical="center"/>
    </xf>
    <xf borderId="0" fillId="0" fontId="17" numFmtId="0" xfId="0" applyAlignment="1" applyFont="1">
      <alignment horizontal="center" shrinkToFit="0" vertical="center" wrapText="1"/>
    </xf>
    <xf borderId="16" fillId="3" fontId="2" numFmtId="0" xfId="0" applyAlignment="1" applyBorder="1" applyFont="1">
      <alignment horizontal="center" shrinkToFit="0" vertical="center" wrapText="1"/>
    </xf>
    <xf borderId="6" fillId="3" fontId="17" numFmtId="0" xfId="0" applyAlignment="1" applyBorder="1" applyFont="1">
      <alignment horizontal="center" shrinkToFit="0" vertical="center" wrapText="1"/>
    </xf>
    <xf borderId="0" fillId="0" fontId="17" numFmtId="0" xfId="0" applyAlignment="1" applyFont="1">
      <alignment horizontal="left" shrinkToFit="0" vertical="center" wrapText="1"/>
    </xf>
    <xf borderId="6" fillId="2" fontId="17" numFmtId="0" xfId="0" applyAlignment="1" applyBorder="1" applyFont="1">
      <alignment horizontal="center" shrinkToFit="0" vertical="center" wrapText="1"/>
    </xf>
    <xf borderId="6" fillId="2" fontId="17" numFmtId="0" xfId="0" applyAlignment="1" applyBorder="1" applyFont="1">
      <alignment horizontal="left" shrinkToFit="0" vertical="center" wrapText="1"/>
    </xf>
    <xf borderId="6" fillId="9" fontId="17" numFmtId="0" xfId="0" applyAlignment="1" applyBorder="1" applyFill="1" applyFont="1">
      <alignment horizontal="center" shrinkToFit="0" vertical="center" wrapText="1"/>
    </xf>
    <xf borderId="73" fillId="2" fontId="17" numFmtId="0" xfId="0" applyAlignment="1" applyBorder="1" applyFont="1">
      <alignment horizontal="center" shrinkToFit="0" vertical="center" wrapText="1"/>
    </xf>
    <xf borderId="6" fillId="3" fontId="21" numFmtId="0" xfId="0" applyAlignment="1" applyBorder="1" applyFont="1">
      <alignment horizontal="left" readingOrder="1" shrinkToFit="0" vertical="center" wrapText="1"/>
    </xf>
    <xf borderId="6" fillId="3" fontId="21" numFmtId="165" xfId="0" applyAlignment="1" applyBorder="1" applyFont="1" applyNumberFormat="1">
      <alignment horizontal="left" readingOrder="1" shrinkToFit="0" vertical="center" wrapText="1"/>
    </xf>
    <xf borderId="6" fillId="3" fontId="21" numFmtId="164" xfId="0" applyAlignment="1" applyBorder="1" applyFont="1" applyNumberFormat="1">
      <alignment horizontal="left" readingOrder="1" shrinkToFit="0" vertical="center" wrapText="1"/>
    </xf>
    <xf borderId="6" fillId="3" fontId="17" numFmtId="165" xfId="0" applyAlignment="1" applyBorder="1" applyFont="1" applyNumberFormat="1">
      <alignment horizontal="center" shrinkToFit="0" vertical="center" wrapText="1"/>
    </xf>
    <xf borderId="6" fillId="3" fontId="17" numFmtId="166" xfId="0" applyAlignment="1" applyBorder="1" applyFont="1" applyNumberFormat="1">
      <alignment horizontal="center" shrinkToFit="0" vertical="center" wrapText="1"/>
    </xf>
    <xf borderId="6" fillId="3" fontId="22" numFmtId="165" xfId="0" applyAlignment="1" applyBorder="1" applyFont="1" applyNumberFormat="1">
      <alignment horizontal="center" shrinkToFit="0" vertical="center" wrapText="1"/>
    </xf>
    <xf borderId="6" fillId="3" fontId="22" numFmtId="166" xfId="0" applyAlignment="1" applyBorder="1" applyFont="1" applyNumberFormat="1">
      <alignment horizontal="center" shrinkToFit="0" vertical="center" wrapText="1"/>
    </xf>
    <xf borderId="62" fillId="3" fontId="17" numFmtId="0" xfId="0" applyAlignment="1" applyBorder="1" applyFont="1">
      <alignment horizontal="center" shrinkToFit="0" vertical="center" wrapText="1"/>
    </xf>
    <xf borderId="62" fillId="3" fontId="21" numFmtId="0" xfId="0" applyAlignment="1" applyBorder="1" applyFont="1">
      <alignment horizontal="left" readingOrder="1" shrinkToFit="0" vertical="center" wrapText="1"/>
    </xf>
    <xf borderId="62" fillId="3" fontId="21" numFmtId="165" xfId="0" applyAlignment="1" applyBorder="1" applyFont="1" applyNumberFormat="1">
      <alignment horizontal="left" readingOrder="1" shrinkToFit="0" vertical="center" wrapText="1"/>
    </xf>
    <xf borderId="6" fillId="3" fontId="17" numFmtId="0" xfId="0" applyAlignment="1" applyBorder="1" applyFont="1">
      <alignment horizontal="left" shrinkToFit="0" vertical="center" wrapText="1"/>
    </xf>
    <xf borderId="6" fillId="3" fontId="17" numFmtId="165" xfId="0" applyAlignment="1" applyBorder="1" applyFont="1" applyNumberFormat="1">
      <alignment horizontal="left" shrinkToFit="0" vertical="center" wrapText="1"/>
    </xf>
    <xf borderId="16" fillId="2" fontId="3" numFmtId="0" xfId="0" applyAlignment="1" applyBorder="1" applyFont="1">
      <alignment horizontal="center" shrinkToFit="0" vertical="center" wrapText="1"/>
    </xf>
    <xf borderId="6" fillId="2" fontId="3" numFmtId="164" xfId="0" applyAlignment="1" applyBorder="1" applyFont="1" applyNumberFormat="1">
      <alignment horizontal="left" shrinkToFit="0" vertical="center" wrapText="1"/>
    </xf>
    <xf borderId="6" fillId="2" fontId="3" numFmtId="165" xfId="0" applyAlignment="1" applyBorder="1" applyFont="1" applyNumberFormat="1">
      <alignment horizontal="left" shrinkToFit="0" vertical="center" wrapText="1"/>
    </xf>
    <xf borderId="0" fillId="0" fontId="17" numFmtId="164" xfId="0" applyAlignment="1" applyFont="1" applyNumberFormat="1">
      <alignment horizontal="left" shrinkToFit="0" vertical="center" wrapText="1"/>
    </xf>
    <xf borderId="0" fillId="0" fontId="17" numFmtId="165" xfId="0" applyAlignment="1" applyFont="1" applyNumberFormat="1">
      <alignment horizontal="center" shrinkToFit="0" vertical="center" wrapText="1"/>
    </xf>
    <xf borderId="6" fillId="3" fontId="17" numFmtId="164" xfId="0" applyAlignment="1" applyBorder="1" applyFont="1" applyNumberFormat="1">
      <alignment horizontal="center" shrinkToFit="0" vertical="center" wrapText="1"/>
    </xf>
    <xf borderId="0" fillId="0" fontId="28" numFmtId="0" xfId="0" applyAlignment="1" applyFont="1">
      <alignment vertical="center"/>
    </xf>
    <xf borderId="0" fillId="0" fontId="0" numFmtId="170" xfId="0" applyFont="1" applyNumberFormat="1"/>
    <xf borderId="0" fillId="0" fontId="0" numFmtId="0" xfId="0" applyFont="1"/>
    <xf borderId="6" fillId="2" fontId="29" numFmtId="0" xfId="0" applyAlignment="1" applyBorder="1" applyFont="1">
      <alignment shrinkToFit="0" vertical="center" wrapText="1"/>
    </xf>
    <xf borderId="0" fillId="0" fontId="28" numFmtId="0" xfId="0" applyAlignment="1" applyFont="1">
      <alignment horizontal="center" shrinkToFit="0" vertical="center" wrapText="1"/>
    </xf>
    <xf borderId="6" fillId="2" fontId="28" numFmtId="0" xfId="0" applyAlignment="1" applyBorder="1" applyFont="1">
      <alignment horizontal="center" shrinkToFit="0" wrapText="1"/>
    </xf>
    <xf borderId="16" fillId="2" fontId="30" numFmtId="0" xfId="0" applyAlignment="1" applyBorder="1" applyFont="1">
      <alignment horizontal="center"/>
    </xf>
    <xf borderId="0" fillId="0" fontId="31" numFmtId="0" xfId="0" applyAlignment="1" applyFont="1">
      <alignment horizontal="left" shrinkToFit="0" vertical="center" wrapText="1"/>
    </xf>
    <xf borderId="0" fillId="0" fontId="31" numFmtId="170" xfId="0" applyAlignment="1" applyFont="1" applyNumberFormat="1">
      <alignment shrinkToFit="0" vertical="center" wrapText="1"/>
    </xf>
    <xf borderId="0" fillId="0" fontId="31" numFmtId="9" xfId="0" applyAlignment="1" applyFont="1" applyNumberFormat="1">
      <alignment shrinkToFit="0" vertical="center" wrapText="1"/>
    </xf>
    <xf borderId="0" fillId="0" fontId="0" numFmtId="9" xfId="0" applyAlignment="1" applyFont="1" applyNumberFormat="1">
      <alignment shrinkToFit="0" vertical="center" wrapText="1"/>
    </xf>
    <xf borderId="6" fillId="3" fontId="31" numFmtId="170" xfId="0" applyAlignment="1" applyBorder="1" applyFont="1" applyNumberFormat="1">
      <alignment shrinkToFit="0" vertical="center" wrapText="1"/>
    </xf>
    <xf borderId="0" fillId="0" fontId="0" numFmtId="170" xfId="0" applyAlignment="1" applyFont="1" applyNumberFormat="1">
      <alignment shrinkToFit="0" vertical="center" wrapText="1"/>
    </xf>
    <xf borderId="6" fillId="2" fontId="30" numFmtId="0" xfId="0" applyAlignment="1" applyBorder="1" applyFont="1">
      <alignment horizontal="center"/>
    </xf>
    <xf borderId="6" fillId="2" fontId="28" numFmtId="0" xfId="0" applyAlignment="1" applyBorder="1" applyFont="1">
      <alignment horizontal="center" shrinkToFit="0" vertical="center" wrapText="1"/>
    </xf>
    <xf borderId="0" fillId="0" fontId="0" numFmtId="171" xfId="0" applyAlignment="1" applyFont="1" applyNumberFormat="1">
      <alignment shrinkToFit="0" vertical="center" wrapText="1"/>
    </xf>
    <xf borderId="0" fillId="0" fontId="0" numFmtId="9" xfId="0" applyFont="1" applyNumberFormat="1"/>
    <xf borderId="0" fillId="0" fontId="0" numFmtId="171" xfId="0" applyAlignment="1" applyFont="1" applyNumberFormat="1">
      <alignment shrinkToFit="0" vertical="top" wrapText="1"/>
    </xf>
    <xf borderId="0" fillId="0" fontId="0" numFmtId="171" xfId="0" applyFont="1" applyNumberFormat="1"/>
    <xf borderId="0" fillId="0" fontId="0" numFmtId="10" xfId="0" applyFont="1" applyNumberFormat="1"/>
    <xf borderId="0" fillId="0" fontId="0" numFmtId="10" xfId="0" applyAlignment="1" applyFont="1" applyNumberFormat="1">
      <alignment shrinkToFit="0" vertical="center" wrapText="1"/>
    </xf>
    <xf borderId="52" fillId="2" fontId="4" numFmtId="164" xfId="0" applyAlignment="1" applyBorder="1" applyFont="1" applyNumberFormat="1">
      <alignment horizontal="center"/>
    </xf>
    <xf borderId="52" fillId="2" fontId="4" numFmtId="14" xfId="0" applyAlignment="1" applyBorder="1" applyFont="1" applyNumberFormat="1">
      <alignment horizontal="center"/>
    </xf>
    <xf borderId="52" fillId="2" fontId="4" numFmtId="0" xfId="0" applyAlignment="1" applyBorder="1" applyFont="1">
      <alignment horizontal="center"/>
    </xf>
    <xf borderId="6" fillId="2" fontId="4" numFmtId="0" xfId="0" applyAlignment="1" applyBorder="1" applyFont="1">
      <alignment horizontal="center"/>
    </xf>
    <xf borderId="6" fillId="2" fontId="4" numFmtId="49" xfId="0" applyAlignment="1" applyBorder="1" applyFont="1" applyNumberFormat="1">
      <alignment horizontal="center"/>
    </xf>
    <xf borderId="13" fillId="2" fontId="4" numFmtId="0" xfId="0" applyBorder="1" applyFont="1"/>
    <xf borderId="52" fillId="2" fontId="4" numFmtId="9" xfId="0" applyAlignment="1" applyBorder="1" applyFont="1" applyNumberFormat="1">
      <alignment horizontal="center"/>
    </xf>
    <xf borderId="33" fillId="3" fontId="4" numFmtId="0" xfId="0" applyAlignment="1" applyBorder="1" applyFont="1">
      <alignment horizontal="center" shrinkToFit="0" vertical="center" wrapText="1"/>
    </xf>
    <xf borderId="52" fillId="3" fontId="1" numFmtId="9" xfId="0" applyAlignment="1" applyBorder="1" applyFont="1" applyNumberFormat="1">
      <alignment horizontal="center"/>
    </xf>
    <xf borderId="74" fillId="3" fontId="4" numFmtId="0" xfId="0" applyAlignment="1" applyBorder="1" applyFont="1">
      <alignment horizontal="center" shrinkToFit="0" vertical="center" wrapText="1"/>
    </xf>
    <xf borderId="75" fillId="2" fontId="4" numFmtId="0" xfId="0" applyBorder="1" applyFont="1"/>
    <xf borderId="2" fillId="2" fontId="4" numFmtId="164" xfId="0" applyBorder="1" applyFont="1" applyNumberFormat="1"/>
    <xf borderId="54" fillId="2" fontId="4" numFmtId="164" xfId="0" applyBorder="1" applyFont="1" applyNumberFormat="1"/>
    <xf borderId="74" fillId="2" fontId="4" numFmtId="164" xfId="0" applyBorder="1" applyFont="1" applyNumberFormat="1"/>
    <xf borderId="74" fillId="2" fontId="4" numFmtId="9" xfId="0" applyAlignment="1" applyBorder="1" applyFont="1" applyNumberFormat="1">
      <alignment horizontal="center"/>
    </xf>
    <xf borderId="8" fillId="2" fontId="4" numFmtId="9" xfId="0" applyAlignment="1" applyBorder="1" applyFont="1" applyNumberFormat="1">
      <alignment horizontal="center" vertical="center"/>
    </xf>
    <xf borderId="6" fillId="3" fontId="1" numFmtId="164" xfId="0" applyAlignment="1" applyBorder="1" applyFont="1" applyNumberFormat="1">
      <alignment horizontal="center"/>
    </xf>
    <xf borderId="52" fillId="2" fontId="4" numFmtId="9" xfId="0" applyBorder="1" applyFont="1" applyNumberFormat="1"/>
    <xf borderId="52" fillId="2" fontId="4" numFmtId="9" xfId="0" applyAlignment="1" applyBorder="1" applyFont="1" applyNumberFormat="1">
      <alignment horizontal="center" vertical="center"/>
    </xf>
    <xf borderId="0" fillId="0" fontId="17" numFmtId="0" xfId="0" applyFont="1"/>
    <xf borderId="0" fillId="0" fontId="32" numFmtId="0" xfId="0" applyFont="1"/>
    <xf borderId="0" fillId="0" fontId="33" numFmtId="165" xfId="0" applyAlignment="1" applyFont="1" applyNumberFormat="1">
      <alignment horizontal="right" vertical="center"/>
    </xf>
    <xf borderId="0" fillId="0" fontId="18" numFmtId="0" xfId="0" applyFont="1"/>
    <xf borderId="0" fillId="0" fontId="8" numFmtId="165" xfId="0" applyFont="1" applyNumberFormat="1"/>
    <xf borderId="76" fillId="0" fontId="34" numFmtId="0" xfId="0" applyAlignment="1" applyBorder="1" applyFont="1">
      <alignment vertical="center"/>
    </xf>
    <xf borderId="76" fillId="0" fontId="5" numFmtId="0" xfId="0" applyBorder="1" applyFont="1"/>
    <xf borderId="0" fillId="0" fontId="32" numFmtId="165" xfId="0" applyFont="1" applyNumberFormat="1"/>
    <xf borderId="77" fillId="0" fontId="35" numFmtId="0" xfId="0" applyAlignment="1" applyBorder="1" applyFont="1">
      <alignment horizontal="center" vertical="center"/>
    </xf>
    <xf borderId="77" fillId="0" fontId="5" numFmtId="0" xfId="0" applyBorder="1" applyFont="1"/>
    <xf borderId="0" fillId="0" fontId="35" numFmtId="0" xfId="0" applyAlignment="1" applyFont="1">
      <alignment horizontal="center" vertical="center"/>
    </xf>
    <xf borderId="0" fillId="0" fontId="20" numFmtId="0" xfId="0" applyAlignment="1" applyFont="1">
      <alignment vertical="center"/>
    </xf>
    <xf borderId="0" fillId="0" fontId="21" numFmtId="0" xfId="0" applyAlignment="1" applyFont="1">
      <alignment vertical="center"/>
    </xf>
    <xf borderId="0" fillId="0" fontId="21" numFmtId="165" xfId="0" applyAlignment="1" applyFont="1" applyNumberFormat="1">
      <alignment vertical="center"/>
    </xf>
    <xf borderId="0" fillId="0" fontId="20" numFmtId="0" xfId="0" applyAlignment="1" applyFont="1">
      <alignment horizontal="right" vertical="center"/>
    </xf>
    <xf borderId="78" fillId="0" fontId="20" numFmtId="0" xfId="0" applyAlignment="1" applyBorder="1" applyFont="1">
      <alignment horizontal="center" vertical="center"/>
    </xf>
    <xf borderId="79" fillId="0" fontId="5" numFmtId="0" xfId="0" applyBorder="1" applyFont="1"/>
    <xf borderId="37" fillId="0" fontId="20" numFmtId="0" xfId="0" applyAlignment="1" applyBorder="1" applyFont="1">
      <alignment horizontal="center" vertical="center"/>
    </xf>
    <xf borderId="37" fillId="0" fontId="20" numFmtId="0" xfId="0" applyAlignment="1" applyBorder="1" applyFont="1">
      <alignment horizontal="center" shrinkToFit="0" vertical="center" wrapText="1"/>
    </xf>
    <xf borderId="37" fillId="0" fontId="20" numFmtId="165" xfId="0" applyAlignment="1" applyBorder="1" applyFont="1" applyNumberFormat="1">
      <alignment horizontal="center" vertical="center"/>
    </xf>
    <xf borderId="78" fillId="0" fontId="20" numFmtId="0" xfId="0" applyAlignment="1" applyBorder="1" applyFont="1">
      <alignment horizontal="left" vertical="center"/>
    </xf>
    <xf borderId="37" fillId="0" fontId="20" numFmtId="165" xfId="0" applyAlignment="1" applyBorder="1" applyFont="1" applyNumberFormat="1">
      <alignment horizontal="center" shrinkToFit="0" vertical="center" wrapText="1"/>
    </xf>
    <xf borderId="37" fillId="0" fontId="21" numFmtId="0" xfId="0" applyAlignment="1" applyBorder="1" applyFont="1">
      <alignment vertical="center"/>
    </xf>
    <xf borderId="78" fillId="0" fontId="21" numFmtId="0" xfId="0" applyAlignment="1" applyBorder="1" applyFont="1">
      <alignment horizontal="left" vertical="center"/>
    </xf>
    <xf borderId="37" fillId="0" fontId="21" numFmtId="1" xfId="0" applyAlignment="1" applyBorder="1" applyFont="1" applyNumberFormat="1">
      <alignment horizontal="center" shrinkToFit="0" vertical="center" wrapText="1"/>
    </xf>
    <xf borderId="37" fillId="0" fontId="21" numFmtId="0" xfId="0" applyAlignment="1" applyBorder="1" applyFont="1">
      <alignment horizontal="center" shrinkToFit="0" vertical="center" wrapText="1"/>
    </xf>
    <xf borderId="37" fillId="0" fontId="21" numFmtId="165" xfId="0" applyAlignment="1" applyBorder="1" applyFont="1" applyNumberFormat="1">
      <alignment horizontal="center" shrinkToFit="0" vertical="center" wrapText="1"/>
    </xf>
    <xf borderId="78" fillId="0" fontId="20" numFmtId="0" xfId="0" applyAlignment="1" applyBorder="1" applyFont="1">
      <alignment vertical="center"/>
    </xf>
    <xf borderId="0" fillId="0" fontId="18" numFmtId="165" xfId="0" applyFont="1" applyNumberFormat="1"/>
    <xf borderId="37" fillId="0" fontId="20" numFmtId="0" xfId="0" applyAlignment="1" applyBorder="1" applyFont="1">
      <alignment vertical="center"/>
    </xf>
    <xf borderId="37" fillId="0" fontId="21" numFmtId="0" xfId="0" applyAlignment="1" applyBorder="1" applyFont="1">
      <alignment horizontal="right" vertical="center"/>
    </xf>
    <xf borderId="37" fillId="0" fontId="21" numFmtId="165" xfId="0" applyAlignment="1" applyBorder="1" applyFont="1" applyNumberFormat="1">
      <alignment horizontal="right" vertical="center"/>
    </xf>
    <xf borderId="80" fillId="0" fontId="20" numFmtId="0" xfId="0" applyAlignment="1" applyBorder="1" applyFont="1">
      <alignment horizontal="left" shrinkToFit="0" vertical="center" wrapText="1"/>
    </xf>
    <xf borderId="81" fillId="0" fontId="5" numFmtId="0" xfId="0" applyBorder="1" applyFont="1"/>
    <xf borderId="82" fillId="0" fontId="5" numFmtId="0" xfId="0" applyBorder="1" applyFont="1"/>
    <xf borderId="83" fillId="0" fontId="5" numFmtId="0" xfId="0" applyBorder="1" applyFont="1"/>
    <xf borderId="84" fillId="0" fontId="5" numFmtId="0" xfId="0" applyBorder="1" applyFont="1"/>
    <xf borderId="37" fillId="0" fontId="20" numFmtId="165" xfId="0" applyAlignment="1" applyBorder="1" applyFont="1" applyNumberFormat="1">
      <alignment horizontal="right" shrinkToFit="0" vertical="center" wrapText="1"/>
    </xf>
    <xf borderId="0" fillId="0" fontId="18" numFmtId="4" xfId="0" applyFont="1" applyNumberFormat="1"/>
    <xf borderId="37" fillId="0" fontId="32" numFmtId="0" xfId="0" applyBorder="1" applyFont="1"/>
    <xf borderId="37" fillId="0" fontId="21" numFmtId="165" xfId="0" applyAlignment="1" applyBorder="1" applyFont="1" applyNumberFormat="1">
      <alignment horizontal="right" shrinkToFit="0" vertical="center" wrapText="1"/>
    </xf>
    <xf borderId="78" fillId="0" fontId="21" numFmtId="0" xfId="0" applyAlignment="1" applyBorder="1" applyFont="1">
      <alignment shrinkToFit="0" vertical="center" wrapText="1"/>
    </xf>
    <xf borderId="78" fillId="0" fontId="20" numFmtId="0" xfId="0" applyAlignment="1" applyBorder="1" applyFont="1">
      <alignment shrinkToFit="0" vertical="center" wrapText="1"/>
    </xf>
    <xf borderId="37" fillId="0" fontId="32" numFmtId="0" xfId="0" applyAlignment="1" applyBorder="1" applyFont="1">
      <alignment shrinkToFit="0" vertical="top" wrapText="1"/>
    </xf>
    <xf borderId="37" fillId="0" fontId="32" numFmtId="0" xfId="0" applyAlignment="1" applyBorder="1" applyFont="1">
      <alignment shrinkToFit="0" vertical="center" wrapText="1"/>
    </xf>
    <xf borderId="37" fillId="0" fontId="32" numFmtId="165" xfId="0" applyAlignment="1" applyBorder="1" applyFont="1" applyNumberFormat="1">
      <alignment shrinkToFit="0" vertical="center" wrapText="1"/>
    </xf>
    <xf borderId="78" fillId="0" fontId="21" numFmtId="0" xfId="0" applyAlignment="1" applyBorder="1" applyFont="1">
      <alignment vertical="center"/>
    </xf>
    <xf borderId="37" fillId="0" fontId="21" numFmtId="165" xfId="0" applyAlignment="1" applyBorder="1" applyFont="1" applyNumberFormat="1">
      <alignment horizontal="center" vertical="center"/>
    </xf>
    <xf borderId="37" fillId="0" fontId="17" numFmtId="165" xfId="0" applyAlignment="1" applyBorder="1" applyFont="1" applyNumberFormat="1">
      <alignment horizontal="center"/>
    </xf>
    <xf borderId="0" fillId="0" fontId="17" numFmtId="165" xfId="0" applyAlignment="1" applyFont="1" applyNumberFormat="1">
      <alignment horizontal="center"/>
    </xf>
    <xf borderId="0" fillId="0" fontId="32" numFmtId="0" xfId="0" applyAlignment="1" applyFont="1">
      <alignment shrinkToFit="0" vertical="top" wrapText="1"/>
    </xf>
    <xf borderId="0" fillId="0" fontId="32" numFmtId="0" xfId="0" applyAlignment="1" applyFont="1">
      <alignment shrinkToFit="0" vertical="center" wrapText="1"/>
    </xf>
    <xf borderId="0" fillId="0" fontId="32" numFmtId="165" xfId="0" applyAlignment="1" applyFont="1" applyNumberFormat="1">
      <alignment shrinkToFit="0" vertical="center" wrapText="1"/>
    </xf>
    <xf borderId="6" fillId="3" fontId="9" numFmtId="170" xfId="0" applyBorder="1" applyFont="1" applyNumberFormat="1"/>
    <xf borderId="6" fillId="3" fontId="9" numFmtId="164" xfId="0" applyBorder="1" applyFont="1" applyNumberFormat="1"/>
    <xf borderId="6" fillId="3" fontId="9" numFmtId="164" xfId="0" applyAlignment="1" applyBorder="1" applyFont="1" applyNumberFormat="1">
      <alignment horizontal="center"/>
    </xf>
    <xf borderId="16" fillId="3" fontId="7" numFmtId="170" xfId="0" applyAlignment="1" applyBorder="1" applyFont="1" applyNumberFormat="1">
      <alignment horizontal="center"/>
    </xf>
    <xf borderId="6" fillId="3" fontId="7" numFmtId="170" xfId="0" applyAlignment="1" applyBorder="1" applyFont="1" applyNumberFormat="1">
      <alignment horizontal="center"/>
    </xf>
    <xf borderId="6" fillId="3" fontId="7" numFmtId="164" xfId="0" applyAlignment="1" applyBorder="1" applyFont="1" applyNumberFormat="1">
      <alignment horizontal="left"/>
    </xf>
    <xf borderId="6" fillId="3" fontId="7" numFmtId="170" xfId="0" applyAlignment="1" applyBorder="1" applyFont="1" applyNumberFormat="1">
      <alignment horizontal="right"/>
    </xf>
    <xf borderId="0" fillId="0" fontId="9" numFmtId="170" xfId="0" applyFont="1" applyNumberFormat="1"/>
    <xf borderId="1" fillId="10" fontId="7" numFmtId="164" xfId="0" applyAlignment="1" applyBorder="1" applyFill="1" applyFont="1" applyNumberFormat="1">
      <alignment horizontal="center" vertical="center"/>
    </xf>
    <xf borderId="1" fillId="10" fontId="7" numFmtId="170" xfId="0" applyAlignment="1" applyBorder="1" applyFont="1" applyNumberFormat="1">
      <alignment horizontal="center" vertical="center"/>
    </xf>
    <xf borderId="1" fillId="10" fontId="7" numFmtId="170" xfId="0" applyAlignment="1" applyBorder="1" applyFont="1" applyNumberFormat="1">
      <alignment horizontal="center" shrinkToFit="0" vertical="center" wrapText="1"/>
    </xf>
    <xf borderId="85" fillId="10" fontId="7" numFmtId="170" xfId="0" applyAlignment="1" applyBorder="1" applyFont="1" applyNumberFormat="1">
      <alignment horizontal="center" shrinkToFit="0" vertical="center" wrapText="1"/>
    </xf>
    <xf borderId="86" fillId="0" fontId="5" numFmtId="0" xfId="0" applyBorder="1" applyFont="1"/>
    <xf borderId="6" fillId="10" fontId="7" numFmtId="170" xfId="0" applyAlignment="1" applyBorder="1" applyFont="1" applyNumberFormat="1">
      <alignment shrinkToFit="0" vertical="center" wrapText="1"/>
    </xf>
    <xf borderId="0" fillId="0" fontId="9" numFmtId="164" xfId="0" applyAlignment="1" applyFont="1" applyNumberFormat="1">
      <alignment horizontal="center" vertical="center"/>
    </xf>
    <xf borderId="6" fillId="10" fontId="7" numFmtId="170" xfId="0" applyAlignment="1" applyBorder="1" applyFont="1" applyNumberFormat="1">
      <alignment horizontal="center" shrinkToFit="0" vertical="center" wrapText="1"/>
    </xf>
    <xf borderId="6" fillId="3" fontId="9" numFmtId="164" xfId="0" applyAlignment="1" applyBorder="1" applyFont="1" applyNumberFormat="1">
      <alignment horizontal="center" vertical="center"/>
    </xf>
    <xf borderId="6" fillId="3" fontId="9" numFmtId="170" xfId="0" applyAlignment="1" applyBorder="1" applyFont="1" applyNumberFormat="1">
      <alignment horizontal="left" vertical="center"/>
    </xf>
    <xf borderId="6" fillId="3" fontId="9" numFmtId="170" xfId="0" applyAlignment="1" applyBorder="1" applyFont="1" applyNumberFormat="1">
      <alignment horizontal="left" shrinkToFit="0" vertical="center" wrapText="1"/>
    </xf>
    <xf borderId="6" fillId="3" fontId="9" numFmtId="170" xfId="0" applyAlignment="1" applyBorder="1" applyFont="1" applyNumberFormat="1">
      <alignment vertical="center"/>
    </xf>
    <xf borderId="6" fillId="3" fontId="9" numFmtId="170" xfId="0" applyAlignment="1" applyBorder="1" applyFont="1" applyNumberFormat="1">
      <alignment horizontal="center" shrinkToFit="0" wrapText="1"/>
    </xf>
    <xf borderId="6" fillId="3" fontId="9" numFmtId="170" xfId="0" applyAlignment="1" applyBorder="1" applyFont="1" applyNumberFormat="1">
      <alignment horizontal="right"/>
    </xf>
    <xf borderId="6" fillId="3" fontId="9" numFmtId="170" xfId="0" applyAlignment="1" applyBorder="1" applyFont="1" applyNumberFormat="1">
      <alignment horizontal="left"/>
    </xf>
    <xf borderId="6" fillId="3" fontId="36" numFmtId="0" xfId="0" applyBorder="1" applyFont="1"/>
    <xf borderId="0" fillId="0" fontId="36" numFmtId="0" xfId="0" applyFont="1"/>
    <xf borderId="87" fillId="7" fontId="37" numFmtId="0" xfId="0" applyAlignment="1" applyBorder="1" applyFont="1">
      <alignment shrinkToFit="0" vertical="center" wrapText="1"/>
    </xf>
    <xf borderId="6" fillId="10" fontId="7" numFmtId="164" xfId="0" applyAlignment="1" applyBorder="1" applyFont="1" applyNumberFormat="1">
      <alignment horizontal="center" vertical="center"/>
    </xf>
    <xf borderId="6" fillId="10" fontId="7" numFmtId="170" xfId="0" applyBorder="1" applyFont="1" applyNumberFormat="1"/>
    <xf borderId="88" fillId="10" fontId="7" numFmtId="170" xfId="0" applyBorder="1" applyFont="1" applyNumberFormat="1"/>
    <xf borderId="89" fillId="3" fontId="36" numFmtId="170" xfId="0" applyAlignment="1" applyBorder="1" applyFont="1" applyNumberFormat="1">
      <alignment horizontal="right" shrinkToFit="0" vertical="top" wrapText="1"/>
    </xf>
    <xf borderId="6" fillId="3" fontId="36" numFmtId="165" xfId="0" applyBorder="1" applyFont="1" applyNumberFormat="1"/>
    <xf borderId="6" fillId="3" fontId="9" numFmtId="165" xfId="0" applyBorder="1" applyFont="1" applyNumberFormat="1"/>
    <xf borderId="6" fillId="3" fontId="36" numFmtId="170" xfId="0" applyBorder="1" applyFont="1" applyNumberFormat="1"/>
    <xf borderId="6" fillId="3" fontId="36" numFmtId="170" xfId="0" applyAlignment="1" applyBorder="1" applyFont="1" applyNumberFormat="1">
      <alignment horizontal="right" shrinkToFit="0" vertical="top" wrapText="1"/>
    </xf>
    <xf borderId="6" fillId="3" fontId="9" numFmtId="10" xfId="0" applyBorder="1" applyFont="1" applyNumberFormat="1"/>
    <xf borderId="6" fillId="3" fontId="38" numFmtId="170" xfId="0" applyBorder="1" applyFont="1" applyNumberFormat="1"/>
    <xf borderId="78" fillId="11" fontId="39" numFmtId="0" xfId="0" applyAlignment="1" applyBorder="1" applyFill="1" applyFont="1">
      <alignment horizontal="center" shrinkToFit="0" wrapText="1"/>
    </xf>
    <xf borderId="37" fillId="0" fontId="36" numFmtId="165" xfId="0" applyAlignment="1" applyBorder="1" applyFont="1" applyNumberFormat="1">
      <alignment shrinkToFit="0" wrapText="1"/>
    </xf>
    <xf borderId="37" fillId="0" fontId="36" numFmtId="0" xfId="0" applyAlignment="1" applyBorder="1" applyFont="1">
      <alignment shrinkToFit="0" wrapText="1"/>
    </xf>
    <xf borderId="0" fillId="0" fontId="9" numFmtId="165" xfId="0" applyFont="1" applyNumberFormat="1"/>
    <xf borderId="0" fillId="0" fontId="9" numFmtId="172" xfId="0" applyFont="1" applyNumberFormat="1"/>
    <xf borderId="37" fillId="11" fontId="39" numFmtId="165" xfId="0" applyAlignment="1" applyBorder="1" applyFont="1" applyNumberFormat="1">
      <alignment shrinkToFit="0" wrapText="1"/>
    </xf>
    <xf borderId="0" fillId="0" fontId="7" numFmtId="0" xfId="0" applyAlignment="1" applyFont="1">
      <alignment horizontal="center"/>
    </xf>
    <xf borderId="6" fillId="10" fontId="7" numFmtId="0" xfId="0" applyBorder="1" applyFont="1"/>
    <xf borderId="6" fillId="10" fontId="7" numFmtId="165" xfId="0" applyBorder="1" applyFont="1" applyNumberFormat="1"/>
    <xf borderId="0" fillId="0" fontId="1" numFmtId="0" xfId="0" applyAlignment="1" applyFont="1">
      <alignment horizontal="left" shrinkToFit="0" vertical="center" wrapText="1"/>
    </xf>
    <xf borderId="0" fillId="0" fontId="37" numFmtId="165" xfId="0" applyFont="1" applyNumberFormat="1"/>
    <xf borderId="18" fillId="0" fontId="9" numFmtId="0" xfId="0" applyBorder="1" applyFont="1"/>
    <xf borderId="18" fillId="0" fontId="1" numFmtId="0" xfId="0" applyAlignment="1" applyBorder="1" applyFont="1">
      <alignment shrinkToFit="0" vertical="center" wrapText="1"/>
    </xf>
    <xf borderId="18" fillId="0" fontId="9" numFmtId="165" xfId="0" applyBorder="1" applyFont="1" applyNumberFormat="1"/>
    <xf borderId="21" fillId="0" fontId="7" numFmtId="0" xfId="0" applyBorder="1" applyFont="1"/>
    <xf borderId="21" fillId="0" fontId="7" numFmtId="0" xfId="0" applyAlignment="1" applyBorder="1" applyFont="1">
      <alignment horizontal="left"/>
    </xf>
    <xf borderId="21" fillId="0" fontId="7" numFmtId="165" xfId="0" applyBorder="1" applyFont="1" applyNumberFormat="1"/>
    <xf borderId="90" fillId="10" fontId="7" numFmtId="0" xfId="0" applyBorder="1" applyFont="1"/>
    <xf borderId="90" fillId="10" fontId="7" numFmtId="0" xfId="0" applyAlignment="1" applyBorder="1" applyFont="1">
      <alignment horizontal="left"/>
    </xf>
    <xf borderId="90" fillId="10" fontId="7" numFmtId="165" xfId="0" applyBorder="1" applyFont="1" applyNumberFormat="1"/>
    <xf borderId="0" fillId="0" fontId="40" numFmtId="0" xfId="0" applyAlignment="1" applyFont="1">
      <alignment horizontal="center" vertical="center"/>
    </xf>
    <xf borderId="0" fillId="0" fontId="41" numFmtId="0" xfId="0" applyAlignment="1" applyFont="1">
      <alignment horizontal="left"/>
    </xf>
    <xf borderId="0" fillId="0" fontId="4" numFmtId="0" xfId="0" applyFont="1"/>
    <xf borderId="0" fillId="0" fontId="1" numFmtId="0" xfId="0" applyAlignment="1" applyFont="1">
      <alignment horizontal="right" vertical="center"/>
    </xf>
    <xf borderId="0" fillId="0" fontId="0" numFmtId="0" xfId="0" applyAlignment="1" applyFont="1">
      <alignment vertical="center"/>
    </xf>
    <xf borderId="78" fillId="0" fontId="2" numFmtId="0" xfId="0" applyAlignment="1" applyBorder="1" applyFont="1">
      <alignment horizontal="left" shrinkToFit="0" vertical="center" wrapText="1"/>
    </xf>
    <xf borderId="79" fillId="0" fontId="2" numFmtId="0" xfId="0" applyAlignment="1" applyBorder="1" applyFont="1">
      <alignment shrinkToFit="0" vertical="center" wrapText="1"/>
    </xf>
    <xf borderId="37" fillId="0" fontId="2" numFmtId="0" xfId="0" applyAlignment="1" applyBorder="1" applyFont="1">
      <alignment horizontal="center" shrinkToFit="0" vertical="center" wrapText="1"/>
    </xf>
    <xf borderId="37" fillId="0" fontId="2" numFmtId="0" xfId="0" applyAlignment="1" applyBorder="1" applyFont="1">
      <alignment horizontal="left" shrinkToFit="0" vertical="center" wrapText="1"/>
    </xf>
    <xf borderId="78" fillId="0" fontId="2" numFmtId="0" xfId="0" applyAlignment="1" applyBorder="1" applyFont="1">
      <alignment horizontal="left" shrinkToFit="0" vertical="top" wrapText="1"/>
    </xf>
    <xf borderId="79" fillId="0" fontId="2" numFmtId="0" xfId="0" applyAlignment="1" applyBorder="1" applyFont="1">
      <alignment horizontal="left" shrinkToFit="0" vertical="top" wrapText="1"/>
    </xf>
    <xf borderId="79" fillId="0" fontId="2" numFmtId="165" xfId="0" applyAlignment="1" applyBorder="1" applyFont="1" applyNumberFormat="1">
      <alignment horizontal="left" shrinkToFit="0" vertical="center" wrapText="1"/>
    </xf>
    <xf borderId="37" fillId="0" fontId="42" numFmtId="0" xfId="0" applyAlignment="1" applyBorder="1" applyFont="1">
      <alignment shrinkToFit="0" vertical="center" wrapText="1"/>
    </xf>
    <xf borderId="37" fillId="0" fontId="42" numFmtId="165" xfId="0" applyAlignment="1" applyBorder="1" applyFont="1" applyNumberFormat="1">
      <alignment horizontal="right" shrinkToFit="0" vertical="center" wrapText="1"/>
    </xf>
    <xf borderId="37" fillId="0" fontId="2" numFmtId="0" xfId="0" applyAlignment="1" applyBorder="1" applyFont="1">
      <alignment shrinkToFit="0" vertical="center" wrapText="1"/>
    </xf>
    <xf borderId="37" fillId="0" fontId="2" numFmtId="165" xfId="0" applyAlignment="1" applyBorder="1" applyFont="1" applyNumberFormat="1">
      <alignment horizontal="right" shrinkToFit="0" vertical="center" wrapText="1"/>
    </xf>
    <xf borderId="37" fillId="0" fontId="0" numFmtId="165" xfId="0" applyBorder="1" applyFont="1" applyNumberFormat="1"/>
    <xf borderId="37" fillId="0" fontId="43" numFmtId="165" xfId="0" applyAlignment="1" applyBorder="1" applyFont="1" applyNumberFormat="1">
      <alignment horizontal="right" shrinkToFit="0" vertical="center" wrapText="1"/>
    </xf>
    <xf borderId="37" fillId="0" fontId="2" numFmtId="165" xfId="0" applyAlignment="1" applyBorder="1" applyFont="1" applyNumberFormat="1">
      <alignment shrinkToFit="0" vertical="center" wrapText="1"/>
    </xf>
    <xf borderId="37" fillId="0" fontId="2" numFmtId="165" xfId="0" applyAlignment="1" applyBorder="1" applyFont="1" applyNumberFormat="1">
      <alignment horizontal="left" shrinkToFit="0" vertical="center" wrapText="1"/>
    </xf>
    <xf borderId="37" fillId="0" fontId="42" numFmtId="165" xfId="0" applyAlignment="1" applyBorder="1" applyFont="1" applyNumberFormat="1">
      <alignment horizontal="right" vertical="center"/>
    </xf>
    <xf borderId="35" fillId="0" fontId="44" numFmtId="165" xfId="0" applyBorder="1" applyFont="1" applyNumberFormat="1"/>
    <xf borderId="37" fillId="0" fontId="2" numFmtId="0" xfId="0" applyAlignment="1" applyBorder="1" applyFont="1">
      <alignment horizontal="left" vertical="top"/>
    </xf>
    <xf borderId="0" fillId="0" fontId="4" numFmtId="0" xfId="0" applyAlignment="1" applyFont="1">
      <alignment horizontal="left" shrinkToFit="0" vertical="top" wrapText="1"/>
    </xf>
    <xf borderId="0" fillId="0" fontId="4" numFmtId="0" xfId="0" applyAlignment="1" applyFont="1">
      <alignment shrinkToFit="0" vertical="top" wrapText="1"/>
    </xf>
    <xf borderId="0" fillId="0" fontId="45" numFmtId="165" xfId="0" applyAlignment="1" applyFont="1" applyNumberFormat="1">
      <alignment horizontal="right" shrinkToFit="0" vertical="top" wrapText="1"/>
    </xf>
    <xf borderId="0" fillId="0" fontId="1" numFmtId="0" xfId="0" applyAlignment="1" applyFont="1">
      <alignment horizontal="left"/>
    </xf>
    <xf borderId="0" fillId="0" fontId="1" numFmtId="164" xfId="0" applyAlignment="1" applyFont="1" applyNumberFormat="1">
      <alignment horizontal="center" vertical="center"/>
    </xf>
    <xf borderId="0" fillId="0" fontId="42" numFmtId="0" xfId="0" applyFont="1"/>
    <xf borderId="0" fillId="0" fontId="42" numFmtId="164" xfId="0" applyAlignment="1" applyFont="1" applyNumberFormat="1">
      <alignment vertical="center"/>
    </xf>
    <xf borderId="0" fillId="0" fontId="42" numFmtId="164" xfId="0" applyAlignment="1" applyFont="1" applyNumberFormat="1">
      <alignment horizontal="left" vertical="center"/>
    </xf>
    <xf borderId="0" fillId="0" fontId="42" numFmtId="0" xfId="0" applyAlignment="1" applyFont="1">
      <alignment horizontal="left" vertical="center"/>
    </xf>
    <xf borderId="0" fillId="0" fontId="46" numFmtId="0" xfId="0" applyAlignment="1" applyFont="1">
      <alignment horizontal="center" shrinkToFit="0" vertical="center" wrapText="1"/>
    </xf>
    <xf borderId="0" fillId="0" fontId="47" numFmtId="0" xfId="0" applyAlignment="1" applyFont="1">
      <alignment shrinkToFit="0" wrapText="1"/>
    </xf>
    <xf borderId="0" fillId="0" fontId="13" numFmtId="0" xfId="0" applyAlignment="1" applyFont="1">
      <alignment shrinkToFit="0" wrapText="1"/>
    </xf>
    <xf borderId="0" fillId="0" fontId="13" numFmtId="4" xfId="0" applyAlignment="1" applyFont="1" applyNumberFormat="1">
      <alignment shrinkToFit="0" wrapText="1"/>
    </xf>
    <xf borderId="0" fillId="0" fontId="0" numFmtId="4" xfId="0" applyFont="1" applyNumberFormat="1"/>
    <xf borderId="0" fillId="0" fontId="48" numFmtId="170" xfId="0" applyFont="1" applyNumberFormat="1"/>
    <xf borderId="0" fillId="0" fontId="17" numFmtId="49" xfId="0" applyFont="1" applyNumberFormat="1"/>
    <xf borderId="0" fillId="0" fontId="2" numFmtId="0" xfId="0" applyAlignment="1" applyFont="1">
      <alignment horizontal="center"/>
    </xf>
    <xf borderId="0" fillId="0" fontId="2" numFmtId="0" xfId="0" applyAlignment="1" applyFont="1">
      <alignment horizontal="left"/>
    </xf>
    <xf borderId="0" fillId="0" fontId="17" numFmtId="0" xfId="0" applyAlignment="1" applyFont="1">
      <alignment horizontal="right" vertical="center"/>
    </xf>
    <xf borderId="0" fillId="0" fontId="17" numFmtId="49" xfId="0" applyAlignment="1" applyFont="1" applyNumberFormat="1">
      <alignment vertical="center"/>
    </xf>
    <xf borderId="37" fillId="0" fontId="35" numFmtId="0" xfId="0" applyAlignment="1" applyBorder="1" applyFont="1">
      <alignment horizontal="center" shrinkToFit="0" vertical="center" wrapText="1"/>
    </xf>
    <xf borderId="37" fillId="0" fontId="35" numFmtId="0" xfId="0" applyAlignment="1" applyBorder="1" applyFont="1">
      <alignment shrinkToFit="0" vertical="center" wrapText="1"/>
    </xf>
    <xf borderId="37" fillId="0" fontId="49" numFmtId="0" xfId="0" applyAlignment="1" applyBorder="1" applyFont="1">
      <alignment horizontal="center" shrinkToFit="0" vertical="center" wrapText="1"/>
    </xf>
    <xf borderId="37" fillId="0" fontId="32" numFmtId="49" xfId="0" applyAlignment="1" applyBorder="1" applyFont="1" applyNumberFormat="1">
      <alignment horizontal="center" shrinkToFit="0" vertical="center" wrapText="1"/>
    </xf>
    <xf borderId="37" fillId="0" fontId="32" numFmtId="165" xfId="0" applyAlignment="1" applyBorder="1" applyFont="1" applyNumberFormat="1">
      <alignment shrinkToFit="0" vertical="top" wrapText="1"/>
    </xf>
    <xf borderId="37" fillId="0" fontId="35" numFmtId="49" xfId="0" applyAlignment="1" applyBorder="1" applyFont="1" applyNumberFormat="1">
      <alignment horizontal="center" shrinkToFit="0" vertical="center" wrapText="1"/>
    </xf>
    <xf borderId="37" fillId="0" fontId="35" numFmtId="165" xfId="0" applyAlignment="1" applyBorder="1" applyFont="1" applyNumberFormat="1">
      <alignment shrinkToFit="0" vertical="center" wrapText="1"/>
    </xf>
    <xf borderId="37" fillId="0" fontId="32" numFmtId="165" xfId="0" applyAlignment="1" applyBorder="1" applyFont="1" applyNumberFormat="1">
      <alignment horizontal="right" vertical="center"/>
    </xf>
    <xf borderId="37" fillId="0" fontId="18" numFmtId="165" xfId="0" applyAlignment="1" applyBorder="1" applyFont="1" applyNumberFormat="1">
      <alignment horizontal="right" vertical="center"/>
    </xf>
    <xf borderId="37" fillId="0" fontId="32" numFmtId="49" xfId="0" applyAlignment="1" applyBorder="1" applyFont="1" applyNumberFormat="1">
      <alignment horizontal="center" vertical="center"/>
    </xf>
    <xf borderId="37" fillId="0" fontId="35" numFmtId="0" xfId="0" applyAlignment="1" applyBorder="1" applyFont="1">
      <alignment shrinkToFit="0" vertical="top" wrapText="1"/>
    </xf>
    <xf borderId="0" fillId="0" fontId="17" numFmtId="49" xfId="0" applyAlignment="1" applyFont="1" applyNumberFormat="1">
      <alignment vertical="top"/>
    </xf>
    <xf borderId="0" fillId="0" fontId="20" numFmtId="49" xfId="0" applyAlignment="1" applyFont="1" applyNumberFormat="1">
      <alignment horizontal="center" shrinkToFit="0" vertical="center" wrapText="1"/>
    </xf>
    <xf borderId="0" fillId="0" fontId="20" numFmtId="0" xfId="0" applyAlignment="1" applyFont="1">
      <alignment shrinkToFit="0" vertical="top" wrapText="1"/>
    </xf>
    <xf borderId="0" fillId="0" fontId="21" numFmtId="0" xfId="0" applyAlignment="1" applyFont="1">
      <alignment shrinkToFit="0" vertical="top" wrapText="1"/>
    </xf>
    <xf borderId="0" fillId="0" fontId="17" numFmtId="0" xfId="0" applyAlignment="1" applyFont="1">
      <alignment vertical="top"/>
    </xf>
    <xf borderId="0" fillId="0" fontId="24" numFmtId="165" xfId="0" applyAlignment="1" applyFont="1" applyNumberFormat="1">
      <alignment vertical="top"/>
    </xf>
    <xf borderId="0" fillId="0" fontId="24" numFmtId="39" xfId="0" applyFont="1" applyNumberFormat="1"/>
    <xf borderId="0" fillId="0" fontId="17" numFmtId="49" xfId="0" applyAlignment="1" applyFont="1" applyNumberFormat="1">
      <alignment horizontal="center" vertical="center"/>
    </xf>
    <xf borderId="0" fillId="0" fontId="17" numFmtId="165" xfId="0" applyAlignment="1" applyFont="1" applyNumberFormat="1">
      <alignment horizontal="center" vertical="center"/>
    </xf>
    <xf borderId="0" fillId="0" fontId="17" numFmtId="0" xfId="0" applyAlignment="1" applyFont="1">
      <alignment horizontal="left" vertical="center"/>
    </xf>
    <xf borderId="0" fillId="0" fontId="17" numFmtId="165" xfId="0" applyFont="1" applyNumberFormat="1"/>
    <xf borderId="0" fillId="0" fontId="50" numFmtId="0" xfId="0" applyFont="1"/>
    <xf borderId="0" fillId="0" fontId="50" numFmtId="165" xfId="0" applyFont="1" applyNumberFormat="1"/>
    <xf borderId="0" fillId="0" fontId="51" numFmtId="0" xfId="0" applyAlignment="1" applyFont="1">
      <alignment horizontal="left"/>
    </xf>
    <xf borderId="6" fillId="3" fontId="17" numFmtId="0" xfId="0" applyBorder="1" applyFont="1"/>
    <xf borderId="16" fillId="3" fontId="40" numFmtId="0" xfId="0" applyAlignment="1" applyBorder="1" applyFont="1">
      <alignment horizontal="center" vertical="center"/>
    </xf>
    <xf borderId="6" fillId="3" fontId="17" numFmtId="4" xfId="0" applyBorder="1" applyFont="1" applyNumberFormat="1"/>
    <xf borderId="6" fillId="3" fontId="3" numFmtId="14" xfId="0" applyAlignment="1" applyBorder="1" applyFont="1" applyNumberFormat="1">
      <alignment horizontal="right"/>
    </xf>
    <xf borderId="6" fillId="3" fontId="2" numFmtId="0" xfId="0" applyAlignment="1" applyBorder="1" applyFont="1">
      <alignment horizontal="left"/>
    </xf>
    <xf borderId="6" fillId="3" fontId="17" numFmtId="0" xfId="0" applyAlignment="1" applyBorder="1" applyFont="1">
      <alignment horizontal="right" vertical="center"/>
    </xf>
    <xf borderId="23" fillId="3" fontId="20" numFmtId="0" xfId="0" applyAlignment="1" applyBorder="1" applyFont="1">
      <alignment horizontal="center" shrinkToFit="0" vertical="center" wrapText="1"/>
    </xf>
    <xf borderId="37" fillId="3" fontId="3" numFmtId="0" xfId="0" applyAlignment="1" applyBorder="1" applyFont="1">
      <alignment horizontal="center" vertical="center"/>
    </xf>
    <xf borderId="37" fillId="3" fontId="20" numFmtId="0" xfId="0" applyAlignment="1" applyBorder="1" applyFont="1">
      <alignment horizontal="center" shrinkToFit="0" vertical="center" wrapText="1"/>
    </xf>
    <xf borderId="37" fillId="3" fontId="21" numFmtId="0" xfId="0" applyAlignment="1" applyBorder="1" applyFont="1">
      <alignment horizontal="center" shrinkToFit="0" vertical="center" wrapText="1"/>
    </xf>
    <xf borderId="37" fillId="3" fontId="20" numFmtId="0" xfId="0" applyAlignment="1" applyBorder="1" applyFont="1">
      <alignment shrinkToFit="0" vertical="center" wrapText="1"/>
    </xf>
    <xf borderId="37" fillId="3" fontId="20" numFmtId="164" xfId="0" applyAlignment="1" applyBorder="1" applyFont="1" applyNumberFormat="1">
      <alignment horizontal="right" shrinkToFit="0" vertical="center" wrapText="1"/>
    </xf>
    <xf borderId="37" fillId="3" fontId="21" numFmtId="164" xfId="0" applyAlignment="1" applyBorder="1" applyFont="1" applyNumberFormat="1">
      <alignment horizontal="right" shrinkToFit="0" vertical="center" wrapText="1"/>
    </xf>
    <xf borderId="37" fillId="3" fontId="21" numFmtId="0" xfId="0" applyAlignment="1" applyBorder="1" applyFont="1">
      <alignment shrinkToFit="0" vertical="center" wrapText="1"/>
    </xf>
    <xf borderId="0" fillId="0" fontId="8" numFmtId="164" xfId="0" applyAlignment="1" applyFont="1" applyNumberFormat="1">
      <alignment horizontal="right" vertical="center"/>
    </xf>
    <xf borderId="6" fillId="3" fontId="17" numFmtId="164" xfId="0" applyAlignment="1" applyBorder="1" applyFont="1" applyNumberFormat="1">
      <alignment vertical="top"/>
    </xf>
    <xf borderId="37" fillId="3" fontId="17" numFmtId="164" xfId="0" applyAlignment="1" applyBorder="1" applyFont="1" applyNumberFormat="1">
      <alignment vertical="top"/>
    </xf>
    <xf borderId="6" fillId="3" fontId="17" numFmtId="164" xfId="0" applyAlignment="1" applyBorder="1" applyFont="1" applyNumberFormat="1">
      <alignment vertical="center"/>
    </xf>
    <xf borderId="6" fillId="3" fontId="17" numFmtId="0" xfId="0" applyAlignment="1" applyBorder="1" applyFont="1">
      <alignment horizontal="left" vertical="center"/>
    </xf>
    <xf borderId="6" fillId="3" fontId="21" numFmtId="0" xfId="0" applyAlignment="1" applyBorder="1" applyFont="1">
      <alignment horizontal="center" vertical="center"/>
    </xf>
    <xf borderId="16" fillId="3" fontId="52" numFmtId="0" xfId="0" applyAlignment="1" applyBorder="1" applyFont="1">
      <alignment horizontal="center"/>
    </xf>
    <xf borderId="6" fillId="3" fontId="21" numFmtId="0" xfId="0" applyBorder="1" applyFont="1"/>
    <xf borderId="6" fillId="3" fontId="52" numFmtId="0" xfId="0" applyAlignment="1" applyBorder="1" applyFont="1">
      <alignment horizontal="left" vertical="center"/>
    </xf>
    <xf borderId="37" fillId="3" fontId="3" numFmtId="0" xfId="0" applyAlignment="1" applyBorder="1" applyFont="1">
      <alignment horizontal="center" shrinkToFit="0" vertical="center" wrapText="1"/>
    </xf>
    <xf borderId="37" fillId="3" fontId="21" numFmtId="0" xfId="0" applyAlignment="1" applyBorder="1" applyFont="1">
      <alignment horizontal="center" vertical="center"/>
    </xf>
    <xf borderId="37" fillId="3" fontId="20" numFmtId="0" xfId="0" applyAlignment="1" applyBorder="1" applyFont="1">
      <alignment horizontal="left" shrinkToFit="0" vertical="center" wrapText="1"/>
    </xf>
    <xf borderId="37" fillId="3" fontId="20" numFmtId="165" xfId="0" applyAlignment="1" applyBorder="1" applyFont="1" applyNumberFormat="1">
      <alignment shrinkToFit="0" vertical="center" wrapText="1"/>
    </xf>
    <xf borderId="37" fillId="3" fontId="21" numFmtId="0" xfId="0" applyAlignment="1" applyBorder="1" applyFont="1">
      <alignment horizontal="left" shrinkToFit="0" vertical="center" wrapText="1"/>
    </xf>
    <xf borderId="37" fillId="3" fontId="21" numFmtId="165" xfId="0" applyAlignment="1" applyBorder="1" applyFont="1" applyNumberFormat="1">
      <alignment horizontal="left" shrinkToFit="0" vertical="center" wrapText="1"/>
    </xf>
    <xf borderId="37" fillId="3" fontId="21" numFmtId="165" xfId="0" applyAlignment="1" applyBorder="1" applyFont="1" applyNumberFormat="1">
      <alignment shrinkToFit="0" vertical="center" wrapText="1"/>
    </xf>
    <xf borderId="37" fillId="3" fontId="21" numFmtId="165" xfId="0" applyAlignment="1" applyBorder="1" applyFont="1" applyNumberFormat="1">
      <alignment shrinkToFit="0" vertical="top" wrapText="1"/>
    </xf>
    <xf borderId="37" fillId="0" fontId="17" numFmtId="4" xfId="0" applyAlignment="1" applyBorder="1" applyFont="1" applyNumberFormat="1">
      <alignment shrinkToFit="0" wrapText="1"/>
    </xf>
    <xf borderId="37" fillId="3" fontId="20" numFmtId="165" xfId="0" applyAlignment="1" applyBorder="1" applyFont="1" applyNumberFormat="1">
      <alignment horizontal="left" shrinkToFit="0" vertical="center" wrapText="1"/>
    </xf>
    <xf borderId="37" fillId="3" fontId="21" numFmtId="14" xfId="0" applyAlignment="1" applyBorder="1" applyFont="1" applyNumberFormat="1">
      <alignment horizontal="center" shrinkToFit="0" vertical="center" wrapText="1"/>
    </xf>
    <xf borderId="0" fillId="0" fontId="18" numFmtId="0" xfId="0" applyAlignment="1" applyFont="1">
      <alignment horizontal="center" vertical="center"/>
    </xf>
    <xf borderId="37" fillId="3" fontId="20" numFmtId="165" xfId="0" applyAlignment="1" applyBorder="1" applyFont="1" applyNumberFormat="1">
      <alignment horizontal="center" shrinkToFit="0" vertical="center" wrapText="1"/>
    </xf>
    <xf borderId="37" fillId="3" fontId="3" numFmtId="0" xfId="0" applyAlignment="1" applyBorder="1" applyFont="1">
      <alignment horizontal="left" vertical="top"/>
    </xf>
    <xf borderId="37" fillId="3" fontId="20" numFmtId="165" xfId="0" applyAlignment="1" applyBorder="1" applyFont="1" applyNumberFormat="1">
      <alignment shrinkToFit="0" vertical="top" wrapText="1"/>
    </xf>
    <xf borderId="37" fillId="3" fontId="20" numFmtId="0" xfId="0" applyAlignment="1" applyBorder="1" applyFont="1">
      <alignment shrinkToFit="0" vertical="top" wrapText="1"/>
    </xf>
    <xf borderId="6" fillId="3" fontId="20" numFmtId="0" xfId="0" applyAlignment="1" applyBorder="1" applyFont="1">
      <alignment horizontal="center" shrinkToFit="0" vertical="center" wrapText="1"/>
    </xf>
    <xf borderId="6" fillId="3" fontId="20" numFmtId="0" xfId="0" applyAlignment="1" applyBorder="1" applyFont="1">
      <alignment shrinkToFit="0" vertical="top" wrapText="1"/>
    </xf>
    <xf borderId="6" fillId="3" fontId="3" numFmtId="165" xfId="0" applyAlignment="1" applyBorder="1" applyFont="1" applyNumberFormat="1">
      <alignment shrinkToFit="0" vertical="top" wrapText="1"/>
    </xf>
    <xf borderId="6" fillId="3" fontId="20" numFmtId="165" xfId="0" applyAlignment="1" applyBorder="1" applyFont="1" applyNumberFormat="1">
      <alignment shrinkToFit="0" vertical="top" wrapText="1"/>
    </xf>
    <xf borderId="6" fillId="3" fontId="24" numFmtId="165" xfId="0" applyAlignment="1" applyBorder="1" applyFont="1" applyNumberFormat="1">
      <alignment vertical="top"/>
    </xf>
    <xf borderId="6" fillId="3" fontId="21" numFmtId="0" xfId="0" applyAlignment="1" applyBorder="1" applyFont="1">
      <alignment vertical="top"/>
    </xf>
    <xf borderId="6" fillId="3" fontId="18" numFmtId="0" xfId="0" applyAlignment="1" applyBorder="1" applyFont="1">
      <alignment horizontal="center"/>
    </xf>
    <xf borderId="16" fillId="3" fontId="18" numFmtId="0" xfId="0" applyAlignment="1" applyBorder="1" applyFont="1">
      <alignment horizontal="center"/>
    </xf>
    <xf borderId="6" fillId="3" fontId="18" numFmtId="0" xfId="0" applyAlignment="1" applyBorder="1" applyFont="1">
      <alignment horizontal="center" vertical="center"/>
    </xf>
    <xf borderId="62" fillId="2" fontId="18" numFmtId="0" xfId="0" applyAlignment="1" applyBorder="1" applyFont="1">
      <alignment horizontal="center" vertical="center"/>
    </xf>
    <xf borderId="6" fillId="3" fontId="18" numFmtId="164" xfId="0" applyAlignment="1" applyBorder="1" applyFont="1" applyNumberFormat="1">
      <alignment horizontal="center"/>
    </xf>
    <xf borderId="6" fillId="3" fontId="18" numFmtId="164" xfId="0" applyBorder="1" applyFont="1" applyNumberFormat="1"/>
    <xf borderId="62" fillId="3" fontId="18" numFmtId="0" xfId="0" applyBorder="1" applyFont="1"/>
    <xf borderId="62" fillId="3" fontId="18" numFmtId="164" xfId="0" applyBorder="1" applyFont="1" applyNumberFormat="1"/>
    <xf borderId="6" fillId="3" fontId="49" numFmtId="164" xfId="0" applyBorder="1" applyFont="1" applyNumberFormat="1"/>
    <xf borderId="0" fillId="0" fontId="21" numFmtId="0" xfId="0" applyAlignment="1" applyFont="1">
      <alignment horizontal="center" vertical="center"/>
    </xf>
    <xf borderId="0" fillId="0" fontId="52" numFmtId="0" xfId="0" applyAlignment="1" applyFont="1">
      <alignment horizontal="center"/>
    </xf>
    <xf borderId="0" fillId="0" fontId="21" numFmtId="0" xfId="0" applyFont="1"/>
    <xf borderId="0" fillId="0" fontId="52" numFmtId="0" xfId="0" applyAlignment="1" applyFont="1">
      <alignment horizontal="left" vertical="center"/>
    </xf>
    <xf borderId="37" fillId="0" fontId="3" numFmtId="0" xfId="0" applyAlignment="1" applyBorder="1" applyFont="1">
      <alignment horizontal="center" shrinkToFit="0" vertical="center" wrapText="1"/>
    </xf>
    <xf borderId="37" fillId="0" fontId="21" numFmtId="0" xfId="0" applyAlignment="1" applyBorder="1" applyFont="1">
      <alignment horizontal="center" vertical="center"/>
    </xf>
    <xf borderId="37" fillId="0" fontId="20" numFmtId="0" xfId="0" applyAlignment="1" applyBorder="1" applyFont="1">
      <alignment shrinkToFit="0" vertical="center" wrapText="1"/>
    </xf>
    <xf borderId="37" fillId="0" fontId="20" numFmtId="0" xfId="0" applyAlignment="1" applyBorder="1" applyFont="1">
      <alignment horizontal="left" shrinkToFit="0" vertical="center" wrapText="1"/>
    </xf>
    <xf borderId="37" fillId="0" fontId="20" numFmtId="165" xfId="0" applyAlignment="1" applyBorder="1" applyFont="1" applyNumberFormat="1">
      <alignment shrinkToFit="0" vertical="center" wrapText="1"/>
    </xf>
    <xf borderId="37" fillId="0" fontId="21" numFmtId="0" xfId="0" applyAlignment="1" applyBorder="1" applyFont="1">
      <alignment horizontal="left" shrinkToFit="0" vertical="center" wrapText="1"/>
    </xf>
    <xf borderId="37" fillId="0" fontId="21" numFmtId="165" xfId="0" applyAlignment="1" applyBorder="1" applyFont="1" applyNumberFormat="1">
      <alignment shrinkToFit="0" vertical="center" wrapText="1"/>
    </xf>
    <xf borderId="37" fillId="0" fontId="21" numFmtId="0" xfId="0" applyAlignment="1" applyBorder="1" applyFont="1">
      <alignment shrinkToFit="0" vertical="center" wrapText="1"/>
    </xf>
    <xf borderId="0" fillId="0" fontId="53" numFmtId="4" xfId="0" applyFont="1" applyNumberFormat="1"/>
    <xf borderId="37" fillId="0" fontId="21" numFmtId="14" xfId="0" applyAlignment="1" applyBorder="1" applyFont="1" applyNumberFormat="1">
      <alignment horizontal="center" shrinkToFit="0" vertical="center" wrapText="1"/>
    </xf>
    <xf borderId="37" fillId="0" fontId="3" numFmtId="0" xfId="0" applyAlignment="1" applyBorder="1" applyFont="1">
      <alignment horizontal="left" vertical="top"/>
    </xf>
    <xf borderId="37" fillId="0" fontId="20" numFmtId="0" xfId="0" applyAlignment="1" applyBorder="1" applyFont="1">
      <alignment shrinkToFit="0" vertical="top" wrapText="1"/>
    </xf>
    <xf borderId="37" fillId="0" fontId="20" numFmtId="165" xfId="0" applyAlignment="1" applyBorder="1" applyFont="1" applyNumberFormat="1">
      <alignment shrinkToFit="0" vertical="top" wrapText="1"/>
    </xf>
    <xf borderId="0" fillId="0" fontId="20" numFmtId="0" xfId="0" applyAlignment="1" applyFont="1">
      <alignment horizontal="center" shrinkToFit="0" vertical="center" wrapText="1"/>
    </xf>
    <xf borderId="0" fillId="0" fontId="19" numFmtId="165" xfId="0" applyAlignment="1" applyFont="1" applyNumberFormat="1">
      <alignment shrinkToFit="0" vertical="top" wrapText="1"/>
    </xf>
    <xf borderId="0" fillId="0" fontId="23" numFmtId="165" xfId="0" applyAlignment="1" applyFont="1" applyNumberFormat="1">
      <alignment shrinkToFit="0" vertical="top" wrapText="1"/>
    </xf>
    <xf borderId="0" fillId="0" fontId="21" numFmtId="0" xfId="0" applyAlignment="1" applyFont="1">
      <alignment vertical="top"/>
    </xf>
    <xf borderId="0" fillId="0" fontId="48" numFmtId="0" xfId="0" applyFont="1"/>
    <xf borderId="0" fillId="0" fontId="0" numFmtId="49" xfId="0" applyFont="1" applyNumberFormat="1"/>
    <xf borderId="0" fillId="0" fontId="0" numFmtId="172" xfId="0" applyFont="1" applyNumberFormat="1"/>
    <xf borderId="0" fillId="0" fontId="0" numFmtId="49" xfId="0" applyAlignment="1" applyFont="1" applyNumberFormat="1">
      <alignment horizontal="center"/>
    </xf>
    <xf borderId="37" fillId="0" fontId="54" numFmtId="0" xfId="0" applyAlignment="1" applyBorder="1" applyFont="1">
      <alignment shrinkToFit="0" wrapText="1"/>
    </xf>
    <xf borderId="37" fillId="0" fontId="54" numFmtId="165" xfId="0" applyAlignment="1" applyBorder="1" applyFont="1" applyNumberFormat="1">
      <alignment shrinkToFit="0" wrapText="1"/>
    </xf>
    <xf borderId="0" fillId="0" fontId="55" numFmtId="165" xfId="0" applyFont="1" applyNumberFormat="1"/>
    <xf borderId="0" fillId="0" fontId="55" numFmtId="0" xfId="0" applyFont="1"/>
    <xf borderId="0" fillId="0" fontId="55" numFmtId="172" xfId="0" applyFont="1" applyNumberFormat="1"/>
    <xf borderId="6" fillId="12" fontId="56" numFmtId="165" xfId="0" applyBorder="1" applyFill="1" applyFont="1" applyNumberFormat="1"/>
    <xf borderId="37" fillId="12" fontId="57" numFmtId="165" xfId="0" applyAlignment="1" applyBorder="1" applyFont="1" applyNumberFormat="1">
      <alignment shrinkToFit="0" wrapText="1"/>
    </xf>
    <xf borderId="78" fillId="0" fontId="54" numFmtId="0" xfId="0" applyAlignment="1" applyBorder="1" applyFont="1">
      <alignment horizontal="center" shrinkToFit="0" wrapText="1"/>
    </xf>
    <xf borderId="0" fillId="0" fontId="56" numFmtId="165" xfId="0" applyFont="1" applyNumberFormat="1"/>
    <xf borderId="6" fillId="3" fontId="0" numFmtId="0" xfId="0" applyBorder="1" applyFont="1"/>
    <xf borderId="0" fillId="0" fontId="58" numFmtId="0" xfId="0" applyFont="1"/>
    <xf borderId="0" fillId="0" fontId="25" numFmtId="0" xfId="0" applyFont="1"/>
    <xf borderId="0" fillId="0" fontId="6" numFmtId="173" xfId="0" applyAlignment="1" applyFont="1" applyNumberFormat="1">
      <alignment horizontal="right"/>
    </xf>
    <xf borderId="6" fillId="3" fontId="6" numFmtId="173" xfId="0" applyAlignment="1" applyBorder="1" applyFont="1" applyNumberFormat="1">
      <alignment horizontal="right"/>
    </xf>
    <xf borderId="6" fillId="3" fontId="2" numFmtId="0" xfId="0" applyAlignment="1" applyBorder="1" applyFont="1">
      <alignment horizontal="center"/>
    </xf>
    <xf borderId="6" fillId="3" fontId="25" numFmtId="0" xfId="0" applyBorder="1" applyFont="1"/>
    <xf borderId="0" fillId="0" fontId="6" numFmtId="0" xfId="0" applyAlignment="1" applyFont="1">
      <alignment horizontal="left"/>
    </xf>
    <xf borderId="0" fillId="0" fontId="6" numFmtId="4" xfId="0" applyAlignment="1" applyFont="1" applyNumberFormat="1">
      <alignment horizontal="left"/>
    </xf>
    <xf borderId="0" fillId="0" fontId="6" numFmtId="10" xfId="0" applyAlignment="1" applyFont="1" applyNumberFormat="1">
      <alignment horizontal="left"/>
    </xf>
    <xf borderId="6" fillId="10" fontId="6" numFmtId="0" xfId="0" applyAlignment="1" applyBorder="1" applyFont="1">
      <alignment horizontal="center" shrinkToFit="0" vertical="center" wrapText="1"/>
    </xf>
    <xf borderId="16" fillId="10" fontId="6" numFmtId="0" xfId="0" applyAlignment="1" applyBorder="1" applyFont="1">
      <alignment horizontal="center" shrinkToFit="0" vertical="center" wrapText="1"/>
    </xf>
    <xf borderId="6" fillId="3" fontId="6" numFmtId="0" xfId="0" applyAlignment="1" applyBorder="1" applyFont="1">
      <alignment horizontal="center" shrinkToFit="0" vertical="center" wrapText="1"/>
    </xf>
    <xf borderId="6" fillId="3" fontId="25" numFmtId="165" xfId="0" applyBorder="1" applyFont="1" applyNumberFormat="1"/>
    <xf borderId="6" fillId="3" fontId="25" numFmtId="14" xfId="0" applyBorder="1" applyFont="1" applyNumberFormat="1"/>
    <xf borderId="6" fillId="3" fontId="25" numFmtId="0" xfId="0" applyAlignment="1" applyBorder="1" applyFont="1">
      <alignment horizontal="center"/>
    </xf>
    <xf borderId="6" fillId="3" fontId="25" numFmtId="165" xfId="0" applyAlignment="1" applyBorder="1" applyFont="1" applyNumberFormat="1">
      <alignment horizontal="center"/>
    </xf>
    <xf borderId="6" fillId="3" fontId="55" numFmtId="165" xfId="0" applyBorder="1" applyFont="1" applyNumberFormat="1"/>
    <xf borderId="6" fillId="3" fontId="25" numFmtId="2" xfId="0" applyAlignment="1" applyBorder="1" applyFont="1" applyNumberFormat="1">
      <alignment horizontal="center"/>
    </xf>
    <xf borderId="16" fillId="10" fontId="6" numFmtId="0" xfId="0" applyAlignment="1" applyBorder="1" applyFont="1">
      <alignment horizontal="center"/>
    </xf>
    <xf borderId="6" fillId="10" fontId="6" numFmtId="0" xfId="0" applyAlignment="1" applyBorder="1" applyFont="1">
      <alignment horizontal="center"/>
    </xf>
    <xf borderId="6" fillId="10" fontId="6" numFmtId="165" xfId="0" applyAlignment="1" applyBorder="1" applyFont="1" applyNumberFormat="1">
      <alignment horizontal="center"/>
    </xf>
    <xf borderId="6" fillId="3" fontId="6" numFmtId="165" xfId="0" applyAlignment="1" applyBorder="1" applyFont="1" applyNumberFormat="1">
      <alignment horizontal="center"/>
    </xf>
    <xf borderId="0" fillId="0" fontId="0" numFmtId="165" xfId="0" applyFont="1" applyNumberFormat="1"/>
    <xf borderId="6" fillId="8" fontId="55" numFmtId="165" xfId="0" applyBorder="1" applyFont="1" applyNumberFormat="1"/>
    <xf borderId="0" fillId="0" fontId="25" numFmtId="14" xfId="0" applyFont="1" applyNumberFormat="1"/>
    <xf borderId="0" fillId="0" fontId="56" numFmtId="173" xfId="0" applyAlignment="1" applyFont="1" applyNumberFormat="1">
      <alignment horizontal="right"/>
    </xf>
    <xf borderId="0" fillId="0" fontId="55" numFmtId="14" xfId="0" applyFont="1" applyNumberFormat="1"/>
    <xf borderId="0" fillId="0" fontId="6" numFmtId="171" xfId="0" applyAlignment="1" applyFont="1" applyNumberFormat="1">
      <alignment horizontal="left"/>
    </xf>
    <xf borderId="0" fillId="0" fontId="6" numFmtId="0" xfId="0" applyFont="1"/>
    <xf borderId="0" fillId="0" fontId="6" numFmtId="0" xfId="0" applyAlignment="1" applyFont="1">
      <alignment horizontal="right"/>
    </xf>
    <xf borderId="0" fillId="0" fontId="6" numFmtId="165" xfId="0" applyFont="1" applyNumberFormat="1"/>
    <xf borderId="6" fillId="8" fontId="56" numFmtId="165" xfId="0" applyBorder="1" applyFont="1" applyNumberFormat="1"/>
    <xf borderId="6" fillId="3" fontId="6" numFmtId="0" xfId="0" applyAlignment="1" applyBorder="1" applyFont="1">
      <alignment horizontal="center"/>
    </xf>
    <xf borderId="6" fillId="3" fontId="7" numFmtId="14" xfId="0" applyBorder="1" applyFont="1" applyNumberFormat="1"/>
    <xf borderId="6" fillId="3" fontId="9" numFmtId="0" xfId="0" applyAlignment="1" applyBorder="1" applyFont="1">
      <alignment horizontal="center"/>
    </xf>
    <xf borderId="0" fillId="0" fontId="7" numFmtId="0" xfId="0" applyFont="1"/>
    <xf borderId="0" fillId="0" fontId="7" numFmtId="165" xfId="0" applyFont="1" applyNumberFormat="1"/>
    <xf borderId="0" fillId="0" fontId="7" numFmtId="164" xfId="0" applyFont="1" applyNumberFormat="1"/>
    <xf borderId="19" fillId="5" fontId="7" numFmtId="0" xfId="0" applyAlignment="1" applyBorder="1" applyFont="1">
      <alignment horizontal="center" shrinkToFit="0" vertical="center" wrapText="1"/>
    </xf>
    <xf borderId="91" fillId="5" fontId="7" numFmtId="0" xfId="0" applyAlignment="1" applyBorder="1" applyFont="1">
      <alignment horizontal="center" shrinkToFit="0" vertical="center" wrapText="1"/>
    </xf>
    <xf borderId="92" fillId="5" fontId="7" numFmtId="0" xfId="0" applyAlignment="1" applyBorder="1" applyFont="1">
      <alignment horizontal="center"/>
    </xf>
    <xf borderId="93" fillId="0" fontId="5" numFmtId="0" xfId="0" applyBorder="1" applyFont="1"/>
    <xf borderId="92" fillId="5" fontId="7" numFmtId="0" xfId="0" applyAlignment="1" applyBorder="1" applyFont="1">
      <alignment horizontal="center" shrinkToFit="0" vertical="center" wrapText="1"/>
    </xf>
    <xf borderId="94" fillId="5" fontId="7" numFmtId="0" xfId="0" applyAlignment="1" applyBorder="1" applyFont="1">
      <alignment horizontal="center" shrinkToFit="0" vertical="center" wrapText="1"/>
    </xf>
    <xf borderId="25" fillId="5" fontId="7" numFmtId="0" xfId="0" applyAlignment="1" applyBorder="1" applyFont="1">
      <alignment horizontal="center" shrinkToFit="0" vertical="center" wrapText="1"/>
    </xf>
    <xf borderId="25" fillId="5" fontId="7" numFmtId="0" xfId="0" applyAlignment="1" applyBorder="1" applyFont="1">
      <alignment horizontal="center"/>
    </xf>
    <xf borderId="29" fillId="5" fontId="7" numFmtId="0" xfId="0" applyAlignment="1" applyBorder="1" applyFont="1">
      <alignment horizontal="center" shrinkToFit="0" vertical="center" wrapText="1"/>
    </xf>
    <xf borderId="95" fillId="0" fontId="5" numFmtId="0" xfId="0" applyBorder="1" applyFont="1"/>
    <xf borderId="28" fillId="0" fontId="7" numFmtId="14" xfId="0" applyAlignment="1" applyBorder="1" applyFont="1" applyNumberFormat="1">
      <alignment horizontal="left" vertical="center"/>
    </xf>
    <xf borderId="29" fillId="0" fontId="7" numFmtId="164" xfId="0" applyAlignment="1" applyBorder="1" applyFont="1" applyNumberFormat="1">
      <alignment horizontal="center" vertical="center"/>
    </xf>
    <xf borderId="96" fillId="0" fontId="7" numFmtId="165" xfId="0" applyAlignment="1" applyBorder="1" applyFont="1" applyNumberFormat="1">
      <alignment horizontal="center"/>
    </xf>
    <xf borderId="29" fillId="0" fontId="7" numFmtId="164" xfId="0" applyBorder="1" applyFont="1" applyNumberFormat="1"/>
    <xf borderId="29" fillId="0" fontId="59" numFmtId="164" xfId="0" applyAlignment="1" applyBorder="1" applyFont="1" applyNumberFormat="1">
      <alignment horizontal="center" vertical="center"/>
    </xf>
    <xf borderId="96" fillId="0" fontId="7" numFmtId="9" xfId="0" applyAlignment="1" applyBorder="1" applyFont="1" applyNumberFormat="1">
      <alignment horizontal="center"/>
    </xf>
    <xf borderId="28" fillId="0" fontId="9" numFmtId="0" xfId="0" applyBorder="1" applyFont="1"/>
    <xf borderId="29" fillId="0" fontId="9" numFmtId="164" xfId="0" applyAlignment="1" applyBorder="1" applyFont="1" applyNumberFormat="1">
      <alignment horizontal="center" vertical="center"/>
    </xf>
    <xf borderId="96" fillId="0" fontId="9" numFmtId="165" xfId="0" applyAlignment="1" applyBorder="1" applyFont="1" applyNumberFormat="1">
      <alignment horizontal="center"/>
    </xf>
    <xf borderId="29" fillId="0" fontId="9" numFmtId="164" xfId="0" applyBorder="1" applyFont="1" applyNumberFormat="1"/>
    <xf borderId="28" fillId="0" fontId="7" numFmtId="0" xfId="0" applyBorder="1" applyFont="1"/>
    <xf borderId="28" fillId="0" fontId="9" numFmtId="0" xfId="0" applyAlignment="1" applyBorder="1" applyFont="1">
      <alignment horizontal="left"/>
    </xf>
    <xf borderId="43" fillId="5" fontId="7" numFmtId="0" xfId="0" applyBorder="1" applyFont="1"/>
    <xf borderId="44" fillId="5" fontId="7" numFmtId="164" xfId="0" applyBorder="1" applyFont="1" applyNumberFormat="1"/>
    <xf borderId="97" fillId="5" fontId="7" numFmtId="9" xfId="0" applyAlignment="1" applyBorder="1" applyFont="1" applyNumberFormat="1">
      <alignment horizontal="center"/>
    </xf>
    <xf borderId="44" fillId="5" fontId="7" numFmtId="164" xfId="0" applyAlignment="1" applyBorder="1" applyFont="1" applyNumberFormat="1">
      <alignment horizontal="center" vertical="center"/>
    </xf>
    <xf borderId="6" fillId="3" fontId="9" numFmtId="0" xfId="0" applyBorder="1" applyFont="1"/>
    <xf borderId="6" fillId="3" fontId="7" numFmtId="0" xfId="0" applyBorder="1" applyFont="1"/>
    <xf borderId="6" fillId="3" fontId="7" numFmtId="164" xfId="0" applyBorder="1" applyFont="1" applyNumberFormat="1"/>
    <xf borderId="6" fillId="3" fontId="7" numFmtId="164" xfId="0" applyAlignment="1" applyBorder="1" applyFont="1" applyNumberFormat="1">
      <alignment horizontal="center" vertical="center"/>
    </xf>
    <xf borderId="6" fillId="3" fontId="7" numFmtId="9" xfId="0" applyAlignment="1" applyBorder="1" applyFont="1" applyNumberFormat="1">
      <alignment horizontal="center"/>
    </xf>
    <xf borderId="0" fillId="0" fontId="9" numFmtId="0" xfId="0" applyAlignment="1" applyFont="1">
      <alignment horizontal="left" shrinkToFit="0" vertical="center" wrapText="1"/>
    </xf>
    <xf borderId="92" fillId="5" fontId="7" numFmtId="164" xfId="0" applyAlignment="1" applyBorder="1" applyFont="1" applyNumberFormat="1">
      <alignment horizontal="center"/>
    </xf>
    <xf borderId="0" fillId="0" fontId="9" numFmtId="165" xfId="0" applyAlignment="1" applyFont="1" applyNumberFormat="1">
      <alignment horizontal="left" shrinkToFit="0" vertical="center" wrapText="1"/>
    </xf>
    <xf borderId="29" fillId="5" fontId="7" numFmtId="164" xfId="0" applyAlignment="1" applyBorder="1" applyFont="1" applyNumberFormat="1">
      <alignment horizontal="center" shrinkToFit="0" vertical="center" wrapText="1"/>
    </xf>
    <xf borderId="28" fillId="0" fontId="7" numFmtId="0" xfId="0" applyAlignment="1" applyBorder="1" applyFont="1">
      <alignment horizontal="center" shrinkToFit="0" vertical="center" wrapText="1"/>
    </xf>
    <xf borderId="29" fillId="0" fontId="9" numFmtId="164" xfId="0" applyAlignment="1" applyBorder="1" applyFont="1" applyNumberFormat="1">
      <alignment horizontal="left" shrinkToFit="0" vertical="center" wrapText="1"/>
    </xf>
    <xf borderId="96" fillId="0" fontId="9" numFmtId="0" xfId="0" applyAlignment="1" applyBorder="1" applyFont="1">
      <alignment horizontal="left" shrinkToFit="0" vertical="center" wrapText="1"/>
    </xf>
    <xf borderId="28" fillId="0" fontId="9" numFmtId="0" xfId="0" applyAlignment="1" applyBorder="1" applyFont="1">
      <alignment horizontal="left" shrinkToFit="0" vertical="center" wrapText="1"/>
    </xf>
    <xf borderId="29" fillId="0" fontId="12" numFmtId="164" xfId="0" applyAlignment="1" applyBorder="1" applyFont="1" applyNumberFormat="1">
      <alignment horizontal="left" shrinkToFit="0" vertical="center" wrapText="1"/>
    </xf>
    <xf borderId="96" fillId="0" fontId="9" numFmtId="9" xfId="0" applyBorder="1" applyFont="1" applyNumberFormat="1"/>
    <xf borderId="28" fillId="0" fontId="9" numFmtId="0" xfId="0" applyAlignment="1" applyBorder="1" applyFont="1">
      <alignment vertical="center"/>
    </xf>
    <xf borderId="43" fillId="0" fontId="7" numFmtId="0" xfId="0" applyAlignment="1" applyBorder="1" applyFont="1">
      <alignment horizontal="center"/>
    </xf>
    <xf borderId="44" fillId="0" fontId="7" numFmtId="164" xfId="0" applyBorder="1" applyFont="1" applyNumberFormat="1"/>
    <xf borderId="97" fillId="0" fontId="7" numFmtId="9" xfId="0" applyBorder="1" applyFont="1" applyNumberFormat="1"/>
    <xf borderId="41" fillId="0" fontId="7" numFmtId="0" xfId="0" applyAlignment="1" applyBorder="1" applyFont="1">
      <alignment horizontal="center" shrinkToFit="0" vertical="center" wrapText="1"/>
    </xf>
    <xf borderId="66" fillId="5" fontId="7" numFmtId="0" xfId="0" applyAlignment="1" applyBorder="1" applyFont="1">
      <alignment horizontal="center" shrinkToFit="0" vertical="center" wrapText="1"/>
    </xf>
    <xf borderId="98" fillId="5" fontId="7" numFmtId="0" xfId="0" applyAlignment="1" applyBorder="1" applyFont="1">
      <alignment horizontal="center" shrinkToFit="0" vertical="center" wrapText="1"/>
    </xf>
    <xf borderId="96" fillId="0" fontId="9" numFmtId="0" xfId="0" applyBorder="1" applyFont="1"/>
    <xf borderId="96" fillId="0" fontId="7" numFmtId="0" xfId="0" applyBorder="1" applyFont="1"/>
    <xf borderId="28" fillId="5" fontId="7" numFmtId="0" xfId="0" applyBorder="1" applyFont="1"/>
    <xf borderId="29" fillId="5" fontId="7" numFmtId="164" xfId="0" applyBorder="1" applyFont="1" applyNumberFormat="1"/>
    <xf borderId="96" fillId="5" fontId="7" numFmtId="0" xfId="0" applyBorder="1" applyFont="1"/>
    <xf borderId="14" fillId="5" fontId="7" numFmtId="0" xfId="0" applyBorder="1" applyFont="1"/>
    <xf borderId="6" fillId="5" fontId="7" numFmtId="164" xfId="0" applyBorder="1" applyFont="1" applyNumberFormat="1"/>
    <xf borderId="88" fillId="5" fontId="7" numFmtId="0" xfId="0" applyBorder="1" applyFont="1"/>
    <xf borderId="44" fillId="0" fontId="7" numFmtId="164" xfId="0" applyAlignment="1" applyBorder="1" applyFont="1" applyNumberFormat="1">
      <alignment horizontal="left" shrinkToFit="0" vertical="center" wrapText="1"/>
    </xf>
    <xf borderId="44" fillId="0" fontId="7" numFmtId="164" xfId="0" applyAlignment="1" applyBorder="1" applyFont="1" applyNumberFormat="1">
      <alignment horizontal="center" vertical="center"/>
    </xf>
    <xf borderId="6" fillId="3" fontId="9" numFmtId="165" xfId="0" applyAlignment="1" applyBorder="1" applyFont="1" applyNumberFormat="1">
      <alignment horizontal="center"/>
    </xf>
    <xf borderId="28" fillId="7" fontId="9" numFmtId="0" xfId="0" applyBorder="1" applyFont="1"/>
    <xf borderId="26" fillId="5" fontId="7" numFmtId="164" xfId="0" applyAlignment="1" applyBorder="1" applyFont="1" applyNumberFormat="1">
      <alignment horizontal="center"/>
    </xf>
    <xf borderId="99" fillId="5" fontId="7" numFmtId="164" xfId="0" applyAlignment="1" applyBorder="1" applyFont="1" applyNumberFormat="1">
      <alignment horizontal="center"/>
    </xf>
    <xf borderId="25" fillId="5" fontId="7" numFmtId="164" xfId="0" applyAlignment="1" applyBorder="1" applyFont="1" applyNumberFormat="1">
      <alignment horizontal="center"/>
    </xf>
    <xf borderId="96" fillId="0" fontId="9" numFmtId="9" xfId="0" applyAlignment="1" applyBorder="1" applyFont="1" applyNumberFormat="1">
      <alignment horizontal="center"/>
    </xf>
    <xf borderId="97" fillId="5" fontId="7" numFmtId="0" xfId="0" applyBorder="1" applyFont="1"/>
    <xf borderId="29" fillId="0" fontId="9" numFmtId="165" xfId="0" applyBorder="1" applyFont="1" applyNumberFormat="1"/>
    <xf borderId="29" fillId="5" fontId="9" numFmtId="164" xfId="0" applyBorder="1" applyFont="1" applyNumberFormat="1"/>
    <xf borderId="44" fillId="5" fontId="9" numFmtId="164" xfId="0" applyBorder="1" applyFont="1" applyNumberFormat="1"/>
    <xf borderId="97" fillId="0" fontId="9" numFmtId="9" xfId="0" applyAlignment="1" applyBorder="1" applyFont="1" applyNumberFormat="1">
      <alignment horizontal="center"/>
    </xf>
    <xf borderId="0" fillId="0" fontId="9" numFmtId="165" xfId="0" applyAlignment="1" applyFont="1" applyNumberFormat="1">
      <alignment vertical="center"/>
    </xf>
    <xf borderId="0" fillId="0" fontId="7" numFmtId="49" xfId="0" applyAlignment="1" applyFont="1" applyNumberFormat="1">
      <alignment horizontal="right" vertical="center"/>
    </xf>
    <xf borderId="6" fillId="13" fontId="7" numFmtId="49" xfId="0" applyAlignment="1" applyBorder="1" applyFill="1" applyFont="1" applyNumberFormat="1">
      <alignment horizontal="right" vertical="center"/>
    </xf>
    <xf borderId="6" fillId="13" fontId="9" numFmtId="165" xfId="0" applyAlignment="1" applyBorder="1" applyFont="1" applyNumberFormat="1">
      <alignment vertical="center"/>
    </xf>
    <xf borderId="6" fillId="13" fontId="9" numFmtId="164" xfId="0" applyAlignment="1" applyBorder="1" applyFont="1" applyNumberFormat="1">
      <alignment vertical="center"/>
    </xf>
    <xf borderId="41" fillId="0" fontId="7" numFmtId="49" xfId="0" applyAlignment="1" applyBorder="1" applyFont="1" applyNumberFormat="1">
      <alignment horizontal="right" vertical="center"/>
    </xf>
    <xf borderId="25" fillId="0" fontId="7" numFmtId="165" xfId="0" applyAlignment="1" applyBorder="1" applyFont="1" applyNumberFormat="1">
      <alignment horizontal="left" shrinkToFit="0" vertical="center" wrapText="1"/>
    </xf>
    <xf borderId="25" fillId="0" fontId="7" numFmtId="174" xfId="0" applyAlignment="1" applyBorder="1" applyFont="1" applyNumberFormat="1">
      <alignment horizontal="center" vertical="center"/>
    </xf>
    <xf borderId="92" fillId="0" fontId="7" numFmtId="174" xfId="0" applyAlignment="1" applyBorder="1" applyFont="1" applyNumberFormat="1">
      <alignment horizontal="center" vertical="center"/>
    </xf>
    <xf borderId="100" fillId="0" fontId="7" numFmtId="165" xfId="0" applyAlignment="1" applyBorder="1" applyFont="1" applyNumberFormat="1">
      <alignment horizontal="center" vertical="center"/>
    </xf>
    <xf borderId="32" fillId="0" fontId="7" numFmtId="49" xfId="0" applyAlignment="1" applyBorder="1" applyFont="1" applyNumberFormat="1">
      <alignment horizontal="right" vertical="center"/>
    </xf>
    <xf borderId="33" fillId="0" fontId="7" numFmtId="165" xfId="0" applyAlignment="1" applyBorder="1" applyFont="1" applyNumberFormat="1">
      <alignment horizontal="left" shrinkToFit="0" vertical="center" wrapText="1"/>
    </xf>
    <xf borderId="33" fillId="0" fontId="7" numFmtId="164" xfId="0" applyAlignment="1" applyBorder="1" applyFont="1" applyNumberFormat="1">
      <alignment vertical="center"/>
    </xf>
    <xf borderId="34" fillId="0" fontId="7" numFmtId="164" xfId="0" applyAlignment="1" applyBorder="1" applyFont="1" applyNumberFormat="1">
      <alignment vertical="center"/>
    </xf>
    <xf borderId="101" fillId="0" fontId="7" numFmtId="164" xfId="0" applyAlignment="1" applyBorder="1" applyFont="1" applyNumberFormat="1">
      <alignment horizontal="center" vertical="center"/>
    </xf>
    <xf borderId="102" fillId="14" fontId="7" numFmtId="49" xfId="0" applyAlignment="1" applyBorder="1" applyFill="1" applyFont="1" applyNumberFormat="1">
      <alignment horizontal="right" vertical="center"/>
    </xf>
    <xf borderId="103" fillId="14" fontId="7" numFmtId="165" xfId="0" applyAlignment="1" applyBorder="1" applyFont="1" applyNumberFormat="1">
      <alignment horizontal="left" shrinkToFit="0" vertical="center" wrapText="1"/>
    </xf>
    <xf borderId="103" fillId="14" fontId="7" numFmtId="164" xfId="0" applyAlignment="1" applyBorder="1" applyFont="1" applyNumberFormat="1">
      <alignment vertical="center"/>
    </xf>
    <xf borderId="104" fillId="14" fontId="7" numFmtId="164" xfId="0" applyAlignment="1" applyBorder="1" applyFont="1" applyNumberFormat="1">
      <alignment vertical="center"/>
    </xf>
    <xf borderId="105" fillId="14" fontId="7" numFmtId="164" xfId="0" applyAlignment="1" applyBorder="1" applyFont="1" applyNumberFormat="1">
      <alignment vertical="center"/>
    </xf>
    <xf borderId="102" fillId="13" fontId="7" numFmtId="49" xfId="0" applyAlignment="1" applyBorder="1" applyFont="1" applyNumberFormat="1">
      <alignment horizontal="right" vertical="center"/>
    </xf>
    <xf borderId="103" fillId="13" fontId="7" numFmtId="165" xfId="0" applyAlignment="1" applyBorder="1" applyFont="1" applyNumberFormat="1">
      <alignment horizontal="left" shrinkToFit="0" vertical="center" wrapText="1"/>
    </xf>
    <xf borderId="103" fillId="13" fontId="7" numFmtId="164" xfId="0" applyAlignment="1" applyBorder="1" applyFont="1" applyNumberFormat="1">
      <alignment vertical="center"/>
    </xf>
    <xf borderId="104" fillId="13" fontId="7" numFmtId="164" xfId="0" applyAlignment="1" applyBorder="1" applyFont="1" applyNumberFormat="1">
      <alignment vertical="center"/>
    </xf>
    <xf borderId="105" fillId="13" fontId="7" numFmtId="164" xfId="0" applyAlignment="1" applyBorder="1" applyFont="1" applyNumberFormat="1">
      <alignment vertical="center"/>
    </xf>
    <xf borderId="24" fillId="0" fontId="7" numFmtId="49" xfId="0" applyAlignment="1" applyBorder="1" applyFont="1" applyNumberFormat="1">
      <alignment horizontal="right" vertical="center"/>
    </xf>
    <xf borderId="38" fillId="0" fontId="7" numFmtId="165" xfId="0" applyAlignment="1" applyBorder="1" applyFont="1" applyNumberFormat="1">
      <alignment horizontal="left" shrinkToFit="0" vertical="center" wrapText="1"/>
    </xf>
    <xf borderId="38" fillId="0" fontId="7" numFmtId="164" xfId="0" applyAlignment="1" applyBorder="1" applyFont="1" applyNumberFormat="1">
      <alignment vertical="center"/>
    </xf>
    <xf borderId="39" fillId="0" fontId="7" numFmtId="164" xfId="0" applyAlignment="1" applyBorder="1" applyFont="1" applyNumberFormat="1">
      <alignment vertical="center"/>
    </xf>
    <xf borderId="106" fillId="0" fontId="7" numFmtId="164" xfId="0" applyAlignment="1" applyBorder="1" applyFont="1" applyNumberFormat="1">
      <alignment vertical="center"/>
    </xf>
    <xf borderId="28" fillId="0" fontId="7" numFmtId="49" xfId="0" applyAlignment="1" applyBorder="1" applyFont="1" applyNumberFormat="1">
      <alignment horizontal="right" vertical="center"/>
    </xf>
    <xf borderId="29" fillId="0" fontId="9" numFmtId="165" xfId="0" applyAlignment="1" applyBorder="1" applyFont="1" applyNumberFormat="1">
      <alignment horizontal="left" shrinkToFit="0" vertical="center" wrapText="1"/>
    </xf>
    <xf borderId="29" fillId="0" fontId="9" numFmtId="164" xfId="0" applyAlignment="1" applyBorder="1" applyFont="1" applyNumberFormat="1">
      <alignment vertical="center"/>
    </xf>
    <xf borderId="30" fillId="0" fontId="9" numFmtId="164" xfId="0" applyAlignment="1" applyBorder="1" applyFont="1" applyNumberFormat="1">
      <alignment vertical="center"/>
    </xf>
    <xf borderId="107" fillId="0" fontId="9" numFmtId="164" xfId="0" applyAlignment="1" applyBorder="1" applyFont="1" applyNumberFormat="1">
      <alignment vertical="center"/>
    </xf>
    <xf borderId="28" fillId="13" fontId="7" numFmtId="49" xfId="0" applyAlignment="1" applyBorder="1" applyFont="1" applyNumberFormat="1">
      <alignment horizontal="right" vertical="center"/>
    </xf>
    <xf borderId="29" fillId="13" fontId="7" numFmtId="165" xfId="0" applyAlignment="1" applyBorder="1" applyFont="1" applyNumberFormat="1">
      <alignment horizontal="left" shrinkToFit="0" vertical="center" wrapText="1"/>
    </xf>
    <xf borderId="29" fillId="13" fontId="7" numFmtId="164" xfId="0" applyAlignment="1" applyBorder="1" applyFont="1" applyNumberFormat="1">
      <alignment vertical="center"/>
    </xf>
    <xf borderId="108" fillId="13" fontId="7" numFmtId="164" xfId="0" applyAlignment="1" applyBorder="1" applyFont="1" applyNumberFormat="1">
      <alignment vertical="center"/>
    </xf>
    <xf borderId="107" fillId="13" fontId="7" numFmtId="164" xfId="0" applyAlignment="1" applyBorder="1" applyFont="1" applyNumberFormat="1">
      <alignment vertical="center"/>
    </xf>
    <xf borderId="33" fillId="0" fontId="9" numFmtId="165" xfId="0" applyAlignment="1" applyBorder="1" applyFont="1" applyNumberFormat="1">
      <alignment horizontal="left" shrinkToFit="0" vertical="center" wrapText="1"/>
    </xf>
    <xf borderId="33" fillId="0" fontId="9" numFmtId="164" xfId="0" applyAlignment="1" applyBorder="1" applyFont="1" applyNumberFormat="1">
      <alignment vertical="center"/>
    </xf>
    <xf borderId="34" fillId="0" fontId="9" numFmtId="164" xfId="0" applyAlignment="1" applyBorder="1" applyFont="1" applyNumberFormat="1">
      <alignment vertical="center"/>
    </xf>
    <xf borderId="101" fillId="0" fontId="9" numFmtId="164" xfId="0" applyAlignment="1" applyBorder="1" applyFont="1" applyNumberFormat="1">
      <alignment vertical="center"/>
    </xf>
    <xf borderId="109" fillId="13" fontId="7" numFmtId="49" xfId="0" applyAlignment="1" applyBorder="1" applyFont="1" applyNumberFormat="1">
      <alignment horizontal="right" vertical="center"/>
    </xf>
    <xf borderId="54" fillId="13" fontId="7" numFmtId="165" xfId="0" applyAlignment="1" applyBorder="1" applyFont="1" applyNumberFormat="1">
      <alignment horizontal="left" shrinkToFit="0" vertical="center" wrapText="1"/>
    </xf>
    <xf borderId="54" fillId="13" fontId="9" numFmtId="164" xfId="0" applyAlignment="1" applyBorder="1" applyFont="1" applyNumberFormat="1">
      <alignment vertical="center"/>
    </xf>
    <xf borderId="74" fillId="13" fontId="9" numFmtId="164" xfId="0" applyAlignment="1" applyBorder="1" applyFont="1" applyNumberFormat="1">
      <alignment vertical="center"/>
    </xf>
    <xf borderId="110" fillId="13" fontId="9" numFmtId="164" xfId="0" applyAlignment="1" applyBorder="1" applyFont="1" applyNumberFormat="1">
      <alignment vertical="center"/>
    </xf>
    <xf borderId="29" fillId="0" fontId="12" numFmtId="164" xfId="0" applyAlignment="1" applyBorder="1" applyFont="1" applyNumberFormat="1">
      <alignment vertical="center"/>
    </xf>
    <xf borderId="30" fillId="0" fontId="12" numFmtId="164" xfId="0" applyAlignment="1" applyBorder="1" applyFont="1" applyNumberFormat="1">
      <alignment vertical="center"/>
    </xf>
    <xf borderId="107" fillId="0" fontId="12" numFmtId="164" xfId="0" applyAlignment="1" applyBorder="1" applyFont="1" applyNumberFormat="1">
      <alignment vertical="center"/>
    </xf>
    <xf borderId="0" fillId="0" fontId="12" numFmtId="165" xfId="0" applyAlignment="1" applyFont="1" applyNumberFormat="1">
      <alignment vertical="center"/>
    </xf>
    <xf borderId="0" fillId="0" fontId="9" numFmtId="165" xfId="0" applyAlignment="1" applyFont="1" applyNumberFormat="1">
      <alignment horizontal="center" vertical="center"/>
    </xf>
    <xf borderId="30" fillId="0" fontId="9" numFmtId="164" xfId="0" applyAlignment="1" applyBorder="1" applyFont="1" applyNumberFormat="1">
      <alignment horizontal="center" vertical="center"/>
    </xf>
    <xf borderId="0" fillId="0" fontId="7" numFmtId="165" xfId="0" applyAlignment="1" applyFont="1" applyNumberFormat="1">
      <alignment vertical="center"/>
    </xf>
    <xf borderId="43" fillId="0" fontId="7" numFmtId="165" xfId="0" applyAlignment="1" applyBorder="1" applyFont="1" applyNumberFormat="1">
      <alignment horizontal="right" vertical="center"/>
    </xf>
    <xf borderId="44" fillId="0" fontId="7" numFmtId="165" xfId="0" applyAlignment="1" applyBorder="1" applyFont="1" applyNumberFormat="1">
      <alignment horizontal="left" shrinkToFit="0" vertical="center" wrapText="1"/>
    </xf>
    <xf borderId="44" fillId="0" fontId="7" numFmtId="164" xfId="0" applyAlignment="1" applyBorder="1" applyFont="1" applyNumberFormat="1">
      <alignment vertical="center"/>
    </xf>
    <xf borderId="111" fillId="15" fontId="7" numFmtId="164" xfId="0" applyAlignment="1" applyBorder="1" applyFill="1" applyFont="1" applyNumberFormat="1">
      <alignment vertical="center"/>
    </xf>
    <xf borderId="112" fillId="0" fontId="7" numFmtId="164" xfId="0" applyAlignment="1" applyBorder="1" applyFont="1" applyNumberFormat="1">
      <alignment vertical="center"/>
    </xf>
    <xf borderId="0" fillId="0" fontId="7" numFmtId="165" xfId="0" applyAlignment="1" applyFont="1" applyNumberFormat="1">
      <alignment horizontal="left" shrinkToFit="0" vertical="center" wrapText="1"/>
    </xf>
    <xf borderId="0" fillId="0" fontId="7" numFmtId="164" xfId="0" applyAlignment="1" applyFont="1" applyNumberFormat="1">
      <alignment vertical="center"/>
    </xf>
    <xf borderId="113" fillId="0" fontId="9" numFmtId="164" xfId="0" applyAlignment="1" applyBorder="1" applyFont="1" applyNumberFormat="1">
      <alignment vertical="center"/>
    </xf>
    <xf borderId="102" fillId="16" fontId="7" numFmtId="49" xfId="0" applyAlignment="1" applyBorder="1" applyFill="1" applyFont="1" applyNumberFormat="1">
      <alignment horizontal="right" vertical="center"/>
    </xf>
    <xf borderId="103" fillId="16" fontId="7" numFmtId="165" xfId="0" applyAlignment="1" applyBorder="1" applyFont="1" applyNumberFormat="1">
      <alignment horizontal="left" shrinkToFit="0" vertical="center" wrapText="1"/>
    </xf>
    <xf borderId="103" fillId="16" fontId="7" numFmtId="164" xfId="0" applyAlignment="1" applyBorder="1" applyFont="1" applyNumberFormat="1">
      <alignment vertical="center"/>
    </xf>
    <xf borderId="114" fillId="16" fontId="7" numFmtId="164" xfId="0" applyAlignment="1" applyBorder="1" applyFont="1" applyNumberFormat="1">
      <alignment vertical="center"/>
    </xf>
    <xf borderId="54" fillId="13" fontId="7" numFmtId="164" xfId="0" applyAlignment="1" applyBorder="1" applyFont="1" applyNumberFormat="1">
      <alignment vertical="center"/>
    </xf>
    <xf borderId="74" fillId="13" fontId="7" numFmtId="164" xfId="0" applyAlignment="1" applyBorder="1" applyFont="1" applyNumberFormat="1">
      <alignment vertical="center"/>
    </xf>
    <xf borderId="110" fillId="13" fontId="7" numFmtId="164" xfId="0" applyAlignment="1" applyBorder="1" applyFont="1" applyNumberFormat="1">
      <alignment vertical="center"/>
    </xf>
    <xf borderId="29" fillId="0" fontId="9" numFmtId="165" xfId="0" applyAlignment="1" applyBorder="1" applyFont="1" applyNumberFormat="1">
      <alignment vertical="center"/>
    </xf>
    <xf borderId="29" fillId="0" fontId="7" numFmtId="164" xfId="0" applyAlignment="1" applyBorder="1" applyFont="1" applyNumberFormat="1">
      <alignment vertical="center"/>
    </xf>
    <xf borderId="30" fillId="0" fontId="7" numFmtId="164" xfId="0" applyAlignment="1" applyBorder="1" applyFont="1" applyNumberFormat="1">
      <alignment vertical="center"/>
    </xf>
    <xf borderId="29" fillId="17" fontId="7" numFmtId="164" xfId="0" applyAlignment="1" applyBorder="1" applyFill="1" applyFont="1" applyNumberFormat="1">
      <alignment vertical="center"/>
    </xf>
    <xf borderId="108" fillId="17" fontId="7" numFmtId="164" xfId="0" applyAlignment="1" applyBorder="1" applyFont="1" applyNumberFormat="1">
      <alignment vertical="center"/>
    </xf>
    <xf borderId="108" fillId="15" fontId="7" numFmtId="164" xfId="0" applyAlignment="1" applyBorder="1" applyFont="1" applyNumberFormat="1">
      <alignment vertical="center"/>
    </xf>
    <xf borderId="0" fillId="0" fontId="9" numFmtId="164" xfId="0" applyAlignment="1" applyFont="1" applyNumberFormat="1">
      <alignment vertical="center"/>
    </xf>
    <xf borderId="29" fillId="13" fontId="12" numFmtId="165" xfId="0" applyAlignment="1" applyBorder="1" applyFont="1" applyNumberFormat="1">
      <alignment horizontal="left" shrinkToFit="0" vertical="center" wrapText="1"/>
    </xf>
    <xf borderId="29" fillId="13" fontId="9" numFmtId="164" xfId="0" applyAlignment="1" applyBorder="1" applyFont="1" applyNumberFormat="1">
      <alignment vertical="center"/>
    </xf>
    <xf borderId="29" fillId="15" fontId="7" numFmtId="164" xfId="0" applyAlignment="1" applyBorder="1" applyFont="1" applyNumberFormat="1">
      <alignment vertical="center"/>
    </xf>
    <xf borderId="107" fillId="13" fontId="9" numFmtId="164" xfId="0" applyAlignment="1" applyBorder="1" applyFont="1" applyNumberFormat="1">
      <alignment vertical="center"/>
    </xf>
    <xf borderId="108" fillId="12" fontId="7" numFmtId="164" xfId="0" applyAlignment="1" applyBorder="1" applyFont="1" applyNumberFormat="1">
      <alignment vertical="center"/>
    </xf>
    <xf borderId="43" fillId="0" fontId="60" numFmtId="49" xfId="0" applyAlignment="1" applyBorder="1" applyFont="1" applyNumberFormat="1">
      <alignment horizontal="right" vertical="center"/>
    </xf>
    <xf borderId="44" fillId="3" fontId="12" numFmtId="165" xfId="0" applyAlignment="1" applyBorder="1" applyFont="1" applyNumberFormat="1">
      <alignment horizontal="left" shrinkToFit="0" vertical="center" wrapText="1"/>
    </xf>
    <xf borderId="44" fillId="3" fontId="12" numFmtId="164" xfId="0" applyAlignment="1" applyBorder="1" applyFont="1" applyNumberFormat="1">
      <alignment vertical="center"/>
    </xf>
    <xf borderId="111" fillId="3" fontId="12" numFmtId="164" xfId="0" applyAlignment="1" applyBorder="1" applyFont="1" applyNumberFormat="1">
      <alignment vertical="center"/>
    </xf>
    <xf borderId="115" fillId="3" fontId="60" numFmtId="164" xfId="0" applyAlignment="1" applyBorder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externalLink" Target="externalLinks/externalLink1.xml"/><Relationship Id="rId42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5.xml"/><Relationship Id="rId43" Type="http://schemas.openxmlformats.org/officeDocument/2006/relationships/externalLink" Target="externalLinks/externalLink4.xml"/><Relationship Id="rId46" Type="http://schemas.openxmlformats.org/officeDocument/2006/relationships/externalLink" Target="externalLinks/externalLink7.xml"/><Relationship Id="rId45" Type="http://schemas.openxmlformats.org/officeDocument/2006/relationships/externalLink" Target="externalLinks/externalLink6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externalLink" Target="externalLinks/externalLink9.xml"/><Relationship Id="rId47" Type="http://schemas.openxmlformats.org/officeDocument/2006/relationships/externalLink" Target="externalLinks/externalLink8.xml"/><Relationship Id="rId49" Type="http://schemas.openxmlformats.org/officeDocument/2006/relationships/externalLink" Target="externalLinks/externalLink10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customschemas.google.com/relationships/workbookmetadata" Target="metadata"/><Relationship Id="rId50" Type="http://schemas.openxmlformats.org/officeDocument/2006/relationships/externalLink" Target="externalLinks/externalLink1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3</xdr:row>
      <xdr:rowOff>190500</xdr:rowOff>
    </xdr:from>
    <xdr:ext cx="847725" cy="4762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</xdr:row>
      <xdr:rowOff>0</xdr:rowOff>
    </xdr:from>
    <xdr:ext cx="647700" cy="28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N4S4NOX1/DOCUME~1/EITSER~1/LOCALS~1/Temp/&#1040;&#1057;&#1053;%20&#1057;&#1058;%202015-shinechilsen.xlsx" TargetMode="External"/></Relationships>
</file>

<file path=xl/externalLinks/_rels/externalLink10.xml.rels><?xml version="1.0" encoding="UTF-8" standalone="yes"?><Relationships xmlns="http://schemas.openxmlformats.org/package/2006/relationships"><Relationship Id="rId1" Type="http://schemas.openxmlformats.org/officeDocument/2006/relationships/externalLinkPath" Target="/HARD/AFG/il%20tod/AFG-2015.12.31-FS.xlsx" TargetMode="External"/></Relationships>
</file>

<file path=xl/externalLinks/_rels/externalLink1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Outlook/N4S4NOX1/AFG20160804/2016%20sanhuu/BUDGET%20OPEX%20%20INCOME%202016.xlsx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F:\ARD%20HOLDINGS\AFG\2018\balance\AFG-FS%202018q1.xlsx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F:\ARD%20HOLDINGS\AFG\2018\balance\AFG-FS%2020180331.xlsx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/oyuka/AFG/Genral/2016/AFG-FS%202016-12-31Uridchilsan_last.xlsx" TargetMode="External"/></Relationships>
</file>

<file path=xl/externalLinks/_rels/externalLink5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oyuka/Downloads/Users/User/AppData/Local/Temp/FinStatement-2011-12-31-ending%20balance%200215.xlsx" TargetMode="External"/></Relationships>
</file>

<file path=xl/externalLinks/_rels/externalLink6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F:\ARD%20HOLDINGS\AFG\2018\salary\AFG-2018.12.xlsx" TargetMode="External"/></Relationships>
</file>

<file path=xl/externalLinks/_rels/externalLink7.xml.rels><?xml version="1.0" encoding="UTF-8" standalone="yes"?><Relationships xmlns="http://schemas.openxmlformats.org/package/2006/relationships"><Relationship Id="rId1" Type="http://schemas.microsoft.com/office/2006/relationships/xlExternalLinkPath/xlPathMissing" Target="Book3" TargetMode="External"/></Relationships>
</file>

<file path=xl/externalLinks/_rels/externalLink8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F:\ARD%20HOLDINGS\AFG\2018\balance\AFG-CF-2018q4.xlsx" TargetMode="External"/></Relationships>
</file>

<file path=xl/externalLinks/_rels/externalLink9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F:\ARD%20HOLDINGS\AFG\2016%20sanhuu\BUDGET%20OPEX%20%20INCOME%202016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СТ-өртөг"/>
      <sheetName val="сарын дэлгэрэнгүй"/>
      <sheetName val="Зээлийн тайлан"/>
      <sheetName val="Үндсэн хөрөнгө"/>
      <sheetName val="Үнэлгээ"/>
      <sheetName val="Авлага, өглөг"/>
      <sheetName val="Хандив тусламжийн зардал"/>
      <sheetName val="ХН бүт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over A"/>
      <sheetName val="cover"/>
      <sheetName val="bs"/>
      <sheetName val="is"/>
      <sheetName val="eq"/>
      <sheetName val="500-4475-I"/>
      <sheetName val="500-4476-I"/>
      <sheetName val="500-7021-I"/>
      <sheetName val="cash"/>
      <sheetName val="500-4476-II"/>
      <sheetName val="500-7021-II"/>
      <sheetName val="500-4475-III"/>
      <sheetName val="500-4476-III"/>
      <sheetName val="500-7021-III"/>
      <sheetName val="tt02"/>
      <sheetName val="tt02g"/>
      <sheetName val="zuruu"/>
      <sheetName val="tt11"/>
      <sheetName val="tt11-1-1"/>
      <sheetName val="tt11-1"/>
      <sheetName val="tt11-2"/>
      <sheetName val="Sheet4"/>
      <sheetName val="tt12"/>
      <sheetName val="TT12-havsralt"/>
      <sheetName val="Sheet1"/>
      <sheetName val="Sheet2"/>
      <sheetName val="Sheet3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Assum"/>
      <sheetName val="HR2016"/>
      <sheetName val="Budget2016"/>
      <sheetName val="cash2016"/>
      <sheetName val="cashflow-ErdeneTogtohBayr"/>
      <sheetName val="HR +5"/>
      <sheetName val="харьцуулалт"/>
      <sheetName val="TFG"/>
      <sheetName val="Purchasing 2016"/>
      <sheetName val="Interest income"/>
      <sheetName val="Hunnu A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S &amp; IS"/>
      <sheetName val="Сарын дэлгэрэнгүй"/>
      <sheetName val="Loan port"/>
      <sheetName val="Avlaga uglug"/>
      <sheetName val="FA, Investments"/>
      <sheetName val="balance"/>
      <sheetName val="Fair Value Reserve"/>
      <sheetName val="Ratios"/>
      <sheetName val=" Interest payable"/>
      <sheetName val=" Intrest income"/>
      <sheetName val="Budget2016"/>
      <sheetName val="Cash flow-2016.10-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S &amp; IS10312016"/>
      <sheetName val="Loan port"/>
      <sheetName val="Сарын дэлгэрэнгүй"/>
      <sheetName val="Avlaga uglug"/>
      <sheetName val="valuation"/>
      <sheetName val="FA, Investments"/>
      <sheetName val="balance"/>
      <sheetName val="Fair Value Reserve"/>
      <sheetName val="Ratios"/>
      <sheetName val="Huraangui"/>
      <sheetName val="ТТ-02"/>
      <sheetName val="Зөрүү"/>
      <sheetName val="ТТ-11"/>
      <sheetName val="ТТ-11-1"/>
      <sheetName val="СТ-1"/>
      <sheetName val="Халиунаа"/>
      <sheetName val="СТ-2"/>
      <sheetName val="СТ-3"/>
      <sheetName val="СТ-4"/>
      <sheetName val="Sheet1"/>
      <sheetName val="CF"/>
      <sheetName val="cover"/>
      <sheetName val="Sheet2"/>
      <sheetName val="Суутган"/>
      <sheetName val=" Interest payable"/>
      <sheetName val=" Intrest income"/>
      <sheetName val="Budget2016"/>
      <sheetName val="Cash flow-2016.10-12m"/>
      <sheetName val="FS &amp; IS"/>
      <sheetName val="Авлага &amp; БМ &amp; УТТ"/>
      <sheetName val="ӨТ &amp; Зээл"/>
      <sheetName val="FA &amp;  Investments"/>
      <sheetName val="Ratio"/>
      <sheetName val="Ашиглалтын зардал"/>
      <sheetName val="Мэргэжлийн үйлчилгээний зардал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S &amp; IS10312016"/>
      <sheetName val="Сарын дэлгэрэнгүй"/>
      <sheetName val="Avlaga uglug"/>
      <sheetName val="Sheet1"/>
      <sheetName val="Loan port"/>
      <sheetName val="FA, Investments"/>
      <sheetName val="Fair Value Reserve"/>
      <sheetName val="valuation"/>
      <sheetName val=" Interest payable"/>
      <sheetName val=" Intrest income"/>
      <sheetName val="BL"/>
      <sheetName val="Fixed assets movement"/>
      <sheetName val="Budget2016"/>
      <sheetName val="FA-calculation"/>
      <sheetName val="Cash flow-2016.10-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over-year"/>
      <sheetName val="cover"/>
      <sheetName val="Dansdiin jagsaalt"/>
      <sheetName val="gyilgee balanceQ4"/>
      <sheetName val="BS1231"/>
      <sheetName val="is1231"/>
      <sheetName val="is1231-new"/>
      <sheetName val="eq1231"/>
      <sheetName val="cash20111231"/>
      <sheetName val="AANOAT-TT02"/>
      <sheetName val="AANOAT-Tod"/>
      <sheetName val="ZURUU-n tailan2011231"/>
      <sheetName val="tsalin-tootsoo2011.1-12"/>
      <sheetName val="SUUTGAN2011-Togtmol bus"/>
      <sheetName val="TT11-1"/>
      <sheetName val="TT-11(2)"/>
      <sheetName val="XAOAT1231"/>
      <sheetName val="tsalin-s suutgasan tootsoo"/>
      <sheetName val="suutgan t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update"/>
      <sheetName val="Credit"/>
      <sheetName val="bagts "/>
      <sheetName val="amralt"/>
      <sheetName val="avlaga suutgah"/>
      <sheetName val="ТНд"/>
      <sheetName val="ИАйТи хувьцаа"/>
      <sheetName val="ХЧТА"/>
      <sheetName val="ХАО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heet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heet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Assum"/>
      <sheetName val="HR2016"/>
      <sheetName val="Budget2016"/>
      <sheetName val="cash2016"/>
      <sheetName val="cashflow-ErdeneTogtohBayr"/>
      <sheetName val="HR +5"/>
      <sheetName val="харьцуулалт"/>
      <sheetName val="TFG"/>
      <sheetName val="Purchasing 2016"/>
      <sheetName val="Interest income"/>
      <sheetName val="Hunnu A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showGridLines="0" workbookViewId="0"/>
  </sheetViews>
  <sheetFormatPr customHeight="1" defaultColWidth="14.43" defaultRowHeight="15.0"/>
  <cols>
    <col customWidth="1" min="1" max="1" width="9.86"/>
    <col customWidth="1" min="2" max="2" width="33.14"/>
    <col customWidth="1" hidden="1" min="3" max="3" width="9.57"/>
    <col customWidth="1" hidden="1" min="4" max="4" width="11.14"/>
    <col customWidth="1" hidden="1" min="5" max="5" width="11.0"/>
    <col customWidth="1" hidden="1" min="6" max="6" width="17.57"/>
    <col customWidth="1" hidden="1" min="7" max="10" width="13.0"/>
    <col customWidth="1" min="11" max="11" width="13.0"/>
    <col customWidth="1" hidden="1" min="12" max="16" width="13.0"/>
    <col customWidth="1" hidden="1" min="17" max="17" width="10.86"/>
    <col customWidth="1" min="18" max="18" width="13.0"/>
    <col customWidth="1" min="19" max="20" width="10.86"/>
    <col customWidth="1" min="21" max="21" width="6.57"/>
    <col customWidth="1" min="22" max="22" width="8.43"/>
    <col customWidth="1" hidden="1" min="23" max="23" width="0.14"/>
    <col customWidth="1" min="24" max="24" width="9.71"/>
    <col customWidth="1" hidden="1" min="25" max="25" width="5.71"/>
    <col customWidth="1" hidden="1" min="26" max="26" width="13.0"/>
    <col customWidth="1" min="27" max="27" width="12.0"/>
    <col customWidth="1" min="28" max="28" width="10.43"/>
    <col customWidth="1" min="29" max="30" width="8.86"/>
  </cols>
  <sheetData>
    <row r="1" ht="12.0" customHeight="1">
      <c r="A1" s="1"/>
      <c r="B1" s="1"/>
      <c r="C1" s="2"/>
      <c r="D1" s="3"/>
      <c r="E1" s="3"/>
      <c r="F1" s="3"/>
      <c r="G1" s="2"/>
      <c r="H1" s="4"/>
      <c r="I1" s="5"/>
      <c r="J1" s="5"/>
      <c r="K1" s="5"/>
      <c r="L1" s="4"/>
      <c r="M1" s="4"/>
      <c r="N1" s="4"/>
      <c r="O1" s="4"/>
      <c r="P1" s="4"/>
      <c r="Q1" s="5"/>
      <c r="R1" s="5"/>
      <c r="S1" s="5"/>
      <c r="T1" s="5"/>
      <c r="U1" s="6"/>
      <c r="V1" s="5"/>
      <c r="W1" s="7"/>
      <c r="X1" s="8"/>
      <c r="Y1" s="8"/>
      <c r="Z1" s="2"/>
      <c r="AA1" s="2"/>
      <c r="AB1" s="2"/>
      <c r="AC1" s="2"/>
      <c r="AD1" s="2"/>
    </row>
    <row r="2" ht="12.0" customHeight="1">
      <c r="A2" s="2"/>
      <c r="B2" s="9" t="s">
        <v>0</v>
      </c>
      <c r="C2" s="2"/>
      <c r="D2" s="3"/>
      <c r="E2" s="3"/>
      <c r="F2" s="3"/>
      <c r="G2" s="2"/>
      <c r="H2" s="4"/>
      <c r="I2" s="5"/>
      <c r="J2" s="5"/>
      <c r="K2" s="5"/>
      <c r="L2" s="4"/>
      <c r="M2" s="4"/>
      <c r="N2" s="4"/>
      <c r="O2" s="4"/>
      <c r="P2" s="4"/>
      <c r="Q2" s="5"/>
      <c r="R2" s="5"/>
      <c r="S2" s="5"/>
      <c r="T2" s="5"/>
      <c r="U2" s="6"/>
      <c r="V2" s="5"/>
      <c r="W2" s="7"/>
      <c r="X2" s="8"/>
      <c r="Y2" s="8"/>
      <c r="Z2" s="2"/>
      <c r="AA2" s="2"/>
      <c r="AB2" s="2"/>
      <c r="AC2" s="2"/>
      <c r="AD2" s="2"/>
    </row>
    <row r="3" ht="12.0" customHeight="1">
      <c r="A3" s="2"/>
      <c r="B3" s="2"/>
      <c r="C3" s="2"/>
      <c r="D3" s="3"/>
      <c r="E3" s="3"/>
      <c r="F3" s="3"/>
      <c r="G3" s="2"/>
      <c r="H3" s="4"/>
      <c r="I3" s="5"/>
      <c r="J3" s="5"/>
      <c r="K3" s="5"/>
      <c r="L3" s="4"/>
      <c r="M3" s="4"/>
      <c r="N3" s="4"/>
      <c r="O3" s="4"/>
      <c r="P3" s="4"/>
      <c r="Q3" s="5"/>
      <c r="R3" s="5"/>
      <c r="S3" s="5"/>
      <c r="T3" s="5"/>
      <c r="U3" s="6"/>
      <c r="V3" s="5"/>
      <c r="W3" s="7"/>
      <c r="X3" s="8"/>
      <c r="Y3" s="8"/>
      <c r="Z3" s="2"/>
      <c r="AA3" s="2"/>
      <c r="AB3" s="2"/>
      <c r="AC3" s="2"/>
      <c r="AD3" s="2"/>
    </row>
    <row r="4" ht="12.0" customHeight="1">
      <c r="A4" s="2"/>
      <c r="B4" s="10" t="s">
        <v>1</v>
      </c>
      <c r="C4" s="2"/>
      <c r="D4" s="3"/>
      <c r="E4" s="3"/>
      <c r="F4" s="3"/>
      <c r="G4" s="2"/>
      <c r="H4" s="4"/>
      <c r="I4" s="5"/>
      <c r="J4" s="5"/>
      <c r="K4" s="5"/>
      <c r="L4" s="4"/>
      <c r="M4" s="4"/>
      <c r="N4" s="4"/>
      <c r="O4" s="4"/>
      <c r="P4" s="4"/>
      <c r="Q4" s="5"/>
      <c r="R4" s="5"/>
      <c r="S4" s="5"/>
      <c r="T4" s="5"/>
      <c r="U4" s="11" t="s">
        <v>2</v>
      </c>
      <c r="V4" s="5"/>
      <c r="W4" s="7"/>
      <c r="X4" s="8"/>
      <c r="Y4" s="8"/>
      <c r="Z4" s="2"/>
      <c r="AA4" s="2"/>
      <c r="AB4" s="2"/>
      <c r="AC4" s="2"/>
      <c r="AD4" s="2"/>
    </row>
    <row r="5" ht="18.0" customHeight="1">
      <c r="A5" s="2"/>
      <c r="B5" s="12" t="s">
        <v>3</v>
      </c>
      <c r="C5" s="13" t="s">
        <v>4</v>
      </c>
      <c r="D5" s="13" t="s">
        <v>5</v>
      </c>
      <c r="E5" s="13" t="s">
        <v>6</v>
      </c>
      <c r="F5" s="13" t="s">
        <v>7</v>
      </c>
      <c r="G5" s="14" t="s">
        <v>8</v>
      </c>
      <c r="H5" s="14" t="s">
        <v>9</v>
      </c>
      <c r="I5" s="15" t="s">
        <v>10</v>
      </c>
      <c r="J5" s="16" t="s">
        <v>11</v>
      </c>
      <c r="K5" s="16" t="s">
        <v>12</v>
      </c>
      <c r="L5" s="16" t="s">
        <v>13</v>
      </c>
      <c r="M5" s="16" t="s">
        <v>14</v>
      </c>
      <c r="N5" s="16" t="s">
        <v>15</v>
      </c>
      <c r="O5" s="16" t="s">
        <v>16</v>
      </c>
      <c r="P5" s="16" t="s">
        <v>17</v>
      </c>
      <c r="Q5" s="16" t="s">
        <v>18</v>
      </c>
      <c r="R5" s="16" t="s">
        <v>19</v>
      </c>
      <c r="S5" s="17" t="s">
        <v>20</v>
      </c>
      <c r="T5" s="18"/>
      <c r="U5" s="18"/>
      <c r="V5" s="8"/>
      <c r="W5" s="2"/>
      <c r="X5" s="2"/>
      <c r="Y5" s="2"/>
      <c r="Z5" s="2"/>
      <c r="AA5" s="2"/>
      <c r="AB5" s="2"/>
      <c r="AC5" s="2"/>
      <c r="AD5" s="2"/>
    </row>
    <row r="6" ht="12.0" customHeight="1">
      <c r="A6" s="2"/>
      <c r="B6" s="19"/>
      <c r="C6" s="20" t="s">
        <v>21</v>
      </c>
      <c r="D6" s="21">
        <v>1.0</v>
      </c>
      <c r="E6" s="21">
        <v>1.0</v>
      </c>
      <c r="F6" s="21">
        <v>1.0</v>
      </c>
      <c r="G6" s="22" t="s">
        <v>22</v>
      </c>
      <c r="H6" s="22" t="s">
        <v>23</v>
      </c>
      <c r="I6" s="23"/>
      <c r="J6" s="24" t="s">
        <v>24</v>
      </c>
      <c r="K6" s="23">
        <v>2.0</v>
      </c>
      <c r="L6" s="22" t="s">
        <v>25</v>
      </c>
      <c r="M6" s="22" t="s">
        <v>26</v>
      </c>
      <c r="N6" s="22" t="s">
        <v>25</v>
      </c>
      <c r="O6" s="22" t="s">
        <v>26</v>
      </c>
      <c r="P6" s="22" t="s">
        <v>26</v>
      </c>
      <c r="Q6" s="22" t="s">
        <v>27</v>
      </c>
      <c r="R6" s="23">
        <v>2.0</v>
      </c>
      <c r="S6" s="22" t="s">
        <v>28</v>
      </c>
      <c r="T6" s="22" t="s">
        <v>29</v>
      </c>
      <c r="U6" s="22" t="s">
        <v>30</v>
      </c>
      <c r="V6" s="8"/>
      <c r="W6" s="2"/>
      <c r="X6" s="2"/>
      <c r="Y6" s="2"/>
      <c r="Z6" s="2"/>
      <c r="AA6" s="2"/>
      <c r="AB6" s="2"/>
      <c r="AC6" s="2"/>
      <c r="AD6" s="2"/>
    </row>
    <row r="7" ht="12.0" customHeight="1">
      <c r="A7" s="2"/>
      <c r="B7" s="25" t="s">
        <v>31</v>
      </c>
      <c r="C7" s="26">
        <v>1328120.385</v>
      </c>
      <c r="D7" s="27">
        <v>169123.652</v>
      </c>
      <c r="E7" s="27">
        <v>311415.054</v>
      </c>
      <c r="F7" s="27">
        <v>177452.745</v>
      </c>
      <c r="G7" s="26">
        <v>86255.706</v>
      </c>
      <c r="H7" s="26">
        <v>109372.98</v>
      </c>
      <c r="I7" s="27">
        <v>81221.5</v>
      </c>
      <c r="J7" s="27">
        <v>106930.227</v>
      </c>
      <c r="K7" s="27">
        <v>166192.22357290002</v>
      </c>
      <c r="L7" s="27">
        <v>160622.0</v>
      </c>
      <c r="M7" s="27">
        <v>89555.46243000001</v>
      </c>
      <c r="N7" s="27">
        <v>410870.36984199996</v>
      </c>
      <c r="O7" s="27">
        <v>145688.4822984</v>
      </c>
      <c r="P7" s="27">
        <v>93709.7664165</v>
      </c>
      <c r="Q7" s="27" t="str">
        <f>+balance!E18/1000+balance!E31/1000</f>
        <v>#REF!</v>
      </c>
      <c r="R7" s="27" t="str">
        <f>+balance!M3/1000</f>
        <v>#REF!</v>
      </c>
      <c r="S7" s="28" t="str">
        <f t="shared" ref="S7:S11" si="1">+(Q7-G7)/G7</f>
        <v>#REF!</v>
      </c>
      <c r="T7" s="28" t="str">
        <f t="shared" ref="T7:T14" si="2">+(Q7-K7)/K7</f>
        <v>#REF!</v>
      </c>
      <c r="U7" s="28" t="str">
        <f t="shared" ref="U7:U14" si="3">(Q7-P7)/P7</f>
        <v>#REF!</v>
      </c>
      <c r="V7" s="29"/>
      <c r="W7" s="2"/>
      <c r="X7" s="5"/>
      <c r="Y7" s="2"/>
      <c r="Z7" s="2"/>
      <c r="AA7" s="2"/>
      <c r="AB7" s="2"/>
      <c r="AC7" s="2"/>
      <c r="AD7" s="2"/>
    </row>
    <row r="8" ht="12.0" customHeight="1">
      <c r="A8" s="2"/>
      <c r="B8" s="25" t="s">
        <v>32</v>
      </c>
      <c r="C8" s="26">
        <v>7481561.155490001</v>
      </c>
      <c r="D8" s="27">
        <v>355089.81049999996</v>
      </c>
      <c r="E8" s="27">
        <v>367697.54741999996</v>
      </c>
      <c r="F8" s="27">
        <v>366936.24474999995</v>
      </c>
      <c r="G8" s="26">
        <v>362412.9712399999</v>
      </c>
      <c r="H8" s="26">
        <v>480335.0333099999</v>
      </c>
      <c r="I8" s="27">
        <v>517706.4389799999</v>
      </c>
      <c r="J8" s="27">
        <v>430353.01702999993</v>
      </c>
      <c r="K8" s="27">
        <v>3760146.570260001</v>
      </c>
      <c r="L8" s="27">
        <v>4321921.0</v>
      </c>
      <c r="M8" s="27">
        <v>3684148.179733733</v>
      </c>
      <c r="N8" s="27">
        <v>458254.0</v>
      </c>
      <c r="O8" s="27">
        <v>463915.69895319996</v>
      </c>
      <c r="P8" s="27">
        <f>450478.761506+22908</f>
        <v>473386.7615</v>
      </c>
      <c r="Q8" s="27" t="str">
        <f>+'Avlaga uglug'!S31/1000+'Avlaga uglug'!S50/1000</f>
        <v>#REF!</v>
      </c>
      <c r="R8" s="27" t="str">
        <f>+balance!M4/1000+balance!M6/1000</f>
        <v>#REF!</v>
      </c>
      <c r="S8" s="28" t="str">
        <f t="shared" si="1"/>
        <v>#REF!</v>
      </c>
      <c r="T8" s="28" t="str">
        <f t="shared" si="2"/>
        <v>#REF!</v>
      </c>
      <c r="U8" s="28" t="str">
        <f t="shared" si="3"/>
        <v>#REF!</v>
      </c>
      <c r="V8" s="29"/>
      <c r="W8" s="2"/>
      <c r="X8" s="5"/>
      <c r="Y8" s="2"/>
      <c r="Z8" s="2"/>
      <c r="AA8" s="2"/>
      <c r="AB8" s="2"/>
      <c r="AC8" s="2"/>
      <c r="AD8" s="2"/>
    </row>
    <row r="9" ht="12.0" customHeight="1">
      <c r="A9" s="2"/>
      <c r="B9" s="25" t="s">
        <v>33</v>
      </c>
      <c r="C9" s="26">
        <v>3325736.3407232</v>
      </c>
      <c r="D9" s="27">
        <v>9179583.1239929</v>
      </c>
      <c r="E9" s="27">
        <v>8855075.6069424</v>
      </c>
      <c r="F9" s="27">
        <v>8906885.709743299</v>
      </c>
      <c r="G9" s="26">
        <v>8483025.5307948</v>
      </c>
      <c r="H9" s="26">
        <v>6259582.4191454</v>
      </c>
      <c r="I9" s="27">
        <v>6069608.2607822</v>
      </c>
      <c r="J9" s="27">
        <v>6471061.8204948995</v>
      </c>
      <c r="K9" s="27">
        <v>6030613.34433</v>
      </c>
      <c r="L9" s="27">
        <v>5393761.0</v>
      </c>
      <c r="M9" s="27">
        <v>5374966.281219499</v>
      </c>
      <c r="N9" s="27">
        <v>9346581.0</v>
      </c>
      <c r="O9" s="27">
        <v>8584964.5199048</v>
      </c>
      <c r="P9" s="27">
        <v>7473835.744394</v>
      </c>
      <c r="Q9" s="27" t="str">
        <f>+'Avlaga uglug'!S49/1000</f>
        <v>#REF!</v>
      </c>
      <c r="R9" s="27" t="str">
        <f>+balance!M5/1000</f>
        <v>#REF!</v>
      </c>
      <c r="S9" s="28" t="str">
        <f t="shared" si="1"/>
        <v>#REF!</v>
      </c>
      <c r="T9" s="28" t="str">
        <f t="shared" si="2"/>
        <v>#REF!</v>
      </c>
      <c r="U9" s="28" t="str">
        <f t="shared" si="3"/>
        <v>#REF!</v>
      </c>
      <c r="V9" s="29"/>
      <c r="W9" s="2"/>
      <c r="X9" s="5"/>
      <c r="Y9" s="2"/>
      <c r="Z9" s="2"/>
      <c r="AA9" s="2"/>
      <c r="AB9" s="2"/>
      <c r="AC9" s="2"/>
      <c r="AD9" s="2"/>
    </row>
    <row r="10" ht="12.0" customHeight="1">
      <c r="A10" s="2"/>
      <c r="B10" s="25" t="s">
        <v>34</v>
      </c>
      <c r="C10" s="26">
        <v>127526.02692</v>
      </c>
      <c r="D10" s="27">
        <v>244047.76016000003</v>
      </c>
      <c r="E10" s="27">
        <v>338081.27316000004</v>
      </c>
      <c r="F10" s="27">
        <v>226834.55661000003</v>
      </c>
      <c r="G10" s="26">
        <v>216866.25361</v>
      </c>
      <c r="H10" s="26">
        <v>197729.05404</v>
      </c>
      <c r="I10" s="27">
        <v>186336.92677000002</v>
      </c>
      <c r="J10" s="27">
        <v>180196.62639999998</v>
      </c>
      <c r="K10" s="27">
        <v>179438.86763999998</v>
      </c>
      <c r="L10" s="27">
        <v>177099.0</v>
      </c>
      <c r="M10" s="27">
        <v>163061.85563</v>
      </c>
      <c r="N10" s="27">
        <v>621786.10571</v>
      </c>
      <c r="O10" s="27">
        <v>264744.908585</v>
      </c>
      <c r="P10" s="27">
        <v>281780.44166250003</v>
      </c>
      <c r="Q10" s="27" t="str">
        <f>+'Avlaga uglug'!S56/1000</f>
        <v>#REF!</v>
      </c>
      <c r="R10" s="27" t="str">
        <f>+balance!M7/1000</f>
        <v>#REF!</v>
      </c>
      <c r="S10" s="28" t="str">
        <f t="shared" si="1"/>
        <v>#REF!</v>
      </c>
      <c r="T10" s="28" t="str">
        <f t="shared" si="2"/>
        <v>#REF!</v>
      </c>
      <c r="U10" s="28" t="str">
        <f t="shared" si="3"/>
        <v>#REF!</v>
      </c>
      <c r="V10" s="29"/>
      <c r="W10" s="2"/>
      <c r="X10" s="5"/>
      <c r="Y10" s="2"/>
      <c r="Z10" s="2"/>
      <c r="AA10" s="2"/>
      <c r="AB10" s="2"/>
      <c r="AC10" s="2"/>
      <c r="AD10" s="2"/>
    </row>
    <row r="11" ht="12.0" customHeight="1">
      <c r="A11" s="2"/>
      <c r="B11" s="25" t="s">
        <v>35</v>
      </c>
      <c r="C11" s="26">
        <v>1537605.75366</v>
      </c>
      <c r="D11" s="27">
        <v>1416955.0833299998</v>
      </c>
      <c r="E11" s="27">
        <v>1416955.0833299998</v>
      </c>
      <c r="F11" s="27">
        <v>1416955.0833299998</v>
      </c>
      <c r="G11" s="26">
        <v>1687243.1971300002</v>
      </c>
      <c r="H11" s="26">
        <v>1370970.00376</v>
      </c>
      <c r="I11" s="27">
        <v>688140.0389400001</v>
      </c>
      <c r="J11" s="27">
        <v>682142.0431</v>
      </c>
      <c r="K11" s="27">
        <v>676748.4562100001</v>
      </c>
      <c r="L11" s="27">
        <v>677328.0</v>
      </c>
      <c r="M11" s="27">
        <v>678401.18348</v>
      </c>
      <c r="N11" s="27">
        <v>673990.1959100002</v>
      </c>
      <c r="O11" s="27">
        <v>905990.1959100001</v>
      </c>
      <c r="P11" s="27">
        <v>909518.3959100001</v>
      </c>
      <c r="Q11" s="27" t="str">
        <f>+balance!E90/1000-balance!E79/1000</f>
        <v>#REF!</v>
      </c>
      <c r="R11" s="27" t="str">
        <f>+balance!M9/1000</f>
        <v>#REF!</v>
      </c>
      <c r="S11" s="28" t="str">
        <f t="shared" si="1"/>
        <v>#REF!</v>
      </c>
      <c r="T11" s="28" t="str">
        <f t="shared" si="2"/>
        <v>#REF!</v>
      </c>
      <c r="U11" s="28" t="str">
        <f t="shared" si="3"/>
        <v>#REF!</v>
      </c>
      <c r="V11" s="29"/>
      <c r="W11" s="2"/>
      <c r="X11" s="5"/>
      <c r="Y11" s="2"/>
      <c r="Z11" s="2"/>
      <c r="AA11" s="2"/>
      <c r="AB11" s="2"/>
      <c r="AC11" s="2"/>
      <c r="AD11" s="2"/>
    </row>
    <row r="12" ht="12.0" customHeight="1">
      <c r="A12" s="2"/>
      <c r="B12" s="25" t="s">
        <v>36</v>
      </c>
      <c r="C12" s="26"/>
      <c r="D12" s="27"/>
      <c r="E12" s="27"/>
      <c r="F12" s="27"/>
      <c r="G12" s="26"/>
      <c r="H12" s="26"/>
      <c r="I12" s="27"/>
      <c r="J12" s="27"/>
      <c r="K12" s="27">
        <v>3000000.0</v>
      </c>
      <c r="L12" s="3">
        <v>3000000.0</v>
      </c>
      <c r="M12" s="3">
        <v>3000000.0</v>
      </c>
      <c r="N12" s="3">
        <v>3000000.0</v>
      </c>
      <c r="O12" s="3">
        <v>3000000.0</v>
      </c>
      <c r="P12" s="3">
        <v>3000000.0</v>
      </c>
      <c r="Q12" s="27">
        <v>3000000.0</v>
      </c>
      <c r="R12" s="27" t="str">
        <f>+balance!M8/1000</f>
        <v>#REF!</v>
      </c>
      <c r="S12" s="28"/>
      <c r="T12" s="28">
        <f t="shared" si="2"/>
        <v>0</v>
      </c>
      <c r="U12" s="28">
        <f t="shared" si="3"/>
        <v>0</v>
      </c>
      <c r="V12" s="29"/>
      <c r="W12" s="2"/>
      <c r="X12" s="5"/>
      <c r="Y12" s="2"/>
      <c r="Z12" s="2"/>
      <c r="AA12" s="2"/>
      <c r="AB12" s="2"/>
      <c r="AC12" s="2"/>
      <c r="AD12" s="2"/>
    </row>
    <row r="13" ht="12.0" customHeight="1">
      <c r="A13" s="2"/>
      <c r="B13" s="25" t="s">
        <v>37</v>
      </c>
      <c r="C13" s="26">
        <v>0.01</v>
      </c>
      <c r="D13" s="27"/>
      <c r="E13" s="27"/>
      <c r="F13" s="27"/>
      <c r="G13" s="26"/>
      <c r="H13" s="26">
        <v>29350.0</v>
      </c>
      <c r="I13" s="27">
        <v>29735.855440000003</v>
      </c>
      <c r="J13" s="27">
        <v>29735.855440000003</v>
      </c>
      <c r="K13" s="27">
        <v>17560.75236</v>
      </c>
      <c r="L13" s="27">
        <v>17561.0</v>
      </c>
      <c r="M13" s="27">
        <v>17560.752360000002</v>
      </c>
      <c r="N13" s="27">
        <v>19014.752360000002</v>
      </c>
      <c r="O13" s="27">
        <v>19014.752360000002</v>
      </c>
      <c r="P13" s="27">
        <v>19014.75236</v>
      </c>
      <c r="Q13" s="27" t="str">
        <f>+'Avlaga uglug'!S51/1000</f>
        <v>#REF!</v>
      </c>
      <c r="R13" s="27" t="str">
        <f>+balance!M10/1000</f>
        <v>#REF!</v>
      </c>
      <c r="S13" s="28"/>
      <c r="T13" s="28" t="str">
        <f t="shared" si="2"/>
        <v>#REF!</v>
      </c>
      <c r="U13" s="28" t="str">
        <f t="shared" si="3"/>
        <v>#REF!</v>
      </c>
      <c r="V13" s="29"/>
      <c r="W13" s="2"/>
      <c r="X13" s="5"/>
      <c r="Y13" s="2"/>
      <c r="Z13" s="2"/>
      <c r="AA13" s="2"/>
      <c r="AB13" s="2"/>
      <c r="AC13" s="2"/>
      <c r="AD13" s="2"/>
    </row>
    <row r="14" ht="12.0" customHeight="1">
      <c r="A14" s="2"/>
      <c r="B14" s="25" t="s">
        <v>38</v>
      </c>
      <c r="C14" s="26">
        <v>2.0844828100300003E7</v>
      </c>
      <c r="D14" s="27">
        <v>2.428026366525E7</v>
      </c>
      <c r="E14" s="27">
        <v>2.428026366525E7</v>
      </c>
      <c r="F14" s="27">
        <v>2.430526366525E7</v>
      </c>
      <c r="G14" s="26">
        <v>2.430570366525E7</v>
      </c>
      <c r="H14" s="26">
        <v>2.846263501625E7</v>
      </c>
      <c r="I14" s="27">
        <v>2.9588732258780003E7</v>
      </c>
      <c r="J14" s="27">
        <v>2.958262284378E7</v>
      </c>
      <c r="K14" s="27">
        <f>25764374.16703-202705.826</f>
        <v>25561668.34</v>
      </c>
      <c r="L14" s="30">
        <v>2.5764369E7</v>
      </c>
      <c r="M14" s="27">
        <v>2.605811791703E7</v>
      </c>
      <c r="N14" s="27">
        <f>27186642.00637-0.6</f>
        <v>27186641.41</v>
      </c>
      <c r="O14" s="27">
        <v>2.7502837388380002E7</v>
      </c>
      <c r="P14" s="27">
        <v>2.849211434911E7</v>
      </c>
      <c r="Q14" s="27" t="str">
        <f>+balance!E119/1000</f>
        <v>#REF!</v>
      </c>
      <c r="R14" s="27" t="str">
        <f>+balance!M12/1000</f>
        <v>#REF!</v>
      </c>
      <c r="S14" s="28" t="str">
        <f>+(Q14-G14)/G14</f>
        <v>#REF!</v>
      </c>
      <c r="T14" s="28" t="str">
        <f t="shared" si="2"/>
        <v>#REF!</v>
      </c>
      <c r="U14" s="28" t="str">
        <f t="shared" si="3"/>
        <v>#REF!</v>
      </c>
      <c r="V14" s="29"/>
      <c r="W14" s="3"/>
      <c r="X14" s="5"/>
      <c r="Y14" s="2"/>
      <c r="Z14" s="2"/>
      <c r="AA14" s="2"/>
      <c r="AB14" s="2"/>
      <c r="AC14" s="2"/>
      <c r="AD14" s="2"/>
    </row>
    <row r="15" ht="19.5" customHeight="1">
      <c r="A15" s="31"/>
      <c r="B15" s="32" t="s">
        <v>39</v>
      </c>
      <c r="C15" s="33">
        <v>3.46453777620932E7</v>
      </c>
      <c r="D15" s="34">
        <f t="shared" ref="D15:U15" si="4">SUM(D7:D14)</f>
        <v>35645063.1</v>
      </c>
      <c r="E15" s="34">
        <f t="shared" si="4"/>
        <v>35569488.23</v>
      </c>
      <c r="F15" s="34">
        <f t="shared" si="4"/>
        <v>35400328</v>
      </c>
      <c r="G15" s="34">
        <f t="shared" si="4"/>
        <v>35141507.32</v>
      </c>
      <c r="H15" s="34">
        <f t="shared" si="4"/>
        <v>36909974.51</v>
      </c>
      <c r="I15" s="34">
        <f t="shared" si="4"/>
        <v>37161481.28</v>
      </c>
      <c r="J15" s="34">
        <f t="shared" si="4"/>
        <v>37483042.43</v>
      </c>
      <c r="K15" s="34">
        <f t="shared" si="4"/>
        <v>39392368.56</v>
      </c>
      <c r="L15" s="34">
        <f t="shared" si="4"/>
        <v>39512661</v>
      </c>
      <c r="M15" s="34">
        <f t="shared" si="4"/>
        <v>39065811.63</v>
      </c>
      <c r="N15" s="34">
        <f t="shared" si="4"/>
        <v>41717137.83</v>
      </c>
      <c r="O15" s="34">
        <f t="shared" si="4"/>
        <v>40887155.95</v>
      </c>
      <c r="P15" s="34">
        <f t="shared" si="4"/>
        <v>40743360.21</v>
      </c>
      <c r="Q15" s="34" t="str">
        <f t="shared" si="4"/>
        <v>#REF!</v>
      </c>
      <c r="R15" s="34" t="str">
        <f t="shared" si="4"/>
        <v>#REF!</v>
      </c>
      <c r="S15" s="35" t="str">
        <f t="shared" si="4"/>
        <v>#REF!</v>
      </c>
      <c r="T15" s="35" t="str">
        <f t="shared" si="4"/>
        <v>#REF!</v>
      </c>
      <c r="U15" s="35" t="str">
        <f t="shared" si="4"/>
        <v>#REF!</v>
      </c>
      <c r="V15" s="29"/>
      <c r="W15" s="36"/>
      <c r="X15" s="36"/>
      <c r="Y15" s="31"/>
      <c r="Z15" s="31"/>
      <c r="AA15" s="31"/>
      <c r="AB15" s="31"/>
      <c r="AC15" s="31"/>
      <c r="AD15" s="31"/>
    </row>
    <row r="16" ht="12.0" customHeight="1">
      <c r="A16" s="2"/>
      <c r="B16" s="25" t="s">
        <v>40</v>
      </c>
      <c r="C16" s="37">
        <v>5317265.30016</v>
      </c>
      <c r="D16" s="27">
        <v>74737.15357999998</v>
      </c>
      <c r="E16" s="27">
        <v>81438.46667000002</v>
      </c>
      <c r="F16" s="27">
        <v>52093.14926000011</v>
      </c>
      <c r="G16" s="26">
        <v>26482.593900000007</v>
      </c>
      <c r="H16" s="26">
        <v>1642798.1910400004</v>
      </c>
      <c r="I16" s="27">
        <v>1468876.5879600004</v>
      </c>
      <c r="J16" s="27">
        <v>1434049.4500000002</v>
      </c>
      <c r="K16" s="27">
        <v>667981.4516899999</v>
      </c>
      <c r="L16" s="38">
        <v>665008.0</v>
      </c>
      <c r="M16" s="27">
        <v>300162.03393</v>
      </c>
      <c r="N16" s="27">
        <v>500256.26977600006</v>
      </c>
      <c r="O16" s="27">
        <v>257120.79053808225</v>
      </c>
      <c r="P16" s="27">
        <v>154856.06355</v>
      </c>
      <c r="Q16" s="27" t="str">
        <f>+'Avlaga uglug'!S78/1000-Q18</f>
        <v>#REF!</v>
      </c>
      <c r="R16" s="39" t="str">
        <f>+balance!M14/1000-R18</f>
        <v>#REF!</v>
      </c>
      <c r="S16" s="28" t="str">
        <f t="shared" ref="S16:S18" si="5">+(Q16-G16)/G16</f>
        <v>#REF!</v>
      </c>
      <c r="T16" s="28" t="str">
        <f t="shared" ref="T16:T18" si="6">+(Q16-K16)/K16</f>
        <v>#REF!</v>
      </c>
      <c r="U16" s="28" t="str">
        <f t="shared" ref="U16:U18" si="7">(Q16-P16)/P16</f>
        <v>#REF!</v>
      </c>
      <c r="V16" s="29"/>
      <c r="W16" s="2"/>
      <c r="X16" s="5"/>
      <c r="Y16" s="2"/>
      <c r="Z16" s="2"/>
      <c r="AA16" s="2"/>
      <c r="AB16" s="2"/>
      <c r="AC16" s="2"/>
      <c r="AD16" s="2"/>
    </row>
    <row r="17" ht="12.0" customHeight="1">
      <c r="A17" s="2"/>
      <c r="B17" s="25" t="s">
        <v>41</v>
      </c>
      <c r="C17" s="26">
        <v>668228.46512</v>
      </c>
      <c r="D17" s="27">
        <v>862701.9491</v>
      </c>
      <c r="E17" s="27">
        <v>864896.3557999999</v>
      </c>
      <c r="F17" s="27">
        <v>877896.3557999999</v>
      </c>
      <c r="G17" s="26">
        <v>903640.8166</v>
      </c>
      <c r="H17" s="26">
        <v>662130.1369800001</v>
      </c>
      <c r="I17" s="27">
        <v>1210000.0</v>
      </c>
      <c r="J17" s="27">
        <v>1180000.0</v>
      </c>
      <c r="K17" s="27">
        <v>841334.70233</v>
      </c>
      <c r="L17" s="27">
        <v>841333.5</v>
      </c>
      <c r="M17" s="27">
        <v>1257083.4182</v>
      </c>
      <c r="N17" s="27">
        <v>2262918.104</v>
      </c>
      <c r="O17" s="27">
        <v>2241918.104</v>
      </c>
      <c r="P17" s="27">
        <v>2098918.104</v>
      </c>
      <c r="Q17" s="27" t="str">
        <f>+'Avlaga uglug'!S86/1000</f>
        <v>#REF!</v>
      </c>
      <c r="R17" s="27" t="str">
        <f>+balance!M21/1000</f>
        <v>#REF!</v>
      </c>
      <c r="S17" s="28" t="str">
        <f t="shared" si="5"/>
        <v>#REF!</v>
      </c>
      <c r="T17" s="28" t="str">
        <f t="shared" si="6"/>
        <v>#REF!</v>
      </c>
      <c r="U17" s="28" t="str">
        <f t="shared" si="7"/>
        <v>#REF!</v>
      </c>
      <c r="V17" s="29"/>
      <c r="W17" s="2"/>
      <c r="X17" s="5"/>
      <c r="Y17" s="2"/>
      <c r="Z17" s="2"/>
      <c r="AA17" s="2"/>
      <c r="AB17" s="2"/>
      <c r="AC17" s="2"/>
      <c r="AD17" s="2"/>
    </row>
    <row r="18" ht="12.0" customHeight="1">
      <c r="A18" s="2"/>
      <c r="B18" s="25" t="s">
        <v>42</v>
      </c>
      <c r="C18" s="26">
        <v>51471.2021</v>
      </c>
      <c r="D18" s="27">
        <v>148471.36197000003</v>
      </c>
      <c r="E18" s="27">
        <v>142563.25106</v>
      </c>
      <c r="F18" s="27">
        <v>141098.32048999998</v>
      </c>
      <c r="G18" s="26">
        <v>99698.1412</v>
      </c>
      <c r="H18" s="26">
        <v>41953.85</v>
      </c>
      <c r="I18" s="27">
        <v>201413.71821000002</v>
      </c>
      <c r="J18" s="27">
        <v>202884.56907000003</v>
      </c>
      <c r="K18" s="27">
        <f>134472.459006536+49899</f>
        <v>184371.459</v>
      </c>
      <c r="L18" s="27">
        <v>90000.0</v>
      </c>
      <c r="M18" s="27">
        <v>96027.252582</v>
      </c>
      <c r="N18" s="27">
        <v>30583.15089</v>
      </c>
      <c r="O18" s="27">
        <v>44312.29678257089</v>
      </c>
      <c r="P18" s="27">
        <v>45616.800445</v>
      </c>
      <c r="Q18" s="27" t="str">
        <f>+('Avlaga uglug'!S64+'Avlaga uglug'!S65+'Avlaga uglug'!S66+'Avlaga uglug'!S67+'Avlaga uglug'!S68+'Avlaga uglug'!S70)/1000</f>
        <v>#REF!</v>
      </c>
      <c r="R18" s="27" t="str">
        <f>+balance!G103/1000+balance!G108/1000</f>
        <v>#REF!</v>
      </c>
      <c r="S18" s="28" t="str">
        <f t="shared" si="5"/>
        <v>#REF!</v>
      </c>
      <c r="T18" s="28" t="str">
        <f t="shared" si="6"/>
        <v>#REF!</v>
      </c>
      <c r="U18" s="28" t="str">
        <f t="shared" si="7"/>
        <v>#REF!</v>
      </c>
      <c r="V18" s="29"/>
      <c r="W18" s="2"/>
      <c r="X18" s="5"/>
      <c r="Y18" s="2"/>
      <c r="Z18" s="2"/>
      <c r="AA18" s="2"/>
      <c r="AB18" s="2"/>
      <c r="AC18" s="2"/>
      <c r="AD18" s="2"/>
    </row>
    <row r="19" ht="12.0" customHeight="1">
      <c r="A19" s="2"/>
      <c r="B19" s="25" t="s">
        <v>43</v>
      </c>
      <c r="C19" s="26"/>
      <c r="D19" s="27"/>
      <c r="E19" s="27"/>
      <c r="F19" s="27"/>
      <c r="G19" s="26"/>
      <c r="H19" s="26"/>
      <c r="I19" s="27"/>
      <c r="J19" s="27"/>
      <c r="K19" s="27"/>
      <c r="L19" s="27"/>
      <c r="M19" s="27"/>
      <c r="N19" s="27"/>
      <c r="O19" s="27"/>
      <c r="P19" s="27"/>
      <c r="Q19" s="27"/>
      <c r="R19" s="27" t="str">
        <f>SUM(balance!M18)/1000</f>
        <v>#REF!</v>
      </c>
      <c r="S19" s="28"/>
      <c r="T19" s="28"/>
      <c r="U19" s="28"/>
      <c r="V19" s="29"/>
      <c r="W19" s="2"/>
      <c r="X19" s="5"/>
      <c r="Y19" s="2"/>
      <c r="Z19" s="2"/>
      <c r="AA19" s="2"/>
      <c r="AB19" s="2"/>
      <c r="AC19" s="2"/>
      <c r="AD19" s="2"/>
    </row>
    <row r="20" ht="12.0" customHeight="1">
      <c r="A20" s="2"/>
      <c r="B20" s="25" t="s">
        <v>44</v>
      </c>
      <c r="C20" s="40"/>
      <c r="D20" s="27"/>
      <c r="E20" s="27"/>
      <c r="F20" s="27"/>
      <c r="G20" s="26"/>
      <c r="H20" s="26"/>
      <c r="I20" s="27"/>
      <c r="J20" s="27"/>
      <c r="K20" s="27">
        <v>352512.0</v>
      </c>
      <c r="L20" s="27"/>
      <c r="M20" s="27"/>
      <c r="N20" s="27">
        <f>478265192.04/1000</f>
        <v>478265.192</v>
      </c>
      <c r="O20" s="27">
        <v>478265.19204</v>
      </c>
      <c r="P20" s="27">
        <v>478265.19204</v>
      </c>
      <c r="Q20" s="27" t="str">
        <f>+balance!G191/1000</f>
        <v>#REF!</v>
      </c>
      <c r="R20" s="27" t="str">
        <f>+balance!M22/1000</f>
        <v>#REF!</v>
      </c>
      <c r="S20" s="28"/>
      <c r="T20" s="28" t="str">
        <f>+(Q20-K20)/K20</f>
        <v>#REF!</v>
      </c>
      <c r="U20" s="28" t="str">
        <f>(Q20-P20)/P20</f>
        <v>#REF!</v>
      </c>
      <c r="V20" s="29"/>
      <c r="W20" s="2"/>
      <c r="X20" s="5"/>
      <c r="Y20" s="2"/>
      <c r="Z20" s="2"/>
      <c r="AA20" s="2"/>
      <c r="AB20" s="2"/>
      <c r="AC20" s="2"/>
      <c r="AD20" s="2"/>
    </row>
    <row r="21" ht="12.0" customHeight="1">
      <c r="A21" s="2"/>
      <c r="B21" s="41" t="s">
        <v>45</v>
      </c>
      <c r="C21" s="42">
        <v>6036964.96738</v>
      </c>
      <c r="D21" s="43">
        <f t="shared" ref="D21:E21" si="8">SUM(D16:D18)</f>
        <v>1085910.465</v>
      </c>
      <c r="E21" s="43">
        <f t="shared" si="8"/>
        <v>1088898.074</v>
      </c>
      <c r="F21" s="43">
        <f t="shared" ref="F21:R21" si="9">SUM(F16:F20)</f>
        <v>1071087.826</v>
      </c>
      <c r="G21" s="43">
        <f t="shared" si="9"/>
        <v>1029821.552</v>
      </c>
      <c r="H21" s="43">
        <f t="shared" si="9"/>
        <v>2346882.178</v>
      </c>
      <c r="I21" s="43">
        <f t="shared" si="9"/>
        <v>2880290.306</v>
      </c>
      <c r="J21" s="43">
        <f t="shared" si="9"/>
        <v>2816934.019</v>
      </c>
      <c r="K21" s="43">
        <f t="shared" si="9"/>
        <v>2046199.613</v>
      </c>
      <c r="L21" s="43">
        <f t="shared" si="9"/>
        <v>1596341.5</v>
      </c>
      <c r="M21" s="43">
        <f t="shared" si="9"/>
        <v>1653272.705</v>
      </c>
      <c r="N21" s="43">
        <f t="shared" si="9"/>
        <v>3272022.717</v>
      </c>
      <c r="O21" s="43">
        <f t="shared" si="9"/>
        <v>3021616.383</v>
      </c>
      <c r="P21" s="43">
        <f t="shared" si="9"/>
        <v>2777656.16</v>
      </c>
      <c r="Q21" s="43" t="str">
        <f t="shared" si="9"/>
        <v>#REF!</v>
      </c>
      <c r="R21" s="43" t="str">
        <f t="shared" si="9"/>
        <v>#REF!</v>
      </c>
      <c r="S21" s="44" t="str">
        <f t="shared" ref="S21:U21" si="10">SUM(S16:S18)</f>
        <v>#REF!</v>
      </c>
      <c r="T21" s="44" t="str">
        <f t="shared" si="10"/>
        <v>#REF!</v>
      </c>
      <c r="U21" s="44" t="str">
        <f t="shared" si="10"/>
        <v>#REF!</v>
      </c>
      <c r="V21" s="29"/>
      <c r="W21" s="2"/>
      <c r="X21" s="5"/>
      <c r="Y21" s="2"/>
      <c r="Z21" s="2"/>
      <c r="AA21" s="2"/>
      <c r="AB21" s="2"/>
      <c r="AC21" s="2"/>
      <c r="AD21" s="2"/>
    </row>
    <row r="22" ht="12.0" customHeight="1">
      <c r="A22" s="45"/>
      <c r="B22" s="46" t="s">
        <v>46</v>
      </c>
      <c r="C22" s="47">
        <v>1.3881802273E7</v>
      </c>
      <c r="D22" s="48">
        <f>SUM(D23:D26)</f>
        <v>19138070.12</v>
      </c>
      <c r="E22" s="48">
        <f t="shared" ref="E22:U22" si="11">E23+E24+E25+E26</f>
        <v>19129579.32</v>
      </c>
      <c r="F22" s="48">
        <f t="shared" si="11"/>
        <v>19129139.32</v>
      </c>
      <c r="G22" s="48">
        <f t="shared" si="11"/>
        <v>19167327.32</v>
      </c>
      <c r="H22" s="48">
        <f t="shared" si="11"/>
        <v>19365194.98</v>
      </c>
      <c r="I22" s="48">
        <f t="shared" si="11"/>
        <v>19357212.6</v>
      </c>
      <c r="J22" s="48">
        <f t="shared" si="11"/>
        <v>19277390.25</v>
      </c>
      <c r="K22" s="48">
        <f t="shared" si="11"/>
        <v>20496006.62</v>
      </c>
      <c r="L22" s="48">
        <f t="shared" si="11"/>
        <v>21151022.12</v>
      </c>
      <c r="M22" s="48">
        <f t="shared" si="11"/>
        <v>21151022.15</v>
      </c>
      <c r="N22" s="48">
        <f t="shared" si="11"/>
        <v>21727588.28</v>
      </c>
      <c r="O22" s="48">
        <f t="shared" si="11"/>
        <v>21727587.28</v>
      </c>
      <c r="P22" s="48">
        <f t="shared" si="11"/>
        <v>21716864.24</v>
      </c>
      <c r="Q22" s="48" t="str">
        <f t="shared" si="11"/>
        <v>#REF!</v>
      </c>
      <c r="R22" s="48" t="str">
        <f t="shared" si="11"/>
        <v>#REF!</v>
      </c>
      <c r="S22" s="49" t="str">
        <f t="shared" si="11"/>
        <v>#REF!</v>
      </c>
      <c r="T22" s="49" t="str">
        <f t="shared" si="11"/>
        <v>#REF!</v>
      </c>
      <c r="U22" s="49" t="str">
        <f t="shared" si="11"/>
        <v>#REF!</v>
      </c>
      <c r="V22" s="29"/>
      <c r="W22" s="45"/>
      <c r="X22" s="50"/>
      <c r="Y22" s="45"/>
      <c r="Z22" s="45"/>
      <c r="AA22" s="45"/>
      <c r="AB22" s="45"/>
      <c r="AC22" s="45"/>
      <c r="AD22" s="45"/>
    </row>
    <row r="23" ht="12.0" customHeight="1">
      <c r="A23" s="2"/>
      <c r="B23" s="25" t="s">
        <v>47</v>
      </c>
      <c r="C23" s="26">
        <v>1359730.507</v>
      </c>
      <c r="D23" s="27">
        <v>1719436.4070000001</v>
      </c>
      <c r="E23" s="27">
        <v>1727418.607</v>
      </c>
      <c r="F23" s="27">
        <v>1727418.607</v>
      </c>
      <c r="G23" s="26">
        <v>1727418.607</v>
      </c>
      <c r="H23" s="26">
        <v>1727418.61</v>
      </c>
      <c r="I23" s="27">
        <v>1719436.0</v>
      </c>
      <c r="J23" s="27">
        <v>1719436.4070000001</v>
      </c>
      <c r="K23" s="27">
        <v>1719436.4070000001</v>
      </c>
      <c r="L23" s="27">
        <v>1719436.407</v>
      </c>
      <c r="M23" s="27">
        <v>1719436.407</v>
      </c>
      <c r="N23" s="27">
        <v>1719436.407</v>
      </c>
      <c r="O23" s="27">
        <v>1719436.407</v>
      </c>
      <c r="P23" s="27">
        <v>1719436.407</v>
      </c>
      <c r="Q23" s="27">
        <v>1719436.407</v>
      </c>
      <c r="R23" s="27" t="str">
        <f>+(balance!G135-balance!F136)/1000</f>
        <v>#REF!</v>
      </c>
      <c r="S23" s="28">
        <f t="shared" ref="S23:S26" si="12">+(Q23-G23)/G23</f>
        <v>-0.00462088342</v>
      </c>
      <c r="T23" s="28">
        <f t="shared" ref="T23:T26" si="13">+(Q23-K23)/K23</f>
        <v>0</v>
      </c>
      <c r="U23" s="28">
        <f t="shared" ref="U23:U26" si="14">(Q23-P23)/P23</f>
        <v>0</v>
      </c>
      <c r="V23" s="29"/>
      <c r="W23" s="2"/>
      <c r="X23" s="5"/>
      <c r="Y23" s="2"/>
      <c r="Z23" s="2"/>
      <c r="AA23" s="2"/>
      <c r="AB23" s="2"/>
      <c r="AC23" s="2"/>
      <c r="AD23" s="2"/>
    </row>
    <row r="24" ht="15.0" customHeight="1">
      <c r="A24" s="2"/>
      <c r="B24" s="25" t="s">
        <v>48</v>
      </c>
      <c r="C24" s="26">
        <v>4893178.108000001</v>
      </c>
      <c r="D24" s="27">
        <v>9789740.053</v>
      </c>
      <c r="E24" s="27">
        <v>9773267.053</v>
      </c>
      <c r="F24" s="27">
        <v>9772827.053</v>
      </c>
      <c r="G24" s="26">
        <v>9811015.053</v>
      </c>
      <c r="H24" s="26">
        <v>1.0008882708E7</v>
      </c>
      <c r="I24" s="27">
        <v>1.0008883E7</v>
      </c>
      <c r="J24" s="27">
        <v>9929060.244</v>
      </c>
      <c r="K24" s="27">
        <v>9929060.70856</v>
      </c>
      <c r="L24" s="27">
        <v>9929060.70856</v>
      </c>
      <c r="M24" s="27">
        <v>9929060.70856</v>
      </c>
      <c r="N24" s="27">
        <v>9929060.70856</v>
      </c>
      <c r="O24" s="27">
        <v>9929060.70856</v>
      </c>
      <c r="P24" s="27">
        <v>9929060.70856</v>
      </c>
      <c r="Q24" s="27">
        <v>9929060.70856</v>
      </c>
      <c r="R24" s="27" t="str">
        <f>+balance!G137/1000+balance!G138/1000</f>
        <v>#REF!</v>
      </c>
      <c r="S24" s="28">
        <f t="shared" si="12"/>
        <v>0.01203195132</v>
      </c>
      <c r="T24" s="28">
        <f t="shared" si="13"/>
        <v>0</v>
      </c>
      <c r="U24" s="28">
        <f t="shared" si="14"/>
        <v>0</v>
      </c>
      <c r="V24" s="29"/>
      <c r="W24" s="2"/>
      <c r="X24" s="5"/>
      <c r="Y24" s="2"/>
      <c r="Z24" s="2"/>
      <c r="AA24" s="2"/>
      <c r="AB24" s="2"/>
      <c r="AC24" s="2"/>
      <c r="AD24" s="2"/>
    </row>
    <row r="25" ht="10.5" customHeight="1">
      <c r="A25" s="2"/>
      <c r="B25" s="25" t="s">
        <v>49</v>
      </c>
      <c r="C25" s="26">
        <v>7615094.658</v>
      </c>
      <c r="D25" s="27">
        <v>7615094.658</v>
      </c>
      <c r="E25" s="27">
        <v>7615094.658</v>
      </c>
      <c r="F25" s="27">
        <v>7615094.658</v>
      </c>
      <c r="G25" s="26">
        <v>7615094.658</v>
      </c>
      <c r="H25" s="26">
        <v>7615094.658</v>
      </c>
      <c r="I25" s="27">
        <v>7615094.6</v>
      </c>
      <c r="J25" s="27">
        <v>7615094.6</v>
      </c>
      <c r="K25" s="27">
        <f>9236121.50328-352512-49899</f>
        <v>8833710.503</v>
      </c>
      <c r="L25" s="27">
        <v>9488726.0</v>
      </c>
      <c r="M25" s="27">
        <v>9488726.030040001</v>
      </c>
      <c r="N25" s="27">
        <f>10065291167.35/1000+1</f>
        <v>10065292.17</v>
      </c>
      <c r="O25" s="27">
        <f>10065291167.35/1000</f>
        <v>10065291.17</v>
      </c>
      <c r="P25" s="27">
        <v>1.005456812808E7</v>
      </c>
      <c r="Q25" s="27" t="str">
        <f>+balance!H196/1000</f>
        <v>#REF!</v>
      </c>
      <c r="R25" s="27" t="str">
        <f>+balance!G141/1000</f>
        <v>#REF!</v>
      </c>
      <c r="S25" s="28" t="str">
        <f t="shared" si="12"/>
        <v>#REF!</v>
      </c>
      <c r="T25" s="28" t="str">
        <f t="shared" si="13"/>
        <v>#REF!</v>
      </c>
      <c r="U25" s="28" t="str">
        <f t="shared" si="14"/>
        <v>#REF!</v>
      </c>
      <c r="V25" s="29"/>
      <c r="W25" s="2"/>
      <c r="X25" s="5"/>
      <c r="Y25" s="2"/>
      <c r="Z25" s="2"/>
      <c r="AA25" s="2"/>
      <c r="AB25" s="2"/>
      <c r="AC25" s="2"/>
      <c r="AD25" s="2"/>
    </row>
    <row r="26" ht="12.75" customHeight="1">
      <c r="A26" s="2"/>
      <c r="B26" s="25" t="s">
        <v>50</v>
      </c>
      <c r="C26" s="26">
        <v>13799.0</v>
      </c>
      <c r="D26" s="27">
        <v>13799.0</v>
      </c>
      <c r="E26" s="27">
        <v>13799.0</v>
      </c>
      <c r="F26" s="27">
        <v>13799.0</v>
      </c>
      <c r="G26" s="26">
        <v>13799.0</v>
      </c>
      <c r="H26" s="26">
        <v>13799.0</v>
      </c>
      <c r="I26" s="27">
        <v>13799.0</v>
      </c>
      <c r="J26" s="27">
        <v>13799.0</v>
      </c>
      <c r="K26" s="27">
        <v>13799.0</v>
      </c>
      <c r="L26" s="27">
        <v>13799.0</v>
      </c>
      <c r="M26" s="27">
        <v>13799.0</v>
      </c>
      <c r="N26" s="27">
        <v>13799.0</v>
      </c>
      <c r="O26" s="27">
        <v>13799.0</v>
      </c>
      <c r="P26" s="27">
        <v>13799.0</v>
      </c>
      <c r="Q26" s="27">
        <v>13799.0</v>
      </c>
      <c r="R26" s="27" t="str">
        <f>+balance!G140/1000</f>
        <v>#REF!</v>
      </c>
      <c r="S26" s="28">
        <f t="shared" si="12"/>
        <v>0</v>
      </c>
      <c r="T26" s="28">
        <f t="shared" si="13"/>
        <v>0</v>
      </c>
      <c r="U26" s="28">
        <f t="shared" si="14"/>
        <v>0</v>
      </c>
      <c r="V26" s="29"/>
      <c r="W26" s="2"/>
      <c r="X26" s="5"/>
      <c r="Y26" s="2"/>
      <c r="Z26" s="2"/>
      <c r="AA26" s="2">
        <f>202705825-50676457</f>
        <v>152029368</v>
      </c>
      <c r="AB26" s="2"/>
      <c r="AC26" s="2"/>
      <c r="AD26" s="2"/>
    </row>
    <row r="27" ht="12.0" customHeight="1">
      <c r="A27" s="2"/>
      <c r="B27" s="51" t="s">
        <v>51</v>
      </c>
      <c r="C27" s="42">
        <v>1.4726610395E7</v>
      </c>
      <c r="D27" s="52">
        <v>1.542108235364E7</v>
      </c>
      <c r="E27" s="52">
        <f t="shared" ref="E27:U27" si="15">E28+E29</f>
        <v>15351010.36</v>
      </c>
      <c r="F27" s="52">
        <f t="shared" si="15"/>
        <v>15200100.38</v>
      </c>
      <c r="G27" s="52">
        <f t="shared" si="15"/>
        <v>14944358.4</v>
      </c>
      <c r="H27" s="52">
        <f t="shared" si="15"/>
        <v>14138090.42</v>
      </c>
      <c r="I27" s="52">
        <f t="shared" si="15"/>
        <v>14128090.32</v>
      </c>
      <c r="J27" s="52">
        <f t="shared" si="15"/>
        <v>14128090.32</v>
      </c>
      <c r="K27" s="52">
        <f t="shared" si="15"/>
        <v>16850162.24</v>
      </c>
      <c r="L27" s="52">
        <f t="shared" si="15"/>
        <v>16261642.26</v>
      </c>
      <c r="M27" s="52">
        <f t="shared" si="15"/>
        <v>16261642.26</v>
      </c>
      <c r="N27" s="52">
        <f t="shared" si="15"/>
        <v>16717527.26</v>
      </c>
      <c r="O27" s="52">
        <f t="shared" si="15"/>
        <v>16137951.83</v>
      </c>
      <c r="P27" s="52">
        <f t="shared" si="15"/>
        <v>16764849.11</v>
      </c>
      <c r="Q27" s="52" t="str">
        <f t="shared" si="15"/>
        <v>#REF!</v>
      </c>
      <c r="R27" s="52" t="str">
        <f t="shared" si="15"/>
        <v>#REF!</v>
      </c>
      <c r="S27" s="53" t="str">
        <f t="shared" si="15"/>
        <v>#REF!</v>
      </c>
      <c r="T27" s="53" t="str">
        <f t="shared" si="15"/>
        <v>#REF!</v>
      </c>
      <c r="U27" s="53" t="str">
        <f t="shared" si="15"/>
        <v>#REF!</v>
      </c>
      <c r="V27" s="29"/>
      <c r="W27" s="2"/>
      <c r="X27" s="5"/>
      <c r="Y27" s="2"/>
      <c r="Z27" s="2"/>
      <c r="AA27" s="2"/>
      <c r="AB27" s="2"/>
      <c r="AC27" s="2"/>
      <c r="AD27" s="2"/>
    </row>
    <row r="28" ht="12.0" customHeight="1">
      <c r="A28" s="2"/>
      <c r="B28" s="54" t="s">
        <v>52</v>
      </c>
      <c r="C28" s="26">
        <v>1.1492905826E7</v>
      </c>
      <c r="D28" s="27">
        <v>1.4726610395E7</v>
      </c>
      <c r="E28" s="27">
        <v>1.4726610395E7</v>
      </c>
      <c r="F28" s="27">
        <v>1.4726610395E7</v>
      </c>
      <c r="G28" s="26">
        <v>1.4726610395E7</v>
      </c>
      <c r="H28" s="26">
        <v>1.4726610395E7</v>
      </c>
      <c r="I28" s="27">
        <v>1.47166103E7</v>
      </c>
      <c r="J28" s="27">
        <v>1.47166103E7</v>
      </c>
      <c r="K28" s="27">
        <v>1.61041766684018E7</v>
      </c>
      <c r="L28" s="27">
        <f>+K27</f>
        <v>16850162.24</v>
      </c>
      <c r="M28" s="27">
        <v>1.685016224452202E7</v>
      </c>
      <c r="N28" s="27">
        <v>1.685016224452202E7</v>
      </c>
      <c r="O28" s="27">
        <v>1.685016224452202E7</v>
      </c>
      <c r="P28" s="27">
        <v>1.685016224452202E7</v>
      </c>
      <c r="Q28" s="27">
        <v>1.685016224452202E7</v>
      </c>
      <c r="R28" s="27" t="str">
        <f>+balance!G142/1000</f>
        <v>#REF!</v>
      </c>
      <c r="S28" s="28">
        <f t="shared" ref="S28:S29" si="16">+(Q28-P28)/P28</f>
        <v>0</v>
      </c>
      <c r="T28" s="28">
        <f t="shared" ref="T28:T29" si="17">+(Q28-K28)/K28</f>
        <v>0.04632249083</v>
      </c>
      <c r="U28" s="28">
        <f t="shared" ref="U28:U29" si="18">(Q28-P28)/P28</f>
        <v>0</v>
      </c>
      <c r="V28" s="29"/>
      <c r="W28" s="5"/>
      <c r="X28" s="5"/>
      <c r="Y28" s="2"/>
      <c r="Z28" s="2"/>
      <c r="AA28" s="2"/>
      <c r="AB28" s="2"/>
      <c r="AC28" s="2"/>
      <c r="AD28" s="2"/>
    </row>
    <row r="29" ht="12.0" customHeight="1">
      <c r="A29" s="2"/>
      <c r="B29" s="55" t="s">
        <v>53</v>
      </c>
      <c r="C29" s="26">
        <v>3233704.5689999997</v>
      </c>
      <c r="D29" s="30">
        <v>694471.95864</v>
      </c>
      <c r="E29" s="30">
        <v>624399.9641999999</v>
      </c>
      <c r="F29" s="30">
        <v>473489.98559999984</v>
      </c>
      <c r="G29" s="30">
        <v>217748.0</v>
      </c>
      <c r="H29" s="30">
        <v>-588519.9799160002</v>
      </c>
      <c r="I29" s="30">
        <v>-588519.9799160002</v>
      </c>
      <c r="J29" s="30">
        <v>-588519.9799160002</v>
      </c>
      <c r="K29" s="30">
        <v>745985.57612022</v>
      </c>
      <c r="L29" s="30">
        <v>-588519.9799160002</v>
      </c>
      <c r="M29" s="30">
        <v>-588519.9799160002</v>
      </c>
      <c r="N29" s="30">
        <f>-588519.979916+455885</f>
        <v>-132634.9799</v>
      </c>
      <c r="O29" s="30">
        <v>-712210.4150168619</v>
      </c>
      <c r="P29" s="30">
        <f>P58</f>
        <v>-85313.13665</v>
      </c>
      <c r="Q29" s="30" t="str">
        <f>+balance!K222/1000-1584</f>
        <v>#REF!</v>
      </c>
      <c r="R29" s="30"/>
      <c r="S29" s="56" t="str">
        <f t="shared" si="16"/>
        <v>#REF!</v>
      </c>
      <c r="T29" s="56" t="str">
        <f t="shared" si="17"/>
        <v>#REF!</v>
      </c>
      <c r="U29" s="28" t="str">
        <f t="shared" si="18"/>
        <v>#REF!</v>
      </c>
      <c r="V29" s="29"/>
      <c r="W29" s="5"/>
      <c r="X29" s="5"/>
      <c r="Y29" s="2"/>
      <c r="Z29" s="2"/>
      <c r="AA29" s="2"/>
      <c r="AB29" s="2"/>
      <c r="AC29" s="2"/>
      <c r="AD29" s="2"/>
    </row>
    <row r="30" ht="12.0" customHeight="1">
      <c r="A30" s="2"/>
      <c r="B30" s="57" t="s">
        <v>54</v>
      </c>
      <c r="C30" s="58">
        <v>2.8608412668E7</v>
      </c>
      <c r="D30" s="52">
        <f>+D22+D27</f>
        <v>34559152.47</v>
      </c>
      <c r="E30" s="52">
        <f t="shared" ref="E30:U30" si="19">E27+E22</f>
        <v>34480589.68</v>
      </c>
      <c r="F30" s="52">
        <f t="shared" si="19"/>
        <v>34329239.7</v>
      </c>
      <c r="G30" s="52">
        <f t="shared" si="19"/>
        <v>34111685.71</v>
      </c>
      <c r="H30" s="52">
        <f t="shared" si="19"/>
        <v>33503285.39</v>
      </c>
      <c r="I30" s="52">
        <f t="shared" si="19"/>
        <v>33485302.92</v>
      </c>
      <c r="J30" s="52">
        <f t="shared" si="19"/>
        <v>33405480.57</v>
      </c>
      <c r="K30" s="52">
        <f t="shared" si="19"/>
        <v>37346168.86</v>
      </c>
      <c r="L30" s="52">
        <f t="shared" si="19"/>
        <v>37412664.38</v>
      </c>
      <c r="M30" s="52">
        <f t="shared" si="19"/>
        <v>37412664.41</v>
      </c>
      <c r="N30" s="52">
        <f t="shared" si="19"/>
        <v>38445115.55</v>
      </c>
      <c r="O30" s="52">
        <f t="shared" si="19"/>
        <v>37865539.11</v>
      </c>
      <c r="P30" s="52">
        <f t="shared" si="19"/>
        <v>38481713.35</v>
      </c>
      <c r="Q30" s="52" t="str">
        <f t="shared" si="19"/>
        <v>#REF!</v>
      </c>
      <c r="R30" s="52" t="str">
        <f t="shared" si="19"/>
        <v>#REF!</v>
      </c>
      <c r="S30" s="53" t="str">
        <f t="shared" si="19"/>
        <v>#REF!</v>
      </c>
      <c r="T30" s="53" t="str">
        <f t="shared" si="19"/>
        <v>#REF!</v>
      </c>
      <c r="U30" s="59" t="str">
        <f t="shared" si="19"/>
        <v>#REF!</v>
      </c>
      <c r="V30" s="29"/>
      <c r="W30" s="5"/>
      <c r="X30" s="5"/>
      <c r="Y30" s="2"/>
      <c r="Z30" s="2"/>
      <c r="AA30" s="2"/>
      <c r="AB30" s="2"/>
      <c r="AC30" s="2"/>
      <c r="AD30" s="2"/>
    </row>
    <row r="31" ht="12.0" customHeight="1">
      <c r="A31" s="2"/>
      <c r="B31" s="60" t="s">
        <v>55</v>
      </c>
      <c r="C31" s="20">
        <v>3.464537763538E7</v>
      </c>
      <c r="D31" s="61">
        <f>+D21+D30</f>
        <v>35645062.94</v>
      </c>
      <c r="E31" s="62">
        <f t="shared" ref="E31:O31" si="20">E30+E21</f>
        <v>35569487.75</v>
      </c>
      <c r="F31" s="62">
        <f t="shared" si="20"/>
        <v>35400327.52</v>
      </c>
      <c r="G31" s="62">
        <f t="shared" si="20"/>
        <v>35141507.26</v>
      </c>
      <c r="H31" s="62">
        <f t="shared" si="20"/>
        <v>35850167.57</v>
      </c>
      <c r="I31" s="62">
        <f t="shared" si="20"/>
        <v>36365593.23</v>
      </c>
      <c r="J31" s="62">
        <f t="shared" si="20"/>
        <v>36222414.59</v>
      </c>
      <c r="K31" s="62">
        <f t="shared" si="20"/>
        <v>39392368.48</v>
      </c>
      <c r="L31" s="62">
        <f t="shared" si="20"/>
        <v>39009005.88</v>
      </c>
      <c r="M31" s="62">
        <f t="shared" si="20"/>
        <v>39065937.11</v>
      </c>
      <c r="N31" s="62">
        <f t="shared" si="20"/>
        <v>41717138.26</v>
      </c>
      <c r="O31" s="62">
        <f t="shared" si="20"/>
        <v>40887155.5</v>
      </c>
      <c r="P31" s="62">
        <f t="shared" ref="P31:Q31" si="21">P30+P21+0.5</f>
        <v>41259370.01</v>
      </c>
      <c r="Q31" s="62" t="str">
        <f t="shared" si="21"/>
        <v>#REF!</v>
      </c>
      <c r="R31" s="62" t="str">
        <f t="shared" ref="R31:U31" si="22">R30+R21</f>
        <v>#REF!</v>
      </c>
      <c r="S31" s="63" t="str">
        <f t="shared" si="22"/>
        <v>#REF!</v>
      </c>
      <c r="T31" s="63" t="str">
        <f t="shared" si="22"/>
        <v>#REF!</v>
      </c>
      <c r="U31" s="63" t="str">
        <f t="shared" si="22"/>
        <v>#REF!</v>
      </c>
      <c r="V31" s="29"/>
      <c r="W31" s="2"/>
      <c r="X31" s="5"/>
      <c r="Y31" s="2"/>
      <c r="Z31" s="2"/>
      <c r="AA31" s="2"/>
      <c r="AB31" s="2"/>
      <c r="AC31" s="2"/>
      <c r="AD31" s="2"/>
    </row>
    <row r="32" ht="12.0" customHeight="1">
      <c r="A32" s="2"/>
      <c r="B32" s="2"/>
      <c r="C32" s="3"/>
      <c r="D32" s="3"/>
      <c r="E32" s="3"/>
      <c r="F32" s="3"/>
      <c r="G32" s="3">
        <f t="shared" ref="G32:R32" si="23">+G15-G31</f>
        <v>0.05932479352</v>
      </c>
      <c r="H32" s="3">
        <f t="shared" si="23"/>
        <v>1059806.937</v>
      </c>
      <c r="I32" s="3">
        <f t="shared" si="23"/>
        <v>795888.0534</v>
      </c>
      <c r="J32" s="3">
        <f t="shared" si="23"/>
        <v>1260627.843</v>
      </c>
      <c r="K32" s="3">
        <f t="shared" si="23"/>
        <v>0.07901433855</v>
      </c>
      <c r="L32" s="3">
        <f t="shared" si="23"/>
        <v>503655.1198</v>
      </c>
      <c r="M32" s="3">
        <f t="shared" si="23"/>
        <v>-125.4830348</v>
      </c>
      <c r="N32" s="3">
        <f t="shared" si="23"/>
        <v>-0.4340300187</v>
      </c>
      <c r="O32" s="3">
        <f t="shared" si="23"/>
        <v>0.4506155923</v>
      </c>
      <c r="P32" s="3">
        <f t="shared" si="23"/>
        <v>-516009.8002</v>
      </c>
      <c r="Q32" s="3" t="str">
        <f t="shared" si="23"/>
        <v>#REF!</v>
      </c>
      <c r="R32" s="3" t="str">
        <f t="shared" si="23"/>
        <v>#REF!</v>
      </c>
      <c r="S32" s="3"/>
      <c r="T32" s="3"/>
      <c r="U32" s="64"/>
      <c r="V32" s="3"/>
      <c r="W32" s="65"/>
      <c r="X32" s="8"/>
      <c r="Y32" s="29"/>
      <c r="Z32" s="2"/>
      <c r="AA32" s="5"/>
      <c r="AB32" s="2"/>
      <c r="AC32" s="2"/>
      <c r="AD32" s="2"/>
    </row>
    <row r="33" ht="12.0" customHeight="1">
      <c r="A33" s="2"/>
      <c r="B33" s="2"/>
      <c r="C33" s="3"/>
      <c r="D33" s="3"/>
      <c r="E33" s="3"/>
      <c r="F33" s="3"/>
      <c r="G33" s="3"/>
      <c r="H33" s="6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64"/>
      <c r="V33" s="3"/>
      <c r="W33" s="65"/>
      <c r="X33" s="8"/>
      <c r="Y33" s="29"/>
      <c r="Z33" s="2"/>
      <c r="AA33" s="5"/>
      <c r="AB33" s="2"/>
      <c r="AC33" s="2"/>
      <c r="AD33" s="2"/>
    </row>
    <row r="34" ht="38.25" customHeight="1">
      <c r="A34" s="2"/>
      <c r="B34" s="67" t="s">
        <v>56</v>
      </c>
      <c r="C34" s="2"/>
      <c r="D34" s="3"/>
      <c r="E34" s="68" t="s">
        <v>57</v>
      </c>
      <c r="F34" s="68" t="s">
        <v>58</v>
      </c>
      <c r="G34" s="68"/>
      <c r="H34" s="68"/>
      <c r="I34" s="4"/>
      <c r="J34" s="2"/>
      <c r="K34" s="2"/>
      <c r="L34" s="2"/>
      <c r="M34" s="4"/>
      <c r="N34" s="4"/>
      <c r="O34" s="4"/>
      <c r="P34" s="4"/>
      <c r="Q34" s="5" t="s">
        <v>59</v>
      </c>
      <c r="R34" s="2"/>
      <c r="S34" s="5"/>
      <c r="T34" s="5"/>
      <c r="U34" s="6"/>
      <c r="V34" s="3"/>
      <c r="W34" s="65"/>
      <c r="X34" s="8"/>
      <c r="Y34" s="29"/>
      <c r="Z34" s="2"/>
      <c r="AA34" s="5"/>
      <c r="AB34" s="2"/>
      <c r="AC34" s="2"/>
      <c r="AD34" s="2"/>
    </row>
    <row r="35" ht="48.75" customHeight="1">
      <c r="A35" s="2"/>
      <c r="B35" s="67" t="s">
        <v>60</v>
      </c>
      <c r="C35" s="2"/>
      <c r="D35" s="3"/>
      <c r="E35" s="68" t="s">
        <v>61</v>
      </c>
      <c r="F35" s="4" t="s">
        <v>62</v>
      </c>
      <c r="G35" s="2"/>
      <c r="H35" s="2"/>
      <c r="I35" s="4"/>
      <c r="J35" s="2"/>
      <c r="K35" s="2"/>
      <c r="L35" s="2"/>
      <c r="M35" s="4"/>
      <c r="N35" s="4"/>
      <c r="O35" s="4"/>
      <c r="P35" s="4"/>
      <c r="Q35" s="5" t="s">
        <v>63</v>
      </c>
      <c r="R35" s="2"/>
      <c r="S35" s="5"/>
      <c r="T35" s="6"/>
      <c r="U35" s="3"/>
      <c r="V35" s="65"/>
      <c r="W35" s="8"/>
      <c r="X35" s="29"/>
      <c r="Y35" s="2"/>
      <c r="Z35" s="5"/>
      <c r="AA35" s="2"/>
      <c r="AB35" s="2"/>
      <c r="AC35" s="2"/>
      <c r="AD35" s="2"/>
    </row>
    <row r="36" ht="58.5" customHeight="1">
      <c r="A36" s="2"/>
      <c r="B36" s="69" t="s">
        <v>64</v>
      </c>
      <c r="C36" s="66"/>
      <c r="D36" s="66"/>
      <c r="E36" s="66"/>
      <c r="F36" s="66"/>
      <c r="G36" s="66"/>
      <c r="H36" s="66"/>
      <c r="I36" s="68"/>
      <c r="J36" s="68"/>
      <c r="K36" s="68"/>
      <c r="L36" s="70"/>
      <c r="M36" s="70"/>
      <c r="N36" s="70"/>
      <c r="O36" s="70"/>
      <c r="P36" s="70"/>
      <c r="Q36" s="68"/>
      <c r="R36" s="68"/>
      <c r="S36" s="68"/>
      <c r="T36" s="71"/>
      <c r="U36" s="68"/>
      <c r="V36" s="7"/>
      <c r="W36" s="2"/>
      <c r="X36" s="5"/>
      <c r="Y36" s="2"/>
      <c r="Z36" s="5"/>
      <c r="AA36" s="2"/>
      <c r="AB36" s="2"/>
      <c r="AC36" s="2"/>
      <c r="AD36" s="2"/>
    </row>
    <row r="37" ht="15.0" customHeight="1">
      <c r="A37" s="2"/>
      <c r="B37" s="72" t="s">
        <v>65</v>
      </c>
      <c r="C37" s="20" t="s">
        <v>4</v>
      </c>
      <c r="D37" s="13" t="s">
        <v>5</v>
      </c>
      <c r="E37" s="13" t="s">
        <v>6</v>
      </c>
      <c r="F37" s="13" t="s">
        <v>7</v>
      </c>
      <c r="G37" s="14" t="s">
        <v>8</v>
      </c>
      <c r="H37" s="14" t="s">
        <v>9</v>
      </c>
      <c r="I37" s="15" t="s">
        <v>10</v>
      </c>
      <c r="J37" s="16" t="s">
        <v>11</v>
      </c>
      <c r="K37" s="16" t="s">
        <v>12</v>
      </c>
      <c r="L37" s="16" t="s">
        <v>13</v>
      </c>
      <c r="M37" s="16" t="s">
        <v>14</v>
      </c>
      <c r="N37" s="16" t="s">
        <v>15</v>
      </c>
      <c r="O37" s="16" t="s">
        <v>16</v>
      </c>
      <c r="P37" s="16" t="s">
        <v>17</v>
      </c>
      <c r="Q37" s="16" t="s">
        <v>18</v>
      </c>
      <c r="R37" s="16" t="s">
        <v>19</v>
      </c>
      <c r="S37" s="16" t="s">
        <v>66</v>
      </c>
      <c r="T37" s="17" t="s">
        <v>20</v>
      </c>
      <c r="U37" s="18"/>
      <c r="V37" s="18"/>
      <c r="W37" s="18"/>
      <c r="X37" s="18"/>
      <c r="Y37" s="60"/>
      <c r="Z37" s="5"/>
      <c r="AA37" s="2"/>
      <c r="AB37" s="2"/>
      <c r="AC37" s="2"/>
      <c r="AD37" s="2"/>
    </row>
    <row r="38" ht="15.0" customHeight="1">
      <c r="A38" s="31"/>
      <c r="B38" s="19"/>
      <c r="C38" s="20"/>
      <c r="D38" s="21">
        <v>1.0</v>
      </c>
      <c r="E38" s="21">
        <v>1.0</v>
      </c>
      <c r="F38" s="21">
        <v>1.0</v>
      </c>
      <c r="G38" s="22" t="s">
        <v>22</v>
      </c>
      <c r="H38" s="22" t="s">
        <v>23</v>
      </c>
      <c r="I38" s="23"/>
      <c r="J38" s="24" t="s">
        <v>24</v>
      </c>
      <c r="K38" s="23">
        <v>2.0</v>
      </c>
      <c r="L38" s="22" t="s">
        <v>25</v>
      </c>
      <c r="M38" s="22" t="s">
        <v>26</v>
      </c>
      <c r="N38" s="22" t="s">
        <v>25</v>
      </c>
      <c r="O38" s="22" t="s">
        <v>26</v>
      </c>
      <c r="P38" s="22" t="s">
        <v>26</v>
      </c>
      <c r="Q38" s="22" t="s">
        <v>27</v>
      </c>
      <c r="R38" s="23">
        <v>2.0</v>
      </c>
      <c r="S38" s="22" t="s">
        <v>67</v>
      </c>
      <c r="T38" s="22" t="s">
        <v>28</v>
      </c>
      <c r="U38" s="22" t="s">
        <v>29</v>
      </c>
      <c r="V38" s="22" t="s">
        <v>30</v>
      </c>
      <c r="W38" s="31"/>
      <c r="X38" s="73" t="s">
        <v>68</v>
      </c>
      <c r="Y38" s="31"/>
      <c r="Z38" s="36"/>
      <c r="AA38" s="31"/>
      <c r="AB38" s="31"/>
      <c r="AC38" s="31"/>
      <c r="AD38" s="31"/>
    </row>
    <row r="39" ht="12.0" customHeight="1">
      <c r="A39" s="2"/>
      <c r="B39" s="25" t="s">
        <v>69</v>
      </c>
      <c r="C39" s="26">
        <f>5031.18+4041899</f>
        <v>4046930.18</v>
      </c>
      <c r="D39" s="26">
        <v>0.0</v>
      </c>
      <c r="E39" s="26"/>
      <c r="F39" s="26"/>
      <c r="G39" s="74"/>
      <c r="H39" s="74"/>
      <c r="I39" s="75"/>
      <c r="J39" s="26">
        <v>99824.75</v>
      </c>
      <c r="K39" s="26">
        <v>1.097718960586E7</v>
      </c>
      <c r="L39" s="26"/>
      <c r="M39" s="26"/>
      <c r="N39" s="26">
        <v>0.0</v>
      </c>
      <c r="O39" s="26"/>
      <c r="P39" s="26">
        <v>0.0</v>
      </c>
      <c r="Q39" s="26">
        <v>0.0</v>
      </c>
      <c r="R39" s="26"/>
      <c r="S39" s="26"/>
      <c r="T39" s="76">
        <v>0.0</v>
      </c>
      <c r="U39" s="76"/>
      <c r="V39" s="76">
        <f t="shared" ref="V39:V40" si="24">(Q39-K39)/K39</f>
        <v>-1</v>
      </c>
      <c r="W39" s="2"/>
      <c r="X39" s="5"/>
      <c r="Y39" s="2"/>
      <c r="Z39" s="5"/>
      <c r="AA39" s="2"/>
      <c r="AB39" s="2"/>
      <c r="AC39" s="2"/>
      <c r="AD39" s="2"/>
    </row>
    <row r="40" ht="12.0" customHeight="1">
      <c r="A40" s="2"/>
      <c r="B40" s="77" t="s">
        <v>70</v>
      </c>
      <c r="C40" s="78"/>
      <c r="D40" s="78">
        <v>0.0</v>
      </c>
      <c r="E40" s="78"/>
      <c r="F40" s="78"/>
      <c r="G40" s="79"/>
      <c r="H40" s="79"/>
      <c r="I40" s="77"/>
      <c r="J40" s="80"/>
      <c r="K40" s="78">
        <v>1.00130923898E7</v>
      </c>
      <c r="L40" s="78"/>
      <c r="M40" s="78"/>
      <c r="N40" s="78">
        <v>0.0</v>
      </c>
      <c r="O40" s="78"/>
      <c r="P40" s="78">
        <v>0.0</v>
      </c>
      <c r="Q40" s="78">
        <v>0.0</v>
      </c>
      <c r="R40" s="78"/>
      <c r="S40" s="78"/>
      <c r="T40" s="76">
        <v>0.0</v>
      </c>
      <c r="U40" s="76"/>
      <c r="V40" s="76">
        <f t="shared" si="24"/>
        <v>-1</v>
      </c>
      <c r="W40" s="2"/>
      <c r="X40" s="5"/>
      <c r="Y40" s="2"/>
      <c r="Z40" s="5"/>
      <c r="AA40" s="2"/>
      <c r="AB40" s="2"/>
      <c r="AC40" s="2"/>
      <c r="AD40" s="2"/>
    </row>
    <row r="41" ht="12.0" customHeight="1">
      <c r="A41" s="2"/>
      <c r="B41" s="81" t="s">
        <v>71</v>
      </c>
      <c r="C41" s="82">
        <f t="shared" ref="C41:N41" si="25">+C39-C40</f>
        <v>4046930.18</v>
      </c>
      <c r="D41" s="82">
        <f t="shared" si="25"/>
        <v>0</v>
      </c>
      <c r="E41" s="82">
        <f t="shared" si="25"/>
        <v>0</v>
      </c>
      <c r="F41" s="82">
        <f t="shared" si="25"/>
        <v>0</v>
      </c>
      <c r="G41" s="82">
        <f t="shared" si="25"/>
        <v>0</v>
      </c>
      <c r="H41" s="82">
        <f t="shared" si="25"/>
        <v>0</v>
      </c>
      <c r="I41" s="82">
        <f t="shared" si="25"/>
        <v>0</v>
      </c>
      <c r="J41" s="82">
        <f t="shared" si="25"/>
        <v>99824.75</v>
      </c>
      <c r="K41" s="82">
        <f t="shared" si="25"/>
        <v>964097.2161</v>
      </c>
      <c r="L41" s="82">
        <f t="shared" si="25"/>
        <v>0</v>
      </c>
      <c r="M41" s="82">
        <f t="shared" si="25"/>
        <v>0</v>
      </c>
      <c r="N41" s="82">
        <f t="shared" si="25"/>
        <v>0</v>
      </c>
      <c r="O41" s="82"/>
      <c r="P41" s="82">
        <v>0.0</v>
      </c>
      <c r="Q41" s="82">
        <f t="shared" ref="Q41:R41" si="26">+Q39-Q40</f>
        <v>0</v>
      </c>
      <c r="R41" s="82">
        <f t="shared" si="26"/>
        <v>0</v>
      </c>
      <c r="S41" s="82"/>
      <c r="T41" s="82">
        <f>+T39-T40</f>
        <v>0</v>
      </c>
      <c r="U41" s="82"/>
      <c r="V41" s="82">
        <f>V39-V40</f>
        <v>0</v>
      </c>
      <c r="W41" s="2"/>
      <c r="X41" s="5"/>
      <c r="Y41" s="2"/>
      <c r="Z41" s="5"/>
      <c r="AA41" s="2"/>
      <c r="AB41" s="2"/>
      <c r="AC41" s="2"/>
      <c r="AD41" s="2"/>
    </row>
    <row r="42" ht="12.0" customHeight="1">
      <c r="A42" s="2"/>
      <c r="B42" s="25" t="s">
        <v>72</v>
      </c>
      <c r="C42" s="83">
        <v>210809.535</v>
      </c>
      <c r="D42" s="83">
        <v>125482.443</v>
      </c>
      <c r="E42" s="83">
        <v>170357.098</v>
      </c>
      <c r="F42" s="83">
        <v>214725.184</v>
      </c>
      <c r="G42" s="83">
        <v>252272.681</v>
      </c>
      <c r="H42" s="83">
        <v>350452.049</v>
      </c>
      <c r="I42" s="66">
        <v>381435.13</v>
      </c>
      <c r="J42" s="66">
        <v>412837.59500000003</v>
      </c>
      <c r="K42" s="66">
        <v>476544.1824044</v>
      </c>
      <c r="L42" s="66">
        <v>39571.6</v>
      </c>
      <c r="M42" s="66">
        <v>116006.68592</v>
      </c>
      <c r="N42" s="66">
        <v>169112.90866000002</v>
      </c>
      <c r="O42" s="66">
        <v>223558.4624557089</v>
      </c>
      <c r="P42" s="66">
        <v>267452.35065</v>
      </c>
      <c r="Q42" s="66" t="str">
        <f>+(balance!H207+balance!H212+balance!H214+balance!H220+balance!H222)/1000</f>
        <v>#REF!</v>
      </c>
      <c r="R42" s="66" t="str">
        <f>+balance!M45/1000</f>
        <v>#REF!</v>
      </c>
      <c r="S42" s="66">
        <v>316643.0</v>
      </c>
      <c r="T42" s="84" t="str">
        <f>(+Q42-G42)/G42</f>
        <v>#REF!</v>
      </c>
      <c r="U42" s="84" t="str">
        <f>+(Q42-K42)/K42</f>
        <v>#REF!</v>
      </c>
      <c r="V42" s="84" t="str">
        <f t="shared" ref="V42:V45" si="27">(Q42-P42)/P42</f>
        <v>#REF!</v>
      </c>
      <c r="W42" s="85"/>
      <c r="X42" s="86" t="str">
        <f t="shared" ref="X42:X49" si="28">+(S42-Q42)/Q42</f>
        <v>#REF!</v>
      </c>
      <c r="Y42" s="68"/>
      <c r="Z42" s="70"/>
      <c r="AA42" s="2"/>
      <c r="AB42" s="2"/>
      <c r="AC42" s="2"/>
      <c r="AD42" s="2"/>
    </row>
    <row r="43" ht="12.0" customHeight="1">
      <c r="A43" s="2"/>
      <c r="B43" s="25" t="s">
        <v>73</v>
      </c>
      <c r="C43" s="83">
        <v>206528.986</v>
      </c>
      <c r="D43" s="83">
        <v>0.0</v>
      </c>
      <c r="E43" s="83">
        <v>0.0</v>
      </c>
      <c r="F43" s="83">
        <v>0.0</v>
      </c>
      <c r="G43" s="83">
        <v>0.0</v>
      </c>
      <c r="H43" s="83">
        <v>0.0</v>
      </c>
      <c r="I43" s="66"/>
      <c r="J43" s="66"/>
      <c r="K43" s="66"/>
      <c r="L43" s="66"/>
      <c r="M43" s="66"/>
      <c r="N43" s="66">
        <v>161400.0</v>
      </c>
      <c r="O43" s="66">
        <v>161400.0</v>
      </c>
      <c r="P43" s="66">
        <v>356883.25771</v>
      </c>
      <c r="Q43" s="66" t="str">
        <f>+balance!H208/1000</f>
        <v>#REF!</v>
      </c>
      <c r="R43" s="66" t="str">
        <f>+balance!M49/1000</f>
        <v>#REF!</v>
      </c>
      <c r="S43" s="3">
        <v>395900.0</v>
      </c>
      <c r="T43" s="84"/>
      <c r="U43" s="84"/>
      <c r="V43" s="84" t="str">
        <f t="shared" si="27"/>
        <v>#REF!</v>
      </c>
      <c r="W43" s="68"/>
      <c r="X43" s="86" t="str">
        <f t="shared" si="28"/>
        <v>#REF!</v>
      </c>
      <c r="Y43" s="68"/>
      <c r="Z43" s="70"/>
      <c r="AA43" s="2"/>
      <c r="AB43" s="2"/>
      <c r="AC43" s="2"/>
      <c r="AD43" s="2"/>
    </row>
    <row r="44" ht="12.0" customHeight="1">
      <c r="A44" s="2"/>
      <c r="B44" s="25" t="s">
        <v>74</v>
      </c>
      <c r="C44" s="83">
        <v>130724.836</v>
      </c>
      <c r="D44" s="83">
        <v>36000.0</v>
      </c>
      <c r="E44" s="83">
        <v>70272.218</v>
      </c>
      <c r="F44" s="83">
        <v>89135.272</v>
      </c>
      <c r="G44" s="83">
        <v>104998.327</v>
      </c>
      <c r="H44" s="83">
        <v>147018.981</v>
      </c>
      <c r="I44" s="66">
        <v>158791.7</v>
      </c>
      <c r="J44" s="66">
        <v>163273.527</v>
      </c>
      <c r="K44" s="66">
        <v>177214.436346954</v>
      </c>
      <c r="L44" s="66">
        <v>11781.5</v>
      </c>
      <c r="M44" s="66">
        <v>23563.63636</v>
      </c>
      <c r="N44" s="66">
        <v>41245.45454</v>
      </c>
      <c r="O44" s="66">
        <v>53527.27272</v>
      </c>
      <c r="P44" s="66">
        <v>72539.29590000001</v>
      </c>
      <c r="Q44" s="66" t="str">
        <f>+balance!H215/1000</f>
        <v>#REF!</v>
      </c>
      <c r="R44" s="66" t="str">
        <f>+balance!M44/1000</f>
        <v>#REF!</v>
      </c>
      <c r="S44" s="66">
        <v>73091.0</v>
      </c>
      <c r="T44" s="84" t="str">
        <f t="shared" ref="T44:T45" si="29">(+Q44-G44)/G44</f>
        <v>#REF!</v>
      </c>
      <c r="U44" s="84" t="str">
        <f t="shared" ref="U44:U46" si="30">+(Q44-K44)/K44</f>
        <v>#REF!</v>
      </c>
      <c r="V44" s="84" t="str">
        <f t="shared" si="27"/>
        <v>#REF!</v>
      </c>
      <c r="W44" s="68"/>
      <c r="X44" s="86" t="str">
        <f t="shared" si="28"/>
        <v>#REF!</v>
      </c>
      <c r="Y44" s="68"/>
      <c r="Z44" s="70"/>
      <c r="AA44" s="2"/>
      <c r="AB44" s="2"/>
      <c r="AC44" s="2"/>
      <c r="AD44" s="2"/>
    </row>
    <row r="45" ht="12.0" customHeight="1">
      <c r="A45" s="2"/>
      <c r="B45" s="25" t="s">
        <v>75</v>
      </c>
      <c r="C45" s="83">
        <v>109170.797</v>
      </c>
      <c r="D45" s="83">
        <v>30000.0</v>
      </c>
      <c r="E45" s="83">
        <v>40600.0</v>
      </c>
      <c r="F45" s="83">
        <v>55250.0</v>
      </c>
      <c r="G45" s="83">
        <v>66900.0</v>
      </c>
      <c r="H45" s="83">
        <v>97350.0</v>
      </c>
      <c r="I45" s="66">
        <v>105000.0</v>
      </c>
      <c r="J45" s="66">
        <v>109850.0</v>
      </c>
      <c r="K45" s="66">
        <v>122500.0</v>
      </c>
      <c r="L45" s="66">
        <v>7000.0</v>
      </c>
      <c r="M45" s="66">
        <v>14000.0</v>
      </c>
      <c r="N45" s="66">
        <v>21000.0</v>
      </c>
      <c r="O45" s="66">
        <v>28000.0</v>
      </c>
      <c r="P45" s="66">
        <v>35000.0</v>
      </c>
      <c r="Q45" s="66" t="str">
        <f>+balance!H217/1000</f>
        <v>#REF!</v>
      </c>
      <c r="R45" s="66" t="str">
        <f>+balance!M43/1000</f>
        <v>#REF!</v>
      </c>
      <c r="S45" s="66">
        <v>48000.0</v>
      </c>
      <c r="T45" s="84" t="str">
        <f t="shared" si="29"/>
        <v>#REF!</v>
      </c>
      <c r="U45" s="84" t="str">
        <f t="shared" si="30"/>
        <v>#REF!</v>
      </c>
      <c r="V45" s="84" t="str">
        <f t="shared" si="27"/>
        <v>#REF!</v>
      </c>
      <c r="W45" s="68"/>
      <c r="X45" s="86" t="str">
        <f t="shared" si="28"/>
        <v>#REF!</v>
      </c>
      <c r="Y45" s="68"/>
      <c r="Z45" s="70"/>
      <c r="AA45" s="2"/>
      <c r="AB45" s="2"/>
      <c r="AC45" s="2"/>
      <c r="AD45" s="2"/>
    </row>
    <row r="46" ht="12.0" customHeight="1">
      <c r="A46" s="2"/>
      <c r="B46" s="25" t="s">
        <v>76</v>
      </c>
      <c r="C46" s="83"/>
      <c r="D46" s="83">
        <v>0.0</v>
      </c>
      <c r="E46" s="83"/>
      <c r="F46" s="83"/>
      <c r="G46" s="83"/>
      <c r="H46" s="83"/>
      <c r="I46" s="66"/>
      <c r="J46" s="66">
        <v>501328.835</v>
      </c>
      <c r="K46" s="66">
        <v>695412.0218999999</v>
      </c>
      <c r="L46" s="66">
        <v>0.0</v>
      </c>
      <c r="M46" s="66"/>
      <c r="N46" s="66">
        <v>0.0</v>
      </c>
      <c r="O46" s="66">
        <v>0.0</v>
      </c>
      <c r="P46" s="66"/>
      <c r="Q46" s="66" t="str">
        <f>+balance!H216/1000</f>
        <v>#REF!</v>
      </c>
      <c r="R46" s="66" t="str">
        <f>+balance!M56/1000+balance!M50/1000</f>
        <v>#REF!</v>
      </c>
      <c r="S46" s="66">
        <v>14983.0</v>
      </c>
      <c r="T46" s="84"/>
      <c r="U46" s="84" t="str">
        <f t="shared" si="30"/>
        <v>#REF!</v>
      </c>
      <c r="V46" s="84"/>
      <c r="W46" s="68"/>
      <c r="X46" s="86" t="str">
        <f t="shared" si="28"/>
        <v>#REF!</v>
      </c>
      <c r="Y46" s="68"/>
      <c r="Z46" s="70"/>
      <c r="AA46" s="2"/>
      <c r="AB46" s="2"/>
      <c r="AC46" s="2"/>
      <c r="AD46" s="2"/>
    </row>
    <row r="47" ht="16.5" customHeight="1">
      <c r="A47" s="2"/>
      <c r="B47" s="87" t="s">
        <v>77</v>
      </c>
      <c r="C47" s="34">
        <f t="shared" ref="C47:W47" si="31">SUM(C41:C46)</f>
        <v>4704164.334</v>
      </c>
      <c r="D47" s="34">
        <f t="shared" si="31"/>
        <v>191482.443</v>
      </c>
      <c r="E47" s="34">
        <f t="shared" si="31"/>
        <v>281229.316</v>
      </c>
      <c r="F47" s="34">
        <f t="shared" si="31"/>
        <v>359110.456</v>
      </c>
      <c r="G47" s="34">
        <f t="shared" si="31"/>
        <v>424171.008</v>
      </c>
      <c r="H47" s="34">
        <f t="shared" si="31"/>
        <v>594821.03</v>
      </c>
      <c r="I47" s="34">
        <f t="shared" si="31"/>
        <v>645226.83</v>
      </c>
      <c r="J47" s="34">
        <f t="shared" si="31"/>
        <v>1287114.707</v>
      </c>
      <c r="K47" s="34">
        <f t="shared" si="31"/>
        <v>2435767.857</v>
      </c>
      <c r="L47" s="34">
        <f t="shared" si="31"/>
        <v>58353.1</v>
      </c>
      <c r="M47" s="34">
        <f t="shared" si="31"/>
        <v>153570.3223</v>
      </c>
      <c r="N47" s="34">
        <f t="shared" si="31"/>
        <v>392758.3632</v>
      </c>
      <c r="O47" s="34">
        <f t="shared" si="31"/>
        <v>466485.7352</v>
      </c>
      <c r="P47" s="34">
        <f t="shared" si="31"/>
        <v>731874.9043</v>
      </c>
      <c r="Q47" s="34" t="str">
        <f t="shared" si="31"/>
        <v>#REF!</v>
      </c>
      <c r="R47" s="34" t="str">
        <f t="shared" si="31"/>
        <v>#REF!</v>
      </c>
      <c r="S47" s="34">
        <f t="shared" si="31"/>
        <v>848617</v>
      </c>
      <c r="T47" s="35" t="str">
        <f t="shared" si="31"/>
        <v>#REF!</v>
      </c>
      <c r="U47" s="35" t="str">
        <f t="shared" si="31"/>
        <v>#REF!</v>
      </c>
      <c r="V47" s="34" t="str">
        <f t="shared" si="31"/>
        <v>#REF!</v>
      </c>
      <c r="W47" s="35">
        <f t="shared" si="31"/>
        <v>0</v>
      </c>
      <c r="X47" s="88" t="str">
        <f t="shared" si="28"/>
        <v>#REF!</v>
      </c>
      <c r="Y47" s="35">
        <f t="shared" ref="Y47:Z47" si="32">SUM(Y41:Y46)</f>
        <v>0</v>
      </c>
      <c r="Z47" s="35">
        <f t="shared" si="32"/>
        <v>0</v>
      </c>
      <c r="AA47" s="2"/>
      <c r="AB47" s="2"/>
      <c r="AC47" s="2"/>
      <c r="AD47" s="2"/>
    </row>
    <row r="48" ht="12.0" customHeight="1">
      <c r="A48" s="31"/>
      <c r="B48" s="25" t="s">
        <v>78</v>
      </c>
      <c r="C48" s="26">
        <v>245996.448</v>
      </c>
      <c r="D48" s="26">
        <v>104513.301</v>
      </c>
      <c r="E48" s="26">
        <v>135981.612</v>
      </c>
      <c r="F48" s="26">
        <v>293946.55299999996</v>
      </c>
      <c r="G48" s="26">
        <v>327344.375</v>
      </c>
      <c r="H48" s="26">
        <v>427185.073</v>
      </c>
      <c r="I48" s="89">
        <v>457623.5</v>
      </c>
      <c r="J48" s="89">
        <v>488485.92600000004</v>
      </c>
      <c r="K48" s="89">
        <v>560732.89044</v>
      </c>
      <c r="L48" s="89">
        <v>36879.0</v>
      </c>
      <c r="M48" s="89">
        <v>66164.79260000002</v>
      </c>
      <c r="N48" s="89">
        <f>612466.16349-455885</f>
        <v>156581.1635</v>
      </c>
      <c r="O48" s="89">
        <v>139865.74612999998</v>
      </c>
      <c r="P48" s="89">
        <v>170883.25617</v>
      </c>
      <c r="Q48" s="89" t="str">
        <f>+(balance!E124+balance!E125+balance!E126+balance!E142+balance!E144)/1000</f>
        <v>#REF!</v>
      </c>
      <c r="R48" s="89" t="str">
        <f>+balance!M58/1000</f>
        <v>#REF!</v>
      </c>
      <c r="S48" s="89">
        <f>155747+910975.71</f>
        <v>1066722.71</v>
      </c>
      <c r="T48" s="90" t="str">
        <f t="shared" ref="T48:T49" si="35">+(Q48-G48)/G48</f>
        <v>#REF!</v>
      </c>
      <c r="U48" s="90" t="str">
        <f t="shared" ref="U48:U49" si="36">+(Q48-K48)/K48</f>
        <v>#REF!</v>
      </c>
      <c r="V48" s="90" t="str">
        <f t="shared" ref="V48:V49" si="37">(Q48-P48)/P48</f>
        <v>#REF!</v>
      </c>
      <c r="W48" s="91"/>
      <c r="X48" s="86" t="str">
        <f t="shared" si="28"/>
        <v>#REF!</v>
      </c>
      <c r="Y48" s="91"/>
      <c r="Z48" s="92"/>
      <c r="AA48" s="31"/>
      <c r="AB48" s="31"/>
      <c r="AC48" s="31"/>
      <c r="AD48" s="31"/>
    </row>
    <row r="49" ht="12.0" customHeight="1">
      <c r="A49" s="2"/>
      <c r="B49" s="25" t="s">
        <v>79</v>
      </c>
      <c r="C49" s="83">
        <v>890137.7720000001</v>
      </c>
      <c r="D49" s="83">
        <v>268543.469</v>
      </c>
      <c r="E49" s="83">
        <v>354377.34900000005</v>
      </c>
      <c r="F49" s="83">
        <v>417286.738</v>
      </c>
      <c r="G49" s="83">
        <v>666120.869</v>
      </c>
      <c r="H49" s="83">
        <v>888717.6380000002</v>
      </c>
      <c r="I49" s="66">
        <v>938252.975</v>
      </c>
      <c r="J49" s="66">
        <v>1006387.422</v>
      </c>
      <c r="K49" s="66">
        <v>1144322.7590799998</v>
      </c>
      <c r="L49" s="66">
        <f t="shared" ref="L49:M49" si="33">+L65</f>
        <v>57357.8</v>
      </c>
      <c r="M49" s="66">
        <f t="shared" si="33"/>
        <v>131260.105</v>
      </c>
      <c r="N49" s="66">
        <v>226320.9499</v>
      </c>
      <c r="O49" s="66">
        <v>823796.4913000001</v>
      </c>
      <c r="P49" s="66">
        <f t="shared" ref="P49:Q49" si="34">+P65</f>
        <v>388254.4582</v>
      </c>
      <c r="Q49" s="66" t="str">
        <f t="shared" si="34"/>
        <v>#REF!</v>
      </c>
      <c r="R49" s="66" t="str">
        <f>+balance!M62/1000+balance!M61/1000</f>
        <v>#REF!</v>
      </c>
      <c r="S49" s="66">
        <f>1475074-910975.71</f>
        <v>564098.29</v>
      </c>
      <c r="T49" s="90" t="str">
        <f t="shared" si="35"/>
        <v>#REF!</v>
      </c>
      <c r="U49" s="90" t="str">
        <f t="shared" si="36"/>
        <v>#REF!</v>
      </c>
      <c r="V49" s="90" t="str">
        <f t="shared" si="37"/>
        <v>#REF!</v>
      </c>
      <c r="W49" s="68"/>
      <c r="X49" s="86" t="str">
        <f t="shared" si="28"/>
        <v>#REF!</v>
      </c>
      <c r="Y49" s="68"/>
      <c r="Z49" s="70"/>
      <c r="AA49" s="2"/>
      <c r="AB49" s="2"/>
      <c r="AC49" s="2"/>
      <c r="AD49" s="2"/>
    </row>
    <row r="50" ht="12.0" customHeight="1">
      <c r="A50" s="2"/>
      <c r="B50" s="25" t="s">
        <v>80</v>
      </c>
      <c r="C50" s="83"/>
      <c r="D50" s="83"/>
      <c r="E50" s="83"/>
      <c r="F50" s="83"/>
      <c r="G50" s="83"/>
      <c r="H50" s="83"/>
      <c r="I50" s="66"/>
      <c r="J50" s="66"/>
      <c r="K50" s="66"/>
      <c r="L50" s="66"/>
      <c r="M50" s="66"/>
      <c r="N50" s="66"/>
      <c r="O50" s="66"/>
      <c r="P50" s="66"/>
      <c r="Q50" s="66"/>
      <c r="R50" s="66" t="str">
        <f>+balance!M66/1000</f>
        <v>#REF!</v>
      </c>
      <c r="S50" s="66"/>
      <c r="T50" s="90"/>
      <c r="U50" s="90"/>
      <c r="V50" s="90"/>
      <c r="W50" s="68"/>
      <c r="X50" s="86"/>
      <c r="Y50" s="68"/>
      <c r="Z50" s="70"/>
      <c r="AA50" s="2"/>
      <c r="AB50" s="2"/>
      <c r="AC50" s="2"/>
      <c r="AD50" s="2"/>
    </row>
    <row r="51" ht="12.0" customHeight="1">
      <c r="A51" s="2"/>
      <c r="B51" s="25" t="s">
        <v>81</v>
      </c>
      <c r="C51" s="83">
        <v>87177.414</v>
      </c>
      <c r="D51" s="83">
        <v>5984.2244</v>
      </c>
      <c r="E51" s="83">
        <v>5666.639</v>
      </c>
      <c r="F51" s="83">
        <v>5722.147</v>
      </c>
      <c r="G51" s="83">
        <v>6216.983</v>
      </c>
      <c r="H51" s="83">
        <v>70267.065</v>
      </c>
      <c r="I51" s="66">
        <v>83521.59</v>
      </c>
      <c r="J51" s="66">
        <v>97233.361</v>
      </c>
      <c r="K51" s="66">
        <v>117629.13292</v>
      </c>
      <c r="L51" s="66">
        <f>+L78</f>
        <v>971</v>
      </c>
      <c r="M51" s="66">
        <v>22099.93407</v>
      </c>
      <c r="N51" s="66">
        <v>54319.21498</v>
      </c>
      <c r="O51" s="66">
        <v>86876.09816999998</v>
      </c>
      <c r="P51" s="66">
        <v>124752.0595</v>
      </c>
      <c r="Q51" s="66" t="str">
        <f>+Q78</f>
        <v>#REF!</v>
      </c>
      <c r="R51" s="66" t="str">
        <f>+balance!M59/1000</f>
        <v>#REF!</v>
      </c>
      <c r="S51" s="66">
        <v>153527.0</v>
      </c>
      <c r="T51" s="90" t="str">
        <f>+(Q51-G51)/G51</f>
        <v>#REF!</v>
      </c>
      <c r="U51" s="90" t="str">
        <f>+(Q51-K51)/K51</f>
        <v>#REF!</v>
      </c>
      <c r="V51" s="90" t="str">
        <f>(Q51-P51)/P51</f>
        <v>#REF!</v>
      </c>
      <c r="W51" s="68"/>
      <c r="X51" s="86" t="str">
        <f t="shared" ref="X51:X57" si="39">+(S51-Q51)/Q51</f>
        <v>#REF!</v>
      </c>
      <c r="Y51" s="68"/>
      <c r="Z51" s="70"/>
      <c r="AA51" s="2"/>
      <c r="AB51" s="2"/>
      <c r="AC51" s="2"/>
      <c r="AD51" s="2"/>
    </row>
    <row r="52" ht="12.0" customHeight="1">
      <c r="A52" s="2"/>
      <c r="B52" s="93" t="s">
        <v>82</v>
      </c>
      <c r="C52" s="20">
        <v>1223311.6340000003</v>
      </c>
      <c r="D52" s="20">
        <f>SUM(D48:D51)</f>
        <v>379040.9944</v>
      </c>
      <c r="E52" s="94">
        <v>496025.60000000003</v>
      </c>
      <c r="F52" s="94">
        <v>716955.438</v>
      </c>
      <c r="G52" s="94">
        <f t="shared" ref="G52:W52" si="38">SUM(G48:G51)</f>
        <v>999682.227</v>
      </c>
      <c r="H52" s="94">
        <f t="shared" si="38"/>
        <v>1386169.776</v>
      </c>
      <c r="I52" s="94">
        <f t="shared" si="38"/>
        <v>1479398.065</v>
      </c>
      <c r="J52" s="94">
        <f t="shared" si="38"/>
        <v>1592106.709</v>
      </c>
      <c r="K52" s="94">
        <f t="shared" si="38"/>
        <v>1822684.782</v>
      </c>
      <c r="L52" s="94">
        <f t="shared" si="38"/>
        <v>95207.8</v>
      </c>
      <c r="M52" s="94">
        <f t="shared" si="38"/>
        <v>219524.8317</v>
      </c>
      <c r="N52" s="94">
        <f t="shared" si="38"/>
        <v>437221.3284</v>
      </c>
      <c r="O52" s="94">
        <f t="shared" si="38"/>
        <v>1050538.336</v>
      </c>
      <c r="P52" s="94">
        <f t="shared" si="38"/>
        <v>683889.7738</v>
      </c>
      <c r="Q52" s="94" t="str">
        <f t="shared" si="38"/>
        <v>#REF!</v>
      </c>
      <c r="R52" s="94" t="str">
        <f t="shared" si="38"/>
        <v>#REF!</v>
      </c>
      <c r="S52" s="94">
        <f t="shared" si="38"/>
        <v>1784348</v>
      </c>
      <c r="T52" s="88" t="str">
        <f t="shared" si="38"/>
        <v>#REF!</v>
      </c>
      <c r="U52" s="88" t="str">
        <f t="shared" si="38"/>
        <v>#REF!</v>
      </c>
      <c r="V52" s="88" t="str">
        <f t="shared" si="38"/>
        <v>#REF!</v>
      </c>
      <c r="W52" s="88">
        <f t="shared" si="38"/>
        <v>0</v>
      </c>
      <c r="X52" s="88" t="str">
        <f t="shared" si="39"/>
        <v>#REF!</v>
      </c>
      <c r="Y52" s="88">
        <f t="shared" ref="Y52:Z52" si="40">SUM(Y48:Y51)</f>
        <v>0</v>
      </c>
      <c r="Z52" s="88">
        <f t="shared" si="40"/>
        <v>0</v>
      </c>
      <c r="AA52" s="2"/>
      <c r="AB52" s="2"/>
      <c r="AC52" s="2"/>
      <c r="AD52" s="2"/>
    </row>
    <row r="53" ht="12.0" customHeight="1">
      <c r="A53" s="31"/>
      <c r="B53" s="77" t="s">
        <v>83</v>
      </c>
      <c r="C53" s="95"/>
      <c r="D53" s="95"/>
      <c r="E53" s="95"/>
      <c r="F53" s="95"/>
      <c r="G53" s="95"/>
      <c r="H53" s="95">
        <v>147911.536</v>
      </c>
      <c r="I53" s="96" t="str">
        <f>106683.63-balance!E157/1000</f>
        <v>#REF!</v>
      </c>
      <c r="J53" s="96" t="str">
        <f>106683.63-balance!E157/1000</f>
        <v>#REF!</v>
      </c>
      <c r="K53" s="96">
        <v>-249130.62844000003</v>
      </c>
      <c r="L53" s="96"/>
      <c r="M53" s="96"/>
      <c r="N53" s="96"/>
      <c r="O53" s="96"/>
      <c r="P53" s="96">
        <v>37039.81793</v>
      </c>
      <c r="Q53" s="96" t="str">
        <f>+balance!H211/1000</f>
        <v>#REF!</v>
      </c>
      <c r="R53" s="97" t="str">
        <f>+balance!M51/1000-R54</f>
        <v>#REF!</v>
      </c>
      <c r="S53" s="96">
        <v>0.0</v>
      </c>
      <c r="T53" s="90"/>
      <c r="U53" s="90" t="str">
        <f t="shared" ref="U53:U54" si="41">+(Q53-K53)/K53</f>
        <v>#REF!</v>
      </c>
      <c r="V53" s="90" t="str">
        <f t="shared" ref="V53:V54" si="42">(Q53-P53)/P53</f>
        <v>#REF!</v>
      </c>
      <c r="W53" s="31"/>
      <c r="X53" s="86" t="str">
        <f t="shared" si="39"/>
        <v>#REF!</v>
      </c>
      <c r="Y53" s="31"/>
      <c r="Z53" s="36"/>
      <c r="AA53" s="31"/>
      <c r="AB53" s="31"/>
      <c r="AC53" s="31"/>
      <c r="AD53" s="31"/>
    </row>
    <row r="54" ht="12.0" customHeight="1">
      <c r="A54" s="2"/>
      <c r="B54" s="25" t="s">
        <v>84</v>
      </c>
      <c r="C54" s="83">
        <v>89090.439</v>
      </c>
      <c r="D54" s="98">
        <v>959194.061</v>
      </c>
      <c r="E54" s="83">
        <v>908574.022</v>
      </c>
      <c r="F54" s="83">
        <v>883944.9659999999</v>
      </c>
      <c r="G54" s="83">
        <v>851008.8324</v>
      </c>
      <c r="H54" s="83">
        <v>1150830.8090000001</v>
      </c>
      <c r="I54" s="66">
        <v>1226957.278</v>
      </c>
      <c r="J54" s="66">
        <v>1301976.1430000002</v>
      </c>
      <c r="K54" s="66">
        <v>482075.6448999999</v>
      </c>
      <c r="L54" s="99">
        <v>-41773.0</v>
      </c>
      <c r="M54" s="66">
        <v>-26832.74303999999</v>
      </c>
      <c r="N54" s="66">
        <v>-55120.723880000005</v>
      </c>
      <c r="O54" s="66">
        <v>-89738.5928</v>
      </c>
      <c r="P54" s="66">
        <v>-107907.78848000002</v>
      </c>
      <c r="Q54" s="66" t="str">
        <f>+(balance!H210+balance!H213-balance!E158-balance!E145)/1000-1584</f>
        <v>#REF!</v>
      </c>
      <c r="R54" s="66" t="str">
        <f>+balance!G163/1000</f>
        <v>#REF!</v>
      </c>
      <c r="S54" s="66">
        <v>0.0</v>
      </c>
      <c r="T54" s="84" t="str">
        <f>+(Q54-G54)/G54</f>
        <v>#REF!</v>
      </c>
      <c r="U54" s="90" t="str">
        <f t="shared" si="41"/>
        <v>#REF!</v>
      </c>
      <c r="V54" s="90" t="str">
        <f t="shared" si="42"/>
        <v>#REF!</v>
      </c>
      <c r="W54" s="3"/>
      <c r="X54" s="86" t="str">
        <f t="shared" si="39"/>
        <v>#REF!</v>
      </c>
      <c r="Y54" s="66"/>
      <c r="Z54" s="70"/>
      <c r="AA54" s="68"/>
      <c r="AB54" s="68"/>
      <c r="AC54" s="2"/>
      <c r="AD54" s="2"/>
    </row>
    <row r="55" ht="12.0" customHeight="1">
      <c r="A55" s="2"/>
      <c r="B55" s="100" t="s">
        <v>85</v>
      </c>
      <c r="C55" s="82">
        <f t="shared" ref="C55:W55" si="43">+C53+C54</f>
        <v>89090.439</v>
      </c>
      <c r="D55" s="82">
        <f t="shared" si="43"/>
        <v>959194.061</v>
      </c>
      <c r="E55" s="82">
        <f t="shared" si="43"/>
        <v>908574.022</v>
      </c>
      <c r="F55" s="82">
        <f t="shared" si="43"/>
        <v>883944.966</v>
      </c>
      <c r="G55" s="82">
        <f t="shared" si="43"/>
        <v>851008.8324</v>
      </c>
      <c r="H55" s="82">
        <f t="shared" si="43"/>
        <v>1298742.345</v>
      </c>
      <c r="I55" s="82" t="str">
        <f t="shared" si="43"/>
        <v>#REF!</v>
      </c>
      <c r="J55" s="82" t="str">
        <f t="shared" si="43"/>
        <v>#REF!</v>
      </c>
      <c r="K55" s="82">
        <f t="shared" si="43"/>
        <v>232945.0165</v>
      </c>
      <c r="L55" s="82">
        <f t="shared" si="43"/>
        <v>-41773</v>
      </c>
      <c r="M55" s="82">
        <f t="shared" si="43"/>
        <v>-26832.74304</v>
      </c>
      <c r="N55" s="82">
        <f t="shared" si="43"/>
        <v>-55120.72388</v>
      </c>
      <c r="O55" s="82">
        <f t="shared" si="43"/>
        <v>-89738.5928</v>
      </c>
      <c r="P55" s="82">
        <f t="shared" si="43"/>
        <v>-70867.97055</v>
      </c>
      <c r="Q55" s="82" t="str">
        <f t="shared" si="43"/>
        <v>#REF!</v>
      </c>
      <c r="R55" s="82" t="str">
        <f t="shared" si="43"/>
        <v>#REF!</v>
      </c>
      <c r="S55" s="82">
        <f t="shared" si="43"/>
        <v>0</v>
      </c>
      <c r="T55" s="101" t="str">
        <f t="shared" si="43"/>
        <v>#REF!</v>
      </c>
      <c r="U55" s="101" t="str">
        <f t="shared" si="43"/>
        <v>#REF!</v>
      </c>
      <c r="V55" s="101" t="str">
        <f t="shared" si="43"/>
        <v>#REF!</v>
      </c>
      <c r="W55" s="101">
        <f t="shared" si="43"/>
        <v>0</v>
      </c>
      <c r="X55" s="102" t="str">
        <f t="shared" si="39"/>
        <v>#REF!</v>
      </c>
      <c r="Y55" s="101">
        <f t="shared" ref="Y55:Z55" si="44">+Y53+Y54</f>
        <v>0</v>
      </c>
      <c r="Z55" s="101">
        <f t="shared" si="44"/>
        <v>0</v>
      </c>
      <c r="AA55" s="68"/>
      <c r="AB55" s="68"/>
      <c r="AC55" s="2"/>
      <c r="AD55" s="2"/>
    </row>
    <row r="56" ht="12.0" customHeight="1">
      <c r="A56" s="8"/>
      <c r="B56" s="103" t="s">
        <v>86</v>
      </c>
      <c r="C56" s="104">
        <f t="shared" ref="C56:F56" si="45">+C47+C55-C52</f>
        <v>3569943.139</v>
      </c>
      <c r="D56" s="104">
        <f t="shared" si="45"/>
        <v>771635.5096</v>
      </c>
      <c r="E56" s="104">
        <f t="shared" si="45"/>
        <v>693777.738</v>
      </c>
      <c r="F56" s="104">
        <f t="shared" si="45"/>
        <v>526099.984</v>
      </c>
      <c r="G56" s="104">
        <f>+G47+G55-G52-1</f>
        <v>275496.6134</v>
      </c>
      <c r="H56" s="104">
        <f t="shared" ref="H56:W56" si="46">+H47+H55-H52</f>
        <v>507393.599</v>
      </c>
      <c r="I56" s="104" t="str">
        <f t="shared" si="46"/>
        <v>#REF!</v>
      </c>
      <c r="J56" s="104" t="str">
        <f t="shared" si="46"/>
        <v>#REF!</v>
      </c>
      <c r="K56" s="104">
        <f t="shared" si="46"/>
        <v>846028.0907</v>
      </c>
      <c r="L56" s="104">
        <f t="shared" si="46"/>
        <v>-78627.7</v>
      </c>
      <c r="M56" s="104">
        <f t="shared" si="46"/>
        <v>-92787.25247</v>
      </c>
      <c r="N56" s="104">
        <f t="shared" si="46"/>
        <v>-99583.68905</v>
      </c>
      <c r="O56" s="104">
        <f t="shared" si="46"/>
        <v>-673791.1932</v>
      </c>
      <c r="P56" s="104">
        <f t="shared" si="46"/>
        <v>-22882.84011</v>
      </c>
      <c r="Q56" s="104" t="str">
        <f t="shared" si="46"/>
        <v>#REF!</v>
      </c>
      <c r="R56" s="104" t="str">
        <f t="shared" si="46"/>
        <v>#REF!</v>
      </c>
      <c r="S56" s="104">
        <f t="shared" si="46"/>
        <v>-935731</v>
      </c>
      <c r="T56" s="105" t="str">
        <f t="shared" si="46"/>
        <v>#REF!</v>
      </c>
      <c r="U56" s="105" t="str">
        <f t="shared" si="46"/>
        <v>#REF!</v>
      </c>
      <c r="V56" s="105" t="str">
        <f t="shared" si="46"/>
        <v>#REF!</v>
      </c>
      <c r="W56" s="105">
        <f t="shared" si="46"/>
        <v>0</v>
      </c>
      <c r="X56" s="106" t="str">
        <f t="shared" si="39"/>
        <v>#REF!</v>
      </c>
      <c r="Y56" s="107"/>
      <c r="Z56" s="97"/>
      <c r="AA56" s="107"/>
      <c r="AB56" s="107"/>
      <c r="AC56" s="8"/>
      <c r="AD56" s="8"/>
    </row>
    <row r="57" ht="12.0" customHeight="1">
      <c r="A57" s="2"/>
      <c r="B57" s="25" t="s">
        <v>87</v>
      </c>
      <c r="C57" s="83">
        <v>336238.384</v>
      </c>
      <c r="D57" s="83">
        <f>+D56*0.1</f>
        <v>77163.55096</v>
      </c>
      <c r="E57" s="83">
        <v>69377.7738</v>
      </c>
      <c r="F57" s="83">
        <v>52609.99839999998</v>
      </c>
      <c r="G57" s="83">
        <v>57749.0</v>
      </c>
      <c r="H57" s="83">
        <v>36106.64</v>
      </c>
      <c r="I57" s="66">
        <v>35045.5</v>
      </c>
      <c r="J57" s="66">
        <v>74678.58800000003</v>
      </c>
      <c r="K57" s="66">
        <v>100042.51461113557</v>
      </c>
      <c r="L57" s="66">
        <v>3957.0</v>
      </c>
      <c r="M57" s="66">
        <v>11600.668592000002</v>
      </c>
      <c r="N57" s="66">
        <v>33051.290866</v>
      </c>
      <c r="O57" s="66">
        <v>38419.22179257089</v>
      </c>
      <c r="P57" s="66">
        <v>62430.296535</v>
      </c>
      <c r="Q57" s="66" t="str">
        <f>balance!E160/1000</f>
        <v>#REF!</v>
      </c>
      <c r="R57" s="66"/>
      <c r="S57" s="66">
        <v>71254.0</v>
      </c>
      <c r="T57" s="84" t="str">
        <f>(Q57-G57)/G57</f>
        <v>#REF!</v>
      </c>
      <c r="U57" s="84" t="str">
        <f>+(Q57-K57)/K57</f>
        <v>#REF!</v>
      </c>
      <c r="V57" s="84" t="str">
        <f>(Q57-P57)/P57</f>
        <v>#REF!</v>
      </c>
      <c r="W57" s="108" t="str">
        <f>(S57-Q57)/Q57</f>
        <v>#REF!</v>
      </c>
      <c r="X57" s="86" t="str">
        <f t="shared" si="39"/>
        <v>#REF!</v>
      </c>
      <c r="Y57" s="108" t="str">
        <f>(V57-T57)/T57</f>
        <v>#REF!</v>
      </c>
      <c r="Z57" s="108" t="str">
        <f>(W57-V57)/V57</f>
        <v>#REF!</v>
      </c>
      <c r="AA57" s="66"/>
      <c r="AB57" s="68"/>
      <c r="AC57" s="2"/>
      <c r="AD57" s="2"/>
    </row>
    <row r="58" ht="12.0" customHeight="1">
      <c r="A58" s="2"/>
      <c r="B58" s="60" t="s">
        <v>88</v>
      </c>
      <c r="C58" s="20">
        <f t="shared" ref="C58:Z58" si="47">+C56-C57</f>
        <v>3233704.755</v>
      </c>
      <c r="D58" s="20">
        <f t="shared" si="47"/>
        <v>694471.9586</v>
      </c>
      <c r="E58" s="20">
        <f t="shared" si="47"/>
        <v>624399.9642</v>
      </c>
      <c r="F58" s="20">
        <f t="shared" si="47"/>
        <v>473489.9856</v>
      </c>
      <c r="G58" s="20">
        <f t="shared" si="47"/>
        <v>217747.6134</v>
      </c>
      <c r="H58" s="20">
        <f t="shared" si="47"/>
        <v>471286.959</v>
      </c>
      <c r="I58" s="20" t="str">
        <f t="shared" si="47"/>
        <v>#REF!</v>
      </c>
      <c r="J58" s="20" t="str">
        <f t="shared" si="47"/>
        <v>#REF!</v>
      </c>
      <c r="K58" s="20">
        <f t="shared" si="47"/>
        <v>745985.5761</v>
      </c>
      <c r="L58" s="20">
        <f t="shared" si="47"/>
        <v>-82584.7</v>
      </c>
      <c r="M58" s="20">
        <f t="shared" si="47"/>
        <v>-104387.9211</v>
      </c>
      <c r="N58" s="20">
        <f t="shared" si="47"/>
        <v>-132634.9799</v>
      </c>
      <c r="O58" s="20">
        <f t="shared" si="47"/>
        <v>-712210.415</v>
      </c>
      <c r="P58" s="20">
        <f t="shared" si="47"/>
        <v>-85313.13665</v>
      </c>
      <c r="Q58" s="20" t="str">
        <f t="shared" si="47"/>
        <v>#REF!</v>
      </c>
      <c r="R58" s="20" t="str">
        <f t="shared" si="47"/>
        <v>#REF!</v>
      </c>
      <c r="S58" s="20">
        <f t="shared" si="47"/>
        <v>-1006985</v>
      </c>
      <c r="T58" s="109" t="str">
        <f t="shared" si="47"/>
        <v>#REF!</v>
      </c>
      <c r="U58" s="109" t="str">
        <f t="shared" si="47"/>
        <v>#REF!</v>
      </c>
      <c r="V58" s="109" t="str">
        <f t="shared" si="47"/>
        <v>#REF!</v>
      </c>
      <c r="W58" s="109" t="str">
        <f t="shared" si="47"/>
        <v>#REF!</v>
      </c>
      <c r="X58" s="109" t="str">
        <f t="shared" si="47"/>
        <v>#REF!</v>
      </c>
      <c r="Y58" s="109" t="str">
        <f t="shared" si="47"/>
        <v>#REF!</v>
      </c>
      <c r="Z58" s="109" t="str">
        <f t="shared" si="47"/>
        <v>#REF!</v>
      </c>
      <c r="AA58" s="70"/>
      <c r="AB58" s="68"/>
      <c r="AC58" s="2"/>
      <c r="AD58" s="2"/>
    </row>
    <row r="59" ht="12.75" customHeight="1">
      <c r="A59" s="68"/>
      <c r="B59" s="51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110"/>
      <c r="U59" s="110"/>
      <c r="V59" s="110"/>
      <c r="W59" s="110"/>
      <c r="X59" s="110"/>
      <c r="Y59" s="110"/>
      <c r="Z59" s="110"/>
      <c r="AA59" s="70"/>
      <c r="AB59" s="68"/>
      <c r="AC59" s="68"/>
      <c r="AD59" s="68"/>
    </row>
    <row r="60" ht="12.75" customHeight="1">
      <c r="A60" s="68"/>
      <c r="B60" s="60"/>
      <c r="C60" s="20"/>
      <c r="D60" s="20"/>
      <c r="E60" s="20"/>
      <c r="F60" s="20"/>
      <c r="G60" s="20"/>
      <c r="H60" s="20"/>
      <c r="I60" s="20"/>
      <c r="J60" s="20"/>
      <c r="K60" s="20">
        <f t="shared" ref="K60:Z60" si="48">+K58+K59</f>
        <v>745985.5761</v>
      </c>
      <c r="L60" s="20">
        <f t="shared" si="48"/>
        <v>-82584.7</v>
      </c>
      <c r="M60" s="20">
        <f t="shared" si="48"/>
        <v>-104387.9211</v>
      </c>
      <c r="N60" s="20">
        <f t="shared" si="48"/>
        <v>-132634.9799</v>
      </c>
      <c r="O60" s="20">
        <f t="shared" si="48"/>
        <v>-712210.415</v>
      </c>
      <c r="P60" s="20">
        <f t="shared" si="48"/>
        <v>-85313.13665</v>
      </c>
      <c r="Q60" s="20" t="str">
        <f t="shared" si="48"/>
        <v>#REF!</v>
      </c>
      <c r="R60" s="20" t="str">
        <f t="shared" si="48"/>
        <v>#REF!</v>
      </c>
      <c r="S60" s="20">
        <f t="shared" si="48"/>
        <v>-1006985</v>
      </c>
      <c r="T60" s="109" t="str">
        <f t="shared" si="48"/>
        <v>#REF!</v>
      </c>
      <c r="U60" s="109" t="str">
        <f t="shared" si="48"/>
        <v>#REF!</v>
      </c>
      <c r="V60" s="109" t="str">
        <f t="shared" si="48"/>
        <v>#REF!</v>
      </c>
      <c r="W60" s="109" t="str">
        <f t="shared" si="48"/>
        <v>#REF!</v>
      </c>
      <c r="X60" s="109" t="str">
        <f t="shared" si="48"/>
        <v>#REF!</v>
      </c>
      <c r="Y60" s="20" t="str">
        <f t="shared" si="48"/>
        <v>#REF!</v>
      </c>
      <c r="Z60" s="20" t="str">
        <f t="shared" si="48"/>
        <v>#REF!</v>
      </c>
      <c r="AA60" s="70"/>
      <c r="AB60" s="68"/>
      <c r="AC60" s="68"/>
      <c r="AD60" s="68"/>
    </row>
    <row r="61" ht="12.0" customHeight="1">
      <c r="A61" s="2"/>
      <c r="B61" s="111"/>
      <c r="C61" s="112"/>
      <c r="D61" s="113">
        <f>+D29-D58</f>
        <v>0</v>
      </c>
      <c r="E61" s="113"/>
      <c r="F61" s="113"/>
      <c r="G61" s="113">
        <f t="shared" ref="G61:N61" si="49">+G29-G58</f>
        <v>0.3865999999</v>
      </c>
      <c r="H61" s="113">
        <f t="shared" si="49"/>
        <v>-1059806.939</v>
      </c>
      <c r="I61" s="113" t="str">
        <f t="shared" si="49"/>
        <v>#REF!</v>
      </c>
      <c r="J61" s="113" t="str">
        <f t="shared" si="49"/>
        <v>#REF!</v>
      </c>
      <c r="K61" s="113">
        <f t="shared" si="49"/>
        <v>-0.0000000002328306437</v>
      </c>
      <c r="L61" s="113">
        <f t="shared" si="49"/>
        <v>-505935.2799</v>
      </c>
      <c r="M61" s="113">
        <f t="shared" si="49"/>
        <v>-484132.0589</v>
      </c>
      <c r="N61" s="113">
        <f t="shared" si="49"/>
        <v>-0.0000000001164153218</v>
      </c>
      <c r="O61" s="113"/>
      <c r="P61" s="113">
        <f t="shared" ref="P61:R61" si="50">+P29-P58</f>
        <v>0</v>
      </c>
      <c r="Q61" s="113" t="str">
        <f t="shared" si="50"/>
        <v>#REF!</v>
      </c>
      <c r="R61" s="113" t="str">
        <f t="shared" si="50"/>
        <v>#REF!</v>
      </c>
      <c r="S61" s="113"/>
      <c r="T61" s="114"/>
      <c r="U61" s="114"/>
      <c r="V61" s="66"/>
      <c r="W61" s="5"/>
      <c r="X61" s="70"/>
      <c r="Y61" s="70"/>
      <c r="Z61" s="68"/>
      <c r="AA61" s="68"/>
      <c r="AB61" s="2"/>
      <c r="AC61" s="2"/>
      <c r="AD61" s="2"/>
    </row>
    <row r="62" ht="65.25" customHeight="1">
      <c r="A62" s="2"/>
      <c r="B62" s="115" t="s">
        <v>89</v>
      </c>
      <c r="C62" s="112"/>
      <c r="D62" s="112"/>
      <c r="E62" s="112"/>
      <c r="F62" s="112"/>
      <c r="G62" s="112"/>
      <c r="H62" s="42"/>
      <c r="I62" s="42"/>
      <c r="J62" s="42"/>
      <c r="K62" s="42"/>
      <c r="L62" s="112"/>
      <c r="M62" s="112"/>
      <c r="N62" s="112"/>
      <c r="O62" s="112"/>
      <c r="P62" s="112"/>
      <c r="Q62" s="42"/>
      <c r="R62" s="42"/>
      <c r="S62" s="42"/>
      <c r="T62" s="42"/>
      <c r="U62" s="42"/>
      <c r="V62" s="2"/>
      <c r="W62" s="5"/>
      <c r="X62" s="70"/>
      <c r="Y62" s="70"/>
      <c r="Z62" s="68"/>
      <c r="AA62" s="68"/>
      <c r="AB62" s="2"/>
      <c r="AC62" s="2"/>
      <c r="AD62" s="2"/>
    </row>
    <row r="63" ht="14.25" customHeight="1">
      <c r="A63" s="2"/>
      <c r="B63" s="72" t="s">
        <v>79</v>
      </c>
      <c r="C63" s="20" t="s">
        <v>4</v>
      </c>
      <c r="D63" s="20" t="s">
        <v>5</v>
      </c>
      <c r="E63" s="13" t="s">
        <v>6</v>
      </c>
      <c r="F63" s="13" t="s">
        <v>7</v>
      </c>
      <c r="G63" s="14" t="s">
        <v>8</v>
      </c>
      <c r="H63" s="22" t="s">
        <v>9</v>
      </c>
      <c r="I63" s="23" t="s">
        <v>10</v>
      </c>
      <c r="J63" s="24" t="s">
        <v>11</v>
      </c>
      <c r="K63" s="16" t="s">
        <v>12</v>
      </c>
      <c r="L63" s="24" t="s">
        <v>13</v>
      </c>
      <c r="M63" s="24" t="s">
        <v>14</v>
      </c>
      <c r="N63" s="16" t="s">
        <v>15</v>
      </c>
      <c r="O63" s="16" t="s">
        <v>16</v>
      </c>
      <c r="P63" s="16" t="s">
        <v>17</v>
      </c>
      <c r="Q63" s="16" t="s">
        <v>18</v>
      </c>
      <c r="R63" s="16" t="s">
        <v>19</v>
      </c>
      <c r="S63" s="17" t="s">
        <v>20</v>
      </c>
      <c r="T63" s="18"/>
      <c r="U63" s="18"/>
      <c r="V63" s="68"/>
      <c r="W63" s="5"/>
      <c r="X63" s="68"/>
      <c r="Y63" s="70"/>
      <c r="Z63" s="68"/>
      <c r="AA63" s="68"/>
      <c r="AB63" s="2"/>
      <c r="AC63" s="2"/>
      <c r="AD63" s="2"/>
    </row>
    <row r="64" ht="12.0" customHeight="1">
      <c r="A64" s="2"/>
      <c r="B64" s="116"/>
      <c r="C64" s="13"/>
      <c r="D64" s="117">
        <v>1.0</v>
      </c>
      <c r="E64" s="21">
        <v>1.0</v>
      </c>
      <c r="F64" s="21">
        <v>1.0</v>
      </c>
      <c r="G64" s="22" t="s">
        <v>22</v>
      </c>
      <c r="H64" s="22" t="s">
        <v>23</v>
      </c>
      <c r="I64" s="23"/>
      <c r="J64" s="24" t="s">
        <v>24</v>
      </c>
      <c r="K64" s="23">
        <v>2.0</v>
      </c>
      <c r="L64" s="22" t="s">
        <v>25</v>
      </c>
      <c r="M64" s="22" t="s">
        <v>26</v>
      </c>
      <c r="N64" s="22" t="s">
        <v>25</v>
      </c>
      <c r="O64" s="22" t="s">
        <v>26</v>
      </c>
      <c r="P64" s="22" t="s">
        <v>26</v>
      </c>
      <c r="Q64" s="22" t="s">
        <v>27</v>
      </c>
      <c r="R64" s="23">
        <v>2.0</v>
      </c>
      <c r="S64" s="22" t="s">
        <v>28</v>
      </c>
      <c r="T64" s="22" t="s">
        <v>29</v>
      </c>
      <c r="U64" s="22" t="s">
        <v>30</v>
      </c>
      <c r="V64" s="2"/>
      <c r="W64" s="5"/>
      <c r="X64" s="2"/>
      <c r="Y64" s="5"/>
      <c r="Z64" s="2"/>
      <c r="AA64" s="2"/>
      <c r="AB64" s="2"/>
      <c r="AC64" s="2"/>
      <c r="AD64" s="2"/>
    </row>
    <row r="65" ht="12.0" customHeight="1">
      <c r="A65" s="2"/>
      <c r="B65" s="41" t="s">
        <v>90</v>
      </c>
      <c r="C65" s="118">
        <v>890137.7720000001</v>
      </c>
      <c r="D65" s="119">
        <f t="shared" ref="D65:U65" si="51">SUM(D66:D75)</f>
        <v>216973.244</v>
      </c>
      <c r="E65" s="120">
        <f t="shared" si="51"/>
        <v>273355.167</v>
      </c>
      <c r="F65" s="120">
        <f t="shared" si="51"/>
        <v>320235.276</v>
      </c>
      <c r="G65" s="120">
        <f t="shared" si="51"/>
        <v>666120.8688</v>
      </c>
      <c r="H65" s="120">
        <f t="shared" si="51"/>
        <v>725137.669</v>
      </c>
      <c r="I65" s="120">
        <f t="shared" si="51"/>
        <v>771672.724</v>
      </c>
      <c r="J65" s="120">
        <f t="shared" si="51"/>
        <v>832641.358</v>
      </c>
      <c r="K65" s="120">
        <f t="shared" si="51"/>
        <v>1144322.759</v>
      </c>
      <c r="L65" s="120">
        <f t="shared" si="51"/>
        <v>57357.8</v>
      </c>
      <c r="M65" s="120">
        <f t="shared" si="51"/>
        <v>131260.105</v>
      </c>
      <c r="N65" s="120">
        <f t="shared" si="51"/>
        <v>226320.9499</v>
      </c>
      <c r="O65" s="120">
        <f t="shared" si="51"/>
        <v>313044.6772</v>
      </c>
      <c r="P65" s="120">
        <f t="shared" si="51"/>
        <v>388254.4582</v>
      </c>
      <c r="Q65" s="120" t="str">
        <f t="shared" si="51"/>
        <v>#REF!</v>
      </c>
      <c r="R65" s="120">
        <f t="shared" si="51"/>
        <v>1144322.759</v>
      </c>
      <c r="S65" s="121" t="str">
        <f t="shared" si="51"/>
        <v>#REF!</v>
      </c>
      <c r="T65" s="121" t="str">
        <f t="shared" si="51"/>
        <v>#REF!</v>
      </c>
      <c r="U65" s="121" t="str">
        <f t="shared" si="51"/>
        <v>#REF!</v>
      </c>
      <c r="V65" s="2"/>
      <c r="W65" s="5"/>
      <c r="X65" s="2"/>
      <c r="Y65" s="5"/>
      <c r="Z65" s="2"/>
      <c r="AA65" s="2"/>
      <c r="AB65" s="2"/>
      <c r="AC65" s="2"/>
      <c r="AD65" s="2"/>
    </row>
    <row r="66" ht="12.0" customHeight="1">
      <c r="A66" s="2"/>
      <c r="B66" s="122" t="s">
        <v>91</v>
      </c>
      <c r="C66" s="123">
        <v>286773.078</v>
      </c>
      <c r="D66" s="83">
        <v>69452.64</v>
      </c>
      <c r="E66" s="83">
        <v>86701.113</v>
      </c>
      <c r="F66" s="83">
        <v>105591.954</v>
      </c>
      <c r="G66" s="83">
        <v>126381.131</v>
      </c>
      <c r="H66" s="124">
        <v>215865.559</v>
      </c>
      <c r="I66" s="66">
        <v>240717.26</v>
      </c>
      <c r="J66" s="66">
        <v>240717.26</v>
      </c>
      <c r="K66" s="66">
        <v>266504.86819</v>
      </c>
      <c r="L66" s="125">
        <v>28630.4</v>
      </c>
      <c r="M66" s="66">
        <v>56913.155</v>
      </c>
      <c r="N66" s="66">
        <v>77570.63637000001</v>
      </c>
      <c r="O66" s="66">
        <v>105716.31137000001</v>
      </c>
      <c r="P66" s="66">
        <v>138049.61453</v>
      </c>
      <c r="Q66" s="66" t="str">
        <f>+balance!E129/1000</f>
        <v>#REF!</v>
      </c>
      <c r="R66" s="66">
        <v>266504.86819</v>
      </c>
      <c r="S66" s="84" t="str">
        <f t="shared" ref="S66:S72" si="52">+(Q66-G66)/G66</f>
        <v>#REF!</v>
      </c>
      <c r="T66" s="84" t="str">
        <f t="shared" ref="T66:T75" si="53">+(Q66-K66)/K66</f>
        <v>#REF!</v>
      </c>
      <c r="U66" s="84" t="str">
        <f t="shared" ref="U66:U73" si="54">(Q66-P66)/P66</f>
        <v>#REF!</v>
      </c>
      <c r="V66" s="2"/>
      <c r="W66" s="5"/>
      <c r="X66" s="2"/>
      <c r="Y66" s="5"/>
      <c r="Z66" s="2"/>
      <c r="AA66" s="2"/>
      <c r="AB66" s="2"/>
      <c r="AC66" s="2"/>
      <c r="AD66" s="2"/>
    </row>
    <row r="67" ht="12.0" customHeight="1">
      <c r="A67" s="2"/>
      <c r="B67" s="25" t="s">
        <v>92</v>
      </c>
      <c r="C67" s="83">
        <v>200459.92500000002</v>
      </c>
      <c r="D67" s="83">
        <v>51333.826</v>
      </c>
      <c r="E67" s="83">
        <v>69223.74900000001</v>
      </c>
      <c r="F67" s="83">
        <v>79104.288</v>
      </c>
      <c r="G67" s="83">
        <v>184964.69899999996</v>
      </c>
      <c r="H67" s="124">
        <v>211281.67</v>
      </c>
      <c r="I67" s="96">
        <v>225340.632</v>
      </c>
      <c r="J67" s="96">
        <v>257311.60099999997</v>
      </c>
      <c r="K67" s="96">
        <v>270671.02950999996</v>
      </c>
      <c r="L67" s="96">
        <v>9194.4</v>
      </c>
      <c r="M67" s="96">
        <v>13248.502719999999</v>
      </c>
      <c r="N67" s="96">
        <v>35305.0892</v>
      </c>
      <c r="O67" s="96">
        <v>43897.321780000006</v>
      </c>
      <c r="P67" s="96">
        <v>56394.50633999999</v>
      </c>
      <c r="Q67" s="96" t="str">
        <f>+(balance!E132+balance!E134+balance!E137+balance!E138+balance!E149+balance!E151+balance!E152+balance!E156)/1000</f>
        <v>#REF!</v>
      </c>
      <c r="R67" s="96">
        <v>270671.02950999996</v>
      </c>
      <c r="S67" s="84" t="str">
        <f t="shared" si="52"/>
        <v>#REF!</v>
      </c>
      <c r="T67" s="84" t="str">
        <f t="shared" si="53"/>
        <v>#REF!</v>
      </c>
      <c r="U67" s="84" t="str">
        <f t="shared" si="54"/>
        <v>#REF!</v>
      </c>
      <c r="V67" s="2"/>
      <c r="W67" s="5"/>
      <c r="X67" s="2"/>
      <c r="Y67" s="5"/>
      <c r="Z67" s="2"/>
      <c r="AA67" s="2"/>
      <c r="AB67" s="2"/>
      <c r="AC67" s="2"/>
      <c r="AD67" s="2"/>
    </row>
    <row r="68" ht="12.0" customHeight="1">
      <c r="A68" s="2"/>
      <c r="B68" s="25" t="s">
        <v>93</v>
      </c>
      <c r="C68" s="83">
        <v>41949.331</v>
      </c>
      <c r="D68" s="83">
        <v>35403.931</v>
      </c>
      <c r="E68" s="83">
        <v>41268.331</v>
      </c>
      <c r="F68" s="83">
        <v>41586.331</v>
      </c>
      <c r="G68" s="83">
        <v>47661.731</v>
      </c>
      <c r="H68" s="124">
        <v>68788.65</v>
      </c>
      <c r="I68" s="66">
        <v>74842.8</v>
      </c>
      <c r="J68" s="66">
        <v>85481.216</v>
      </c>
      <c r="K68" s="66">
        <v>88245.01658</v>
      </c>
      <c r="L68" s="66">
        <v>0.0</v>
      </c>
      <c r="M68" s="66">
        <v>0.0</v>
      </c>
      <c r="N68" s="66">
        <f>28348.75-6815.95</f>
        <v>21532.8</v>
      </c>
      <c r="O68" s="66">
        <v>45843.15</v>
      </c>
      <c r="P68" s="66">
        <v>21533.0</v>
      </c>
      <c r="Q68" s="66" t="str">
        <f>+balance!E133/1000</f>
        <v>#REF!</v>
      </c>
      <c r="R68" s="66">
        <v>88245.01658</v>
      </c>
      <c r="S68" s="84" t="str">
        <f t="shared" si="52"/>
        <v>#REF!</v>
      </c>
      <c r="T68" s="84" t="str">
        <f t="shared" si="53"/>
        <v>#REF!</v>
      </c>
      <c r="U68" s="84" t="str">
        <f t="shared" si="54"/>
        <v>#REF!</v>
      </c>
      <c r="V68" s="126"/>
      <c r="W68" s="5"/>
      <c r="X68" s="2"/>
      <c r="Y68" s="5"/>
      <c r="Z68" s="2"/>
      <c r="AA68" s="2"/>
      <c r="AB68" s="2"/>
      <c r="AC68" s="2"/>
      <c r="AD68" s="2"/>
    </row>
    <row r="69" ht="12.0" customHeight="1">
      <c r="A69" s="2"/>
      <c r="B69" s="25" t="s">
        <v>94</v>
      </c>
      <c r="C69" s="83">
        <v>109182.462</v>
      </c>
      <c r="D69" s="83">
        <v>29597.072</v>
      </c>
      <c r="E69" s="83">
        <v>40980.358</v>
      </c>
      <c r="F69" s="83">
        <v>54928.556</v>
      </c>
      <c r="G69" s="83">
        <v>92089.409</v>
      </c>
      <c r="H69" s="124">
        <v>106240.41</v>
      </c>
      <c r="I69" s="66">
        <v>101850.056</v>
      </c>
      <c r="J69" s="66">
        <v>114036.28</v>
      </c>
      <c r="K69" s="66">
        <v>135910.00208</v>
      </c>
      <c r="L69" s="66">
        <v>9761.0</v>
      </c>
      <c r="M69" s="66">
        <v>14570.158150000001</v>
      </c>
      <c r="N69" s="66">
        <v>20539.8075</v>
      </c>
      <c r="O69" s="66">
        <v>40782.51405</v>
      </c>
      <c r="P69" s="66">
        <v>70924.91587000001</v>
      </c>
      <c r="Q69" s="66" t="str">
        <f>+(balance!E136+balance!E153)/1000</f>
        <v>#REF!</v>
      </c>
      <c r="R69" s="66">
        <v>135910.00208</v>
      </c>
      <c r="S69" s="84" t="str">
        <f t="shared" si="52"/>
        <v>#REF!</v>
      </c>
      <c r="T69" s="84" t="str">
        <f t="shared" si="53"/>
        <v>#REF!</v>
      </c>
      <c r="U69" s="84" t="str">
        <f t="shared" si="54"/>
        <v>#REF!</v>
      </c>
      <c r="V69" s="2"/>
      <c r="W69" s="5"/>
      <c r="X69" s="2"/>
      <c r="Y69" s="5"/>
      <c r="Z69" s="2"/>
      <c r="AA69" s="2"/>
      <c r="AB69" s="2"/>
      <c r="AC69" s="2"/>
      <c r="AD69" s="2"/>
    </row>
    <row r="70" ht="12.0" customHeight="1">
      <c r="A70" s="2"/>
      <c r="B70" s="25" t="s">
        <v>95</v>
      </c>
      <c r="C70" s="83">
        <v>21072.233999999997</v>
      </c>
      <c r="D70" s="83">
        <v>9725.775000000001</v>
      </c>
      <c r="E70" s="83">
        <v>13721.616</v>
      </c>
      <c r="F70" s="83">
        <v>17564.146999999997</v>
      </c>
      <c r="G70" s="83">
        <v>19769.156</v>
      </c>
      <c r="H70" s="124">
        <v>24369.679999999997</v>
      </c>
      <c r="I70" s="66">
        <v>25848.769999999997</v>
      </c>
      <c r="J70" s="66">
        <v>28344.593999999997</v>
      </c>
      <c r="K70" s="66">
        <v>50672.20031</v>
      </c>
      <c r="L70" s="66">
        <v>1871.0</v>
      </c>
      <c r="M70" s="66">
        <v>3901.6883599999996</v>
      </c>
      <c r="N70" s="66">
        <v>5420.45945</v>
      </c>
      <c r="O70" s="66">
        <v>7829.721509999999</v>
      </c>
      <c r="P70" s="66">
        <v>12436.713240000001</v>
      </c>
      <c r="Q70" s="66" t="str">
        <f>+(balance!E135+balance!E139+balance!E143+balance!E147+balance!E150)/1000</f>
        <v>#REF!</v>
      </c>
      <c r="R70" s="66">
        <v>50672.20031</v>
      </c>
      <c r="S70" s="84" t="str">
        <f t="shared" si="52"/>
        <v>#REF!</v>
      </c>
      <c r="T70" s="84" t="str">
        <f t="shared" si="53"/>
        <v>#REF!</v>
      </c>
      <c r="U70" s="84" t="str">
        <f t="shared" si="54"/>
        <v>#REF!</v>
      </c>
      <c r="V70" s="2"/>
      <c r="W70" s="5"/>
      <c r="X70" s="2"/>
      <c r="Y70" s="5"/>
      <c r="Z70" s="2"/>
      <c r="AA70" s="2"/>
      <c r="AB70" s="2"/>
      <c r="AC70" s="2"/>
      <c r="AD70" s="2"/>
    </row>
    <row r="71" ht="12.0" customHeight="1">
      <c r="A71" s="2"/>
      <c r="B71" s="25" t="s">
        <v>96</v>
      </c>
      <c r="C71" s="83">
        <v>83493.802</v>
      </c>
      <c r="D71" s="83">
        <v>21460.0</v>
      </c>
      <c r="E71" s="83">
        <v>21460.0</v>
      </c>
      <c r="F71" s="83">
        <v>21460.0</v>
      </c>
      <c r="G71" s="83">
        <v>21460.0</v>
      </c>
      <c r="H71" s="124">
        <v>41686.07</v>
      </c>
      <c r="I71" s="96">
        <v>44986.076</v>
      </c>
      <c r="J71" s="96">
        <v>47447.187</v>
      </c>
      <c r="K71" s="96">
        <v>112192.36601000001</v>
      </c>
      <c r="L71" s="96">
        <v>0.0</v>
      </c>
      <c r="M71" s="96">
        <v>33329.14</v>
      </c>
      <c r="N71" s="96">
        <v>45190.0</v>
      </c>
      <c r="O71" s="96">
        <v>47821.232</v>
      </c>
      <c r="P71" s="96">
        <v>52987.591</v>
      </c>
      <c r="Q71" s="96" t="str">
        <f>balance!E140/1000</f>
        <v>#REF!</v>
      </c>
      <c r="R71" s="96">
        <v>112192.36601000001</v>
      </c>
      <c r="S71" s="84" t="str">
        <f t="shared" si="52"/>
        <v>#REF!</v>
      </c>
      <c r="T71" s="84" t="str">
        <f t="shared" si="53"/>
        <v>#REF!</v>
      </c>
      <c r="U71" s="84" t="str">
        <f t="shared" si="54"/>
        <v>#REF!</v>
      </c>
      <c r="V71" s="2"/>
      <c r="W71" s="5"/>
      <c r="X71" s="2"/>
      <c r="Y71" s="5"/>
      <c r="Z71" s="2"/>
      <c r="AA71" s="2"/>
      <c r="AB71" s="2"/>
      <c r="AC71" s="2"/>
      <c r="AD71" s="2"/>
    </row>
    <row r="72" ht="12.0" customHeight="1">
      <c r="A72" s="2"/>
      <c r="B72" s="25" t="s">
        <v>97</v>
      </c>
      <c r="C72" s="83"/>
      <c r="D72" s="83"/>
      <c r="E72" s="83"/>
      <c r="F72" s="83"/>
      <c r="G72" s="83">
        <f>173794.743-56905.635</f>
        <v>116889.108</v>
      </c>
      <c r="H72" s="124"/>
      <c r="I72" s="66"/>
      <c r="J72" s="66"/>
      <c r="K72" s="66">
        <f>153668.416-16000</f>
        <v>137668.416</v>
      </c>
      <c r="L72" s="66"/>
      <c r="M72" s="66"/>
      <c r="N72" s="66">
        <v>6815.950000000001</v>
      </c>
      <c r="O72" s="66"/>
      <c r="P72" s="66">
        <v>10272.804</v>
      </c>
      <c r="Q72" s="66" t="str">
        <f>+(balance!E141)/1000</f>
        <v>#REF!</v>
      </c>
      <c r="R72" s="66">
        <f>153668.416-16000</f>
        <v>137668.416</v>
      </c>
      <c r="S72" s="84" t="str">
        <f t="shared" si="52"/>
        <v>#REF!</v>
      </c>
      <c r="T72" s="84" t="str">
        <f t="shared" si="53"/>
        <v>#REF!</v>
      </c>
      <c r="U72" s="84" t="str">
        <f t="shared" si="54"/>
        <v>#REF!</v>
      </c>
      <c r="V72" s="2"/>
      <c r="W72" s="5"/>
      <c r="X72" s="5"/>
      <c r="Y72" s="5"/>
      <c r="Z72" s="2"/>
      <c r="AA72" s="2"/>
      <c r="AB72" s="2"/>
      <c r="AC72" s="2"/>
      <c r="AD72" s="2"/>
    </row>
    <row r="73" ht="12.0" customHeight="1">
      <c r="A73" s="2"/>
      <c r="B73" s="25" t="s">
        <v>98</v>
      </c>
      <c r="C73" s="83"/>
      <c r="D73" s="83"/>
      <c r="E73" s="83"/>
      <c r="F73" s="83"/>
      <c r="G73" s="83"/>
      <c r="H73" s="124"/>
      <c r="I73" s="66"/>
      <c r="J73" s="66"/>
      <c r="K73" s="66">
        <v>16000.0</v>
      </c>
      <c r="L73" s="66"/>
      <c r="M73" s="66"/>
      <c r="N73" s="66">
        <v>6100.675</v>
      </c>
      <c r="O73" s="66">
        <v>6100.675</v>
      </c>
      <c r="P73" s="66">
        <v>6100.675</v>
      </c>
      <c r="Q73" s="66" t="str">
        <f>+balance!E155/1000</f>
        <v>#REF!</v>
      </c>
      <c r="R73" s="66">
        <v>16000.0</v>
      </c>
      <c r="S73" s="84"/>
      <c r="T73" s="84" t="str">
        <f t="shared" si="53"/>
        <v>#REF!</v>
      </c>
      <c r="U73" s="84" t="str">
        <f t="shared" si="54"/>
        <v>#REF!</v>
      </c>
      <c r="V73" s="2"/>
      <c r="W73" s="5"/>
      <c r="X73" s="5"/>
      <c r="Y73" s="5"/>
      <c r="Z73" s="2"/>
      <c r="AA73" s="2"/>
      <c r="AB73" s="2"/>
      <c r="AC73" s="2"/>
      <c r="AD73" s="2"/>
    </row>
    <row r="74" ht="12.0" hidden="1" customHeight="1">
      <c r="A74" s="2"/>
      <c r="B74" s="25" t="s">
        <v>99</v>
      </c>
      <c r="C74" s="83"/>
      <c r="D74" s="83"/>
      <c r="E74" s="83"/>
      <c r="F74" s="83"/>
      <c r="G74" s="83"/>
      <c r="H74" s="124"/>
      <c r="I74" s="66"/>
      <c r="J74" s="66"/>
      <c r="K74" s="66">
        <v>3099.49228</v>
      </c>
      <c r="L74" s="66">
        <v>0.0</v>
      </c>
      <c r="M74" s="66">
        <v>0.0</v>
      </c>
      <c r="N74" s="66">
        <v>0.0</v>
      </c>
      <c r="O74" s="66">
        <v>0.0</v>
      </c>
      <c r="P74" s="66">
        <v>0.0</v>
      </c>
      <c r="Q74" s="66">
        <v>0.0</v>
      </c>
      <c r="R74" s="66">
        <v>3099.49228</v>
      </c>
      <c r="S74" s="84"/>
      <c r="T74" s="84">
        <f t="shared" si="53"/>
        <v>-1</v>
      </c>
      <c r="U74" s="84"/>
      <c r="V74" s="2"/>
      <c r="W74" s="5"/>
      <c r="X74" s="2"/>
      <c r="Y74" s="5"/>
      <c r="Z74" s="2"/>
      <c r="AA74" s="2"/>
      <c r="AB74" s="2"/>
      <c r="AC74" s="2"/>
      <c r="AD74" s="2"/>
    </row>
    <row r="75" ht="12.0" customHeight="1">
      <c r="A75" s="2"/>
      <c r="B75" s="68" t="s">
        <v>100</v>
      </c>
      <c r="C75" s="66"/>
      <c r="D75" s="83"/>
      <c r="E75" s="83"/>
      <c r="F75" s="83"/>
      <c r="G75" s="66">
        <v>56905.63477</v>
      </c>
      <c r="H75" s="66">
        <v>56905.63</v>
      </c>
      <c r="I75" s="66">
        <v>58087.13</v>
      </c>
      <c r="J75" s="66">
        <v>59303.22</v>
      </c>
      <c r="K75" s="66">
        <v>63359.36812</v>
      </c>
      <c r="L75" s="66">
        <v>7901.0</v>
      </c>
      <c r="M75" s="66">
        <v>9297.46081</v>
      </c>
      <c r="N75" s="66">
        <v>7845.53238</v>
      </c>
      <c r="O75" s="66">
        <v>15053.7515</v>
      </c>
      <c r="P75" s="66">
        <v>19554.638170000002</v>
      </c>
      <c r="Q75" s="66" t="str">
        <f>+balance!E154/1000</f>
        <v>#REF!</v>
      </c>
      <c r="R75" s="66">
        <v>63359.36812</v>
      </c>
      <c r="S75" s="84" t="str">
        <f>+(Q75-G75)/G75</f>
        <v>#REF!</v>
      </c>
      <c r="T75" s="84" t="str">
        <f t="shared" si="53"/>
        <v>#REF!</v>
      </c>
      <c r="U75" s="84" t="str">
        <f>(Q75-P75)/P75</f>
        <v>#REF!</v>
      </c>
      <c r="V75" s="2"/>
      <c r="W75" s="5"/>
      <c r="X75" s="2"/>
      <c r="Y75" s="5"/>
      <c r="Z75" s="2"/>
      <c r="AA75" s="2"/>
      <c r="AB75" s="2"/>
      <c r="AC75" s="2"/>
      <c r="AD75" s="2"/>
    </row>
    <row r="76" ht="18.75" customHeight="1">
      <c r="A76" s="2"/>
      <c r="B76" s="72" t="s">
        <v>81</v>
      </c>
      <c r="C76" s="20" t="s">
        <v>4</v>
      </c>
      <c r="D76" s="20" t="s">
        <v>5</v>
      </c>
      <c r="E76" s="13" t="s">
        <v>6</v>
      </c>
      <c r="F76" s="13" t="s">
        <v>7</v>
      </c>
      <c r="G76" s="14" t="s">
        <v>8</v>
      </c>
      <c r="H76" s="22" t="s">
        <v>9</v>
      </c>
      <c r="I76" s="23" t="s">
        <v>10</v>
      </c>
      <c r="J76" s="24" t="s">
        <v>11</v>
      </c>
      <c r="K76" s="16" t="s">
        <v>12</v>
      </c>
      <c r="L76" s="24" t="s">
        <v>13</v>
      </c>
      <c r="M76" s="24" t="s">
        <v>14</v>
      </c>
      <c r="N76" s="16" t="s">
        <v>15</v>
      </c>
      <c r="O76" s="16" t="s">
        <v>16</v>
      </c>
      <c r="P76" s="16" t="s">
        <v>17</v>
      </c>
      <c r="Q76" s="16" t="s">
        <v>18</v>
      </c>
      <c r="R76" s="16" t="s">
        <v>12</v>
      </c>
      <c r="S76" s="17" t="s">
        <v>20</v>
      </c>
      <c r="T76" s="18"/>
      <c r="U76" s="18"/>
      <c r="V76" s="68"/>
      <c r="W76" s="5"/>
      <c r="X76" s="2"/>
      <c r="Y76" s="5"/>
      <c r="Z76" s="2"/>
      <c r="AA76" s="2"/>
      <c r="AB76" s="2"/>
      <c r="AC76" s="2"/>
      <c r="AD76" s="2"/>
    </row>
    <row r="77" ht="12.0" customHeight="1">
      <c r="A77" s="2"/>
      <c r="B77" s="19"/>
      <c r="C77" s="20"/>
      <c r="D77" s="21">
        <v>1.0</v>
      </c>
      <c r="E77" s="21">
        <v>1.0</v>
      </c>
      <c r="F77" s="21">
        <v>1.0</v>
      </c>
      <c r="G77" s="22" t="s">
        <v>22</v>
      </c>
      <c r="H77" s="22" t="s">
        <v>23</v>
      </c>
      <c r="I77" s="23"/>
      <c r="J77" s="24" t="s">
        <v>24</v>
      </c>
      <c r="K77" s="23">
        <v>2.0</v>
      </c>
      <c r="L77" s="22" t="s">
        <v>25</v>
      </c>
      <c r="M77" s="22" t="s">
        <v>26</v>
      </c>
      <c r="N77" s="22" t="s">
        <v>25</v>
      </c>
      <c r="O77" s="22" t="s">
        <v>26</v>
      </c>
      <c r="P77" s="22" t="s">
        <v>25</v>
      </c>
      <c r="Q77" s="22" t="s">
        <v>26</v>
      </c>
      <c r="R77" s="23">
        <v>2.0</v>
      </c>
      <c r="S77" s="22" t="s">
        <v>28</v>
      </c>
      <c r="T77" s="22" t="s">
        <v>29</v>
      </c>
      <c r="U77" s="22" t="s">
        <v>30</v>
      </c>
      <c r="V77" s="2"/>
      <c r="W77" s="5"/>
      <c r="X77" s="2"/>
      <c r="Y77" s="5"/>
      <c r="Z77" s="2"/>
      <c r="AA77" s="2"/>
      <c r="AB77" s="2"/>
      <c r="AC77" s="2"/>
      <c r="AD77" s="2"/>
    </row>
    <row r="78" ht="12.0" customHeight="1">
      <c r="A78" s="2"/>
      <c r="B78" s="127" t="s">
        <v>90</v>
      </c>
      <c r="C78" s="128">
        <v>87177.414</v>
      </c>
      <c r="D78" s="128">
        <f t="shared" ref="D78:R78" si="55">SUM(D79:D81)</f>
        <v>5984.2244</v>
      </c>
      <c r="E78" s="128">
        <f t="shared" si="55"/>
        <v>5666.639</v>
      </c>
      <c r="F78" s="128">
        <f t="shared" si="55"/>
        <v>5722.147</v>
      </c>
      <c r="G78" s="128">
        <f t="shared" si="55"/>
        <v>6216.983</v>
      </c>
      <c r="H78" s="128">
        <f t="shared" si="55"/>
        <v>70267.065</v>
      </c>
      <c r="I78" s="128">
        <f t="shared" si="55"/>
        <v>83521.59</v>
      </c>
      <c r="J78" s="128">
        <f t="shared" si="55"/>
        <v>97233.361</v>
      </c>
      <c r="K78" s="128">
        <f t="shared" si="55"/>
        <v>117629.1329</v>
      </c>
      <c r="L78" s="128">
        <f t="shared" si="55"/>
        <v>971</v>
      </c>
      <c r="M78" s="128">
        <f t="shared" si="55"/>
        <v>22099.93407</v>
      </c>
      <c r="N78" s="128">
        <f t="shared" si="55"/>
        <v>54319.21498</v>
      </c>
      <c r="O78" s="128">
        <f t="shared" si="55"/>
        <v>86876.09817</v>
      </c>
      <c r="P78" s="128">
        <f t="shared" si="55"/>
        <v>124752.0595</v>
      </c>
      <c r="Q78" s="128" t="str">
        <f t="shared" si="55"/>
        <v>#REF!</v>
      </c>
      <c r="R78" s="128">
        <f t="shared" si="55"/>
        <v>117629.1329</v>
      </c>
      <c r="S78" s="129" t="str">
        <f t="shared" ref="S78:U78" si="56">SUM(S79:S80)</f>
        <v>#REF!</v>
      </c>
      <c r="T78" s="129" t="str">
        <f t="shared" si="56"/>
        <v>#REF!</v>
      </c>
      <c r="U78" s="129" t="str">
        <f t="shared" si="56"/>
        <v>#REF!</v>
      </c>
      <c r="V78" s="2"/>
      <c r="W78" s="5"/>
      <c r="X78" s="2"/>
      <c r="Y78" s="5"/>
      <c r="Z78" s="2"/>
      <c r="AA78" s="2"/>
      <c r="AB78" s="2"/>
      <c r="AC78" s="2"/>
      <c r="AD78" s="2"/>
    </row>
    <row r="79" ht="12.0" customHeight="1">
      <c r="A79" s="2"/>
      <c r="B79" s="130" t="s">
        <v>101</v>
      </c>
      <c r="C79" s="131">
        <v>77608.55</v>
      </c>
      <c r="D79" s="3">
        <v>5521.9174</v>
      </c>
      <c r="E79" s="3">
        <v>5121.219</v>
      </c>
      <c r="F79" s="3">
        <v>5121.219</v>
      </c>
      <c r="G79" s="131">
        <v>5121.219</v>
      </c>
      <c r="H79" s="131">
        <v>68782.545</v>
      </c>
      <c r="I79" s="131">
        <v>81892.12999999999</v>
      </c>
      <c r="J79" s="131">
        <v>95399.705</v>
      </c>
      <c r="K79" s="3">
        <v>115559.69133999999</v>
      </c>
      <c r="L79" s="131">
        <v>583.0</v>
      </c>
      <c r="M79" s="131">
        <v>21697.43505</v>
      </c>
      <c r="N79" s="131">
        <v>53867.96671</v>
      </c>
      <c r="O79" s="131">
        <v>86179.95706999999</v>
      </c>
      <c r="P79" s="131">
        <v>123854.50146</v>
      </c>
      <c r="Q79" s="3" t="str">
        <f>balance!E146/1000</f>
        <v>#REF!</v>
      </c>
      <c r="R79" s="3">
        <v>115559.69133999999</v>
      </c>
      <c r="S79" s="86" t="str">
        <f t="shared" ref="S79:S80" si="57">+(Q79-G79)/G79</f>
        <v>#REF!</v>
      </c>
      <c r="T79" s="86" t="str">
        <f t="shared" ref="T79:T80" si="58">+(Q79-K79)/K79</f>
        <v>#REF!</v>
      </c>
      <c r="U79" s="86" t="str">
        <f t="shared" ref="U79:U80" si="59">(Q79-P79)/P79</f>
        <v>#REF!</v>
      </c>
      <c r="V79" s="2"/>
      <c r="W79" s="5"/>
      <c r="X79" s="2"/>
      <c r="Y79" s="5"/>
      <c r="Z79" s="2"/>
      <c r="AA79" s="2"/>
      <c r="AB79" s="2"/>
      <c r="AC79" s="2"/>
      <c r="AD79" s="2"/>
    </row>
    <row r="80" ht="12.0" customHeight="1">
      <c r="A80" s="2"/>
      <c r="B80" s="130" t="s">
        <v>102</v>
      </c>
      <c r="C80" s="131">
        <v>4276.314</v>
      </c>
      <c r="D80" s="131">
        <v>462.307</v>
      </c>
      <c r="E80" s="131">
        <v>545.42</v>
      </c>
      <c r="F80" s="131">
        <v>600.928</v>
      </c>
      <c r="G80" s="131">
        <v>1095.764</v>
      </c>
      <c r="H80" s="131">
        <v>1484.52</v>
      </c>
      <c r="I80" s="131">
        <v>1629.46</v>
      </c>
      <c r="J80" s="131">
        <v>1833.656</v>
      </c>
      <c r="K80" s="3">
        <v>2069.44158</v>
      </c>
      <c r="L80" s="131">
        <v>388.0</v>
      </c>
      <c r="M80" s="131">
        <v>402.49902000000003</v>
      </c>
      <c r="N80" s="131">
        <v>451.24827</v>
      </c>
      <c r="O80" s="131">
        <v>696.1410999999999</v>
      </c>
      <c r="P80" s="131">
        <v>897.55804</v>
      </c>
      <c r="Q80" s="3" t="str">
        <f>+balance!E127/1000</f>
        <v>#REF!</v>
      </c>
      <c r="R80" s="3">
        <v>2069.44158</v>
      </c>
      <c r="S80" s="86" t="str">
        <f t="shared" si="57"/>
        <v>#REF!</v>
      </c>
      <c r="T80" s="86" t="str">
        <f t="shared" si="58"/>
        <v>#REF!</v>
      </c>
      <c r="U80" s="86" t="str">
        <f t="shared" si="59"/>
        <v>#REF!</v>
      </c>
      <c r="V80" s="2"/>
      <c r="W80" s="5"/>
      <c r="X80" s="2"/>
      <c r="Y80" s="5"/>
      <c r="Z80" s="2"/>
      <c r="AA80" s="2"/>
      <c r="AB80" s="2"/>
      <c r="AC80" s="2"/>
      <c r="AD80" s="2"/>
    </row>
    <row r="81" ht="12.0" customHeight="1">
      <c r="A81" s="2"/>
      <c r="B81" s="2"/>
      <c r="C81" s="3">
        <f>+C49+C51-C65-C78</f>
        <v>0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64"/>
      <c r="U81" s="4"/>
      <c r="V81" s="7"/>
      <c r="W81" s="2"/>
      <c r="X81" s="5"/>
      <c r="Y81" s="2"/>
      <c r="Z81" s="5"/>
      <c r="AA81" s="2"/>
      <c r="AB81" s="2"/>
      <c r="AC81" s="2"/>
      <c r="AD81" s="2"/>
    </row>
    <row r="82" ht="12.0" customHeight="1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64"/>
      <c r="V82" s="3"/>
      <c r="W82" s="7"/>
      <c r="X82" s="2"/>
      <c r="Y82" s="5"/>
      <c r="Z82" s="2"/>
      <c r="AA82" s="5"/>
      <c r="AB82" s="2"/>
      <c r="AC82" s="2"/>
      <c r="AD82" s="2"/>
    </row>
    <row r="83" ht="12.0" customHeight="1">
      <c r="A83" s="2"/>
      <c r="B83" s="2"/>
      <c r="C83" s="2"/>
      <c r="D83" s="3"/>
      <c r="E83" s="3"/>
      <c r="F83" s="3"/>
      <c r="G83" s="2"/>
      <c r="H83" s="4"/>
      <c r="I83" s="5"/>
      <c r="J83" s="5"/>
      <c r="K83" s="5"/>
      <c r="L83" s="4"/>
      <c r="M83" s="4"/>
      <c r="N83" s="4"/>
      <c r="O83" s="4"/>
      <c r="P83" s="4"/>
      <c r="Q83" s="5"/>
      <c r="R83" s="5"/>
      <c r="S83" s="5"/>
      <c r="T83" s="5"/>
      <c r="U83" s="6"/>
      <c r="V83" s="5"/>
      <c r="W83" s="7"/>
      <c r="X83" s="2"/>
      <c r="Y83" s="2"/>
      <c r="Z83" s="2"/>
      <c r="AA83" s="2"/>
      <c r="AB83" s="2"/>
      <c r="AC83" s="2"/>
      <c r="AD83" s="2"/>
    </row>
    <row r="84" ht="12.0" customHeight="1">
      <c r="A84" s="2"/>
      <c r="B84" s="2"/>
      <c r="C84" s="2"/>
      <c r="D84" s="3"/>
      <c r="E84" s="3"/>
      <c r="F84" s="3"/>
      <c r="G84" s="2"/>
      <c r="H84" s="4"/>
      <c r="I84" s="5"/>
      <c r="J84" s="5"/>
      <c r="K84" s="5"/>
      <c r="L84" s="4"/>
      <c r="M84" s="4"/>
      <c r="N84" s="4"/>
      <c r="O84" s="4"/>
      <c r="P84" s="4"/>
      <c r="Q84" s="5"/>
      <c r="R84" s="5"/>
      <c r="S84" s="5"/>
      <c r="T84" s="5"/>
      <c r="U84" s="6"/>
      <c r="V84" s="5"/>
      <c r="W84" s="7"/>
      <c r="X84" s="8"/>
      <c r="Y84" s="8"/>
      <c r="Z84" s="2"/>
      <c r="AA84" s="2"/>
      <c r="AB84" s="2"/>
      <c r="AC84" s="2"/>
      <c r="AD84" s="2"/>
    </row>
    <row r="85" ht="46.5" customHeight="1">
      <c r="A85" s="2"/>
      <c r="B85" s="68" t="s">
        <v>103</v>
      </c>
      <c r="C85" s="2"/>
      <c r="D85" s="68" t="s">
        <v>57</v>
      </c>
      <c r="E85" s="68" t="s">
        <v>57</v>
      </c>
      <c r="F85" s="68" t="s">
        <v>104</v>
      </c>
      <c r="G85" s="68"/>
      <c r="H85" s="4"/>
      <c r="I85" s="2"/>
      <c r="J85" s="2"/>
      <c r="K85" s="2"/>
      <c r="L85" s="4"/>
      <c r="M85" s="4"/>
      <c r="N85" s="4"/>
      <c r="O85" s="4"/>
      <c r="P85" s="4"/>
      <c r="Q85" s="5" t="s">
        <v>59</v>
      </c>
      <c r="R85" s="2"/>
      <c r="S85" s="5"/>
      <c r="T85" s="5"/>
      <c r="U85" s="6"/>
      <c r="V85" s="2"/>
      <c r="W85" s="7"/>
      <c r="X85" s="8"/>
      <c r="Y85" s="8"/>
      <c r="Z85" s="2"/>
      <c r="AA85" s="2"/>
      <c r="AB85" s="2"/>
      <c r="AC85" s="2"/>
      <c r="AD85" s="2"/>
    </row>
    <row r="86" ht="45.0" customHeight="1">
      <c r="A86" s="2"/>
      <c r="B86" s="68" t="s">
        <v>105</v>
      </c>
      <c r="C86" s="2"/>
      <c r="D86" s="68" t="s">
        <v>61</v>
      </c>
      <c r="E86" s="68" t="s">
        <v>61</v>
      </c>
      <c r="F86" s="4" t="s">
        <v>62</v>
      </c>
      <c r="G86" s="2"/>
      <c r="H86" s="4"/>
      <c r="I86" s="2"/>
      <c r="J86" s="2"/>
      <c r="K86" s="2"/>
      <c r="L86" s="68"/>
      <c r="M86" s="4"/>
      <c r="N86" s="4"/>
      <c r="O86" s="4"/>
      <c r="P86" s="4"/>
      <c r="Q86" s="5" t="s">
        <v>63</v>
      </c>
      <c r="R86" s="2"/>
      <c r="S86" s="5"/>
      <c r="T86" s="5"/>
      <c r="U86" s="6"/>
      <c r="V86" s="2"/>
      <c r="W86" s="7"/>
      <c r="X86" s="8"/>
      <c r="Y86" s="8"/>
      <c r="Z86" s="2"/>
      <c r="AA86" s="2"/>
      <c r="AB86" s="2"/>
      <c r="AC86" s="2"/>
      <c r="AD86" s="2"/>
    </row>
    <row r="87" ht="28.5" customHeight="1">
      <c r="A87" s="2"/>
      <c r="B87" s="2"/>
      <c r="C87" s="2"/>
      <c r="D87" s="2"/>
      <c r="E87" s="2"/>
      <c r="F87" s="2"/>
      <c r="G87" s="2"/>
      <c r="H87" s="4"/>
      <c r="I87" s="2"/>
      <c r="J87" s="2"/>
      <c r="K87" s="2"/>
      <c r="L87" s="4"/>
      <c r="M87" s="4"/>
      <c r="N87" s="4"/>
      <c r="O87" s="4"/>
      <c r="P87" s="4"/>
      <c r="Q87" s="2"/>
      <c r="R87" s="2"/>
      <c r="S87" s="2"/>
      <c r="T87" s="2"/>
      <c r="U87" s="1"/>
      <c r="V87" s="2"/>
      <c r="W87" s="7"/>
      <c r="X87" s="8"/>
      <c r="Y87" s="8"/>
      <c r="Z87" s="2"/>
      <c r="AA87" s="2"/>
      <c r="AB87" s="2"/>
      <c r="AC87" s="2"/>
      <c r="AD87" s="2"/>
    </row>
    <row r="88" ht="12.0" customHeight="1">
      <c r="A88" s="2"/>
      <c r="B88" s="2"/>
      <c r="C88" s="68"/>
      <c r="D88" s="2"/>
      <c r="E88" s="2"/>
      <c r="F88" s="2"/>
      <c r="G88" s="2"/>
      <c r="H88" s="4"/>
      <c r="I88" s="2"/>
      <c r="J88" s="2"/>
      <c r="K88" s="2"/>
      <c r="L88" s="4"/>
      <c r="M88" s="4"/>
      <c r="N88" s="4"/>
      <c r="O88" s="4"/>
      <c r="P88" s="4"/>
      <c r="Q88" s="2"/>
      <c r="R88" s="2"/>
      <c r="S88" s="2"/>
      <c r="T88" s="2"/>
      <c r="U88" s="1"/>
      <c r="V88" s="2"/>
      <c r="W88" s="7"/>
      <c r="X88" s="8"/>
      <c r="Y88" s="8"/>
      <c r="Z88" s="2"/>
      <c r="AA88" s="2"/>
      <c r="AB88" s="2"/>
      <c r="AC88" s="2"/>
      <c r="AD88" s="2"/>
    </row>
    <row r="89" ht="12.0" customHeight="1">
      <c r="A89" s="2"/>
      <c r="B89" s="2"/>
      <c r="C89" s="2"/>
      <c r="D89" s="2"/>
      <c r="E89" s="2"/>
      <c r="F89" s="2"/>
      <c r="G89" s="2"/>
      <c r="H89" s="4"/>
      <c r="I89" s="2"/>
      <c r="J89" s="2"/>
      <c r="K89" s="2"/>
      <c r="L89" s="4"/>
      <c r="M89" s="4"/>
      <c r="N89" s="4"/>
      <c r="O89" s="4"/>
      <c r="P89" s="4"/>
      <c r="Q89" s="2"/>
      <c r="R89" s="2"/>
      <c r="S89" s="2"/>
      <c r="T89" s="2"/>
      <c r="U89" s="1"/>
      <c r="V89" s="2"/>
      <c r="W89" s="7"/>
      <c r="X89" s="8"/>
      <c r="Y89" s="8"/>
      <c r="Z89" s="2"/>
      <c r="AA89" s="2"/>
      <c r="AB89" s="2"/>
      <c r="AC89" s="2"/>
      <c r="AD89" s="2"/>
    </row>
    <row r="90" ht="12.0" customHeight="1">
      <c r="A90" s="2"/>
      <c r="B90" s="2"/>
      <c r="C90" s="2"/>
      <c r="D90" s="3"/>
      <c r="E90" s="3"/>
      <c r="F90" s="3"/>
      <c r="G90" s="2"/>
      <c r="H90" s="4"/>
      <c r="I90" s="5"/>
      <c r="J90" s="5"/>
      <c r="K90" s="5"/>
      <c r="L90" s="4"/>
      <c r="M90" s="4"/>
      <c r="N90" s="4"/>
      <c r="O90" s="4"/>
      <c r="P90" s="4"/>
      <c r="Q90" s="5"/>
      <c r="R90" s="5"/>
      <c r="S90" s="5"/>
      <c r="T90" s="5"/>
      <c r="U90" s="6"/>
      <c r="V90" s="5"/>
      <c r="W90" s="7"/>
      <c r="X90" s="8"/>
      <c r="Y90" s="8"/>
      <c r="Z90" s="2"/>
      <c r="AA90" s="2"/>
      <c r="AB90" s="2"/>
      <c r="AC90" s="2"/>
      <c r="AD90" s="2"/>
    </row>
    <row r="91" ht="12.0" customHeight="1">
      <c r="A91" s="2"/>
      <c r="B91" s="2"/>
      <c r="C91" s="2"/>
      <c r="D91" s="3"/>
      <c r="E91" s="3"/>
      <c r="F91" s="3"/>
      <c r="G91" s="2"/>
      <c r="H91" s="4"/>
      <c r="I91" s="5"/>
      <c r="J91" s="5"/>
      <c r="K91" s="5"/>
      <c r="L91" s="4"/>
      <c r="M91" s="4"/>
      <c r="N91" s="4"/>
      <c r="O91" s="4"/>
      <c r="P91" s="4"/>
      <c r="Q91" s="5"/>
      <c r="R91" s="5"/>
      <c r="S91" s="5"/>
      <c r="T91" s="5"/>
      <c r="U91" s="6"/>
      <c r="V91" s="5"/>
      <c r="W91" s="7"/>
      <c r="X91" s="8"/>
      <c r="Y91" s="8"/>
      <c r="Z91" s="2"/>
      <c r="AA91" s="2"/>
      <c r="AB91" s="2"/>
      <c r="AC91" s="2"/>
      <c r="AD91" s="2"/>
    </row>
    <row r="92" ht="12.0" customHeight="1">
      <c r="A92" s="2"/>
      <c r="B92" s="2"/>
      <c r="C92" s="2"/>
      <c r="D92" s="3"/>
      <c r="E92" s="3"/>
      <c r="F92" s="3"/>
      <c r="G92" s="2"/>
      <c r="H92" s="4"/>
      <c r="I92" s="5"/>
      <c r="J92" s="5"/>
      <c r="K92" s="5"/>
      <c r="L92" s="4"/>
      <c r="M92" s="4"/>
      <c r="N92" s="4"/>
      <c r="O92" s="4"/>
      <c r="P92" s="4"/>
      <c r="Q92" s="5"/>
      <c r="R92" s="5"/>
      <c r="S92" s="5"/>
      <c r="T92" s="5"/>
      <c r="U92" s="6"/>
      <c r="V92" s="5"/>
      <c r="W92" s="7"/>
      <c r="X92" s="8"/>
      <c r="Y92" s="8"/>
      <c r="Z92" s="2"/>
      <c r="AA92" s="2"/>
      <c r="AB92" s="2"/>
      <c r="AC92" s="2"/>
      <c r="AD92" s="2"/>
    </row>
    <row r="93" ht="12.0" customHeight="1">
      <c r="A93" s="2"/>
      <c r="B93" s="2"/>
      <c r="C93" s="2"/>
      <c r="D93" s="3"/>
      <c r="E93" s="3"/>
      <c r="F93" s="3"/>
      <c r="G93" s="2"/>
      <c r="H93" s="4"/>
      <c r="I93" s="5"/>
      <c r="J93" s="5"/>
      <c r="K93" s="5"/>
      <c r="L93" s="4"/>
      <c r="M93" s="4"/>
      <c r="N93" s="4"/>
      <c r="O93" s="4"/>
      <c r="P93" s="4"/>
      <c r="Q93" s="5"/>
      <c r="R93" s="5"/>
      <c r="S93" s="5"/>
      <c r="T93" s="5"/>
      <c r="U93" s="6"/>
      <c r="V93" s="5"/>
      <c r="W93" s="7"/>
      <c r="X93" s="8"/>
      <c r="Y93" s="8"/>
      <c r="Z93" s="2"/>
      <c r="AA93" s="2"/>
      <c r="AB93" s="2"/>
      <c r="AC93" s="2"/>
      <c r="AD93" s="2"/>
    </row>
    <row r="94" ht="12.0" customHeight="1">
      <c r="A94" s="2"/>
      <c r="B94" s="2"/>
      <c r="C94" s="2"/>
      <c r="D94" s="3"/>
      <c r="E94" s="3"/>
      <c r="F94" s="3"/>
      <c r="G94" s="2"/>
      <c r="H94" s="4"/>
      <c r="I94" s="5"/>
      <c r="J94" s="5"/>
      <c r="K94" s="5"/>
      <c r="L94" s="4"/>
      <c r="M94" s="4"/>
      <c r="N94" s="4"/>
      <c r="O94" s="4"/>
      <c r="P94" s="4"/>
      <c r="Q94" s="5"/>
      <c r="R94" s="5"/>
      <c r="S94" s="5"/>
      <c r="T94" s="5"/>
      <c r="U94" s="6"/>
      <c r="V94" s="5"/>
      <c r="W94" s="7"/>
      <c r="X94" s="8"/>
      <c r="Y94" s="8"/>
      <c r="Z94" s="2"/>
      <c r="AA94" s="2"/>
      <c r="AB94" s="2"/>
      <c r="AC94" s="2"/>
      <c r="AD94" s="2"/>
    </row>
    <row r="95" ht="12.0" customHeight="1">
      <c r="A95" s="2"/>
      <c r="B95" s="2"/>
      <c r="C95" s="2"/>
      <c r="D95" s="3"/>
      <c r="E95" s="3"/>
      <c r="F95" s="3"/>
      <c r="G95" s="2"/>
      <c r="H95" s="4"/>
      <c r="I95" s="5"/>
      <c r="J95" s="5"/>
      <c r="K95" s="5"/>
      <c r="L95" s="4"/>
      <c r="M95" s="4"/>
      <c r="N95" s="4"/>
      <c r="O95" s="4"/>
      <c r="P95" s="4"/>
      <c r="Q95" s="5"/>
      <c r="R95" s="5"/>
      <c r="S95" s="5"/>
      <c r="T95" s="5"/>
      <c r="U95" s="6"/>
      <c r="V95" s="5"/>
      <c r="W95" s="7"/>
      <c r="X95" s="8"/>
      <c r="Y95" s="8"/>
      <c r="Z95" s="2"/>
      <c r="AA95" s="2"/>
      <c r="AB95" s="2"/>
      <c r="AC95" s="2"/>
      <c r="AD95" s="2"/>
    </row>
    <row r="96" ht="12.0" customHeight="1">
      <c r="A96" s="2"/>
      <c r="B96" s="2"/>
      <c r="C96" s="2"/>
      <c r="D96" s="3"/>
      <c r="E96" s="3"/>
      <c r="F96" s="3"/>
      <c r="G96" s="2"/>
      <c r="H96" s="4"/>
      <c r="I96" s="5"/>
      <c r="J96" s="5"/>
      <c r="K96" s="5"/>
      <c r="L96" s="4"/>
      <c r="M96" s="4"/>
      <c r="N96" s="4"/>
      <c r="O96" s="4"/>
      <c r="P96" s="4"/>
      <c r="Q96" s="5"/>
      <c r="R96" s="5"/>
      <c r="S96" s="5"/>
      <c r="T96" s="5"/>
      <c r="U96" s="6"/>
      <c r="V96" s="5"/>
      <c r="W96" s="7"/>
      <c r="X96" s="8"/>
      <c r="Y96" s="8"/>
      <c r="Z96" s="2"/>
      <c r="AA96" s="2"/>
      <c r="AB96" s="2"/>
      <c r="AC96" s="2"/>
      <c r="AD96" s="2"/>
    </row>
    <row r="97" ht="12.0" customHeight="1">
      <c r="A97" s="2"/>
      <c r="B97" s="2"/>
      <c r="C97" s="2"/>
      <c r="D97" s="3"/>
      <c r="E97" s="3"/>
      <c r="F97" s="3"/>
      <c r="G97" s="2"/>
      <c r="H97" s="4"/>
      <c r="I97" s="5"/>
      <c r="J97" s="5"/>
      <c r="K97" s="5"/>
      <c r="L97" s="4"/>
      <c r="M97" s="4"/>
      <c r="N97" s="4"/>
      <c r="O97" s="4"/>
      <c r="P97" s="4"/>
      <c r="Q97" s="5"/>
      <c r="R97" s="5"/>
      <c r="S97" s="5"/>
      <c r="T97" s="5"/>
      <c r="U97" s="6"/>
      <c r="V97" s="5"/>
      <c r="W97" s="7"/>
      <c r="X97" s="8"/>
      <c r="Y97" s="8"/>
      <c r="Z97" s="2"/>
      <c r="AA97" s="2"/>
      <c r="AB97" s="2"/>
      <c r="AC97" s="2"/>
      <c r="AD97" s="2"/>
    </row>
    <row r="98" ht="12.0" customHeight="1">
      <c r="A98" s="2"/>
      <c r="B98" s="2"/>
      <c r="C98" s="2"/>
      <c r="D98" s="3"/>
      <c r="E98" s="3"/>
      <c r="F98" s="3"/>
      <c r="G98" s="2"/>
      <c r="H98" s="4"/>
      <c r="I98" s="5"/>
      <c r="J98" s="5"/>
      <c r="K98" s="5"/>
      <c r="L98" s="4"/>
      <c r="M98" s="4"/>
      <c r="N98" s="4"/>
      <c r="O98" s="4"/>
      <c r="P98" s="4"/>
      <c r="Q98" s="5"/>
      <c r="R98" s="5"/>
      <c r="S98" s="5"/>
      <c r="T98" s="5"/>
      <c r="U98" s="6"/>
      <c r="V98" s="5"/>
      <c r="W98" s="7"/>
      <c r="X98" s="8"/>
      <c r="Y98" s="8"/>
      <c r="Z98" s="2"/>
      <c r="AA98" s="2"/>
      <c r="AB98" s="2"/>
      <c r="AC98" s="2"/>
      <c r="AD98" s="2"/>
    </row>
    <row r="99" ht="12.0" customHeight="1">
      <c r="A99" s="2"/>
      <c r="B99" s="2"/>
      <c r="C99" s="2"/>
      <c r="D99" s="3"/>
      <c r="E99" s="3"/>
      <c r="F99" s="3"/>
      <c r="G99" s="2"/>
      <c r="H99" s="4"/>
      <c r="I99" s="5"/>
      <c r="J99" s="5"/>
      <c r="K99" s="5"/>
      <c r="L99" s="4"/>
      <c r="M99" s="4"/>
      <c r="N99" s="4"/>
      <c r="O99" s="4"/>
      <c r="P99" s="4"/>
      <c r="Q99" s="5"/>
      <c r="R99" s="5"/>
      <c r="S99" s="5"/>
      <c r="T99" s="5"/>
      <c r="U99" s="6"/>
      <c r="V99" s="5"/>
      <c r="W99" s="7"/>
      <c r="X99" s="8"/>
      <c r="Y99" s="8"/>
      <c r="Z99" s="2"/>
      <c r="AA99" s="2"/>
      <c r="AB99" s="2"/>
      <c r="AC99" s="2"/>
      <c r="AD99" s="2"/>
    </row>
    <row r="100" ht="12.0" customHeight="1">
      <c r="A100" s="2"/>
      <c r="B100" s="2"/>
      <c r="C100" s="2"/>
      <c r="D100" s="3"/>
      <c r="E100" s="3"/>
      <c r="F100" s="3"/>
      <c r="G100" s="2"/>
      <c r="H100" s="4"/>
      <c r="I100" s="5"/>
      <c r="J100" s="5"/>
      <c r="K100" s="5"/>
      <c r="L100" s="4"/>
      <c r="M100" s="4"/>
      <c r="N100" s="4"/>
      <c r="O100" s="4"/>
      <c r="P100" s="4"/>
      <c r="Q100" s="5"/>
      <c r="R100" s="5"/>
      <c r="S100" s="5"/>
      <c r="T100" s="5"/>
      <c r="U100" s="6"/>
      <c r="V100" s="5"/>
      <c r="W100" s="7"/>
      <c r="X100" s="8"/>
      <c r="Y100" s="8"/>
      <c r="Z100" s="2"/>
      <c r="AA100" s="2"/>
      <c r="AB100" s="2"/>
      <c r="AC100" s="2"/>
      <c r="AD100" s="2"/>
    </row>
    <row r="101" ht="12.0" customHeight="1">
      <c r="A101" s="2"/>
      <c r="B101" s="2"/>
      <c r="C101" s="2"/>
      <c r="D101" s="3"/>
      <c r="E101" s="3"/>
      <c r="F101" s="3"/>
      <c r="G101" s="2"/>
      <c r="H101" s="4"/>
      <c r="I101" s="5"/>
      <c r="J101" s="5"/>
      <c r="K101" s="5"/>
      <c r="L101" s="4"/>
      <c r="M101" s="4"/>
      <c r="N101" s="4"/>
      <c r="O101" s="4"/>
      <c r="P101" s="4"/>
      <c r="Q101" s="5"/>
      <c r="R101" s="5"/>
      <c r="S101" s="5"/>
      <c r="T101" s="5"/>
      <c r="U101" s="6"/>
      <c r="V101" s="5"/>
      <c r="W101" s="7"/>
      <c r="X101" s="8"/>
      <c r="Y101" s="8"/>
      <c r="Z101" s="2"/>
      <c r="AA101" s="2"/>
      <c r="AB101" s="2"/>
      <c r="AC101" s="2"/>
      <c r="AD101" s="2"/>
    </row>
    <row r="102" ht="12.0" customHeight="1">
      <c r="A102" s="2"/>
      <c r="B102" s="2"/>
      <c r="C102" s="2"/>
      <c r="D102" s="3"/>
      <c r="E102" s="3"/>
      <c r="F102" s="3"/>
      <c r="G102" s="2"/>
      <c r="H102" s="4"/>
      <c r="I102" s="5"/>
      <c r="J102" s="5"/>
      <c r="K102" s="5"/>
      <c r="L102" s="4"/>
      <c r="M102" s="4"/>
      <c r="N102" s="4"/>
      <c r="O102" s="4"/>
      <c r="P102" s="4"/>
      <c r="Q102" s="5"/>
      <c r="R102" s="5"/>
      <c r="S102" s="5"/>
      <c r="T102" s="5"/>
      <c r="U102" s="6"/>
      <c r="V102" s="5"/>
      <c r="W102" s="7"/>
      <c r="X102" s="8"/>
      <c r="Y102" s="8"/>
      <c r="Z102" s="2"/>
      <c r="AA102" s="2"/>
      <c r="AB102" s="2"/>
      <c r="AC102" s="2"/>
      <c r="AD102" s="2"/>
    </row>
    <row r="103" ht="12.0" customHeight="1">
      <c r="A103" s="2"/>
      <c r="B103" s="2"/>
      <c r="C103" s="2"/>
      <c r="D103" s="3"/>
      <c r="E103" s="3"/>
      <c r="F103" s="3"/>
      <c r="G103" s="2"/>
      <c r="H103" s="4"/>
      <c r="I103" s="5"/>
      <c r="J103" s="5"/>
      <c r="K103" s="5"/>
      <c r="L103" s="4"/>
      <c r="M103" s="4"/>
      <c r="N103" s="4"/>
      <c r="O103" s="4"/>
      <c r="P103" s="4"/>
      <c r="Q103" s="5"/>
      <c r="R103" s="5"/>
      <c r="S103" s="5"/>
      <c r="T103" s="5"/>
      <c r="U103" s="6"/>
      <c r="V103" s="5"/>
      <c r="W103" s="7"/>
      <c r="X103" s="8"/>
      <c r="Y103" s="8"/>
      <c r="Z103" s="2"/>
      <c r="AA103" s="2"/>
      <c r="AB103" s="2"/>
      <c r="AC103" s="2"/>
      <c r="AD103" s="2"/>
    </row>
    <row r="104" ht="12.0" customHeight="1">
      <c r="A104" s="2"/>
      <c r="B104" s="2"/>
      <c r="C104" s="2"/>
      <c r="D104" s="3"/>
      <c r="E104" s="3"/>
      <c r="F104" s="3"/>
      <c r="G104" s="2"/>
      <c r="H104" s="4"/>
      <c r="I104" s="5"/>
      <c r="J104" s="5"/>
      <c r="K104" s="5"/>
      <c r="L104" s="4"/>
      <c r="M104" s="4"/>
      <c r="N104" s="4"/>
      <c r="O104" s="4"/>
      <c r="P104" s="4"/>
      <c r="Q104" s="5"/>
      <c r="R104" s="5"/>
      <c r="S104" s="5"/>
      <c r="T104" s="5"/>
      <c r="U104" s="6"/>
      <c r="V104" s="5"/>
      <c r="W104" s="7"/>
      <c r="X104" s="8"/>
      <c r="Y104" s="8"/>
      <c r="Z104" s="2"/>
      <c r="AA104" s="2"/>
      <c r="AB104" s="2"/>
      <c r="AC104" s="2"/>
      <c r="AD104" s="2"/>
    </row>
    <row r="105" ht="12.0" customHeight="1">
      <c r="A105" s="2"/>
      <c r="B105" s="2"/>
      <c r="C105" s="2"/>
      <c r="D105" s="3"/>
      <c r="E105" s="3"/>
      <c r="F105" s="3"/>
      <c r="G105" s="2"/>
      <c r="H105" s="4"/>
      <c r="I105" s="5"/>
      <c r="J105" s="5"/>
      <c r="K105" s="5"/>
      <c r="L105" s="4"/>
      <c r="M105" s="4"/>
      <c r="N105" s="4"/>
      <c r="O105" s="4"/>
      <c r="P105" s="4"/>
      <c r="Q105" s="5"/>
      <c r="R105" s="5"/>
      <c r="S105" s="5"/>
      <c r="T105" s="5"/>
      <c r="U105" s="6"/>
      <c r="V105" s="5"/>
      <c r="W105" s="7"/>
      <c r="X105" s="8"/>
      <c r="Y105" s="8"/>
      <c r="Z105" s="2"/>
      <c r="AA105" s="2"/>
      <c r="AB105" s="2"/>
      <c r="AC105" s="2"/>
      <c r="AD105" s="2"/>
    </row>
    <row r="106" ht="12.0" customHeight="1">
      <c r="A106" s="2"/>
      <c r="B106" s="2"/>
      <c r="C106" s="2"/>
      <c r="D106" s="3"/>
      <c r="E106" s="3"/>
      <c r="F106" s="3"/>
      <c r="G106" s="2"/>
      <c r="H106" s="4"/>
      <c r="I106" s="5"/>
      <c r="J106" s="5"/>
      <c r="K106" s="5"/>
      <c r="L106" s="4"/>
      <c r="M106" s="4"/>
      <c r="N106" s="4"/>
      <c r="O106" s="4"/>
      <c r="P106" s="4"/>
      <c r="Q106" s="5"/>
      <c r="R106" s="5"/>
      <c r="S106" s="5"/>
      <c r="T106" s="5"/>
      <c r="U106" s="6"/>
      <c r="V106" s="5"/>
      <c r="W106" s="7"/>
      <c r="X106" s="8"/>
      <c r="Y106" s="8"/>
      <c r="Z106" s="2"/>
      <c r="AA106" s="2"/>
      <c r="AB106" s="2"/>
      <c r="AC106" s="2"/>
      <c r="AD106" s="2"/>
    </row>
    <row r="107" ht="12.0" customHeight="1">
      <c r="A107" s="2"/>
      <c r="B107" s="2"/>
      <c r="C107" s="2"/>
      <c r="D107" s="3"/>
      <c r="E107" s="3"/>
      <c r="F107" s="3"/>
      <c r="G107" s="2"/>
      <c r="H107" s="4"/>
      <c r="I107" s="5"/>
      <c r="J107" s="5"/>
      <c r="K107" s="5"/>
      <c r="L107" s="4"/>
      <c r="M107" s="4"/>
      <c r="N107" s="4"/>
      <c r="O107" s="4"/>
      <c r="P107" s="4"/>
      <c r="Q107" s="5"/>
      <c r="R107" s="5"/>
      <c r="S107" s="5"/>
      <c r="T107" s="5"/>
      <c r="U107" s="6"/>
      <c r="V107" s="5"/>
      <c r="W107" s="7"/>
      <c r="X107" s="8"/>
      <c r="Y107" s="8"/>
      <c r="Z107" s="2"/>
      <c r="AA107" s="2"/>
      <c r="AB107" s="2"/>
      <c r="AC107" s="2"/>
      <c r="AD107" s="2"/>
    </row>
    <row r="108" ht="12.0" customHeight="1">
      <c r="A108" s="2"/>
      <c r="B108" s="2"/>
      <c r="C108" s="2"/>
      <c r="D108" s="3"/>
      <c r="E108" s="3"/>
      <c r="F108" s="3"/>
      <c r="G108" s="2"/>
      <c r="H108" s="4"/>
      <c r="I108" s="5"/>
      <c r="J108" s="5"/>
      <c r="K108" s="5"/>
      <c r="L108" s="4"/>
      <c r="M108" s="4"/>
      <c r="N108" s="4"/>
      <c r="O108" s="4"/>
      <c r="P108" s="4"/>
      <c r="Q108" s="5"/>
      <c r="R108" s="5"/>
      <c r="S108" s="5"/>
      <c r="T108" s="5"/>
      <c r="U108" s="6"/>
      <c r="V108" s="5"/>
      <c r="W108" s="7"/>
      <c r="X108" s="8"/>
      <c r="Y108" s="8"/>
      <c r="Z108" s="2"/>
      <c r="AA108" s="2"/>
      <c r="AB108" s="2"/>
      <c r="AC108" s="2"/>
      <c r="AD108" s="2"/>
    </row>
    <row r="109" ht="12.0" customHeight="1">
      <c r="A109" s="2"/>
      <c r="B109" s="2"/>
      <c r="C109" s="2"/>
      <c r="D109" s="3"/>
      <c r="E109" s="3"/>
      <c r="F109" s="3"/>
      <c r="G109" s="2"/>
      <c r="H109" s="4"/>
      <c r="I109" s="5"/>
      <c r="J109" s="5"/>
      <c r="K109" s="5"/>
      <c r="L109" s="4"/>
      <c r="M109" s="4"/>
      <c r="N109" s="4"/>
      <c r="O109" s="4"/>
      <c r="P109" s="4"/>
      <c r="Q109" s="5"/>
      <c r="R109" s="5"/>
      <c r="S109" s="5"/>
      <c r="T109" s="5"/>
      <c r="U109" s="6"/>
      <c r="V109" s="5"/>
      <c r="W109" s="7"/>
      <c r="X109" s="8"/>
      <c r="Y109" s="8"/>
      <c r="Z109" s="2"/>
      <c r="AA109" s="2"/>
      <c r="AB109" s="2"/>
      <c r="AC109" s="2"/>
      <c r="AD109" s="2"/>
    </row>
    <row r="110" ht="12.0" customHeight="1">
      <c r="A110" s="2"/>
      <c r="B110" s="2"/>
      <c r="C110" s="2"/>
      <c r="D110" s="3"/>
      <c r="E110" s="3"/>
      <c r="F110" s="3"/>
      <c r="G110" s="2"/>
      <c r="H110" s="4"/>
      <c r="I110" s="5"/>
      <c r="J110" s="5"/>
      <c r="K110" s="5"/>
      <c r="L110" s="4"/>
      <c r="M110" s="4"/>
      <c r="N110" s="4"/>
      <c r="O110" s="4"/>
      <c r="P110" s="4"/>
      <c r="Q110" s="5"/>
      <c r="R110" s="5"/>
      <c r="S110" s="5"/>
      <c r="T110" s="5"/>
      <c r="U110" s="6"/>
      <c r="V110" s="5"/>
      <c r="W110" s="7"/>
      <c r="X110" s="8"/>
      <c r="Y110" s="8"/>
      <c r="Z110" s="2"/>
      <c r="AA110" s="2"/>
      <c r="AB110" s="2"/>
      <c r="AC110" s="2"/>
      <c r="AD110" s="2"/>
    </row>
    <row r="111" ht="12.0" customHeight="1">
      <c r="A111" s="2"/>
      <c r="B111" s="2"/>
      <c r="C111" s="2"/>
      <c r="D111" s="3"/>
      <c r="E111" s="3"/>
      <c r="F111" s="3"/>
      <c r="G111" s="2"/>
      <c r="H111" s="4"/>
      <c r="I111" s="5"/>
      <c r="J111" s="5"/>
      <c r="K111" s="5"/>
      <c r="L111" s="4"/>
      <c r="M111" s="4"/>
      <c r="N111" s="4"/>
      <c r="O111" s="4"/>
      <c r="P111" s="4"/>
      <c r="Q111" s="5"/>
      <c r="R111" s="5"/>
      <c r="S111" s="5"/>
      <c r="T111" s="5"/>
      <c r="U111" s="6"/>
      <c r="V111" s="5"/>
      <c r="W111" s="7"/>
      <c r="X111" s="8"/>
      <c r="Y111" s="8"/>
      <c r="Z111" s="2"/>
      <c r="AA111" s="2"/>
      <c r="AB111" s="2"/>
      <c r="AC111" s="2"/>
      <c r="AD111" s="2"/>
    </row>
    <row r="112" ht="12.0" customHeight="1">
      <c r="A112" s="2"/>
      <c r="B112" s="2"/>
      <c r="C112" s="2"/>
      <c r="D112" s="3"/>
      <c r="E112" s="3"/>
      <c r="F112" s="3"/>
      <c r="G112" s="2"/>
      <c r="H112" s="4"/>
      <c r="I112" s="5"/>
      <c r="J112" s="5"/>
      <c r="K112" s="5"/>
      <c r="L112" s="4"/>
      <c r="M112" s="4"/>
      <c r="N112" s="4"/>
      <c r="O112" s="4"/>
      <c r="P112" s="4"/>
      <c r="Q112" s="5"/>
      <c r="R112" s="5"/>
      <c r="S112" s="5"/>
      <c r="T112" s="5"/>
      <c r="U112" s="6"/>
      <c r="V112" s="5"/>
      <c r="W112" s="7"/>
      <c r="X112" s="8"/>
      <c r="Y112" s="8"/>
      <c r="Z112" s="2"/>
      <c r="AA112" s="2"/>
      <c r="AB112" s="2"/>
      <c r="AC112" s="2"/>
      <c r="AD112" s="2"/>
    </row>
    <row r="113" ht="12.0" customHeight="1">
      <c r="A113" s="2"/>
      <c r="B113" s="2"/>
      <c r="C113" s="2"/>
      <c r="D113" s="3"/>
      <c r="E113" s="3"/>
      <c r="F113" s="3"/>
      <c r="G113" s="2"/>
      <c r="H113" s="4"/>
      <c r="I113" s="5"/>
      <c r="J113" s="5"/>
      <c r="K113" s="5"/>
      <c r="L113" s="4"/>
      <c r="M113" s="4"/>
      <c r="N113" s="4"/>
      <c r="O113" s="4"/>
      <c r="P113" s="4"/>
      <c r="Q113" s="5"/>
      <c r="R113" s="5"/>
      <c r="S113" s="5"/>
      <c r="T113" s="5"/>
      <c r="U113" s="6"/>
      <c r="V113" s="5"/>
      <c r="W113" s="7"/>
      <c r="X113" s="8"/>
      <c r="Y113" s="8"/>
      <c r="Z113" s="2"/>
      <c r="AA113" s="2"/>
      <c r="AB113" s="2"/>
      <c r="AC113" s="2"/>
      <c r="AD113" s="2"/>
    </row>
    <row r="114" ht="12.0" customHeight="1">
      <c r="A114" s="2"/>
      <c r="B114" s="2"/>
      <c r="C114" s="2"/>
      <c r="D114" s="3"/>
      <c r="E114" s="3"/>
      <c r="F114" s="3"/>
      <c r="G114" s="2"/>
      <c r="H114" s="4"/>
      <c r="I114" s="5"/>
      <c r="J114" s="5"/>
      <c r="K114" s="5"/>
      <c r="L114" s="4"/>
      <c r="M114" s="4"/>
      <c r="N114" s="4"/>
      <c r="O114" s="4"/>
      <c r="P114" s="4"/>
      <c r="Q114" s="5"/>
      <c r="R114" s="5"/>
      <c r="S114" s="5"/>
      <c r="T114" s="5"/>
      <c r="U114" s="6"/>
      <c r="V114" s="5"/>
      <c r="W114" s="7"/>
      <c r="X114" s="8"/>
      <c r="Y114" s="8"/>
      <c r="Z114" s="2"/>
      <c r="AA114" s="2"/>
      <c r="AB114" s="2"/>
      <c r="AC114" s="2"/>
      <c r="AD114" s="2"/>
    </row>
    <row r="115" ht="12.0" customHeight="1">
      <c r="A115" s="2"/>
      <c r="B115" s="2"/>
      <c r="C115" s="2"/>
      <c r="D115" s="3"/>
      <c r="E115" s="3"/>
      <c r="F115" s="3"/>
      <c r="G115" s="2"/>
      <c r="H115" s="4"/>
      <c r="I115" s="5"/>
      <c r="J115" s="5"/>
      <c r="K115" s="5"/>
      <c r="L115" s="4"/>
      <c r="M115" s="4"/>
      <c r="N115" s="4"/>
      <c r="O115" s="4"/>
      <c r="P115" s="4"/>
      <c r="Q115" s="5"/>
      <c r="R115" s="5"/>
      <c r="S115" s="5"/>
      <c r="T115" s="5"/>
      <c r="U115" s="6"/>
      <c r="V115" s="5"/>
      <c r="W115" s="7"/>
      <c r="X115" s="8"/>
      <c r="Y115" s="8"/>
      <c r="Z115" s="2"/>
      <c r="AA115" s="2"/>
      <c r="AB115" s="2"/>
      <c r="AC115" s="2"/>
      <c r="AD115" s="2"/>
    </row>
    <row r="116" ht="12.0" customHeight="1">
      <c r="A116" s="2"/>
      <c r="B116" s="2"/>
      <c r="C116" s="2"/>
      <c r="D116" s="3"/>
      <c r="E116" s="3"/>
      <c r="F116" s="3"/>
      <c r="G116" s="2"/>
      <c r="H116" s="4"/>
      <c r="I116" s="5"/>
      <c r="J116" s="5"/>
      <c r="K116" s="5"/>
      <c r="L116" s="4"/>
      <c r="M116" s="4"/>
      <c r="N116" s="4"/>
      <c r="O116" s="4"/>
      <c r="P116" s="4"/>
      <c r="Q116" s="5"/>
      <c r="R116" s="5"/>
      <c r="S116" s="5"/>
      <c r="T116" s="5"/>
      <c r="U116" s="6"/>
      <c r="V116" s="5"/>
      <c r="W116" s="7"/>
      <c r="X116" s="8"/>
      <c r="Y116" s="8"/>
      <c r="Z116" s="2"/>
      <c r="AA116" s="2"/>
      <c r="AB116" s="2"/>
      <c r="AC116" s="2"/>
      <c r="AD116" s="2"/>
    </row>
    <row r="117" ht="12.0" customHeight="1">
      <c r="A117" s="2"/>
      <c r="B117" s="2"/>
      <c r="C117" s="2"/>
      <c r="D117" s="3"/>
      <c r="E117" s="3"/>
      <c r="F117" s="3"/>
      <c r="G117" s="2"/>
      <c r="H117" s="4"/>
      <c r="I117" s="5"/>
      <c r="J117" s="5"/>
      <c r="K117" s="5"/>
      <c r="L117" s="4"/>
      <c r="M117" s="4"/>
      <c r="N117" s="4"/>
      <c r="O117" s="4"/>
      <c r="P117" s="4"/>
      <c r="Q117" s="5"/>
      <c r="R117" s="5"/>
      <c r="S117" s="5"/>
      <c r="T117" s="5"/>
      <c r="U117" s="6"/>
      <c r="V117" s="5"/>
      <c r="W117" s="7"/>
      <c r="X117" s="8"/>
      <c r="Y117" s="8"/>
      <c r="Z117" s="2"/>
      <c r="AA117" s="2"/>
      <c r="AB117" s="2"/>
      <c r="AC117" s="2"/>
      <c r="AD117" s="2"/>
    </row>
    <row r="118" ht="12.0" customHeight="1">
      <c r="A118" s="2"/>
      <c r="B118" s="2"/>
      <c r="C118" s="2"/>
      <c r="D118" s="3"/>
      <c r="E118" s="3"/>
      <c r="F118" s="3"/>
      <c r="G118" s="2"/>
      <c r="H118" s="4"/>
      <c r="I118" s="5"/>
      <c r="J118" s="5"/>
      <c r="K118" s="5"/>
      <c r="L118" s="4"/>
      <c r="M118" s="4"/>
      <c r="N118" s="4"/>
      <c r="O118" s="4"/>
      <c r="P118" s="4"/>
      <c r="Q118" s="5"/>
      <c r="R118" s="5"/>
      <c r="S118" s="5"/>
      <c r="T118" s="5"/>
      <c r="U118" s="6"/>
      <c r="V118" s="5"/>
      <c r="W118" s="7"/>
      <c r="X118" s="8"/>
      <c r="Y118" s="8"/>
      <c r="Z118" s="2"/>
      <c r="AA118" s="2"/>
      <c r="AB118" s="2"/>
      <c r="AC118" s="2"/>
      <c r="AD118" s="2"/>
    </row>
    <row r="119" ht="12.0" customHeight="1">
      <c r="A119" s="2"/>
      <c r="B119" s="2"/>
      <c r="C119" s="2"/>
      <c r="D119" s="3"/>
      <c r="E119" s="3"/>
      <c r="F119" s="3"/>
      <c r="G119" s="2"/>
      <c r="H119" s="4"/>
      <c r="I119" s="5"/>
      <c r="J119" s="5"/>
      <c r="K119" s="5"/>
      <c r="L119" s="4"/>
      <c r="M119" s="4"/>
      <c r="N119" s="4"/>
      <c r="O119" s="4"/>
      <c r="P119" s="4"/>
      <c r="Q119" s="5"/>
      <c r="R119" s="5"/>
      <c r="S119" s="5"/>
      <c r="T119" s="5"/>
      <c r="U119" s="6"/>
      <c r="V119" s="5"/>
      <c r="W119" s="7"/>
      <c r="X119" s="8"/>
      <c r="Y119" s="8"/>
      <c r="Z119" s="2"/>
      <c r="AA119" s="2"/>
      <c r="AB119" s="2"/>
      <c r="AC119" s="2"/>
      <c r="AD119" s="2"/>
    </row>
    <row r="120" ht="12.0" customHeight="1">
      <c r="A120" s="2"/>
      <c r="B120" s="2"/>
      <c r="C120" s="2"/>
      <c r="D120" s="3"/>
      <c r="E120" s="3"/>
      <c r="F120" s="3"/>
      <c r="G120" s="2"/>
      <c r="H120" s="4"/>
      <c r="I120" s="5"/>
      <c r="J120" s="5"/>
      <c r="K120" s="5"/>
      <c r="L120" s="4"/>
      <c r="M120" s="4"/>
      <c r="N120" s="4"/>
      <c r="O120" s="4"/>
      <c r="P120" s="4"/>
      <c r="Q120" s="5"/>
      <c r="R120" s="5"/>
      <c r="S120" s="5"/>
      <c r="T120" s="5"/>
      <c r="U120" s="6"/>
      <c r="V120" s="5"/>
      <c r="W120" s="7"/>
      <c r="X120" s="8"/>
      <c r="Y120" s="8"/>
      <c r="Z120" s="2"/>
      <c r="AA120" s="2"/>
      <c r="AB120" s="2"/>
      <c r="AC120" s="2"/>
      <c r="AD120" s="2"/>
    </row>
    <row r="121" ht="12.0" customHeight="1">
      <c r="A121" s="2"/>
      <c r="B121" s="2"/>
      <c r="C121" s="2"/>
      <c r="D121" s="3"/>
      <c r="E121" s="3"/>
      <c r="F121" s="3"/>
      <c r="G121" s="2"/>
      <c r="H121" s="4"/>
      <c r="I121" s="5"/>
      <c r="J121" s="5"/>
      <c r="K121" s="5"/>
      <c r="L121" s="4"/>
      <c r="M121" s="4"/>
      <c r="N121" s="4"/>
      <c r="O121" s="4"/>
      <c r="P121" s="4"/>
      <c r="Q121" s="5"/>
      <c r="R121" s="5"/>
      <c r="S121" s="5"/>
      <c r="T121" s="5"/>
      <c r="U121" s="6"/>
      <c r="V121" s="5"/>
      <c r="W121" s="7"/>
      <c r="X121" s="8"/>
      <c r="Y121" s="8"/>
      <c r="Z121" s="2"/>
      <c r="AA121" s="2"/>
      <c r="AB121" s="2"/>
      <c r="AC121" s="2"/>
      <c r="AD121" s="2"/>
    </row>
    <row r="122" ht="12.0" customHeight="1">
      <c r="A122" s="2"/>
      <c r="B122" s="2"/>
      <c r="C122" s="2"/>
      <c r="D122" s="3"/>
      <c r="E122" s="3"/>
      <c r="F122" s="3"/>
      <c r="G122" s="2"/>
      <c r="H122" s="4"/>
      <c r="I122" s="5"/>
      <c r="J122" s="5"/>
      <c r="K122" s="5"/>
      <c r="L122" s="4"/>
      <c r="M122" s="4"/>
      <c r="N122" s="4"/>
      <c r="O122" s="4"/>
      <c r="P122" s="4"/>
      <c r="Q122" s="5"/>
      <c r="R122" s="5"/>
      <c r="S122" s="5"/>
      <c r="T122" s="5"/>
      <c r="U122" s="6"/>
      <c r="V122" s="5"/>
      <c r="W122" s="7"/>
      <c r="X122" s="8"/>
      <c r="Y122" s="8"/>
      <c r="Z122" s="2"/>
      <c r="AA122" s="2"/>
      <c r="AB122" s="2"/>
      <c r="AC122" s="2"/>
      <c r="AD122" s="2"/>
    </row>
    <row r="123" ht="12.0" customHeight="1">
      <c r="A123" s="2"/>
      <c r="B123" s="2"/>
      <c r="C123" s="2"/>
      <c r="D123" s="3"/>
      <c r="E123" s="3"/>
      <c r="F123" s="3"/>
      <c r="G123" s="2"/>
      <c r="H123" s="4"/>
      <c r="I123" s="5"/>
      <c r="J123" s="5"/>
      <c r="K123" s="5"/>
      <c r="L123" s="4"/>
      <c r="M123" s="4"/>
      <c r="N123" s="4"/>
      <c r="O123" s="4"/>
      <c r="P123" s="4"/>
      <c r="Q123" s="5"/>
      <c r="R123" s="5"/>
      <c r="S123" s="5"/>
      <c r="T123" s="5"/>
      <c r="U123" s="6"/>
      <c r="V123" s="5"/>
      <c r="W123" s="7"/>
      <c r="X123" s="8"/>
      <c r="Y123" s="8"/>
      <c r="Z123" s="2"/>
      <c r="AA123" s="2"/>
      <c r="AB123" s="2"/>
      <c r="AC123" s="2"/>
      <c r="AD123" s="2"/>
    </row>
    <row r="124" ht="12.0" customHeight="1">
      <c r="A124" s="2"/>
      <c r="B124" s="2"/>
      <c r="C124" s="2"/>
      <c r="D124" s="3"/>
      <c r="E124" s="3"/>
      <c r="F124" s="3"/>
      <c r="G124" s="2"/>
      <c r="H124" s="4"/>
      <c r="I124" s="5"/>
      <c r="J124" s="5"/>
      <c r="K124" s="5"/>
      <c r="L124" s="4"/>
      <c r="M124" s="4"/>
      <c r="N124" s="4"/>
      <c r="O124" s="4"/>
      <c r="P124" s="4"/>
      <c r="Q124" s="5"/>
      <c r="R124" s="5"/>
      <c r="S124" s="5"/>
      <c r="T124" s="5"/>
      <c r="U124" s="6"/>
      <c r="V124" s="5"/>
      <c r="W124" s="7"/>
      <c r="X124" s="8"/>
      <c r="Y124" s="8"/>
      <c r="Z124" s="2"/>
      <c r="AA124" s="2"/>
      <c r="AB124" s="2"/>
      <c r="AC124" s="2"/>
      <c r="AD124" s="2"/>
    </row>
    <row r="125" ht="12.0" customHeight="1">
      <c r="A125" s="2"/>
      <c r="B125" s="2"/>
      <c r="C125" s="2"/>
      <c r="D125" s="3"/>
      <c r="E125" s="3"/>
      <c r="F125" s="3"/>
      <c r="G125" s="2"/>
      <c r="H125" s="4"/>
      <c r="I125" s="5"/>
      <c r="J125" s="5"/>
      <c r="K125" s="5"/>
      <c r="L125" s="4"/>
      <c r="M125" s="4"/>
      <c r="N125" s="4"/>
      <c r="O125" s="4"/>
      <c r="P125" s="4"/>
      <c r="Q125" s="5"/>
      <c r="R125" s="5"/>
      <c r="S125" s="5"/>
      <c r="T125" s="5"/>
      <c r="U125" s="6"/>
      <c r="V125" s="5"/>
      <c r="W125" s="7"/>
      <c r="X125" s="8"/>
      <c r="Y125" s="8"/>
      <c r="Z125" s="2"/>
      <c r="AA125" s="2"/>
      <c r="AB125" s="2"/>
      <c r="AC125" s="2"/>
      <c r="AD125" s="2"/>
    </row>
    <row r="126" ht="12.0" customHeight="1">
      <c r="A126" s="2"/>
      <c r="B126" s="2"/>
      <c r="C126" s="2"/>
      <c r="D126" s="3"/>
      <c r="E126" s="3"/>
      <c r="F126" s="3"/>
      <c r="G126" s="2"/>
      <c r="H126" s="4"/>
      <c r="I126" s="5"/>
      <c r="J126" s="5"/>
      <c r="K126" s="5"/>
      <c r="L126" s="4"/>
      <c r="M126" s="4"/>
      <c r="N126" s="4"/>
      <c r="O126" s="4"/>
      <c r="P126" s="4"/>
      <c r="Q126" s="5"/>
      <c r="R126" s="5"/>
      <c r="S126" s="5"/>
      <c r="T126" s="5"/>
      <c r="U126" s="6"/>
      <c r="V126" s="5"/>
      <c r="W126" s="7"/>
      <c r="X126" s="8"/>
      <c r="Y126" s="8"/>
      <c r="Z126" s="2"/>
      <c r="AA126" s="2"/>
      <c r="AB126" s="2"/>
      <c r="AC126" s="2"/>
      <c r="AD126" s="2"/>
    </row>
    <row r="127" ht="12.0" customHeight="1">
      <c r="A127" s="2"/>
      <c r="B127" s="2"/>
      <c r="C127" s="2"/>
      <c r="D127" s="3"/>
      <c r="E127" s="3"/>
      <c r="F127" s="3"/>
      <c r="G127" s="2"/>
      <c r="H127" s="4"/>
      <c r="I127" s="5"/>
      <c r="J127" s="5"/>
      <c r="K127" s="5"/>
      <c r="L127" s="4"/>
      <c r="M127" s="4"/>
      <c r="N127" s="4"/>
      <c r="O127" s="4"/>
      <c r="P127" s="4"/>
      <c r="Q127" s="5"/>
      <c r="R127" s="5"/>
      <c r="S127" s="5"/>
      <c r="T127" s="5"/>
      <c r="U127" s="6"/>
      <c r="V127" s="5"/>
      <c r="W127" s="7"/>
      <c r="X127" s="8"/>
      <c r="Y127" s="8"/>
      <c r="Z127" s="2"/>
      <c r="AA127" s="2"/>
      <c r="AB127" s="2"/>
      <c r="AC127" s="2"/>
      <c r="AD127" s="2"/>
    </row>
    <row r="128" ht="12.0" customHeight="1">
      <c r="A128" s="2"/>
      <c r="B128" s="2"/>
      <c r="C128" s="2"/>
      <c r="D128" s="3"/>
      <c r="E128" s="3"/>
      <c r="F128" s="3"/>
      <c r="G128" s="2"/>
      <c r="H128" s="4"/>
      <c r="I128" s="5"/>
      <c r="J128" s="5"/>
      <c r="K128" s="5"/>
      <c r="L128" s="4"/>
      <c r="M128" s="4"/>
      <c r="N128" s="4"/>
      <c r="O128" s="4"/>
      <c r="P128" s="4"/>
      <c r="Q128" s="5"/>
      <c r="R128" s="5"/>
      <c r="S128" s="5"/>
      <c r="T128" s="5"/>
      <c r="U128" s="6"/>
      <c r="V128" s="5"/>
      <c r="W128" s="7"/>
      <c r="X128" s="8"/>
      <c r="Y128" s="8"/>
      <c r="Z128" s="2"/>
      <c r="AA128" s="2"/>
      <c r="AB128" s="2"/>
      <c r="AC128" s="2"/>
      <c r="AD128" s="2"/>
    </row>
    <row r="129" ht="12.0" customHeight="1">
      <c r="A129" s="2"/>
      <c r="B129" s="2"/>
      <c r="C129" s="2"/>
      <c r="D129" s="3"/>
      <c r="E129" s="3"/>
      <c r="F129" s="3"/>
      <c r="G129" s="2"/>
      <c r="H129" s="4"/>
      <c r="I129" s="5"/>
      <c r="J129" s="5"/>
      <c r="K129" s="5"/>
      <c r="L129" s="4"/>
      <c r="M129" s="4"/>
      <c r="N129" s="4"/>
      <c r="O129" s="4"/>
      <c r="P129" s="4"/>
      <c r="Q129" s="5"/>
      <c r="R129" s="5"/>
      <c r="S129" s="5"/>
      <c r="T129" s="5"/>
      <c r="U129" s="6"/>
      <c r="V129" s="5"/>
      <c r="W129" s="7"/>
      <c r="X129" s="8"/>
      <c r="Y129" s="8"/>
      <c r="Z129" s="2"/>
      <c r="AA129" s="2"/>
      <c r="AB129" s="2"/>
      <c r="AC129" s="2"/>
      <c r="AD129" s="2"/>
    </row>
    <row r="130" ht="12.0" customHeight="1">
      <c r="A130" s="2"/>
      <c r="B130" s="2"/>
      <c r="C130" s="2"/>
      <c r="D130" s="3"/>
      <c r="E130" s="3"/>
      <c r="F130" s="3"/>
      <c r="G130" s="2"/>
      <c r="H130" s="4"/>
      <c r="I130" s="5"/>
      <c r="J130" s="5"/>
      <c r="K130" s="5"/>
      <c r="L130" s="4"/>
      <c r="M130" s="4"/>
      <c r="N130" s="4"/>
      <c r="O130" s="4"/>
      <c r="P130" s="4"/>
      <c r="Q130" s="5"/>
      <c r="R130" s="5"/>
      <c r="S130" s="5"/>
      <c r="T130" s="5"/>
      <c r="U130" s="6"/>
      <c r="V130" s="5"/>
      <c r="W130" s="7"/>
      <c r="X130" s="8"/>
      <c r="Y130" s="8"/>
      <c r="Z130" s="2"/>
      <c r="AA130" s="2"/>
      <c r="AB130" s="2"/>
      <c r="AC130" s="2"/>
      <c r="AD130" s="2"/>
    </row>
    <row r="131" ht="12.0" customHeight="1">
      <c r="A131" s="2"/>
      <c r="B131" s="2"/>
      <c r="C131" s="2"/>
      <c r="D131" s="3"/>
      <c r="E131" s="3"/>
      <c r="F131" s="3"/>
      <c r="G131" s="2"/>
      <c r="H131" s="4"/>
      <c r="I131" s="5"/>
      <c r="J131" s="5"/>
      <c r="K131" s="5"/>
      <c r="L131" s="4"/>
      <c r="M131" s="4"/>
      <c r="N131" s="4"/>
      <c r="O131" s="4"/>
      <c r="P131" s="4"/>
      <c r="Q131" s="5"/>
      <c r="R131" s="5"/>
      <c r="S131" s="5"/>
      <c r="T131" s="5"/>
      <c r="U131" s="6"/>
      <c r="V131" s="5"/>
      <c r="W131" s="7"/>
      <c r="X131" s="8"/>
      <c r="Y131" s="8"/>
      <c r="Z131" s="2"/>
      <c r="AA131" s="2"/>
      <c r="AB131" s="2"/>
      <c r="AC131" s="2"/>
      <c r="AD131" s="2"/>
    </row>
    <row r="132" ht="12.0" customHeight="1">
      <c r="A132" s="2"/>
      <c r="B132" s="2"/>
      <c r="C132" s="2"/>
      <c r="D132" s="3"/>
      <c r="E132" s="3"/>
      <c r="F132" s="3"/>
      <c r="G132" s="2"/>
      <c r="H132" s="4"/>
      <c r="I132" s="5"/>
      <c r="J132" s="5"/>
      <c r="K132" s="5"/>
      <c r="L132" s="4"/>
      <c r="M132" s="4"/>
      <c r="N132" s="4"/>
      <c r="O132" s="4"/>
      <c r="P132" s="4"/>
      <c r="Q132" s="5"/>
      <c r="R132" s="5"/>
      <c r="S132" s="5"/>
      <c r="T132" s="5"/>
      <c r="U132" s="6"/>
      <c r="V132" s="5"/>
      <c r="W132" s="7"/>
      <c r="X132" s="8"/>
      <c r="Y132" s="8"/>
      <c r="Z132" s="2"/>
      <c r="AA132" s="2"/>
      <c r="AB132" s="2"/>
      <c r="AC132" s="2"/>
      <c r="AD132" s="2"/>
    </row>
    <row r="133" ht="12.0" customHeight="1">
      <c r="A133" s="2"/>
      <c r="B133" s="2"/>
      <c r="C133" s="2"/>
      <c r="D133" s="3"/>
      <c r="E133" s="3"/>
      <c r="F133" s="3"/>
      <c r="G133" s="2"/>
      <c r="H133" s="4"/>
      <c r="I133" s="5"/>
      <c r="J133" s="5"/>
      <c r="K133" s="5"/>
      <c r="L133" s="4"/>
      <c r="M133" s="4"/>
      <c r="N133" s="4"/>
      <c r="O133" s="4"/>
      <c r="P133" s="4"/>
      <c r="Q133" s="5"/>
      <c r="R133" s="5"/>
      <c r="S133" s="5"/>
      <c r="T133" s="5"/>
      <c r="U133" s="6"/>
      <c r="V133" s="5"/>
      <c r="W133" s="7"/>
      <c r="X133" s="8"/>
      <c r="Y133" s="8"/>
      <c r="Z133" s="2"/>
      <c r="AA133" s="2"/>
      <c r="AB133" s="2"/>
      <c r="AC133" s="2"/>
      <c r="AD133" s="2"/>
    </row>
    <row r="134" ht="12.0" customHeight="1">
      <c r="A134" s="2"/>
      <c r="B134" s="2"/>
      <c r="C134" s="2"/>
      <c r="D134" s="3"/>
      <c r="E134" s="3"/>
      <c r="F134" s="3"/>
      <c r="G134" s="2"/>
      <c r="H134" s="4"/>
      <c r="I134" s="5"/>
      <c r="J134" s="5"/>
      <c r="K134" s="5"/>
      <c r="L134" s="4"/>
      <c r="M134" s="4"/>
      <c r="N134" s="4"/>
      <c r="O134" s="4"/>
      <c r="P134" s="4"/>
      <c r="Q134" s="5"/>
      <c r="R134" s="5"/>
      <c r="S134" s="5"/>
      <c r="T134" s="5"/>
      <c r="U134" s="6"/>
      <c r="V134" s="5"/>
      <c r="W134" s="7"/>
      <c r="X134" s="8"/>
      <c r="Y134" s="8"/>
      <c r="Z134" s="2"/>
      <c r="AA134" s="2"/>
      <c r="AB134" s="2"/>
      <c r="AC134" s="2"/>
      <c r="AD134" s="2"/>
    </row>
    <row r="135" ht="12.0" customHeight="1">
      <c r="A135" s="2"/>
      <c r="B135" s="2"/>
      <c r="C135" s="2"/>
      <c r="D135" s="3"/>
      <c r="E135" s="3"/>
      <c r="F135" s="3"/>
      <c r="G135" s="2"/>
      <c r="H135" s="4"/>
      <c r="I135" s="5"/>
      <c r="J135" s="5"/>
      <c r="K135" s="5"/>
      <c r="L135" s="4"/>
      <c r="M135" s="4"/>
      <c r="N135" s="4"/>
      <c r="O135" s="4"/>
      <c r="P135" s="4"/>
      <c r="Q135" s="5"/>
      <c r="R135" s="5"/>
      <c r="S135" s="5"/>
      <c r="T135" s="5"/>
      <c r="U135" s="6"/>
      <c r="V135" s="5"/>
      <c r="W135" s="7"/>
      <c r="X135" s="8"/>
      <c r="Y135" s="8"/>
      <c r="Z135" s="2"/>
      <c r="AA135" s="2"/>
      <c r="AB135" s="2"/>
      <c r="AC135" s="2"/>
      <c r="AD135" s="2"/>
    </row>
    <row r="136" ht="12.0" customHeight="1">
      <c r="A136" s="2"/>
      <c r="B136" s="2"/>
      <c r="C136" s="2"/>
      <c r="D136" s="3"/>
      <c r="E136" s="3"/>
      <c r="F136" s="3"/>
      <c r="G136" s="2"/>
      <c r="H136" s="4"/>
      <c r="I136" s="5"/>
      <c r="J136" s="5"/>
      <c r="K136" s="5"/>
      <c r="L136" s="4"/>
      <c r="M136" s="4"/>
      <c r="N136" s="4"/>
      <c r="O136" s="4"/>
      <c r="P136" s="4"/>
      <c r="Q136" s="5"/>
      <c r="R136" s="5"/>
      <c r="S136" s="5"/>
      <c r="T136" s="5"/>
      <c r="U136" s="6"/>
      <c r="V136" s="5"/>
      <c r="W136" s="7"/>
      <c r="X136" s="8"/>
      <c r="Y136" s="8"/>
      <c r="Z136" s="2"/>
      <c r="AA136" s="2"/>
      <c r="AB136" s="2"/>
      <c r="AC136" s="2"/>
      <c r="AD136" s="2"/>
    </row>
    <row r="137" ht="12.0" customHeight="1">
      <c r="A137" s="2"/>
      <c r="B137" s="2"/>
      <c r="C137" s="2"/>
      <c r="D137" s="3"/>
      <c r="E137" s="3"/>
      <c r="F137" s="3"/>
      <c r="G137" s="2"/>
      <c r="H137" s="4"/>
      <c r="I137" s="5"/>
      <c r="J137" s="5"/>
      <c r="K137" s="5"/>
      <c r="L137" s="4"/>
      <c r="M137" s="4"/>
      <c r="N137" s="4"/>
      <c r="O137" s="4"/>
      <c r="P137" s="4"/>
      <c r="Q137" s="5"/>
      <c r="R137" s="5"/>
      <c r="S137" s="5"/>
      <c r="T137" s="5"/>
      <c r="U137" s="6"/>
      <c r="V137" s="5"/>
      <c r="W137" s="7"/>
      <c r="X137" s="8"/>
      <c r="Y137" s="8"/>
      <c r="Z137" s="2"/>
      <c r="AA137" s="2"/>
      <c r="AB137" s="2"/>
      <c r="AC137" s="2"/>
      <c r="AD137" s="2"/>
    </row>
    <row r="138" ht="12.0" customHeight="1">
      <c r="A138" s="2"/>
      <c r="B138" s="2"/>
      <c r="C138" s="2"/>
      <c r="D138" s="3"/>
      <c r="E138" s="3"/>
      <c r="F138" s="3"/>
      <c r="G138" s="2"/>
      <c r="H138" s="4"/>
      <c r="I138" s="5"/>
      <c r="J138" s="5"/>
      <c r="K138" s="5"/>
      <c r="L138" s="4"/>
      <c r="M138" s="4"/>
      <c r="N138" s="4"/>
      <c r="O138" s="4"/>
      <c r="P138" s="4"/>
      <c r="Q138" s="5"/>
      <c r="R138" s="5"/>
      <c r="S138" s="5"/>
      <c r="T138" s="5"/>
      <c r="U138" s="6"/>
      <c r="V138" s="5"/>
      <c r="W138" s="7"/>
      <c r="X138" s="8"/>
      <c r="Y138" s="8"/>
      <c r="Z138" s="2"/>
      <c r="AA138" s="2"/>
      <c r="AB138" s="2"/>
      <c r="AC138" s="2"/>
      <c r="AD138" s="2"/>
    </row>
    <row r="139" ht="12.0" customHeight="1">
      <c r="A139" s="2"/>
      <c r="B139" s="2"/>
      <c r="C139" s="2"/>
      <c r="D139" s="3"/>
      <c r="E139" s="3"/>
      <c r="F139" s="3"/>
      <c r="G139" s="2"/>
      <c r="H139" s="4"/>
      <c r="I139" s="5"/>
      <c r="J139" s="5"/>
      <c r="K139" s="5"/>
      <c r="L139" s="4"/>
      <c r="M139" s="4"/>
      <c r="N139" s="4"/>
      <c r="O139" s="4"/>
      <c r="P139" s="4"/>
      <c r="Q139" s="5"/>
      <c r="R139" s="5"/>
      <c r="S139" s="5"/>
      <c r="T139" s="5"/>
      <c r="U139" s="6"/>
      <c r="V139" s="5"/>
      <c r="W139" s="7"/>
      <c r="X139" s="8"/>
      <c r="Y139" s="8"/>
      <c r="Z139" s="2"/>
      <c r="AA139" s="2"/>
      <c r="AB139" s="2"/>
      <c r="AC139" s="2"/>
      <c r="AD139" s="2"/>
    </row>
    <row r="140" ht="12.0" customHeight="1">
      <c r="A140" s="2"/>
      <c r="B140" s="2"/>
      <c r="C140" s="2"/>
      <c r="D140" s="3"/>
      <c r="E140" s="3"/>
      <c r="F140" s="3"/>
      <c r="G140" s="2"/>
      <c r="H140" s="4"/>
      <c r="I140" s="5"/>
      <c r="J140" s="5"/>
      <c r="K140" s="5"/>
      <c r="L140" s="4"/>
      <c r="M140" s="4"/>
      <c r="N140" s="4"/>
      <c r="O140" s="4"/>
      <c r="P140" s="4"/>
      <c r="Q140" s="5"/>
      <c r="R140" s="5"/>
      <c r="S140" s="5"/>
      <c r="T140" s="5"/>
      <c r="U140" s="6"/>
      <c r="V140" s="5"/>
      <c r="W140" s="7"/>
      <c r="X140" s="8"/>
      <c r="Y140" s="8"/>
      <c r="Z140" s="2"/>
      <c r="AA140" s="2"/>
      <c r="AB140" s="2"/>
      <c r="AC140" s="2"/>
      <c r="AD140" s="2"/>
    </row>
    <row r="141" ht="12.0" customHeight="1">
      <c r="A141" s="2"/>
      <c r="B141" s="2"/>
      <c r="C141" s="2"/>
      <c r="D141" s="3"/>
      <c r="E141" s="3"/>
      <c r="F141" s="3"/>
      <c r="G141" s="2"/>
      <c r="H141" s="4"/>
      <c r="I141" s="5"/>
      <c r="J141" s="5"/>
      <c r="K141" s="5"/>
      <c r="L141" s="4"/>
      <c r="M141" s="4"/>
      <c r="N141" s="4"/>
      <c r="O141" s="4"/>
      <c r="P141" s="4"/>
      <c r="Q141" s="5"/>
      <c r="R141" s="5"/>
      <c r="S141" s="5"/>
      <c r="T141" s="5"/>
      <c r="U141" s="6"/>
      <c r="V141" s="5"/>
      <c r="W141" s="7"/>
      <c r="X141" s="8"/>
      <c r="Y141" s="8"/>
      <c r="Z141" s="2"/>
      <c r="AA141" s="2"/>
      <c r="AB141" s="2"/>
      <c r="AC141" s="2"/>
      <c r="AD141" s="2"/>
    </row>
    <row r="142" ht="12.0" customHeight="1">
      <c r="A142" s="2"/>
      <c r="B142" s="2"/>
      <c r="C142" s="2"/>
      <c r="D142" s="3"/>
      <c r="E142" s="3"/>
      <c r="F142" s="3"/>
      <c r="G142" s="2"/>
      <c r="H142" s="4"/>
      <c r="I142" s="5"/>
      <c r="J142" s="5"/>
      <c r="K142" s="5"/>
      <c r="L142" s="4"/>
      <c r="M142" s="4"/>
      <c r="N142" s="4"/>
      <c r="O142" s="4"/>
      <c r="P142" s="4"/>
      <c r="Q142" s="5"/>
      <c r="R142" s="5"/>
      <c r="S142" s="5"/>
      <c r="T142" s="5"/>
      <c r="U142" s="6"/>
      <c r="V142" s="5"/>
      <c r="W142" s="7"/>
      <c r="X142" s="8"/>
      <c r="Y142" s="8"/>
      <c r="Z142" s="2"/>
      <c r="AA142" s="2"/>
      <c r="AB142" s="2"/>
      <c r="AC142" s="2"/>
      <c r="AD142" s="2"/>
    </row>
    <row r="143" ht="12.0" customHeight="1">
      <c r="A143" s="2"/>
      <c r="B143" s="2"/>
      <c r="C143" s="2"/>
      <c r="D143" s="3"/>
      <c r="E143" s="3"/>
      <c r="F143" s="3"/>
      <c r="G143" s="2"/>
      <c r="H143" s="4"/>
      <c r="I143" s="5"/>
      <c r="J143" s="5"/>
      <c r="K143" s="5"/>
      <c r="L143" s="4"/>
      <c r="M143" s="4"/>
      <c r="N143" s="4"/>
      <c r="O143" s="4"/>
      <c r="P143" s="4"/>
      <c r="Q143" s="5"/>
      <c r="R143" s="5"/>
      <c r="S143" s="5"/>
      <c r="T143" s="5"/>
      <c r="U143" s="6"/>
      <c r="V143" s="5"/>
      <c r="W143" s="7"/>
      <c r="X143" s="8"/>
      <c r="Y143" s="8"/>
      <c r="Z143" s="2"/>
      <c r="AA143" s="2"/>
      <c r="AB143" s="2"/>
      <c r="AC143" s="2"/>
      <c r="AD143" s="2"/>
    </row>
    <row r="144" ht="12.0" customHeight="1">
      <c r="A144" s="2"/>
      <c r="B144" s="2"/>
      <c r="C144" s="2"/>
      <c r="D144" s="3"/>
      <c r="E144" s="3"/>
      <c r="F144" s="3"/>
      <c r="G144" s="2"/>
      <c r="H144" s="4"/>
      <c r="I144" s="5"/>
      <c r="J144" s="5"/>
      <c r="K144" s="5"/>
      <c r="L144" s="4"/>
      <c r="M144" s="4"/>
      <c r="N144" s="4"/>
      <c r="O144" s="4"/>
      <c r="P144" s="4"/>
      <c r="Q144" s="5"/>
      <c r="R144" s="5"/>
      <c r="S144" s="5"/>
      <c r="T144" s="5"/>
      <c r="U144" s="6"/>
      <c r="V144" s="5"/>
      <c r="W144" s="7"/>
      <c r="X144" s="8"/>
      <c r="Y144" s="8"/>
      <c r="Z144" s="2"/>
      <c r="AA144" s="2"/>
      <c r="AB144" s="2"/>
      <c r="AC144" s="2"/>
      <c r="AD144" s="2"/>
    </row>
    <row r="145" ht="12.0" customHeight="1">
      <c r="A145" s="2"/>
      <c r="B145" s="2"/>
      <c r="C145" s="2"/>
      <c r="D145" s="3"/>
      <c r="E145" s="3"/>
      <c r="F145" s="3"/>
      <c r="G145" s="2"/>
      <c r="H145" s="4"/>
      <c r="I145" s="5"/>
      <c r="J145" s="5"/>
      <c r="K145" s="5"/>
      <c r="L145" s="4"/>
      <c r="M145" s="4"/>
      <c r="N145" s="4"/>
      <c r="O145" s="4"/>
      <c r="P145" s="4"/>
      <c r="Q145" s="5"/>
      <c r="R145" s="5"/>
      <c r="S145" s="5"/>
      <c r="T145" s="5"/>
      <c r="U145" s="6"/>
      <c r="V145" s="5"/>
      <c r="W145" s="7"/>
      <c r="X145" s="8"/>
      <c r="Y145" s="8"/>
      <c r="Z145" s="2"/>
      <c r="AA145" s="2"/>
      <c r="AB145" s="2"/>
      <c r="AC145" s="2"/>
      <c r="AD145" s="2"/>
    </row>
    <row r="146" ht="12.0" customHeight="1">
      <c r="A146" s="2"/>
      <c r="B146" s="2"/>
      <c r="C146" s="2"/>
      <c r="D146" s="3"/>
      <c r="E146" s="3"/>
      <c r="F146" s="3"/>
      <c r="G146" s="2"/>
      <c r="H146" s="4"/>
      <c r="I146" s="5"/>
      <c r="J146" s="5"/>
      <c r="K146" s="5"/>
      <c r="L146" s="4"/>
      <c r="M146" s="4"/>
      <c r="N146" s="4"/>
      <c r="O146" s="4"/>
      <c r="P146" s="4"/>
      <c r="Q146" s="5"/>
      <c r="R146" s="5"/>
      <c r="S146" s="5"/>
      <c r="T146" s="5"/>
      <c r="U146" s="6"/>
      <c r="V146" s="5"/>
      <c r="W146" s="7"/>
      <c r="X146" s="8"/>
      <c r="Y146" s="8"/>
      <c r="Z146" s="2"/>
      <c r="AA146" s="2"/>
      <c r="AB146" s="2"/>
      <c r="AC146" s="2"/>
      <c r="AD146" s="2"/>
    </row>
    <row r="147" ht="12.0" customHeight="1">
      <c r="A147" s="2"/>
      <c r="B147" s="2"/>
      <c r="C147" s="2"/>
      <c r="D147" s="3"/>
      <c r="E147" s="3"/>
      <c r="F147" s="3"/>
      <c r="G147" s="2"/>
      <c r="H147" s="4"/>
      <c r="I147" s="5"/>
      <c r="J147" s="5"/>
      <c r="K147" s="5"/>
      <c r="L147" s="4"/>
      <c r="M147" s="4"/>
      <c r="N147" s="4"/>
      <c r="O147" s="4"/>
      <c r="P147" s="4"/>
      <c r="Q147" s="5"/>
      <c r="R147" s="5"/>
      <c r="S147" s="5"/>
      <c r="T147" s="5"/>
      <c r="U147" s="6"/>
      <c r="V147" s="5"/>
      <c r="W147" s="7"/>
      <c r="X147" s="8"/>
      <c r="Y147" s="8"/>
      <c r="Z147" s="2"/>
      <c r="AA147" s="2"/>
      <c r="AB147" s="2"/>
      <c r="AC147" s="2"/>
      <c r="AD147" s="2"/>
    </row>
    <row r="148" ht="12.0" customHeight="1">
      <c r="A148" s="2"/>
      <c r="B148" s="2"/>
      <c r="C148" s="2"/>
      <c r="D148" s="3"/>
      <c r="E148" s="3"/>
      <c r="F148" s="3"/>
      <c r="G148" s="2"/>
      <c r="H148" s="4"/>
      <c r="I148" s="5"/>
      <c r="J148" s="5"/>
      <c r="K148" s="5"/>
      <c r="L148" s="4"/>
      <c r="M148" s="4"/>
      <c r="N148" s="4"/>
      <c r="O148" s="4"/>
      <c r="P148" s="4"/>
      <c r="Q148" s="5"/>
      <c r="R148" s="5"/>
      <c r="S148" s="5"/>
      <c r="T148" s="5"/>
      <c r="U148" s="6"/>
      <c r="V148" s="5"/>
      <c r="W148" s="7"/>
      <c r="X148" s="8"/>
      <c r="Y148" s="8"/>
      <c r="Z148" s="2"/>
      <c r="AA148" s="2"/>
      <c r="AB148" s="2"/>
      <c r="AC148" s="2"/>
      <c r="AD148" s="2"/>
    </row>
    <row r="149" ht="12.0" customHeight="1">
      <c r="A149" s="2"/>
      <c r="B149" s="2"/>
      <c r="C149" s="2"/>
      <c r="D149" s="3"/>
      <c r="E149" s="3"/>
      <c r="F149" s="3"/>
      <c r="G149" s="2"/>
      <c r="H149" s="4"/>
      <c r="I149" s="5"/>
      <c r="J149" s="5"/>
      <c r="K149" s="5"/>
      <c r="L149" s="4"/>
      <c r="M149" s="4"/>
      <c r="N149" s="4"/>
      <c r="O149" s="4"/>
      <c r="P149" s="4"/>
      <c r="Q149" s="5"/>
      <c r="R149" s="5"/>
      <c r="S149" s="5"/>
      <c r="T149" s="5"/>
      <c r="U149" s="6"/>
      <c r="V149" s="5"/>
      <c r="W149" s="7"/>
      <c r="X149" s="8"/>
      <c r="Y149" s="8"/>
      <c r="Z149" s="2"/>
      <c r="AA149" s="2"/>
      <c r="AB149" s="2"/>
      <c r="AC149" s="2"/>
      <c r="AD149" s="2"/>
    </row>
    <row r="150" ht="12.0" customHeight="1">
      <c r="A150" s="2"/>
      <c r="B150" s="2"/>
      <c r="C150" s="2"/>
      <c r="D150" s="3"/>
      <c r="E150" s="3"/>
      <c r="F150" s="3"/>
      <c r="G150" s="2"/>
      <c r="H150" s="4"/>
      <c r="I150" s="5"/>
      <c r="J150" s="5"/>
      <c r="K150" s="5"/>
      <c r="L150" s="4"/>
      <c r="M150" s="4"/>
      <c r="N150" s="4"/>
      <c r="O150" s="4"/>
      <c r="P150" s="4"/>
      <c r="Q150" s="5"/>
      <c r="R150" s="5"/>
      <c r="S150" s="5"/>
      <c r="T150" s="5"/>
      <c r="U150" s="6"/>
      <c r="V150" s="5"/>
      <c r="W150" s="7"/>
      <c r="X150" s="8"/>
      <c r="Y150" s="8"/>
      <c r="Z150" s="2"/>
      <c r="AA150" s="2"/>
      <c r="AB150" s="2"/>
      <c r="AC150" s="2"/>
      <c r="AD150" s="2"/>
    </row>
    <row r="151" ht="12.0" customHeight="1">
      <c r="A151" s="2"/>
      <c r="B151" s="2"/>
      <c r="C151" s="2"/>
      <c r="D151" s="3"/>
      <c r="E151" s="3"/>
      <c r="F151" s="3"/>
      <c r="G151" s="2"/>
      <c r="H151" s="4"/>
      <c r="I151" s="5"/>
      <c r="J151" s="5"/>
      <c r="K151" s="5"/>
      <c r="L151" s="4"/>
      <c r="M151" s="4"/>
      <c r="N151" s="4"/>
      <c r="O151" s="4"/>
      <c r="P151" s="4"/>
      <c r="Q151" s="5"/>
      <c r="R151" s="5"/>
      <c r="S151" s="5"/>
      <c r="T151" s="5"/>
      <c r="U151" s="6"/>
      <c r="V151" s="5"/>
      <c r="W151" s="7"/>
      <c r="X151" s="8"/>
      <c r="Y151" s="8"/>
      <c r="Z151" s="2"/>
      <c r="AA151" s="2"/>
      <c r="AB151" s="2"/>
      <c r="AC151" s="2"/>
      <c r="AD151" s="2"/>
    </row>
    <row r="152" ht="12.0" customHeight="1">
      <c r="A152" s="2"/>
      <c r="B152" s="2"/>
      <c r="C152" s="2"/>
      <c r="D152" s="3"/>
      <c r="E152" s="3"/>
      <c r="F152" s="3"/>
      <c r="G152" s="2"/>
      <c r="H152" s="4"/>
      <c r="I152" s="5"/>
      <c r="J152" s="5"/>
      <c r="K152" s="5"/>
      <c r="L152" s="4"/>
      <c r="M152" s="4"/>
      <c r="N152" s="4"/>
      <c r="O152" s="4"/>
      <c r="P152" s="4"/>
      <c r="Q152" s="5"/>
      <c r="R152" s="5"/>
      <c r="S152" s="5"/>
      <c r="T152" s="5"/>
      <c r="U152" s="6"/>
      <c r="V152" s="5"/>
      <c r="W152" s="7"/>
      <c r="X152" s="8"/>
      <c r="Y152" s="8"/>
      <c r="Z152" s="2"/>
      <c r="AA152" s="2"/>
      <c r="AB152" s="2"/>
      <c r="AC152" s="2"/>
      <c r="AD152" s="2"/>
    </row>
    <row r="153" ht="12.0" customHeight="1">
      <c r="A153" s="2"/>
      <c r="B153" s="2"/>
      <c r="C153" s="2"/>
      <c r="D153" s="3"/>
      <c r="E153" s="3"/>
      <c r="F153" s="3"/>
      <c r="G153" s="2"/>
      <c r="H153" s="4"/>
      <c r="I153" s="5"/>
      <c r="J153" s="5"/>
      <c r="K153" s="5"/>
      <c r="L153" s="4"/>
      <c r="M153" s="4"/>
      <c r="N153" s="4"/>
      <c r="O153" s="4"/>
      <c r="P153" s="4"/>
      <c r="Q153" s="5"/>
      <c r="R153" s="5"/>
      <c r="S153" s="5"/>
      <c r="T153" s="5"/>
      <c r="U153" s="6"/>
      <c r="V153" s="5"/>
      <c r="W153" s="7"/>
      <c r="X153" s="8"/>
      <c r="Y153" s="8"/>
      <c r="Z153" s="2"/>
      <c r="AA153" s="2"/>
      <c r="AB153" s="2"/>
      <c r="AC153" s="2"/>
      <c r="AD153" s="2"/>
    </row>
    <row r="154" ht="12.0" customHeight="1">
      <c r="A154" s="2"/>
      <c r="B154" s="2"/>
      <c r="C154" s="2"/>
      <c r="D154" s="3"/>
      <c r="E154" s="3"/>
      <c r="F154" s="3"/>
      <c r="G154" s="2"/>
      <c r="H154" s="4"/>
      <c r="I154" s="5"/>
      <c r="J154" s="5"/>
      <c r="K154" s="5"/>
      <c r="L154" s="4"/>
      <c r="M154" s="4"/>
      <c r="N154" s="4"/>
      <c r="O154" s="4"/>
      <c r="P154" s="4"/>
      <c r="Q154" s="5"/>
      <c r="R154" s="5"/>
      <c r="S154" s="5"/>
      <c r="T154" s="5"/>
      <c r="U154" s="6"/>
      <c r="V154" s="5"/>
      <c r="W154" s="7"/>
      <c r="X154" s="8"/>
      <c r="Y154" s="8"/>
      <c r="Z154" s="2"/>
      <c r="AA154" s="2"/>
      <c r="AB154" s="2"/>
      <c r="AC154" s="2"/>
      <c r="AD154" s="2"/>
    </row>
    <row r="155" ht="12.0" customHeight="1">
      <c r="A155" s="2"/>
      <c r="B155" s="2"/>
      <c r="C155" s="2"/>
      <c r="D155" s="3"/>
      <c r="E155" s="3"/>
      <c r="F155" s="3"/>
      <c r="G155" s="2"/>
      <c r="H155" s="4"/>
      <c r="I155" s="5"/>
      <c r="J155" s="5"/>
      <c r="K155" s="5"/>
      <c r="L155" s="4"/>
      <c r="M155" s="4"/>
      <c r="N155" s="4"/>
      <c r="O155" s="4"/>
      <c r="P155" s="4"/>
      <c r="Q155" s="5"/>
      <c r="R155" s="5"/>
      <c r="S155" s="5"/>
      <c r="T155" s="5"/>
      <c r="U155" s="6"/>
      <c r="V155" s="5"/>
      <c r="W155" s="7"/>
      <c r="X155" s="8"/>
      <c r="Y155" s="8"/>
      <c r="Z155" s="2"/>
      <c r="AA155" s="2"/>
      <c r="AB155" s="2"/>
      <c r="AC155" s="2"/>
      <c r="AD155" s="2"/>
    </row>
    <row r="156" ht="12.0" customHeight="1">
      <c r="A156" s="2"/>
      <c r="B156" s="2"/>
      <c r="C156" s="2"/>
      <c r="D156" s="3"/>
      <c r="E156" s="3"/>
      <c r="F156" s="3"/>
      <c r="G156" s="2"/>
      <c r="H156" s="4"/>
      <c r="I156" s="5"/>
      <c r="J156" s="5"/>
      <c r="K156" s="5"/>
      <c r="L156" s="4"/>
      <c r="M156" s="4"/>
      <c r="N156" s="4"/>
      <c r="O156" s="4"/>
      <c r="P156" s="4"/>
      <c r="Q156" s="5"/>
      <c r="R156" s="5"/>
      <c r="S156" s="5"/>
      <c r="T156" s="5"/>
      <c r="U156" s="6"/>
      <c r="V156" s="5"/>
      <c r="W156" s="7"/>
      <c r="X156" s="8"/>
      <c r="Y156" s="8"/>
      <c r="Z156" s="2"/>
      <c r="AA156" s="2"/>
      <c r="AB156" s="2"/>
      <c r="AC156" s="2"/>
      <c r="AD156" s="2"/>
    </row>
    <row r="157" ht="12.0" customHeight="1">
      <c r="A157" s="2"/>
      <c r="B157" s="2"/>
      <c r="C157" s="2"/>
      <c r="D157" s="3"/>
      <c r="E157" s="3"/>
      <c r="F157" s="3"/>
      <c r="G157" s="2"/>
      <c r="H157" s="4"/>
      <c r="I157" s="5"/>
      <c r="J157" s="5"/>
      <c r="K157" s="5"/>
      <c r="L157" s="4"/>
      <c r="M157" s="4"/>
      <c r="N157" s="4"/>
      <c r="O157" s="4"/>
      <c r="P157" s="4"/>
      <c r="Q157" s="5"/>
      <c r="R157" s="5"/>
      <c r="S157" s="5"/>
      <c r="T157" s="5"/>
      <c r="U157" s="6"/>
      <c r="V157" s="5"/>
      <c r="W157" s="7"/>
      <c r="X157" s="8"/>
      <c r="Y157" s="8"/>
      <c r="Z157" s="2"/>
      <c r="AA157" s="2"/>
      <c r="AB157" s="2"/>
      <c r="AC157" s="2"/>
      <c r="AD157" s="2"/>
    </row>
    <row r="158" ht="12.0" customHeight="1">
      <c r="A158" s="2"/>
      <c r="B158" s="2"/>
      <c r="C158" s="2"/>
      <c r="D158" s="3"/>
      <c r="E158" s="3"/>
      <c r="F158" s="3"/>
      <c r="G158" s="2"/>
      <c r="H158" s="4"/>
      <c r="I158" s="5"/>
      <c r="J158" s="5"/>
      <c r="K158" s="5"/>
      <c r="L158" s="4"/>
      <c r="M158" s="4"/>
      <c r="N158" s="4"/>
      <c r="O158" s="4"/>
      <c r="P158" s="4"/>
      <c r="Q158" s="5"/>
      <c r="R158" s="5"/>
      <c r="S158" s="5"/>
      <c r="T158" s="5"/>
      <c r="U158" s="6"/>
      <c r="V158" s="5"/>
      <c r="W158" s="7"/>
      <c r="X158" s="8"/>
      <c r="Y158" s="8"/>
      <c r="Z158" s="2"/>
      <c r="AA158" s="2"/>
      <c r="AB158" s="2"/>
      <c r="AC158" s="2"/>
      <c r="AD158" s="2"/>
    </row>
    <row r="159" ht="12.0" customHeight="1">
      <c r="A159" s="2"/>
      <c r="B159" s="2"/>
      <c r="C159" s="2"/>
      <c r="D159" s="3"/>
      <c r="E159" s="3"/>
      <c r="F159" s="3"/>
      <c r="G159" s="2"/>
      <c r="H159" s="4"/>
      <c r="I159" s="5"/>
      <c r="J159" s="5"/>
      <c r="K159" s="5"/>
      <c r="L159" s="4"/>
      <c r="M159" s="4"/>
      <c r="N159" s="4"/>
      <c r="O159" s="4"/>
      <c r="P159" s="4"/>
      <c r="Q159" s="5"/>
      <c r="R159" s="5"/>
      <c r="S159" s="5"/>
      <c r="T159" s="5"/>
      <c r="U159" s="6"/>
      <c r="V159" s="5"/>
      <c r="W159" s="7"/>
      <c r="X159" s="8"/>
      <c r="Y159" s="8"/>
      <c r="Z159" s="2"/>
      <c r="AA159" s="2"/>
      <c r="AB159" s="2"/>
      <c r="AC159" s="2"/>
      <c r="AD159" s="2"/>
    </row>
    <row r="160" ht="12.0" customHeight="1">
      <c r="A160" s="2"/>
      <c r="B160" s="2"/>
      <c r="C160" s="2"/>
      <c r="D160" s="3"/>
      <c r="E160" s="3"/>
      <c r="F160" s="3"/>
      <c r="G160" s="2"/>
      <c r="H160" s="4"/>
      <c r="I160" s="5"/>
      <c r="J160" s="5"/>
      <c r="K160" s="5"/>
      <c r="L160" s="4"/>
      <c r="M160" s="4"/>
      <c r="N160" s="4"/>
      <c r="O160" s="4"/>
      <c r="P160" s="4"/>
      <c r="Q160" s="5"/>
      <c r="R160" s="5"/>
      <c r="S160" s="5"/>
      <c r="T160" s="5"/>
      <c r="U160" s="6"/>
      <c r="V160" s="5"/>
      <c r="W160" s="7"/>
      <c r="X160" s="8"/>
      <c r="Y160" s="8"/>
      <c r="Z160" s="2"/>
      <c r="AA160" s="2"/>
      <c r="AB160" s="2"/>
      <c r="AC160" s="2"/>
      <c r="AD160" s="2"/>
    </row>
    <row r="161" ht="12.0" customHeight="1">
      <c r="A161" s="2"/>
      <c r="B161" s="2"/>
      <c r="C161" s="2"/>
      <c r="D161" s="3"/>
      <c r="E161" s="3"/>
      <c r="F161" s="3"/>
      <c r="G161" s="2"/>
      <c r="H161" s="4"/>
      <c r="I161" s="5"/>
      <c r="J161" s="5"/>
      <c r="K161" s="5"/>
      <c r="L161" s="4"/>
      <c r="M161" s="4"/>
      <c r="N161" s="4"/>
      <c r="O161" s="4"/>
      <c r="P161" s="4"/>
      <c r="Q161" s="5"/>
      <c r="R161" s="5"/>
      <c r="S161" s="5"/>
      <c r="T161" s="5"/>
      <c r="U161" s="6"/>
      <c r="V161" s="5"/>
      <c r="W161" s="7"/>
      <c r="X161" s="8"/>
      <c r="Y161" s="8"/>
      <c r="Z161" s="2"/>
      <c r="AA161" s="2"/>
      <c r="AB161" s="2"/>
      <c r="AC161" s="2"/>
      <c r="AD161" s="2"/>
    </row>
    <row r="162" ht="12.0" customHeight="1">
      <c r="A162" s="2"/>
      <c r="B162" s="2"/>
      <c r="C162" s="2"/>
      <c r="D162" s="3"/>
      <c r="E162" s="3"/>
      <c r="F162" s="3"/>
      <c r="G162" s="2"/>
      <c r="H162" s="4"/>
      <c r="I162" s="5"/>
      <c r="J162" s="5"/>
      <c r="K162" s="5"/>
      <c r="L162" s="4"/>
      <c r="M162" s="4"/>
      <c r="N162" s="4"/>
      <c r="O162" s="4"/>
      <c r="P162" s="4"/>
      <c r="Q162" s="5"/>
      <c r="R162" s="5"/>
      <c r="S162" s="5"/>
      <c r="T162" s="5"/>
      <c r="U162" s="6"/>
      <c r="V162" s="5"/>
      <c r="W162" s="7"/>
      <c r="X162" s="8"/>
      <c r="Y162" s="8"/>
      <c r="Z162" s="2"/>
      <c r="AA162" s="2"/>
      <c r="AB162" s="2"/>
      <c r="AC162" s="2"/>
      <c r="AD162" s="2"/>
    </row>
    <row r="163" ht="12.0" customHeight="1">
      <c r="A163" s="2"/>
      <c r="B163" s="2"/>
      <c r="C163" s="2"/>
      <c r="D163" s="3"/>
      <c r="E163" s="3"/>
      <c r="F163" s="3"/>
      <c r="G163" s="2"/>
      <c r="H163" s="4"/>
      <c r="I163" s="5"/>
      <c r="J163" s="5"/>
      <c r="K163" s="5"/>
      <c r="L163" s="4"/>
      <c r="M163" s="4"/>
      <c r="N163" s="4"/>
      <c r="O163" s="4"/>
      <c r="P163" s="4"/>
      <c r="Q163" s="5"/>
      <c r="R163" s="5"/>
      <c r="S163" s="5"/>
      <c r="T163" s="5"/>
      <c r="U163" s="6"/>
      <c r="V163" s="5"/>
      <c r="W163" s="7"/>
      <c r="X163" s="8"/>
      <c r="Y163" s="8"/>
      <c r="Z163" s="2"/>
      <c r="AA163" s="2"/>
      <c r="AB163" s="2"/>
      <c r="AC163" s="2"/>
      <c r="AD163" s="2"/>
    </row>
    <row r="164" ht="12.0" customHeight="1">
      <c r="A164" s="2"/>
      <c r="B164" s="2"/>
      <c r="C164" s="2"/>
      <c r="D164" s="3"/>
      <c r="E164" s="3"/>
      <c r="F164" s="3"/>
      <c r="G164" s="2"/>
      <c r="H164" s="4"/>
      <c r="I164" s="5"/>
      <c r="J164" s="5"/>
      <c r="K164" s="5"/>
      <c r="L164" s="4"/>
      <c r="M164" s="4"/>
      <c r="N164" s="4"/>
      <c r="O164" s="4"/>
      <c r="P164" s="4"/>
      <c r="Q164" s="5"/>
      <c r="R164" s="5"/>
      <c r="S164" s="5"/>
      <c r="T164" s="5"/>
      <c r="U164" s="6"/>
      <c r="V164" s="5"/>
      <c r="W164" s="7"/>
      <c r="X164" s="8"/>
      <c r="Y164" s="8"/>
      <c r="Z164" s="2"/>
      <c r="AA164" s="2"/>
      <c r="AB164" s="2"/>
      <c r="AC164" s="2"/>
      <c r="AD164" s="2"/>
    </row>
    <row r="165" ht="12.0" customHeight="1">
      <c r="A165" s="2"/>
      <c r="B165" s="2"/>
      <c r="C165" s="2"/>
      <c r="D165" s="3"/>
      <c r="E165" s="3"/>
      <c r="F165" s="3"/>
      <c r="G165" s="2"/>
      <c r="H165" s="4"/>
      <c r="I165" s="5"/>
      <c r="J165" s="5"/>
      <c r="K165" s="5"/>
      <c r="L165" s="4"/>
      <c r="M165" s="4"/>
      <c r="N165" s="4"/>
      <c r="O165" s="4"/>
      <c r="P165" s="4"/>
      <c r="Q165" s="5"/>
      <c r="R165" s="5"/>
      <c r="S165" s="5"/>
      <c r="T165" s="5"/>
      <c r="U165" s="6"/>
      <c r="V165" s="5"/>
      <c r="W165" s="7"/>
      <c r="X165" s="8"/>
      <c r="Y165" s="8"/>
      <c r="Z165" s="2"/>
      <c r="AA165" s="2"/>
      <c r="AB165" s="2"/>
      <c r="AC165" s="2"/>
      <c r="AD165" s="2"/>
    </row>
    <row r="166" ht="12.0" customHeight="1">
      <c r="A166" s="2"/>
      <c r="B166" s="2"/>
      <c r="C166" s="2"/>
      <c r="D166" s="3"/>
      <c r="E166" s="3"/>
      <c r="F166" s="3"/>
      <c r="G166" s="2"/>
      <c r="H166" s="4"/>
      <c r="I166" s="5"/>
      <c r="J166" s="5"/>
      <c r="K166" s="5"/>
      <c r="L166" s="4"/>
      <c r="M166" s="4"/>
      <c r="N166" s="4"/>
      <c r="O166" s="4"/>
      <c r="P166" s="4"/>
      <c r="Q166" s="5"/>
      <c r="R166" s="5"/>
      <c r="S166" s="5"/>
      <c r="T166" s="5"/>
      <c r="U166" s="6"/>
      <c r="V166" s="5"/>
      <c r="W166" s="7"/>
      <c r="X166" s="8"/>
      <c r="Y166" s="8"/>
      <c r="Z166" s="2"/>
      <c r="AA166" s="2"/>
      <c r="AB166" s="2"/>
      <c r="AC166" s="2"/>
      <c r="AD166" s="2"/>
    </row>
    <row r="167" ht="12.0" customHeight="1">
      <c r="A167" s="2"/>
      <c r="B167" s="2"/>
      <c r="C167" s="2"/>
      <c r="D167" s="3"/>
      <c r="E167" s="3"/>
      <c r="F167" s="3"/>
      <c r="G167" s="2"/>
      <c r="H167" s="4"/>
      <c r="I167" s="5"/>
      <c r="J167" s="5"/>
      <c r="K167" s="5"/>
      <c r="L167" s="4"/>
      <c r="M167" s="4"/>
      <c r="N167" s="4"/>
      <c r="O167" s="4"/>
      <c r="P167" s="4"/>
      <c r="Q167" s="5"/>
      <c r="R167" s="5"/>
      <c r="S167" s="5"/>
      <c r="T167" s="5"/>
      <c r="U167" s="6"/>
      <c r="V167" s="5"/>
      <c r="W167" s="7"/>
      <c r="X167" s="8"/>
      <c r="Y167" s="8"/>
      <c r="Z167" s="2"/>
      <c r="AA167" s="2"/>
      <c r="AB167" s="2"/>
      <c r="AC167" s="2"/>
      <c r="AD167" s="2"/>
    </row>
    <row r="168" ht="12.0" customHeight="1">
      <c r="A168" s="2"/>
      <c r="B168" s="2"/>
      <c r="C168" s="2"/>
      <c r="D168" s="3"/>
      <c r="E168" s="3"/>
      <c r="F168" s="3"/>
      <c r="G168" s="2"/>
      <c r="H168" s="4"/>
      <c r="I168" s="5"/>
      <c r="J168" s="5"/>
      <c r="K168" s="5"/>
      <c r="L168" s="4"/>
      <c r="M168" s="4"/>
      <c r="N168" s="4"/>
      <c r="O168" s="4"/>
      <c r="P168" s="4"/>
      <c r="Q168" s="5"/>
      <c r="R168" s="5"/>
      <c r="S168" s="5"/>
      <c r="T168" s="5"/>
      <c r="U168" s="6"/>
      <c r="V168" s="5"/>
      <c r="W168" s="7"/>
      <c r="X168" s="8"/>
      <c r="Y168" s="8"/>
      <c r="Z168" s="2"/>
      <c r="AA168" s="2"/>
      <c r="AB168" s="2"/>
      <c r="AC168" s="2"/>
      <c r="AD168" s="2"/>
    </row>
    <row r="169" ht="12.0" customHeight="1">
      <c r="A169" s="2"/>
      <c r="B169" s="2"/>
      <c r="C169" s="2"/>
      <c r="D169" s="3"/>
      <c r="E169" s="3"/>
      <c r="F169" s="3"/>
      <c r="G169" s="2"/>
      <c r="H169" s="4"/>
      <c r="I169" s="5"/>
      <c r="J169" s="5"/>
      <c r="K169" s="5"/>
      <c r="L169" s="4"/>
      <c r="M169" s="4"/>
      <c r="N169" s="4"/>
      <c r="O169" s="4"/>
      <c r="P169" s="4"/>
      <c r="Q169" s="5"/>
      <c r="R169" s="5"/>
      <c r="S169" s="5"/>
      <c r="T169" s="5"/>
      <c r="U169" s="6"/>
      <c r="V169" s="5"/>
      <c r="W169" s="7"/>
      <c r="X169" s="8"/>
      <c r="Y169" s="8"/>
      <c r="Z169" s="2"/>
      <c r="AA169" s="2"/>
      <c r="AB169" s="2"/>
      <c r="AC169" s="2"/>
      <c r="AD169" s="2"/>
    </row>
    <row r="170" ht="12.0" customHeight="1">
      <c r="A170" s="2"/>
      <c r="B170" s="2"/>
      <c r="C170" s="2"/>
      <c r="D170" s="3"/>
      <c r="E170" s="3"/>
      <c r="F170" s="3"/>
      <c r="G170" s="2"/>
      <c r="H170" s="4"/>
      <c r="I170" s="5"/>
      <c r="J170" s="5"/>
      <c r="K170" s="5"/>
      <c r="L170" s="4"/>
      <c r="M170" s="4"/>
      <c r="N170" s="4"/>
      <c r="O170" s="4"/>
      <c r="P170" s="4"/>
      <c r="Q170" s="5"/>
      <c r="R170" s="5"/>
      <c r="S170" s="5"/>
      <c r="T170" s="5"/>
      <c r="U170" s="6"/>
      <c r="V170" s="5"/>
      <c r="W170" s="7"/>
      <c r="X170" s="8"/>
      <c r="Y170" s="8"/>
      <c r="Z170" s="2"/>
      <c r="AA170" s="2"/>
      <c r="AB170" s="2"/>
      <c r="AC170" s="2"/>
      <c r="AD170" s="2"/>
    </row>
    <row r="171" ht="12.0" customHeight="1">
      <c r="A171" s="2"/>
      <c r="B171" s="2"/>
      <c r="C171" s="2"/>
      <c r="D171" s="3"/>
      <c r="E171" s="3"/>
      <c r="F171" s="3"/>
      <c r="G171" s="2"/>
      <c r="H171" s="4"/>
      <c r="I171" s="5"/>
      <c r="J171" s="5"/>
      <c r="K171" s="5"/>
      <c r="L171" s="4"/>
      <c r="M171" s="4"/>
      <c r="N171" s="4"/>
      <c r="O171" s="4"/>
      <c r="P171" s="4"/>
      <c r="Q171" s="5"/>
      <c r="R171" s="5"/>
      <c r="S171" s="5"/>
      <c r="T171" s="5"/>
      <c r="U171" s="6"/>
      <c r="V171" s="5"/>
      <c r="W171" s="7"/>
      <c r="X171" s="8"/>
      <c r="Y171" s="8"/>
      <c r="Z171" s="2"/>
      <c r="AA171" s="2"/>
      <c r="AB171" s="2"/>
      <c r="AC171" s="2"/>
      <c r="AD171" s="2"/>
    </row>
    <row r="172" ht="12.0" customHeight="1">
      <c r="A172" s="2"/>
      <c r="B172" s="2"/>
      <c r="C172" s="2"/>
      <c r="D172" s="3"/>
      <c r="E172" s="3"/>
      <c r="F172" s="3"/>
      <c r="G172" s="2"/>
      <c r="H172" s="4"/>
      <c r="I172" s="5"/>
      <c r="J172" s="5"/>
      <c r="K172" s="5"/>
      <c r="L172" s="4"/>
      <c r="M172" s="4"/>
      <c r="N172" s="4"/>
      <c r="O172" s="4"/>
      <c r="P172" s="4"/>
      <c r="Q172" s="5"/>
      <c r="R172" s="5"/>
      <c r="S172" s="5"/>
      <c r="T172" s="5"/>
      <c r="U172" s="6"/>
      <c r="V172" s="5"/>
      <c r="W172" s="7"/>
      <c r="X172" s="8"/>
      <c r="Y172" s="8"/>
      <c r="Z172" s="2"/>
      <c r="AA172" s="2"/>
      <c r="AB172" s="2"/>
      <c r="AC172" s="2"/>
      <c r="AD172" s="2"/>
    </row>
    <row r="173" ht="12.0" customHeight="1">
      <c r="A173" s="2"/>
      <c r="B173" s="2"/>
      <c r="C173" s="2"/>
      <c r="D173" s="3"/>
      <c r="E173" s="3"/>
      <c r="F173" s="3"/>
      <c r="G173" s="2"/>
      <c r="H173" s="4"/>
      <c r="I173" s="5"/>
      <c r="J173" s="5"/>
      <c r="K173" s="5"/>
      <c r="L173" s="4"/>
      <c r="M173" s="4"/>
      <c r="N173" s="4"/>
      <c r="O173" s="4"/>
      <c r="P173" s="4"/>
      <c r="Q173" s="5"/>
      <c r="R173" s="5"/>
      <c r="S173" s="5"/>
      <c r="T173" s="5"/>
      <c r="U173" s="6"/>
      <c r="V173" s="5"/>
      <c r="W173" s="7"/>
      <c r="X173" s="8"/>
      <c r="Y173" s="8"/>
      <c r="Z173" s="2"/>
      <c r="AA173" s="2"/>
      <c r="AB173" s="2"/>
      <c r="AC173" s="2"/>
      <c r="AD173" s="2"/>
    </row>
    <row r="174" ht="12.0" customHeight="1">
      <c r="A174" s="2"/>
      <c r="B174" s="2"/>
      <c r="C174" s="2"/>
      <c r="D174" s="3"/>
      <c r="E174" s="3"/>
      <c r="F174" s="3"/>
      <c r="G174" s="2"/>
      <c r="H174" s="4"/>
      <c r="I174" s="5"/>
      <c r="J174" s="5"/>
      <c r="K174" s="5"/>
      <c r="L174" s="4"/>
      <c r="M174" s="4"/>
      <c r="N174" s="4"/>
      <c r="O174" s="4"/>
      <c r="P174" s="4"/>
      <c r="Q174" s="5"/>
      <c r="R174" s="5"/>
      <c r="S174" s="5"/>
      <c r="T174" s="5"/>
      <c r="U174" s="6"/>
      <c r="V174" s="5"/>
      <c r="W174" s="7"/>
      <c r="X174" s="8"/>
      <c r="Y174" s="8"/>
      <c r="Z174" s="2"/>
      <c r="AA174" s="2"/>
      <c r="AB174" s="2"/>
      <c r="AC174" s="2"/>
      <c r="AD174" s="2"/>
    </row>
    <row r="175" ht="12.0" customHeight="1">
      <c r="A175" s="2"/>
      <c r="B175" s="2"/>
      <c r="C175" s="2"/>
      <c r="D175" s="3"/>
      <c r="E175" s="3"/>
      <c r="F175" s="3"/>
      <c r="G175" s="2"/>
      <c r="H175" s="4"/>
      <c r="I175" s="5"/>
      <c r="J175" s="5"/>
      <c r="K175" s="5"/>
      <c r="L175" s="4"/>
      <c r="M175" s="4"/>
      <c r="N175" s="4"/>
      <c r="O175" s="4"/>
      <c r="P175" s="4"/>
      <c r="Q175" s="5"/>
      <c r="R175" s="5"/>
      <c r="S175" s="5"/>
      <c r="T175" s="5"/>
      <c r="U175" s="6"/>
      <c r="V175" s="5"/>
      <c r="W175" s="7"/>
      <c r="X175" s="8"/>
      <c r="Y175" s="8"/>
      <c r="Z175" s="2"/>
      <c r="AA175" s="2"/>
      <c r="AB175" s="2"/>
      <c r="AC175" s="2"/>
      <c r="AD175" s="2"/>
    </row>
    <row r="176" ht="12.0" customHeight="1">
      <c r="A176" s="2"/>
      <c r="B176" s="2"/>
      <c r="C176" s="2"/>
      <c r="D176" s="3"/>
      <c r="E176" s="3"/>
      <c r="F176" s="3"/>
      <c r="G176" s="2"/>
      <c r="H176" s="4"/>
      <c r="I176" s="5"/>
      <c r="J176" s="5"/>
      <c r="K176" s="5"/>
      <c r="L176" s="4"/>
      <c r="M176" s="4"/>
      <c r="N176" s="4"/>
      <c r="O176" s="4"/>
      <c r="P176" s="4"/>
      <c r="Q176" s="5"/>
      <c r="R176" s="5"/>
      <c r="S176" s="5"/>
      <c r="T176" s="5"/>
      <c r="U176" s="6"/>
      <c r="V176" s="5"/>
      <c r="W176" s="7"/>
      <c r="X176" s="8"/>
      <c r="Y176" s="8"/>
      <c r="Z176" s="2"/>
      <c r="AA176" s="2"/>
      <c r="AB176" s="2"/>
      <c r="AC176" s="2"/>
      <c r="AD176" s="2"/>
    </row>
    <row r="177" ht="12.0" customHeight="1">
      <c r="A177" s="2"/>
      <c r="B177" s="2"/>
      <c r="C177" s="2"/>
      <c r="D177" s="3"/>
      <c r="E177" s="3"/>
      <c r="F177" s="3"/>
      <c r="G177" s="2"/>
      <c r="H177" s="4"/>
      <c r="I177" s="5"/>
      <c r="J177" s="5"/>
      <c r="K177" s="5"/>
      <c r="L177" s="4"/>
      <c r="M177" s="4"/>
      <c r="N177" s="4"/>
      <c r="O177" s="4"/>
      <c r="P177" s="4"/>
      <c r="Q177" s="5"/>
      <c r="R177" s="5"/>
      <c r="S177" s="5"/>
      <c r="T177" s="5"/>
      <c r="U177" s="6"/>
      <c r="V177" s="5"/>
      <c r="W177" s="7"/>
      <c r="X177" s="8"/>
      <c r="Y177" s="8"/>
      <c r="Z177" s="2"/>
      <c r="AA177" s="2"/>
      <c r="AB177" s="2"/>
      <c r="AC177" s="2"/>
      <c r="AD177" s="2"/>
    </row>
    <row r="178" ht="12.0" customHeight="1">
      <c r="A178" s="2"/>
      <c r="B178" s="2"/>
      <c r="C178" s="2"/>
      <c r="D178" s="3"/>
      <c r="E178" s="3"/>
      <c r="F178" s="3"/>
      <c r="G178" s="2"/>
      <c r="H178" s="4"/>
      <c r="I178" s="5"/>
      <c r="J178" s="5"/>
      <c r="K178" s="5"/>
      <c r="L178" s="4"/>
      <c r="M178" s="4"/>
      <c r="N178" s="4"/>
      <c r="O178" s="4"/>
      <c r="P178" s="4"/>
      <c r="Q178" s="5"/>
      <c r="R178" s="5"/>
      <c r="S178" s="5"/>
      <c r="T178" s="5"/>
      <c r="U178" s="6"/>
      <c r="V178" s="5"/>
      <c r="W178" s="7"/>
      <c r="X178" s="8"/>
      <c r="Y178" s="8"/>
      <c r="Z178" s="2"/>
      <c r="AA178" s="2"/>
      <c r="AB178" s="2"/>
      <c r="AC178" s="2"/>
      <c r="AD178" s="2"/>
    </row>
    <row r="179" ht="12.0" customHeight="1">
      <c r="A179" s="2"/>
      <c r="B179" s="2"/>
      <c r="C179" s="2"/>
      <c r="D179" s="3"/>
      <c r="E179" s="3"/>
      <c r="F179" s="3"/>
      <c r="G179" s="2"/>
      <c r="H179" s="4"/>
      <c r="I179" s="5"/>
      <c r="J179" s="5"/>
      <c r="K179" s="5"/>
      <c r="L179" s="4"/>
      <c r="M179" s="4"/>
      <c r="N179" s="4"/>
      <c r="O179" s="4"/>
      <c r="P179" s="4"/>
      <c r="Q179" s="5"/>
      <c r="R179" s="5"/>
      <c r="S179" s="5"/>
      <c r="T179" s="5"/>
      <c r="U179" s="6"/>
      <c r="V179" s="5"/>
      <c r="W179" s="7"/>
      <c r="X179" s="8"/>
      <c r="Y179" s="8"/>
      <c r="Z179" s="2"/>
      <c r="AA179" s="2"/>
      <c r="AB179" s="2"/>
      <c r="AC179" s="2"/>
      <c r="AD179" s="2"/>
    </row>
    <row r="180" ht="12.0" customHeight="1">
      <c r="A180" s="2"/>
      <c r="B180" s="2"/>
      <c r="C180" s="2"/>
      <c r="D180" s="3"/>
      <c r="E180" s="3"/>
      <c r="F180" s="3"/>
      <c r="G180" s="2"/>
      <c r="H180" s="4"/>
      <c r="I180" s="5"/>
      <c r="J180" s="5"/>
      <c r="K180" s="5"/>
      <c r="L180" s="4"/>
      <c r="M180" s="4"/>
      <c r="N180" s="4"/>
      <c r="O180" s="4"/>
      <c r="P180" s="4"/>
      <c r="Q180" s="5"/>
      <c r="R180" s="5"/>
      <c r="S180" s="5"/>
      <c r="T180" s="5"/>
      <c r="U180" s="6"/>
      <c r="V180" s="5"/>
      <c r="W180" s="7"/>
      <c r="X180" s="8"/>
      <c r="Y180" s="8"/>
      <c r="Z180" s="2"/>
      <c r="AA180" s="2"/>
      <c r="AB180" s="2"/>
      <c r="AC180" s="2"/>
      <c r="AD180" s="2"/>
    </row>
    <row r="181" ht="12.0" customHeight="1">
      <c r="A181" s="2"/>
      <c r="B181" s="2"/>
      <c r="C181" s="2"/>
      <c r="D181" s="3"/>
      <c r="E181" s="3"/>
      <c r="F181" s="3"/>
      <c r="G181" s="2"/>
      <c r="H181" s="4"/>
      <c r="I181" s="5"/>
      <c r="J181" s="5"/>
      <c r="K181" s="5"/>
      <c r="L181" s="4"/>
      <c r="M181" s="4"/>
      <c r="N181" s="4"/>
      <c r="O181" s="4"/>
      <c r="P181" s="4"/>
      <c r="Q181" s="5"/>
      <c r="R181" s="5"/>
      <c r="S181" s="5"/>
      <c r="T181" s="5"/>
      <c r="U181" s="6"/>
      <c r="V181" s="5"/>
      <c r="W181" s="7"/>
      <c r="X181" s="8"/>
      <c r="Y181" s="8"/>
      <c r="Z181" s="2"/>
      <c r="AA181" s="2"/>
      <c r="AB181" s="2"/>
      <c r="AC181" s="2"/>
      <c r="AD181" s="2"/>
    </row>
    <row r="182" ht="12.0" customHeight="1">
      <c r="A182" s="2"/>
      <c r="B182" s="2"/>
      <c r="C182" s="2"/>
      <c r="D182" s="3"/>
      <c r="E182" s="3"/>
      <c r="F182" s="3"/>
      <c r="G182" s="2"/>
      <c r="H182" s="4"/>
      <c r="I182" s="5"/>
      <c r="J182" s="5"/>
      <c r="K182" s="5"/>
      <c r="L182" s="4"/>
      <c r="M182" s="4"/>
      <c r="N182" s="4"/>
      <c r="O182" s="4"/>
      <c r="P182" s="4"/>
      <c r="Q182" s="5"/>
      <c r="R182" s="5"/>
      <c r="S182" s="5"/>
      <c r="T182" s="5"/>
      <c r="U182" s="6"/>
      <c r="V182" s="5"/>
      <c r="W182" s="7"/>
      <c r="X182" s="8"/>
      <c r="Y182" s="8"/>
      <c r="Z182" s="2"/>
      <c r="AA182" s="2"/>
      <c r="AB182" s="2"/>
      <c r="AC182" s="2"/>
      <c r="AD182" s="2"/>
    </row>
    <row r="183" ht="12.0" customHeight="1">
      <c r="A183" s="2"/>
      <c r="B183" s="2"/>
      <c r="C183" s="2"/>
      <c r="D183" s="3"/>
      <c r="E183" s="3"/>
      <c r="F183" s="3"/>
      <c r="G183" s="2"/>
      <c r="H183" s="4"/>
      <c r="I183" s="5"/>
      <c r="J183" s="5"/>
      <c r="K183" s="5"/>
      <c r="L183" s="4"/>
      <c r="M183" s="4"/>
      <c r="N183" s="4"/>
      <c r="O183" s="4"/>
      <c r="P183" s="4"/>
      <c r="Q183" s="5"/>
      <c r="R183" s="5"/>
      <c r="S183" s="5"/>
      <c r="T183" s="5"/>
      <c r="U183" s="6"/>
      <c r="V183" s="5"/>
      <c r="W183" s="7"/>
      <c r="X183" s="8"/>
      <c r="Y183" s="8"/>
      <c r="Z183" s="2"/>
      <c r="AA183" s="2"/>
      <c r="AB183" s="2"/>
      <c r="AC183" s="2"/>
      <c r="AD183" s="2"/>
    </row>
    <row r="184" ht="12.0" customHeight="1">
      <c r="A184" s="2"/>
      <c r="B184" s="2"/>
      <c r="C184" s="2"/>
      <c r="D184" s="3"/>
      <c r="E184" s="3"/>
      <c r="F184" s="3"/>
      <c r="G184" s="2"/>
      <c r="H184" s="4"/>
      <c r="I184" s="5"/>
      <c r="J184" s="5"/>
      <c r="K184" s="5"/>
      <c r="L184" s="4"/>
      <c r="M184" s="4"/>
      <c r="N184" s="4"/>
      <c r="O184" s="4"/>
      <c r="P184" s="4"/>
      <c r="Q184" s="5"/>
      <c r="R184" s="5"/>
      <c r="S184" s="5"/>
      <c r="T184" s="5"/>
      <c r="U184" s="6"/>
      <c r="V184" s="5"/>
      <c r="W184" s="7"/>
      <c r="X184" s="8"/>
      <c r="Y184" s="8"/>
      <c r="Z184" s="2"/>
      <c r="AA184" s="2"/>
      <c r="AB184" s="2"/>
      <c r="AC184" s="2"/>
      <c r="AD184" s="2"/>
    </row>
    <row r="185" ht="12.0" customHeight="1">
      <c r="A185" s="2"/>
      <c r="B185" s="2"/>
      <c r="C185" s="2"/>
      <c r="D185" s="3"/>
      <c r="E185" s="3"/>
      <c r="F185" s="3"/>
      <c r="G185" s="2"/>
      <c r="H185" s="4"/>
      <c r="I185" s="5"/>
      <c r="J185" s="5"/>
      <c r="K185" s="5"/>
      <c r="L185" s="4"/>
      <c r="M185" s="4"/>
      <c r="N185" s="4"/>
      <c r="O185" s="4"/>
      <c r="P185" s="4"/>
      <c r="Q185" s="5"/>
      <c r="R185" s="5"/>
      <c r="S185" s="5"/>
      <c r="T185" s="5"/>
      <c r="U185" s="6"/>
      <c r="V185" s="5"/>
      <c r="W185" s="7"/>
      <c r="X185" s="8"/>
      <c r="Y185" s="8"/>
      <c r="Z185" s="2"/>
      <c r="AA185" s="2"/>
      <c r="AB185" s="2"/>
      <c r="AC185" s="2"/>
      <c r="AD185" s="2"/>
    </row>
    <row r="186" ht="12.0" customHeight="1">
      <c r="A186" s="2"/>
      <c r="B186" s="2"/>
      <c r="C186" s="2"/>
      <c r="D186" s="3"/>
      <c r="E186" s="3"/>
      <c r="F186" s="3"/>
      <c r="G186" s="2"/>
      <c r="H186" s="4"/>
      <c r="I186" s="5"/>
      <c r="J186" s="5"/>
      <c r="K186" s="5"/>
      <c r="L186" s="4"/>
      <c r="M186" s="4"/>
      <c r="N186" s="4"/>
      <c r="O186" s="4"/>
      <c r="P186" s="4"/>
      <c r="Q186" s="5"/>
      <c r="R186" s="5"/>
      <c r="S186" s="5"/>
      <c r="T186" s="5"/>
      <c r="U186" s="6"/>
      <c r="V186" s="5"/>
      <c r="W186" s="7"/>
      <c r="X186" s="8"/>
      <c r="Y186" s="8"/>
      <c r="Z186" s="2"/>
      <c r="AA186" s="2"/>
      <c r="AB186" s="2"/>
      <c r="AC186" s="2"/>
      <c r="AD186" s="2"/>
    </row>
    <row r="187" ht="12.0" customHeight="1">
      <c r="A187" s="2"/>
      <c r="B187" s="2"/>
      <c r="C187" s="2"/>
      <c r="D187" s="3"/>
      <c r="E187" s="3"/>
      <c r="F187" s="3"/>
      <c r="G187" s="2"/>
      <c r="H187" s="4"/>
      <c r="I187" s="5"/>
      <c r="J187" s="5"/>
      <c r="K187" s="5"/>
      <c r="L187" s="4"/>
      <c r="M187" s="4"/>
      <c r="N187" s="4"/>
      <c r="O187" s="4"/>
      <c r="P187" s="4"/>
      <c r="Q187" s="5"/>
      <c r="R187" s="5"/>
      <c r="S187" s="5"/>
      <c r="T187" s="5"/>
      <c r="U187" s="6"/>
      <c r="V187" s="5"/>
      <c r="W187" s="7"/>
      <c r="X187" s="8"/>
      <c r="Y187" s="8"/>
      <c r="Z187" s="2"/>
      <c r="AA187" s="2"/>
      <c r="AB187" s="2"/>
      <c r="AC187" s="2"/>
      <c r="AD187" s="2"/>
    </row>
    <row r="188" ht="12.0" customHeight="1">
      <c r="A188" s="2"/>
      <c r="B188" s="2"/>
      <c r="C188" s="2"/>
      <c r="D188" s="3"/>
      <c r="E188" s="3"/>
      <c r="F188" s="3"/>
      <c r="G188" s="2"/>
      <c r="H188" s="4"/>
      <c r="I188" s="5"/>
      <c r="J188" s="5"/>
      <c r="K188" s="5"/>
      <c r="L188" s="4"/>
      <c r="M188" s="4"/>
      <c r="N188" s="4"/>
      <c r="O188" s="4"/>
      <c r="P188" s="4"/>
      <c r="Q188" s="5"/>
      <c r="R188" s="5"/>
      <c r="S188" s="5"/>
      <c r="T188" s="5"/>
      <c r="U188" s="6"/>
      <c r="V188" s="5"/>
      <c r="W188" s="7"/>
      <c r="X188" s="8"/>
      <c r="Y188" s="8"/>
      <c r="Z188" s="2"/>
      <c r="AA188" s="2"/>
      <c r="AB188" s="2"/>
      <c r="AC188" s="2"/>
      <c r="AD188" s="2"/>
    </row>
    <row r="189" ht="12.0" customHeight="1">
      <c r="A189" s="2"/>
      <c r="B189" s="2"/>
      <c r="C189" s="2"/>
      <c r="D189" s="3"/>
      <c r="E189" s="3"/>
      <c r="F189" s="3"/>
      <c r="G189" s="2"/>
      <c r="H189" s="4"/>
      <c r="I189" s="5"/>
      <c r="J189" s="5"/>
      <c r="K189" s="5"/>
      <c r="L189" s="4"/>
      <c r="M189" s="4"/>
      <c r="N189" s="4"/>
      <c r="O189" s="4"/>
      <c r="P189" s="4"/>
      <c r="Q189" s="5"/>
      <c r="R189" s="5"/>
      <c r="S189" s="5"/>
      <c r="T189" s="5"/>
      <c r="U189" s="6"/>
      <c r="V189" s="5"/>
      <c r="W189" s="7"/>
      <c r="X189" s="8"/>
      <c r="Y189" s="8"/>
      <c r="Z189" s="2"/>
      <c r="AA189" s="2"/>
      <c r="AB189" s="2"/>
      <c r="AC189" s="2"/>
      <c r="AD189" s="2"/>
    </row>
    <row r="190" ht="12.0" customHeight="1">
      <c r="A190" s="2"/>
      <c r="B190" s="2"/>
      <c r="C190" s="2"/>
      <c r="D190" s="3"/>
      <c r="E190" s="3"/>
      <c r="F190" s="3"/>
      <c r="G190" s="2"/>
      <c r="H190" s="4"/>
      <c r="I190" s="5"/>
      <c r="J190" s="5"/>
      <c r="K190" s="5"/>
      <c r="L190" s="4"/>
      <c r="M190" s="4"/>
      <c r="N190" s="4"/>
      <c r="O190" s="4"/>
      <c r="P190" s="4"/>
      <c r="Q190" s="5"/>
      <c r="R190" s="5"/>
      <c r="S190" s="5"/>
      <c r="T190" s="5"/>
      <c r="U190" s="6"/>
      <c r="V190" s="5"/>
      <c r="W190" s="7"/>
      <c r="X190" s="8"/>
      <c r="Y190" s="8"/>
      <c r="Z190" s="2"/>
      <c r="AA190" s="2"/>
      <c r="AB190" s="2"/>
      <c r="AC190" s="2"/>
      <c r="AD190" s="2"/>
    </row>
    <row r="191" ht="12.0" customHeight="1">
      <c r="A191" s="2"/>
      <c r="B191" s="2"/>
      <c r="C191" s="2"/>
      <c r="D191" s="3"/>
      <c r="E191" s="3"/>
      <c r="F191" s="3"/>
      <c r="G191" s="2"/>
      <c r="H191" s="4"/>
      <c r="I191" s="5"/>
      <c r="J191" s="5"/>
      <c r="K191" s="5"/>
      <c r="L191" s="4"/>
      <c r="M191" s="4"/>
      <c r="N191" s="4"/>
      <c r="O191" s="4"/>
      <c r="P191" s="4"/>
      <c r="Q191" s="5"/>
      <c r="R191" s="5"/>
      <c r="S191" s="5"/>
      <c r="T191" s="5"/>
      <c r="U191" s="6"/>
      <c r="V191" s="5"/>
      <c r="W191" s="7"/>
      <c r="X191" s="8"/>
      <c r="Y191" s="8"/>
      <c r="Z191" s="2"/>
      <c r="AA191" s="2"/>
      <c r="AB191" s="2"/>
      <c r="AC191" s="2"/>
      <c r="AD191" s="2"/>
    </row>
    <row r="192" ht="12.0" customHeight="1">
      <c r="A192" s="2"/>
      <c r="B192" s="2"/>
      <c r="C192" s="2"/>
      <c r="D192" s="3"/>
      <c r="E192" s="3"/>
      <c r="F192" s="3"/>
      <c r="G192" s="2"/>
      <c r="H192" s="4"/>
      <c r="I192" s="5"/>
      <c r="J192" s="5"/>
      <c r="K192" s="5"/>
      <c r="L192" s="4"/>
      <c r="M192" s="4"/>
      <c r="N192" s="4"/>
      <c r="O192" s="4"/>
      <c r="P192" s="4"/>
      <c r="Q192" s="5"/>
      <c r="R192" s="5"/>
      <c r="S192" s="5"/>
      <c r="T192" s="5"/>
      <c r="U192" s="6"/>
      <c r="V192" s="5"/>
      <c r="W192" s="7"/>
      <c r="X192" s="8"/>
      <c r="Y192" s="8"/>
      <c r="Z192" s="2"/>
      <c r="AA192" s="2"/>
      <c r="AB192" s="2"/>
      <c r="AC192" s="2"/>
      <c r="AD192" s="2"/>
    </row>
    <row r="193" ht="12.0" customHeight="1">
      <c r="A193" s="2"/>
      <c r="B193" s="2"/>
      <c r="C193" s="2"/>
      <c r="D193" s="3"/>
      <c r="E193" s="3"/>
      <c r="F193" s="3"/>
      <c r="G193" s="2"/>
      <c r="H193" s="4"/>
      <c r="I193" s="5"/>
      <c r="J193" s="5"/>
      <c r="K193" s="5"/>
      <c r="L193" s="4"/>
      <c r="M193" s="4"/>
      <c r="N193" s="4"/>
      <c r="O193" s="4"/>
      <c r="P193" s="4"/>
      <c r="Q193" s="5"/>
      <c r="R193" s="5"/>
      <c r="S193" s="5"/>
      <c r="T193" s="5"/>
      <c r="U193" s="6"/>
      <c r="V193" s="5"/>
      <c r="W193" s="7"/>
      <c r="X193" s="8"/>
      <c r="Y193" s="8"/>
      <c r="Z193" s="2"/>
      <c r="AA193" s="2"/>
      <c r="AB193" s="2"/>
      <c r="AC193" s="2"/>
      <c r="AD193" s="2"/>
    </row>
    <row r="194" ht="12.0" customHeight="1">
      <c r="A194" s="2"/>
      <c r="B194" s="2"/>
      <c r="C194" s="2"/>
      <c r="D194" s="3"/>
      <c r="E194" s="3"/>
      <c r="F194" s="3"/>
      <c r="G194" s="2"/>
      <c r="H194" s="4"/>
      <c r="I194" s="5"/>
      <c r="J194" s="5"/>
      <c r="K194" s="5"/>
      <c r="L194" s="4"/>
      <c r="M194" s="4"/>
      <c r="N194" s="4"/>
      <c r="O194" s="4"/>
      <c r="P194" s="4"/>
      <c r="Q194" s="5"/>
      <c r="R194" s="5"/>
      <c r="S194" s="5"/>
      <c r="T194" s="5"/>
      <c r="U194" s="6"/>
      <c r="V194" s="5"/>
      <c r="W194" s="7"/>
      <c r="X194" s="8"/>
      <c r="Y194" s="8"/>
      <c r="Z194" s="2"/>
      <c r="AA194" s="2"/>
      <c r="AB194" s="2"/>
      <c r="AC194" s="2"/>
      <c r="AD194" s="2"/>
    </row>
    <row r="195" ht="12.0" customHeight="1">
      <c r="A195" s="2"/>
      <c r="B195" s="2"/>
      <c r="C195" s="2"/>
      <c r="D195" s="3"/>
      <c r="E195" s="3"/>
      <c r="F195" s="3"/>
      <c r="G195" s="2"/>
      <c r="H195" s="4"/>
      <c r="I195" s="5"/>
      <c r="J195" s="5"/>
      <c r="K195" s="5"/>
      <c r="L195" s="4"/>
      <c r="M195" s="4"/>
      <c r="N195" s="4"/>
      <c r="O195" s="4"/>
      <c r="P195" s="4"/>
      <c r="Q195" s="5"/>
      <c r="R195" s="5"/>
      <c r="S195" s="5"/>
      <c r="T195" s="5"/>
      <c r="U195" s="6"/>
      <c r="V195" s="5"/>
      <c r="W195" s="7"/>
      <c r="X195" s="8"/>
      <c r="Y195" s="8"/>
      <c r="Z195" s="2"/>
      <c r="AA195" s="2"/>
      <c r="AB195" s="2"/>
      <c r="AC195" s="2"/>
      <c r="AD195" s="2"/>
    </row>
    <row r="196" ht="12.0" customHeight="1">
      <c r="A196" s="2"/>
      <c r="B196" s="2"/>
      <c r="C196" s="2"/>
      <c r="D196" s="3"/>
      <c r="E196" s="3"/>
      <c r="F196" s="3"/>
      <c r="G196" s="2"/>
      <c r="H196" s="4"/>
      <c r="I196" s="5"/>
      <c r="J196" s="5"/>
      <c r="K196" s="5"/>
      <c r="L196" s="4"/>
      <c r="M196" s="4"/>
      <c r="N196" s="4"/>
      <c r="O196" s="4"/>
      <c r="P196" s="4"/>
      <c r="Q196" s="5"/>
      <c r="R196" s="5"/>
      <c r="S196" s="5"/>
      <c r="T196" s="5"/>
      <c r="U196" s="6"/>
      <c r="V196" s="5"/>
      <c r="W196" s="7"/>
      <c r="X196" s="8"/>
      <c r="Y196" s="8"/>
      <c r="Z196" s="2"/>
      <c r="AA196" s="2"/>
      <c r="AB196" s="2"/>
      <c r="AC196" s="2"/>
      <c r="AD196" s="2"/>
    </row>
    <row r="197" ht="12.0" customHeight="1">
      <c r="A197" s="2"/>
      <c r="B197" s="2"/>
      <c r="C197" s="2"/>
      <c r="D197" s="3"/>
      <c r="E197" s="3"/>
      <c r="F197" s="3"/>
      <c r="G197" s="2"/>
      <c r="H197" s="4"/>
      <c r="I197" s="5"/>
      <c r="J197" s="5"/>
      <c r="K197" s="5"/>
      <c r="L197" s="4"/>
      <c r="M197" s="4"/>
      <c r="N197" s="4"/>
      <c r="O197" s="4"/>
      <c r="P197" s="4"/>
      <c r="Q197" s="5"/>
      <c r="R197" s="5"/>
      <c r="S197" s="5"/>
      <c r="T197" s="5"/>
      <c r="U197" s="6"/>
      <c r="V197" s="5"/>
      <c r="W197" s="7"/>
      <c r="X197" s="8"/>
      <c r="Y197" s="8"/>
      <c r="Z197" s="2"/>
      <c r="AA197" s="2"/>
      <c r="AB197" s="2"/>
      <c r="AC197" s="2"/>
      <c r="AD197" s="2"/>
    </row>
    <row r="198" ht="12.0" customHeight="1">
      <c r="A198" s="2"/>
      <c r="B198" s="2"/>
      <c r="C198" s="2"/>
      <c r="D198" s="3"/>
      <c r="E198" s="3"/>
      <c r="F198" s="3"/>
      <c r="G198" s="2"/>
      <c r="H198" s="4"/>
      <c r="I198" s="5"/>
      <c r="J198" s="5"/>
      <c r="K198" s="5"/>
      <c r="L198" s="4"/>
      <c r="M198" s="4"/>
      <c r="N198" s="4"/>
      <c r="O198" s="4"/>
      <c r="P198" s="4"/>
      <c r="Q198" s="5"/>
      <c r="R198" s="5"/>
      <c r="S198" s="5"/>
      <c r="T198" s="5"/>
      <c r="U198" s="6"/>
      <c r="V198" s="5"/>
      <c r="W198" s="7"/>
      <c r="X198" s="8"/>
      <c r="Y198" s="8"/>
      <c r="Z198" s="2"/>
      <c r="AA198" s="2"/>
      <c r="AB198" s="2"/>
      <c r="AC198" s="2"/>
      <c r="AD198" s="2"/>
    </row>
    <row r="199" ht="12.0" customHeight="1">
      <c r="A199" s="2"/>
      <c r="B199" s="2"/>
      <c r="C199" s="2"/>
      <c r="D199" s="3"/>
      <c r="E199" s="3"/>
      <c r="F199" s="3"/>
      <c r="G199" s="2"/>
      <c r="H199" s="4"/>
      <c r="I199" s="5"/>
      <c r="J199" s="5"/>
      <c r="K199" s="5"/>
      <c r="L199" s="4"/>
      <c r="M199" s="4"/>
      <c r="N199" s="4"/>
      <c r="O199" s="4"/>
      <c r="P199" s="4"/>
      <c r="Q199" s="5"/>
      <c r="R199" s="5"/>
      <c r="S199" s="5"/>
      <c r="T199" s="5"/>
      <c r="U199" s="6"/>
      <c r="V199" s="5"/>
      <c r="W199" s="7"/>
      <c r="X199" s="8"/>
      <c r="Y199" s="8"/>
      <c r="Z199" s="2"/>
      <c r="AA199" s="2"/>
      <c r="AB199" s="2"/>
      <c r="AC199" s="2"/>
      <c r="AD199" s="2"/>
    </row>
    <row r="200" ht="12.0" customHeight="1">
      <c r="A200" s="2"/>
      <c r="B200" s="2"/>
      <c r="C200" s="2"/>
      <c r="D200" s="3"/>
      <c r="E200" s="3"/>
      <c r="F200" s="3"/>
      <c r="G200" s="2"/>
      <c r="H200" s="4"/>
      <c r="I200" s="5"/>
      <c r="J200" s="5"/>
      <c r="K200" s="5"/>
      <c r="L200" s="4"/>
      <c r="M200" s="4"/>
      <c r="N200" s="4"/>
      <c r="O200" s="4"/>
      <c r="P200" s="4"/>
      <c r="Q200" s="5"/>
      <c r="R200" s="5"/>
      <c r="S200" s="5"/>
      <c r="T200" s="5"/>
      <c r="U200" s="6"/>
      <c r="V200" s="5"/>
      <c r="W200" s="7"/>
      <c r="X200" s="8"/>
      <c r="Y200" s="8"/>
      <c r="Z200" s="2"/>
      <c r="AA200" s="2"/>
      <c r="AB200" s="2"/>
      <c r="AC200" s="2"/>
      <c r="AD200" s="2"/>
    </row>
    <row r="201" ht="12.0" customHeight="1">
      <c r="A201" s="2"/>
      <c r="B201" s="2"/>
      <c r="C201" s="2"/>
      <c r="D201" s="3"/>
      <c r="E201" s="3"/>
      <c r="F201" s="3"/>
      <c r="G201" s="2"/>
      <c r="H201" s="4"/>
      <c r="I201" s="5"/>
      <c r="J201" s="5"/>
      <c r="K201" s="5"/>
      <c r="L201" s="4"/>
      <c r="M201" s="4"/>
      <c r="N201" s="4"/>
      <c r="O201" s="4"/>
      <c r="P201" s="4"/>
      <c r="Q201" s="5"/>
      <c r="R201" s="5"/>
      <c r="S201" s="5"/>
      <c r="T201" s="5"/>
      <c r="U201" s="6"/>
      <c r="V201" s="5"/>
      <c r="W201" s="7"/>
      <c r="X201" s="8"/>
      <c r="Y201" s="8"/>
      <c r="Z201" s="2"/>
      <c r="AA201" s="2"/>
      <c r="AB201" s="2"/>
      <c r="AC201" s="2"/>
      <c r="AD201" s="2"/>
    </row>
    <row r="202" ht="12.0" customHeight="1">
      <c r="A202" s="2"/>
      <c r="B202" s="2"/>
      <c r="C202" s="2"/>
      <c r="D202" s="3"/>
      <c r="E202" s="3"/>
      <c r="F202" s="3"/>
      <c r="G202" s="2"/>
      <c r="H202" s="4"/>
      <c r="I202" s="5"/>
      <c r="J202" s="5"/>
      <c r="K202" s="5"/>
      <c r="L202" s="4"/>
      <c r="M202" s="4"/>
      <c r="N202" s="4"/>
      <c r="O202" s="4"/>
      <c r="P202" s="4"/>
      <c r="Q202" s="5"/>
      <c r="R202" s="5"/>
      <c r="S202" s="5"/>
      <c r="T202" s="5"/>
      <c r="U202" s="6"/>
      <c r="V202" s="5"/>
      <c r="W202" s="7"/>
      <c r="X202" s="8"/>
      <c r="Y202" s="8"/>
      <c r="Z202" s="2"/>
      <c r="AA202" s="2"/>
      <c r="AB202" s="2"/>
      <c r="AC202" s="2"/>
      <c r="AD202" s="2"/>
    </row>
    <row r="203" ht="12.0" customHeight="1">
      <c r="A203" s="2"/>
      <c r="B203" s="2"/>
      <c r="C203" s="2"/>
      <c r="D203" s="3"/>
      <c r="E203" s="3"/>
      <c r="F203" s="3"/>
      <c r="G203" s="2"/>
      <c r="H203" s="4"/>
      <c r="I203" s="5"/>
      <c r="J203" s="5"/>
      <c r="K203" s="5"/>
      <c r="L203" s="4"/>
      <c r="M203" s="4"/>
      <c r="N203" s="4"/>
      <c r="O203" s="4"/>
      <c r="P203" s="4"/>
      <c r="Q203" s="5"/>
      <c r="R203" s="5"/>
      <c r="S203" s="5"/>
      <c r="T203" s="5"/>
      <c r="U203" s="6"/>
      <c r="V203" s="5"/>
      <c r="W203" s="7"/>
      <c r="X203" s="8"/>
      <c r="Y203" s="8"/>
      <c r="Z203" s="2"/>
      <c r="AA203" s="2"/>
      <c r="AB203" s="2"/>
      <c r="AC203" s="2"/>
      <c r="AD203" s="2"/>
    </row>
    <row r="204" ht="12.0" customHeight="1">
      <c r="A204" s="2"/>
      <c r="B204" s="2"/>
      <c r="C204" s="2"/>
      <c r="D204" s="3"/>
      <c r="E204" s="3"/>
      <c r="F204" s="3"/>
      <c r="G204" s="2"/>
      <c r="H204" s="4"/>
      <c r="I204" s="5"/>
      <c r="J204" s="5"/>
      <c r="K204" s="5"/>
      <c r="L204" s="4"/>
      <c r="M204" s="4"/>
      <c r="N204" s="4"/>
      <c r="O204" s="4"/>
      <c r="P204" s="4"/>
      <c r="Q204" s="5"/>
      <c r="R204" s="5"/>
      <c r="S204" s="5"/>
      <c r="T204" s="5"/>
      <c r="U204" s="6"/>
      <c r="V204" s="5"/>
      <c r="W204" s="7"/>
      <c r="X204" s="8"/>
      <c r="Y204" s="8"/>
      <c r="Z204" s="2"/>
      <c r="AA204" s="2"/>
      <c r="AB204" s="2"/>
      <c r="AC204" s="2"/>
      <c r="AD204" s="2"/>
    </row>
    <row r="205" ht="12.0" customHeight="1">
      <c r="A205" s="2"/>
      <c r="B205" s="2"/>
      <c r="C205" s="2"/>
      <c r="D205" s="3"/>
      <c r="E205" s="3"/>
      <c r="F205" s="3"/>
      <c r="G205" s="2"/>
      <c r="H205" s="4"/>
      <c r="I205" s="5"/>
      <c r="J205" s="5"/>
      <c r="K205" s="5"/>
      <c r="L205" s="4"/>
      <c r="M205" s="4"/>
      <c r="N205" s="4"/>
      <c r="O205" s="4"/>
      <c r="P205" s="4"/>
      <c r="Q205" s="5"/>
      <c r="R205" s="5"/>
      <c r="S205" s="5"/>
      <c r="T205" s="5"/>
      <c r="U205" s="6"/>
      <c r="V205" s="5"/>
      <c r="W205" s="7"/>
      <c r="X205" s="8"/>
      <c r="Y205" s="8"/>
      <c r="Z205" s="2"/>
      <c r="AA205" s="2"/>
      <c r="AB205" s="2"/>
      <c r="AC205" s="2"/>
      <c r="AD205" s="2"/>
    </row>
    <row r="206" ht="12.0" customHeight="1">
      <c r="A206" s="2"/>
      <c r="B206" s="2"/>
      <c r="C206" s="2"/>
      <c r="D206" s="3"/>
      <c r="E206" s="3"/>
      <c r="F206" s="3"/>
      <c r="G206" s="2"/>
      <c r="H206" s="4"/>
      <c r="I206" s="5"/>
      <c r="J206" s="5"/>
      <c r="K206" s="5"/>
      <c r="L206" s="4"/>
      <c r="M206" s="4"/>
      <c r="N206" s="4"/>
      <c r="O206" s="4"/>
      <c r="P206" s="4"/>
      <c r="Q206" s="5"/>
      <c r="R206" s="5"/>
      <c r="S206" s="5"/>
      <c r="T206" s="5"/>
      <c r="U206" s="6"/>
      <c r="V206" s="5"/>
      <c r="W206" s="7"/>
      <c r="X206" s="8"/>
      <c r="Y206" s="8"/>
      <c r="Z206" s="2"/>
      <c r="AA206" s="2"/>
      <c r="AB206" s="2"/>
      <c r="AC206" s="2"/>
      <c r="AD206" s="2"/>
    </row>
    <row r="207" ht="12.0" customHeight="1">
      <c r="A207" s="2"/>
      <c r="B207" s="2"/>
      <c r="C207" s="2"/>
      <c r="D207" s="3"/>
      <c r="E207" s="3"/>
      <c r="F207" s="3"/>
      <c r="G207" s="2"/>
      <c r="H207" s="4"/>
      <c r="I207" s="5"/>
      <c r="J207" s="5"/>
      <c r="K207" s="5"/>
      <c r="L207" s="4"/>
      <c r="M207" s="4"/>
      <c r="N207" s="4"/>
      <c r="O207" s="4"/>
      <c r="P207" s="4"/>
      <c r="Q207" s="5"/>
      <c r="R207" s="5"/>
      <c r="S207" s="5"/>
      <c r="T207" s="5"/>
      <c r="U207" s="6"/>
      <c r="V207" s="5"/>
      <c r="W207" s="7"/>
      <c r="X207" s="8"/>
      <c r="Y207" s="8"/>
      <c r="Z207" s="2"/>
      <c r="AA207" s="2"/>
      <c r="AB207" s="2"/>
      <c r="AC207" s="2"/>
      <c r="AD207" s="2"/>
    </row>
    <row r="208" ht="12.0" customHeight="1">
      <c r="A208" s="2"/>
      <c r="B208" s="2"/>
      <c r="C208" s="2"/>
      <c r="D208" s="3"/>
      <c r="E208" s="3"/>
      <c r="F208" s="3"/>
      <c r="G208" s="2"/>
      <c r="H208" s="4"/>
      <c r="I208" s="5"/>
      <c r="J208" s="5"/>
      <c r="K208" s="5"/>
      <c r="L208" s="4"/>
      <c r="M208" s="4"/>
      <c r="N208" s="4"/>
      <c r="O208" s="4"/>
      <c r="P208" s="4"/>
      <c r="Q208" s="5"/>
      <c r="R208" s="5"/>
      <c r="S208" s="5"/>
      <c r="T208" s="5"/>
      <c r="U208" s="6"/>
      <c r="V208" s="5"/>
      <c r="W208" s="7"/>
      <c r="X208" s="8"/>
      <c r="Y208" s="8"/>
      <c r="Z208" s="2"/>
      <c r="AA208" s="2"/>
      <c r="AB208" s="2"/>
      <c r="AC208" s="2"/>
      <c r="AD208" s="2"/>
    </row>
    <row r="209" ht="12.0" customHeight="1">
      <c r="A209" s="2"/>
      <c r="B209" s="2"/>
      <c r="C209" s="2"/>
      <c r="D209" s="3"/>
      <c r="E209" s="3"/>
      <c r="F209" s="3"/>
      <c r="G209" s="2"/>
      <c r="H209" s="4"/>
      <c r="I209" s="5"/>
      <c r="J209" s="5"/>
      <c r="K209" s="5"/>
      <c r="L209" s="4"/>
      <c r="M209" s="4"/>
      <c r="N209" s="4"/>
      <c r="O209" s="4"/>
      <c r="P209" s="4"/>
      <c r="Q209" s="5"/>
      <c r="R209" s="5"/>
      <c r="S209" s="5"/>
      <c r="T209" s="5"/>
      <c r="U209" s="6"/>
      <c r="V209" s="5"/>
      <c r="W209" s="7"/>
      <c r="X209" s="8"/>
      <c r="Y209" s="8"/>
      <c r="Z209" s="2"/>
      <c r="AA209" s="2"/>
      <c r="AB209" s="2"/>
      <c r="AC209" s="2"/>
      <c r="AD209" s="2"/>
    </row>
    <row r="210" ht="12.0" customHeight="1">
      <c r="A210" s="2"/>
      <c r="B210" s="2"/>
      <c r="C210" s="2"/>
      <c r="D210" s="3"/>
      <c r="E210" s="3"/>
      <c r="F210" s="3"/>
      <c r="G210" s="2"/>
      <c r="H210" s="4"/>
      <c r="I210" s="5"/>
      <c r="J210" s="5"/>
      <c r="K210" s="5"/>
      <c r="L210" s="4"/>
      <c r="M210" s="4"/>
      <c r="N210" s="4"/>
      <c r="O210" s="4"/>
      <c r="P210" s="4"/>
      <c r="Q210" s="5"/>
      <c r="R210" s="5"/>
      <c r="S210" s="5"/>
      <c r="T210" s="5"/>
      <c r="U210" s="6"/>
      <c r="V210" s="5"/>
      <c r="W210" s="7"/>
      <c r="X210" s="8"/>
      <c r="Y210" s="8"/>
      <c r="Z210" s="2"/>
      <c r="AA210" s="2"/>
      <c r="AB210" s="2"/>
      <c r="AC210" s="2"/>
      <c r="AD210" s="2"/>
    </row>
    <row r="211" ht="12.0" customHeight="1">
      <c r="A211" s="2"/>
      <c r="B211" s="2"/>
      <c r="C211" s="2"/>
      <c r="D211" s="3"/>
      <c r="E211" s="3"/>
      <c r="F211" s="3"/>
      <c r="G211" s="2"/>
      <c r="H211" s="4"/>
      <c r="I211" s="5"/>
      <c r="J211" s="5"/>
      <c r="K211" s="5"/>
      <c r="L211" s="4"/>
      <c r="M211" s="4"/>
      <c r="N211" s="4"/>
      <c r="O211" s="4"/>
      <c r="P211" s="4"/>
      <c r="Q211" s="5"/>
      <c r="R211" s="5"/>
      <c r="S211" s="5"/>
      <c r="T211" s="5"/>
      <c r="U211" s="6"/>
      <c r="V211" s="5"/>
      <c r="W211" s="7"/>
      <c r="X211" s="8"/>
      <c r="Y211" s="8"/>
      <c r="Z211" s="2"/>
      <c r="AA211" s="2"/>
      <c r="AB211" s="2"/>
      <c r="AC211" s="2"/>
      <c r="AD211" s="2"/>
    </row>
    <row r="212" ht="12.0" customHeight="1">
      <c r="A212" s="2"/>
      <c r="B212" s="2"/>
      <c r="C212" s="2"/>
      <c r="D212" s="3"/>
      <c r="E212" s="3"/>
      <c r="F212" s="3"/>
      <c r="G212" s="2"/>
      <c r="H212" s="4"/>
      <c r="I212" s="5"/>
      <c r="J212" s="5"/>
      <c r="K212" s="5"/>
      <c r="L212" s="4"/>
      <c r="M212" s="4"/>
      <c r="N212" s="4"/>
      <c r="O212" s="4"/>
      <c r="P212" s="4"/>
      <c r="Q212" s="5"/>
      <c r="R212" s="5"/>
      <c r="S212" s="5"/>
      <c r="T212" s="5"/>
      <c r="U212" s="6"/>
      <c r="V212" s="5"/>
      <c r="W212" s="7"/>
      <c r="X212" s="8"/>
      <c r="Y212" s="8"/>
      <c r="Z212" s="2"/>
      <c r="AA212" s="2"/>
      <c r="AB212" s="2"/>
      <c r="AC212" s="2"/>
      <c r="AD212" s="2"/>
    </row>
    <row r="213" ht="12.0" customHeight="1">
      <c r="A213" s="2"/>
      <c r="B213" s="2"/>
      <c r="C213" s="2"/>
      <c r="D213" s="3"/>
      <c r="E213" s="3"/>
      <c r="F213" s="3"/>
      <c r="G213" s="2"/>
      <c r="H213" s="4"/>
      <c r="I213" s="5"/>
      <c r="J213" s="5"/>
      <c r="K213" s="5"/>
      <c r="L213" s="4"/>
      <c r="M213" s="4"/>
      <c r="N213" s="4"/>
      <c r="O213" s="4"/>
      <c r="P213" s="4"/>
      <c r="Q213" s="5"/>
      <c r="R213" s="5"/>
      <c r="S213" s="5"/>
      <c r="T213" s="5"/>
      <c r="U213" s="6"/>
      <c r="V213" s="5"/>
      <c r="W213" s="7"/>
      <c r="X213" s="8"/>
      <c r="Y213" s="8"/>
      <c r="Z213" s="2"/>
      <c r="AA213" s="2"/>
      <c r="AB213" s="2"/>
      <c r="AC213" s="2"/>
      <c r="AD213" s="2"/>
    </row>
    <row r="214" ht="12.0" customHeight="1">
      <c r="A214" s="2"/>
      <c r="B214" s="2"/>
      <c r="C214" s="2"/>
      <c r="D214" s="3"/>
      <c r="E214" s="3"/>
      <c r="F214" s="3"/>
      <c r="G214" s="2"/>
      <c r="H214" s="4"/>
      <c r="I214" s="5"/>
      <c r="J214" s="5"/>
      <c r="K214" s="5"/>
      <c r="L214" s="4"/>
      <c r="M214" s="4"/>
      <c r="N214" s="4"/>
      <c r="O214" s="4"/>
      <c r="P214" s="4"/>
      <c r="Q214" s="5"/>
      <c r="R214" s="5"/>
      <c r="S214" s="5"/>
      <c r="T214" s="5"/>
      <c r="U214" s="6"/>
      <c r="V214" s="5"/>
      <c r="W214" s="7"/>
      <c r="X214" s="8"/>
      <c r="Y214" s="8"/>
      <c r="Z214" s="2"/>
      <c r="AA214" s="2"/>
      <c r="AB214" s="2"/>
      <c r="AC214" s="2"/>
      <c r="AD214" s="2"/>
    </row>
    <row r="215" ht="12.0" customHeight="1">
      <c r="A215" s="2"/>
      <c r="B215" s="2"/>
      <c r="C215" s="2"/>
      <c r="D215" s="3"/>
      <c r="E215" s="3"/>
      <c r="F215" s="3"/>
      <c r="G215" s="2"/>
      <c r="H215" s="4"/>
      <c r="I215" s="5"/>
      <c r="J215" s="5"/>
      <c r="K215" s="5"/>
      <c r="L215" s="4"/>
      <c r="M215" s="4"/>
      <c r="N215" s="4"/>
      <c r="O215" s="4"/>
      <c r="P215" s="4"/>
      <c r="Q215" s="5"/>
      <c r="R215" s="5"/>
      <c r="S215" s="5"/>
      <c r="T215" s="5"/>
      <c r="U215" s="6"/>
      <c r="V215" s="5"/>
      <c r="W215" s="7"/>
      <c r="X215" s="8"/>
      <c r="Y215" s="8"/>
      <c r="Z215" s="2"/>
      <c r="AA215" s="2"/>
      <c r="AB215" s="2"/>
      <c r="AC215" s="2"/>
      <c r="AD215" s="2"/>
    </row>
    <row r="216" ht="12.0" customHeight="1">
      <c r="A216" s="2"/>
      <c r="B216" s="2"/>
      <c r="C216" s="2"/>
      <c r="D216" s="3"/>
      <c r="E216" s="3"/>
      <c r="F216" s="3"/>
      <c r="G216" s="2"/>
      <c r="H216" s="4"/>
      <c r="I216" s="5"/>
      <c r="J216" s="5"/>
      <c r="K216" s="5"/>
      <c r="L216" s="4"/>
      <c r="M216" s="4"/>
      <c r="N216" s="4"/>
      <c r="O216" s="4"/>
      <c r="P216" s="4"/>
      <c r="Q216" s="5"/>
      <c r="R216" s="5"/>
      <c r="S216" s="5"/>
      <c r="T216" s="5"/>
      <c r="U216" s="6"/>
      <c r="V216" s="5"/>
      <c r="W216" s="7"/>
      <c r="X216" s="8"/>
      <c r="Y216" s="8"/>
      <c r="Z216" s="2"/>
      <c r="AA216" s="2"/>
      <c r="AB216" s="2"/>
      <c r="AC216" s="2"/>
      <c r="AD216" s="2"/>
    </row>
    <row r="217" ht="12.0" customHeight="1">
      <c r="A217" s="2"/>
      <c r="B217" s="2"/>
      <c r="C217" s="2"/>
      <c r="D217" s="3"/>
      <c r="E217" s="3"/>
      <c r="F217" s="3"/>
      <c r="G217" s="2"/>
      <c r="H217" s="4"/>
      <c r="I217" s="5"/>
      <c r="J217" s="5"/>
      <c r="K217" s="5"/>
      <c r="L217" s="4"/>
      <c r="M217" s="4"/>
      <c r="N217" s="4"/>
      <c r="O217" s="4"/>
      <c r="P217" s="4"/>
      <c r="Q217" s="5"/>
      <c r="R217" s="5"/>
      <c r="S217" s="5"/>
      <c r="T217" s="5"/>
      <c r="U217" s="6"/>
      <c r="V217" s="5"/>
      <c r="W217" s="7"/>
      <c r="X217" s="8"/>
      <c r="Y217" s="8"/>
      <c r="Z217" s="2"/>
      <c r="AA217" s="2"/>
      <c r="AB217" s="2"/>
      <c r="AC217" s="2"/>
      <c r="AD217" s="2"/>
    </row>
    <row r="218" ht="12.0" customHeight="1">
      <c r="A218" s="2"/>
      <c r="B218" s="2"/>
      <c r="C218" s="2"/>
      <c r="D218" s="3"/>
      <c r="E218" s="3"/>
      <c r="F218" s="3"/>
      <c r="G218" s="2"/>
      <c r="H218" s="4"/>
      <c r="I218" s="5"/>
      <c r="J218" s="5"/>
      <c r="K218" s="5"/>
      <c r="L218" s="4"/>
      <c r="M218" s="4"/>
      <c r="N218" s="4"/>
      <c r="O218" s="4"/>
      <c r="P218" s="4"/>
      <c r="Q218" s="5"/>
      <c r="R218" s="5"/>
      <c r="S218" s="5"/>
      <c r="T218" s="5"/>
      <c r="U218" s="6"/>
      <c r="V218" s="5"/>
      <c r="W218" s="7"/>
      <c r="X218" s="8"/>
      <c r="Y218" s="8"/>
      <c r="Z218" s="2"/>
      <c r="AA218" s="2"/>
      <c r="AB218" s="2"/>
      <c r="AC218" s="2"/>
      <c r="AD218" s="2"/>
    </row>
    <row r="219" ht="12.0" customHeight="1">
      <c r="A219" s="2"/>
      <c r="B219" s="2"/>
      <c r="C219" s="2"/>
      <c r="D219" s="3"/>
      <c r="E219" s="3"/>
      <c r="F219" s="3"/>
      <c r="G219" s="2"/>
      <c r="H219" s="4"/>
      <c r="I219" s="5"/>
      <c r="J219" s="5"/>
      <c r="K219" s="5"/>
      <c r="L219" s="4"/>
      <c r="M219" s="4"/>
      <c r="N219" s="4"/>
      <c r="O219" s="4"/>
      <c r="P219" s="4"/>
      <c r="Q219" s="5"/>
      <c r="R219" s="5"/>
      <c r="S219" s="5"/>
      <c r="T219" s="5"/>
      <c r="U219" s="6"/>
      <c r="V219" s="5"/>
      <c r="W219" s="7"/>
      <c r="X219" s="8"/>
      <c r="Y219" s="8"/>
      <c r="Z219" s="2"/>
      <c r="AA219" s="2"/>
      <c r="AB219" s="2"/>
      <c r="AC219" s="2"/>
      <c r="AD219" s="2"/>
    </row>
    <row r="220" ht="12.0" customHeight="1">
      <c r="A220" s="2"/>
      <c r="B220" s="2"/>
      <c r="C220" s="2"/>
      <c r="D220" s="3"/>
      <c r="E220" s="3"/>
      <c r="F220" s="3"/>
      <c r="G220" s="2"/>
      <c r="H220" s="4"/>
      <c r="I220" s="5"/>
      <c r="J220" s="5"/>
      <c r="K220" s="5"/>
      <c r="L220" s="4"/>
      <c r="M220" s="4"/>
      <c r="N220" s="4"/>
      <c r="O220" s="4"/>
      <c r="P220" s="4"/>
      <c r="Q220" s="5"/>
      <c r="R220" s="5"/>
      <c r="S220" s="5"/>
      <c r="T220" s="5"/>
      <c r="U220" s="6"/>
      <c r="V220" s="5"/>
      <c r="W220" s="7"/>
      <c r="X220" s="8"/>
      <c r="Y220" s="8"/>
      <c r="Z220" s="2"/>
      <c r="AA220" s="2"/>
      <c r="AB220" s="2"/>
      <c r="AC220" s="2"/>
      <c r="AD220" s="2"/>
    </row>
    <row r="221" ht="12.0" customHeight="1">
      <c r="A221" s="2"/>
      <c r="B221" s="2"/>
      <c r="C221" s="2"/>
      <c r="D221" s="3"/>
      <c r="E221" s="3"/>
      <c r="F221" s="3"/>
      <c r="G221" s="2"/>
      <c r="H221" s="4"/>
      <c r="I221" s="5"/>
      <c r="J221" s="5"/>
      <c r="K221" s="5"/>
      <c r="L221" s="4"/>
      <c r="M221" s="4"/>
      <c r="N221" s="4"/>
      <c r="O221" s="4"/>
      <c r="P221" s="4"/>
      <c r="Q221" s="5"/>
      <c r="R221" s="5"/>
      <c r="S221" s="5"/>
      <c r="T221" s="5"/>
      <c r="U221" s="6"/>
      <c r="V221" s="5"/>
      <c r="W221" s="7"/>
      <c r="X221" s="8"/>
      <c r="Y221" s="8"/>
      <c r="Z221" s="2"/>
      <c r="AA221" s="2"/>
      <c r="AB221" s="2"/>
      <c r="AC221" s="2"/>
      <c r="AD221" s="2"/>
    </row>
    <row r="222" ht="12.0" customHeight="1">
      <c r="A222" s="2"/>
      <c r="B222" s="2"/>
      <c r="C222" s="2"/>
      <c r="D222" s="3"/>
      <c r="E222" s="3"/>
      <c r="F222" s="3"/>
      <c r="G222" s="2"/>
      <c r="H222" s="4"/>
      <c r="I222" s="5"/>
      <c r="J222" s="5"/>
      <c r="K222" s="5"/>
      <c r="L222" s="4"/>
      <c r="M222" s="4"/>
      <c r="N222" s="4"/>
      <c r="O222" s="4"/>
      <c r="P222" s="4"/>
      <c r="Q222" s="5"/>
      <c r="R222" s="5"/>
      <c r="S222" s="5"/>
      <c r="T222" s="5"/>
      <c r="U222" s="6"/>
      <c r="V222" s="5"/>
      <c r="W222" s="7"/>
      <c r="X222" s="8"/>
      <c r="Y222" s="8"/>
      <c r="Z222" s="2"/>
      <c r="AA222" s="2"/>
      <c r="AB222" s="2"/>
      <c r="AC222" s="2"/>
      <c r="AD222" s="2"/>
    </row>
    <row r="223" ht="12.0" customHeight="1">
      <c r="A223" s="2"/>
      <c r="B223" s="2"/>
      <c r="C223" s="2"/>
      <c r="D223" s="3"/>
      <c r="E223" s="3"/>
      <c r="F223" s="3"/>
      <c r="G223" s="2"/>
      <c r="H223" s="4"/>
      <c r="I223" s="5"/>
      <c r="J223" s="5"/>
      <c r="K223" s="5"/>
      <c r="L223" s="4"/>
      <c r="M223" s="4"/>
      <c r="N223" s="4"/>
      <c r="O223" s="4"/>
      <c r="P223" s="4"/>
      <c r="Q223" s="5"/>
      <c r="R223" s="5"/>
      <c r="S223" s="5"/>
      <c r="T223" s="5"/>
      <c r="U223" s="6"/>
      <c r="V223" s="5"/>
      <c r="W223" s="7"/>
      <c r="X223" s="8"/>
      <c r="Y223" s="8"/>
      <c r="Z223" s="2"/>
      <c r="AA223" s="2"/>
      <c r="AB223" s="2"/>
      <c r="AC223" s="2"/>
      <c r="AD223" s="2"/>
    </row>
    <row r="224" ht="12.0" customHeight="1">
      <c r="A224" s="2"/>
      <c r="B224" s="2"/>
      <c r="C224" s="2"/>
      <c r="D224" s="3"/>
      <c r="E224" s="3"/>
      <c r="F224" s="3"/>
      <c r="G224" s="2"/>
      <c r="H224" s="4"/>
      <c r="I224" s="5"/>
      <c r="J224" s="5"/>
      <c r="K224" s="5"/>
      <c r="L224" s="4"/>
      <c r="M224" s="4"/>
      <c r="N224" s="4"/>
      <c r="O224" s="4"/>
      <c r="P224" s="4"/>
      <c r="Q224" s="5"/>
      <c r="R224" s="5"/>
      <c r="S224" s="5"/>
      <c r="T224" s="5"/>
      <c r="U224" s="6"/>
      <c r="V224" s="5"/>
      <c r="W224" s="7"/>
      <c r="X224" s="8"/>
      <c r="Y224" s="8"/>
      <c r="Z224" s="2"/>
      <c r="AA224" s="2"/>
      <c r="AB224" s="2"/>
      <c r="AC224" s="2"/>
      <c r="AD224" s="2"/>
    </row>
    <row r="225" ht="12.0" customHeight="1">
      <c r="A225" s="2"/>
      <c r="B225" s="2"/>
      <c r="C225" s="2"/>
      <c r="D225" s="3"/>
      <c r="E225" s="3"/>
      <c r="F225" s="3"/>
      <c r="G225" s="2"/>
      <c r="H225" s="4"/>
      <c r="I225" s="5"/>
      <c r="J225" s="5"/>
      <c r="K225" s="5"/>
      <c r="L225" s="4"/>
      <c r="M225" s="4"/>
      <c r="N225" s="4"/>
      <c r="O225" s="4"/>
      <c r="P225" s="4"/>
      <c r="Q225" s="5"/>
      <c r="R225" s="5"/>
      <c r="S225" s="5"/>
      <c r="T225" s="5"/>
      <c r="U225" s="6"/>
      <c r="V225" s="5"/>
      <c r="W225" s="7"/>
      <c r="X225" s="8"/>
      <c r="Y225" s="8"/>
      <c r="Z225" s="2"/>
      <c r="AA225" s="2"/>
      <c r="AB225" s="2"/>
      <c r="AC225" s="2"/>
      <c r="AD225" s="2"/>
    </row>
    <row r="226" ht="12.0" customHeight="1">
      <c r="A226" s="2"/>
      <c r="B226" s="2"/>
      <c r="C226" s="2"/>
      <c r="D226" s="3"/>
      <c r="E226" s="3"/>
      <c r="F226" s="3"/>
      <c r="G226" s="2"/>
      <c r="H226" s="4"/>
      <c r="I226" s="5"/>
      <c r="J226" s="5"/>
      <c r="K226" s="5"/>
      <c r="L226" s="4"/>
      <c r="M226" s="4"/>
      <c r="N226" s="4"/>
      <c r="O226" s="4"/>
      <c r="P226" s="4"/>
      <c r="Q226" s="5"/>
      <c r="R226" s="5"/>
      <c r="S226" s="5"/>
      <c r="T226" s="5"/>
      <c r="U226" s="6"/>
      <c r="V226" s="5"/>
      <c r="W226" s="7"/>
      <c r="X226" s="8"/>
      <c r="Y226" s="8"/>
      <c r="Z226" s="2"/>
      <c r="AA226" s="2"/>
      <c r="AB226" s="2"/>
      <c r="AC226" s="2"/>
      <c r="AD226" s="2"/>
    </row>
    <row r="227" ht="12.0" customHeight="1">
      <c r="A227" s="2"/>
      <c r="B227" s="2"/>
      <c r="C227" s="2"/>
      <c r="D227" s="3"/>
      <c r="E227" s="3"/>
      <c r="F227" s="3"/>
      <c r="G227" s="2"/>
      <c r="H227" s="4"/>
      <c r="I227" s="5"/>
      <c r="J227" s="5"/>
      <c r="K227" s="5"/>
      <c r="L227" s="4"/>
      <c r="M227" s="4"/>
      <c r="N227" s="4"/>
      <c r="O227" s="4"/>
      <c r="P227" s="4"/>
      <c r="Q227" s="5"/>
      <c r="R227" s="5"/>
      <c r="S227" s="5"/>
      <c r="T227" s="5"/>
      <c r="U227" s="6"/>
      <c r="V227" s="5"/>
      <c r="W227" s="7"/>
      <c r="X227" s="8"/>
      <c r="Y227" s="8"/>
      <c r="Z227" s="2"/>
      <c r="AA227" s="2"/>
      <c r="AB227" s="2"/>
      <c r="AC227" s="2"/>
      <c r="AD227" s="2"/>
    </row>
    <row r="228" ht="12.0" customHeight="1">
      <c r="A228" s="2"/>
      <c r="B228" s="2"/>
      <c r="C228" s="2"/>
      <c r="D228" s="3"/>
      <c r="E228" s="3"/>
      <c r="F228" s="3"/>
      <c r="G228" s="2"/>
      <c r="H228" s="4"/>
      <c r="I228" s="5"/>
      <c r="J228" s="5"/>
      <c r="K228" s="5"/>
      <c r="L228" s="4"/>
      <c r="M228" s="4"/>
      <c r="N228" s="4"/>
      <c r="O228" s="4"/>
      <c r="P228" s="4"/>
      <c r="Q228" s="5"/>
      <c r="R228" s="5"/>
      <c r="S228" s="5"/>
      <c r="T228" s="5"/>
      <c r="U228" s="6"/>
      <c r="V228" s="5"/>
      <c r="W228" s="7"/>
      <c r="X228" s="8"/>
      <c r="Y228" s="8"/>
      <c r="Z228" s="2"/>
      <c r="AA228" s="2"/>
      <c r="AB228" s="2"/>
      <c r="AC228" s="2"/>
      <c r="AD228" s="2"/>
    </row>
    <row r="229" ht="12.0" customHeight="1">
      <c r="A229" s="2"/>
      <c r="B229" s="2"/>
      <c r="C229" s="2"/>
      <c r="D229" s="3"/>
      <c r="E229" s="3"/>
      <c r="F229" s="3"/>
      <c r="G229" s="2"/>
      <c r="H229" s="4"/>
      <c r="I229" s="5"/>
      <c r="J229" s="5"/>
      <c r="K229" s="5"/>
      <c r="L229" s="4"/>
      <c r="M229" s="4"/>
      <c r="N229" s="4"/>
      <c r="O229" s="4"/>
      <c r="P229" s="4"/>
      <c r="Q229" s="5"/>
      <c r="R229" s="5"/>
      <c r="S229" s="5"/>
      <c r="T229" s="5"/>
      <c r="U229" s="6"/>
      <c r="V229" s="5"/>
      <c r="W229" s="7"/>
      <c r="X229" s="8"/>
      <c r="Y229" s="8"/>
      <c r="Z229" s="2"/>
      <c r="AA229" s="2"/>
      <c r="AB229" s="2"/>
      <c r="AC229" s="2"/>
      <c r="AD229" s="2"/>
    </row>
    <row r="230" ht="12.0" customHeight="1">
      <c r="A230" s="2"/>
      <c r="B230" s="2"/>
      <c r="C230" s="2"/>
      <c r="D230" s="3"/>
      <c r="E230" s="3"/>
      <c r="F230" s="3"/>
      <c r="G230" s="2"/>
      <c r="H230" s="4"/>
      <c r="I230" s="5"/>
      <c r="J230" s="5"/>
      <c r="K230" s="5"/>
      <c r="L230" s="4"/>
      <c r="M230" s="4"/>
      <c r="N230" s="4"/>
      <c r="O230" s="4"/>
      <c r="P230" s="4"/>
      <c r="Q230" s="5"/>
      <c r="R230" s="5"/>
      <c r="S230" s="5"/>
      <c r="T230" s="5"/>
      <c r="U230" s="6"/>
      <c r="V230" s="5"/>
      <c r="W230" s="7"/>
      <c r="X230" s="8"/>
      <c r="Y230" s="8"/>
      <c r="Z230" s="2"/>
      <c r="AA230" s="2"/>
      <c r="AB230" s="2"/>
      <c r="AC230" s="2"/>
      <c r="AD230" s="2"/>
    </row>
    <row r="231" ht="12.0" customHeight="1">
      <c r="A231" s="2"/>
      <c r="B231" s="2"/>
      <c r="C231" s="2"/>
      <c r="D231" s="3"/>
      <c r="E231" s="3"/>
      <c r="F231" s="3"/>
      <c r="G231" s="2"/>
      <c r="H231" s="4"/>
      <c r="I231" s="5"/>
      <c r="J231" s="5"/>
      <c r="K231" s="5"/>
      <c r="L231" s="4"/>
      <c r="M231" s="4"/>
      <c r="N231" s="4"/>
      <c r="O231" s="4"/>
      <c r="P231" s="4"/>
      <c r="Q231" s="5"/>
      <c r="R231" s="5"/>
      <c r="S231" s="5"/>
      <c r="T231" s="5"/>
      <c r="U231" s="6"/>
      <c r="V231" s="5"/>
      <c r="W231" s="7"/>
      <c r="X231" s="8"/>
      <c r="Y231" s="8"/>
      <c r="Z231" s="2"/>
      <c r="AA231" s="2"/>
      <c r="AB231" s="2"/>
      <c r="AC231" s="2"/>
      <c r="AD231" s="2"/>
    </row>
    <row r="232" ht="12.0" customHeight="1">
      <c r="A232" s="2"/>
      <c r="B232" s="2"/>
      <c r="C232" s="2"/>
      <c r="D232" s="3"/>
      <c r="E232" s="3"/>
      <c r="F232" s="3"/>
      <c r="G232" s="2"/>
      <c r="H232" s="4"/>
      <c r="I232" s="5"/>
      <c r="J232" s="5"/>
      <c r="K232" s="5"/>
      <c r="L232" s="4"/>
      <c r="M232" s="4"/>
      <c r="N232" s="4"/>
      <c r="O232" s="4"/>
      <c r="P232" s="4"/>
      <c r="Q232" s="5"/>
      <c r="R232" s="5"/>
      <c r="S232" s="5"/>
      <c r="T232" s="5"/>
      <c r="U232" s="6"/>
      <c r="V232" s="5"/>
      <c r="W232" s="7"/>
      <c r="X232" s="8"/>
      <c r="Y232" s="8"/>
      <c r="Z232" s="2"/>
      <c r="AA232" s="2"/>
      <c r="AB232" s="2"/>
      <c r="AC232" s="2"/>
      <c r="AD232" s="2"/>
    </row>
    <row r="233" ht="12.0" customHeight="1">
      <c r="A233" s="2"/>
      <c r="B233" s="2"/>
      <c r="C233" s="2"/>
      <c r="D233" s="3"/>
      <c r="E233" s="3"/>
      <c r="F233" s="3"/>
      <c r="G233" s="2"/>
      <c r="H233" s="4"/>
      <c r="I233" s="5"/>
      <c r="J233" s="5"/>
      <c r="K233" s="5"/>
      <c r="L233" s="4"/>
      <c r="M233" s="4"/>
      <c r="N233" s="4"/>
      <c r="O233" s="4"/>
      <c r="P233" s="4"/>
      <c r="Q233" s="5"/>
      <c r="R233" s="5"/>
      <c r="S233" s="5"/>
      <c r="T233" s="5"/>
      <c r="U233" s="6"/>
      <c r="V233" s="5"/>
      <c r="W233" s="7"/>
      <c r="X233" s="8"/>
      <c r="Y233" s="8"/>
      <c r="Z233" s="2"/>
      <c r="AA233" s="2"/>
      <c r="AB233" s="2"/>
      <c r="AC233" s="2"/>
      <c r="AD233" s="2"/>
    </row>
    <row r="234" ht="12.0" customHeight="1">
      <c r="A234" s="2"/>
      <c r="B234" s="2"/>
      <c r="C234" s="2"/>
      <c r="D234" s="3"/>
      <c r="E234" s="3"/>
      <c r="F234" s="3"/>
      <c r="G234" s="2"/>
      <c r="H234" s="4"/>
      <c r="I234" s="5"/>
      <c r="J234" s="5"/>
      <c r="K234" s="5"/>
      <c r="L234" s="4"/>
      <c r="M234" s="4"/>
      <c r="N234" s="4"/>
      <c r="O234" s="4"/>
      <c r="P234" s="4"/>
      <c r="Q234" s="5"/>
      <c r="R234" s="5"/>
      <c r="S234" s="5"/>
      <c r="T234" s="5"/>
      <c r="U234" s="6"/>
      <c r="V234" s="5"/>
      <c r="W234" s="7"/>
      <c r="X234" s="8"/>
      <c r="Y234" s="8"/>
      <c r="Z234" s="2"/>
      <c r="AA234" s="2"/>
      <c r="AB234" s="2"/>
      <c r="AC234" s="2"/>
      <c r="AD234" s="2"/>
    </row>
    <row r="235" ht="12.0" customHeight="1">
      <c r="A235" s="2"/>
      <c r="B235" s="2"/>
      <c r="C235" s="2"/>
      <c r="D235" s="3"/>
      <c r="E235" s="3"/>
      <c r="F235" s="3"/>
      <c r="G235" s="2"/>
      <c r="H235" s="4"/>
      <c r="I235" s="5"/>
      <c r="J235" s="5"/>
      <c r="K235" s="5"/>
      <c r="L235" s="4"/>
      <c r="M235" s="4"/>
      <c r="N235" s="4"/>
      <c r="O235" s="4"/>
      <c r="P235" s="4"/>
      <c r="Q235" s="5"/>
      <c r="R235" s="5"/>
      <c r="S235" s="5"/>
      <c r="T235" s="5"/>
      <c r="U235" s="6"/>
      <c r="V235" s="5"/>
      <c r="W235" s="7"/>
      <c r="X235" s="8"/>
      <c r="Y235" s="8"/>
      <c r="Z235" s="2"/>
      <c r="AA235" s="2"/>
      <c r="AB235" s="2"/>
      <c r="AC235" s="2"/>
      <c r="AD235" s="2"/>
    </row>
    <row r="236" ht="12.0" customHeight="1">
      <c r="A236" s="2"/>
      <c r="B236" s="2"/>
      <c r="C236" s="2"/>
      <c r="D236" s="3"/>
      <c r="E236" s="3"/>
      <c r="F236" s="3"/>
      <c r="G236" s="2"/>
      <c r="H236" s="4"/>
      <c r="I236" s="5"/>
      <c r="J236" s="5"/>
      <c r="K236" s="5"/>
      <c r="L236" s="4"/>
      <c r="M236" s="4"/>
      <c r="N236" s="4"/>
      <c r="O236" s="4"/>
      <c r="P236" s="4"/>
      <c r="Q236" s="5"/>
      <c r="R236" s="5"/>
      <c r="S236" s="5"/>
      <c r="T236" s="5"/>
      <c r="U236" s="6"/>
      <c r="V236" s="5"/>
      <c r="W236" s="7"/>
      <c r="X236" s="8"/>
      <c r="Y236" s="8"/>
      <c r="Z236" s="2"/>
      <c r="AA236" s="2"/>
      <c r="AB236" s="2"/>
      <c r="AC236" s="2"/>
      <c r="AD236" s="2"/>
    </row>
    <row r="237" ht="12.0" customHeight="1">
      <c r="A237" s="2"/>
      <c r="B237" s="2"/>
      <c r="C237" s="2"/>
      <c r="D237" s="3"/>
      <c r="E237" s="3"/>
      <c r="F237" s="3"/>
      <c r="G237" s="2"/>
      <c r="H237" s="4"/>
      <c r="I237" s="5"/>
      <c r="J237" s="5"/>
      <c r="K237" s="5"/>
      <c r="L237" s="4"/>
      <c r="M237" s="4"/>
      <c r="N237" s="4"/>
      <c r="O237" s="4"/>
      <c r="P237" s="4"/>
      <c r="Q237" s="5"/>
      <c r="R237" s="5"/>
      <c r="S237" s="5"/>
      <c r="T237" s="5"/>
      <c r="U237" s="6"/>
      <c r="V237" s="5"/>
      <c r="W237" s="7"/>
      <c r="X237" s="8"/>
      <c r="Y237" s="8"/>
      <c r="Z237" s="2"/>
      <c r="AA237" s="2"/>
      <c r="AB237" s="2"/>
      <c r="AC237" s="2"/>
      <c r="AD237" s="2"/>
    </row>
    <row r="238" ht="12.0" customHeight="1">
      <c r="A238" s="2"/>
      <c r="B238" s="2"/>
      <c r="C238" s="2"/>
      <c r="D238" s="3"/>
      <c r="E238" s="3"/>
      <c r="F238" s="3"/>
      <c r="G238" s="2"/>
      <c r="H238" s="4"/>
      <c r="I238" s="5"/>
      <c r="J238" s="5"/>
      <c r="K238" s="5"/>
      <c r="L238" s="4"/>
      <c r="M238" s="4"/>
      <c r="N238" s="4"/>
      <c r="O238" s="4"/>
      <c r="P238" s="4"/>
      <c r="Q238" s="5"/>
      <c r="R238" s="5"/>
      <c r="S238" s="5"/>
      <c r="T238" s="5"/>
      <c r="U238" s="6"/>
      <c r="V238" s="5"/>
      <c r="W238" s="7"/>
      <c r="X238" s="8"/>
      <c r="Y238" s="8"/>
      <c r="Z238" s="2"/>
      <c r="AA238" s="2"/>
      <c r="AB238" s="2"/>
      <c r="AC238" s="2"/>
      <c r="AD238" s="2"/>
    </row>
    <row r="239" ht="12.0" customHeight="1">
      <c r="A239" s="2"/>
      <c r="B239" s="2"/>
      <c r="C239" s="2"/>
      <c r="D239" s="3"/>
      <c r="E239" s="3"/>
      <c r="F239" s="3"/>
      <c r="G239" s="2"/>
      <c r="H239" s="4"/>
      <c r="I239" s="5"/>
      <c r="J239" s="5"/>
      <c r="K239" s="5"/>
      <c r="L239" s="4"/>
      <c r="M239" s="4"/>
      <c r="N239" s="4"/>
      <c r="O239" s="4"/>
      <c r="P239" s="4"/>
      <c r="Q239" s="5"/>
      <c r="R239" s="5"/>
      <c r="S239" s="5"/>
      <c r="T239" s="5"/>
      <c r="U239" s="6"/>
      <c r="V239" s="5"/>
      <c r="W239" s="7"/>
      <c r="X239" s="8"/>
      <c r="Y239" s="8"/>
      <c r="Z239" s="2"/>
      <c r="AA239" s="2"/>
      <c r="AB239" s="2"/>
      <c r="AC239" s="2"/>
      <c r="AD239" s="2"/>
    </row>
    <row r="240" ht="12.0" customHeight="1">
      <c r="A240" s="2"/>
      <c r="B240" s="2"/>
      <c r="C240" s="2"/>
      <c r="D240" s="3"/>
      <c r="E240" s="3"/>
      <c r="F240" s="3"/>
      <c r="G240" s="2"/>
      <c r="H240" s="4"/>
      <c r="I240" s="5"/>
      <c r="J240" s="5"/>
      <c r="K240" s="5"/>
      <c r="L240" s="4"/>
      <c r="M240" s="4"/>
      <c r="N240" s="4"/>
      <c r="O240" s="4"/>
      <c r="P240" s="4"/>
      <c r="Q240" s="5"/>
      <c r="R240" s="5"/>
      <c r="S240" s="5"/>
      <c r="T240" s="5"/>
      <c r="U240" s="6"/>
      <c r="V240" s="5"/>
      <c r="W240" s="7"/>
      <c r="X240" s="8"/>
      <c r="Y240" s="8"/>
      <c r="Z240" s="2"/>
      <c r="AA240" s="2"/>
      <c r="AB240" s="2"/>
      <c r="AC240" s="2"/>
      <c r="AD240" s="2"/>
    </row>
    <row r="241" ht="12.0" customHeight="1">
      <c r="A241" s="2"/>
      <c r="B241" s="2"/>
      <c r="C241" s="2"/>
      <c r="D241" s="3"/>
      <c r="E241" s="3"/>
      <c r="F241" s="3"/>
      <c r="G241" s="2"/>
      <c r="H241" s="4"/>
      <c r="I241" s="5"/>
      <c r="J241" s="5"/>
      <c r="K241" s="5"/>
      <c r="L241" s="4"/>
      <c r="M241" s="4"/>
      <c r="N241" s="4"/>
      <c r="O241" s="4"/>
      <c r="P241" s="4"/>
      <c r="Q241" s="5"/>
      <c r="R241" s="5"/>
      <c r="S241" s="5"/>
      <c r="T241" s="5"/>
      <c r="U241" s="6"/>
      <c r="V241" s="5"/>
      <c r="W241" s="7"/>
      <c r="X241" s="8"/>
      <c r="Y241" s="8"/>
      <c r="Z241" s="2"/>
      <c r="AA241" s="2"/>
      <c r="AB241" s="2"/>
      <c r="AC241" s="2"/>
      <c r="AD241" s="2"/>
    </row>
    <row r="242" ht="12.0" customHeight="1">
      <c r="A242" s="2"/>
      <c r="B242" s="2"/>
      <c r="C242" s="2"/>
      <c r="D242" s="3"/>
      <c r="E242" s="3"/>
      <c r="F242" s="3"/>
      <c r="G242" s="2"/>
      <c r="H242" s="4"/>
      <c r="I242" s="5"/>
      <c r="J242" s="5"/>
      <c r="K242" s="5"/>
      <c r="L242" s="4"/>
      <c r="M242" s="4"/>
      <c r="N242" s="4"/>
      <c r="O242" s="4"/>
      <c r="P242" s="4"/>
      <c r="Q242" s="5"/>
      <c r="R242" s="5"/>
      <c r="S242" s="5"/>
      <c r="T242" s="5"/>
      <c r="U242" s="6"/>
      <c r="V242" s="5"/>
      <c r="W242" s="7"/>
      <c r="X242" s="8"/>
      <c r="Y242" s="8"/>
      <c r="Z242" s="2"/>
      <c r="AA242" s="2"/>
      <c r="AB242" s="2"/>
      <c r="AC242" s="2"/>
      <c r="AD242" s="2"/>
    </row>
    <row r="243" ht="12.0" customHeight="1">
      <c r="A243" s="2"/>
      <c r="B243" s="2"/>
      <c r="C243" s="2"/>
      <c r="D243" s="3"/>
      <c r="E243" s="3"/>
      <c r="F243" s="3"/>
      <c r="G243" s="2"/>
      <c r="H243" s="4"/>
      <c r="I243" s="5"/>
      <c r="J243" s="5"/>
      <c r="K243" s="5"/>
      <c r="L243" s="4"/>
      <c r="M243" s="4"/>
      <c r="N243" s="4"/>
      <c r="O243" s="4"/>
      <c r="P243" s="4"/>
      <c r="Q243" s="5"/>
      <c r="R243" s="5"/>
      <c r="S243" s="5"/>
      <c r="T243" s="5"/>
      <c r="U243" s="6"/>
      <c r="V243" s="5"/>
      <c r="W243" s="7"/>
      <c r="X243" s="8"/>
      <c r="Y243" s="8"/>
      <c r="Z243" s="2"/>
      <c r="AA243" s="2"/>
      <c r="AB243" s="2"/>
      <c r="AC243" s="2"/>
      <c r="AD243" s="2"/>
    </row>
    <row r="244" ht="12.0" customHeight="1">
      <c r="A244" s="2"/>
      <c r="B244" s="2"/>
      <c r="C244" s="2"/>
      <c r="D244" s="3"/>
      <c r="E244" s="3"/>
      <c r="F244" s="3"/>
      <c r="G244" s="2"/>
      <c r="H244" s="4"/>
      <c r="I244" s="5"/>
      <c r="J244" s="5"/>
      <c r="K244" s="5"/>
      <c r="L244" s="4"/>
      <c r="M244" s="4"/>
      <c r="N244" s="4"/>
      <c r="O244" s="4"/>
      <c r="P244" s="4"/>
      <c r="Q244" s="5"/>
      <c r="R244" s="5"/>
      <c r="S244" s="5"/>
      <c r="T244" s="5"/>
      <c r="U244" s="6"/>
      <c r="V244" s="5"/>
      <c r="W244" s="7"/>
      <c r="X244" s="8"/>
      <c r="Y244" s="8"/>
      <c r="Z244" s="2"/>
      <c r="AA244" s="2"/>
      <c r="AB244" s="2"/>
      <c r="AC244" s="2"/>
      <c r="AD244" s="2"/>
    </row>
    <row r="245" ht="12.0" customHeight="1">
      <c r="A245" s="2"/>
      <c r="B245" s="2"/>
      <c r="C245" s="2"/>
      <c r="D245" s="3"/>
      <c r="E245" s="3"/>
      <c r="F245" s="3"/>
      <c r="G245" s="2"/>
      <c r="H245" s="4"/>
      <c r="I245" s="5"/>
      <c r="J245" s="5"/>
      <c r="K245" s="5"/>
      <c r="L245" s="4"/>
      <c r="M245" s="4"/>
      <c r="N245" s="4"/>
      <c r="O245" s="4"/>
      <c r="P245" s="4"/>
      <c r="Q245" s="5"/>
      <c r="R245" s="5"/>
      <c r="S245" s="5"/>
      <c r="T245" s="5"/>
      <c r="U245" s="6"/>
      <c r="V245" s="5"/>
      <c r="W245" s="7"/>
      <c r="X245" s="8"/>
      <c r="Y245" s="8"/>
      <c r="Z245" s="2"/>
      <c r="AA245" s="2"/>
      <c r="AB245" s="2"/>
      <c r="AC245" s="2"/>
      <c r="AD245" s="2"/>
    </row>
    <row r="246" ht="12.0" customHeight="1">
      <c r="A246" s="2"/>
      <c r="B246" s="2"/>
      <c r="C246" s="2"/>
      <c r="D246" s="3"/>
      <c r="E246" s="3"/>
      <c r="F246" s="3"/>
      <c r="G246" s="2"/>
      <c r="H246" s="4"/>
      <c r="I246" s="5"/>
      <c r="J246" s="5"/>
      <c r="K246" s="5"/>
      <c r="L246" s="4"/>
      <c r="M246" s="4"/>
      <c r="N246" s="4"/>
      <c r="O246" s="4"/>
      <c r="P246" s="4"/>
      <c r="Q246" s="5"/>
      <c r="R246" s="5"/>
      <c r="S246" s="5"/>
      <c r="T246" s="5"/>
      <c r="U246" s="6"/>
      <c r="V246" s="5"/>
      <c r="W246" s="7"/>
      <c r="X246" s="8"/>
      <c r="Y246" s="8"/>
      <c r="Z246" s="2"/>
      <c r="AA246" s="2"/>
      <c r="AB246" s="2"/>
      <c r="AC246" s="2"/>
      <c r="AD246" s="2"/>
    </row>
    <row r="247" ht="12.0" customHeight="1">
      <c r="A247" s="2"/>
      <c r="B247" s="2"/>
      <c r="C247" s="2"/>
      <c r="D247" s="3"/>
      <c r="E247" s="3"/>
      <c r="F247" s="3"/>
      <c r="G247" s="2"/>
      <c r="H247" s="4"/>
      <c r="I247" s="5"/>
      <c r="J247" s="5"/>
      <c r="K247" s="5"/>
      <c r="L247" s="4"/>
      <c r="M247" s="4"/>
      <c r="N247" s="4"/>
      <c r="O247" s="4"/>
      <c r="P247" s="4"/>
      <c r="Q247" s="5"/>
      <c r="R247" s="5"/>
      <c r="S247" s="5"/>
      <c r="T247" s="5"/>
      <c r="U247" s="6"/>
      <c r="V247" s="5"/>
      <c r="W247" s="7"/>
      <c r="X247" s="8"/>
      <c r="Y247" s="8"/>
      <c r="Z247" s="2"/>
      <c r="AA247" s="2"/>
      <c r="AB247" s="2"/>
      <c r="AC247" s="2"/>
      <c r="AD247" s="2"/>
    </row>
    <row r="248" ht="12.0" customHeight="1">
      <c r="A248" s="2"/>
      <c r="B248" s="2"/>
      <c r="C248" s="2"/>
      <c r="D248" s="3"/>
      <c r="E248" s="3"/>
      <c r="F248" s="3"/>
      <c r="G248" s="2"/>
      <c r="H248" s="4"/>
      <c r="I248" s="5"/>
      <c r="J248" s="5"/>
      <c r="K248" s="5"/>
      <c r="L248" s="4"/>
      <c r="M248" s="4"/>
      <c r="N248" s="4"/>
      <c r="O248" s="4"/>
      <c r="P248" s="4"/>
      <c r="Q248" s="5"/>
      <c r="R248" s="5"/>
      <c r="S248" s="5"/>
      <c r="T248" s="5"/>
      <c r="U248" s="6"/>
      <c r="V248" s="5"/>
      <c r="W248" s="7"/>
      <c r="X248" s="8"/>
      <c r="Y248" s="8"/>
      <c r="Z248" s="2"/>
      <c r="AA248" s="2"/>
      <c r="AB248" s="2"/>
      <c r="AC248" s="2"/>
      <c r="AD248" s="2"/>
    </row>
    <row r="249" ht="12.0" customHeight="1">
      <c r="A249" s="2"/>
      <c r="B249" s="2"/>
      <c r="C249" s="2"/>
      <c r="D249" s="3"/>
      <c r="E249" s="3"/>
      <c r="F249" s="3"/>
      <c r="G249" s="2"/>
      <c r="H249" s="4"/>
      <c r="I249" s="5"/>
      <c r="J249" s="5"/>
      <c r="K249" s="5"/>
      <c r="L249" s="4"/>
      <c r="M249" s="4"/>
      <c r="N249" s="4"/>
      <c r="O249" s="4"/>
      <c r="P249" s="4"/>
      <c r="Q249" s="5"/>
      <c r="R249" s="5"/>
      <c r="S249" s="5"/>
      <c r="T249" s="5"/>
      <c r="U249" s="6"/>
      <c r="V249" s="5"/>
      <c r="W249" s="7"/>
      <c r="X249" s="8"/>
      <c r="Y249" s="8"/>
      <c r="Z249" s="2"/>
      <c r="AA249" s="2"/>
      <c r="AB249" s="2"/>
      <c r="AC249" s="2"/>
      <c r="AD249" s="2"/>
    </row>
    <row r="250" ht="12.0" customHeight="1">
      <c r="A250" s="2"/>
      <c r="B250" s="2"/>
      <c r="C250" s="2"/>
      <c r="D250" s="3"/>
      <c r="E250" s="3"/>
      <c r="F250" s="3"/>
      <c r="G250" s="2"/>
      <c r="H250" s="4"/>
      <c r="I250" s="5"/>
      <c r="J250" s="5"/>
      <c r="K250" s="5"/>
      <c r="L250" s="4"/>
      <c r="M250" s="4"/>
      <c r="N250" s="4"/>
      <c r="O250" s="4"/>
      <c r="P250" s="4"/>
      <c r="Q250" s="5"/>
      <c r="R250" s="5"/>
      <c r="S250" s="5"/>
      <c r="T250" s="5"/>
      <c r="U250" s="6"/>
      <c r="V250" s="5"/>
      <c r="W250" s="7"/>
      <c r="X250" s="8"/>
      <c r="Y250" s="8"/>
      <c r="Z250" s="2"/>
      <c r="AA250" s="2"/>
      <c r="AB250" s="2"/>
      <c r="AC250" s="2"/>
      <c r="AD250" s="2"/>
    </row>
    <row r="251" ht="12.0" customHeight="1">
      <c r="A251" s="2"/>
      <c r="B251" s="2"/>
      <c r="C251" s="2"/>
      <c r="D251" s="3"/>
      <c r="E251" s="3"/>
      <c r="F251" s="3"/>
      <c r="G251" s="2"/>
      <c r="H251" s="4"/>
      <c r="I251" s="5"/>
      <c r="J251" s="5"/>
      <c r="K251" s="5"/>
      <c r="L251" s="4"/>
      <c r="M251" s="4"/>
      <c r="N251" s="4"/>
      <c r="O251" s="4"/>
      <c r="P251" s="4"/>
      <c r="Q251" s="5"/>
      <c r="R251" s="5"/>
      <c r="S251" s="5"/>
      <c r="T251" s="5"/>
      <c r="U251" s="6"/>
      <c r="V251" s="5"/>
      <c r="W251" s="7"/>
      <c r="X251" s="8"/>
      <c r="Y251" s="8"/>
      <c r="Z251" s="2"/>
      <c r="AA251" s="2"/>
      <c r="AB251" s="2"/>
      <c r="AC251" s="2"/>
      <c r="AD251" s="2"/>
    </row>
    <row r="252" ht="12.0" customHeight="1">
      <c r="A252" s="2"/>
      <c r="B252" s="2"/>
      <c r="C252" s="2"/>
      <c r="D252" s="3"/>
      <c r="E252" s="3"/>
      <c r="F252" s="3"/>
      <c r="G252" s="2"/>
      <c r="H252" s="4"/>
      <c r="I252" s="5"/>
      <c r="J252" s="5"/>
      <c r="K252" s="5"/>
      <c r="L252" s="4"/>
      <c r="M252" s="4"/>
      <c r="N252" s="4"/>
      <c r="O252" s="4"/>
      <c r="P252" s="4"/>
      <c r="Q252" s="5"/>
      <c r="R252" s="5"/>
      <c r="S252" s="5"/>
      <c r="T252" s="5"/>
      <c r="U252" s="6"/>
      <c r="V252" s="5"/>
      <c r="W252" s="7"/>
      <c r="X252" s="8"/>
      <c r="Y252" s="8"/>
      <c r="Z252" s="2"/>
      <c r="AA252" s="2"/>
      <c r="AB252" s="2"/>
      <c r="AC252" s="2"/>
      <c r="AD252" s="2"/>
    </row>
    <row r="253" ht="12.0" customHeight="1">
      <c r="A253" s="2"/>
      <c r="B253" s="2"/>
      <c r="C253" s="2"/>
      <c r="D253" s="3"/>
      <c r="E253" s="3"/>
      <c r="F253" s="3"/>
      <c r="G253" s="2"/>
      <c r="H253" s="4"/>
      <c r="I253" s="5"/>
      <c r="J253" s="5"/>
      <c r="K253" s="5"/>
      <c r="L253" s="4"/>
      <c r="M253" s="4"/>
      <c r="N253" s="4"/>
      <c r="O253" s="4"/>
      <c r="P253" s="4"/>
      <c r="Q253" s="5"/>
      <c r="R253" s="5"/>
      <c r="S253" s="5"/>
      <c r="T253" s="5"/>
      <c r="U253" s="6"/>
      <c r="V253" s="5"/>
      <c r="W253" s="7"/>
      <c r="X253" s="8"/>
      <c r="Y253" s="8"/>
      <c r="Z253" s="2"/>
      <c r="AA253" s="2"/>
      <c r="AB253" s="2"/>
      <c r="AC253" s="2"/>
      <c r="AD253" s="2"/>
    </row>
    <row r="254" ht="12.0" customHeight="1">
      <c r="A254" s="2"/>
      <c r="B254" s="2"/>
      <c r="C254" s="2"/>
      <c r="D254" s="3"/>
      <c r="E254" s="3"/>
      <c r="F254" s="3"/>
      <c r="G254" s="2"/>
      <c r="H254" s="4"/>
      <c r="I254" s="5"/>
      <c r="J254" s="5"/>
      <c r="K254" s="5"/>
      <c r="L254" s="4"/>
      <c r="M254" s="4"/>
      <c r="N254" s="4"/>
      <c r="O254" s="4"/>
      <c r="P254" s="4"/>
      <c r="Q254" s="5"/>
      <c r="R254" s="5"/>
      <c r="S254" s="5"/>
      <c r="T254" s="5"/>
      <c r="U254" s="6"/>
      <c r="V254" s="5"/>
      <c r="W254" s="7"/>
      <c r="X254" s="8"/>
      <c r="Y254" s="8"/>
      <c r="Z254" s="2"/>
      <c r="AA254" s="2"/>
      <c r="AB254" s="2"/>
      <c r="AC254" s="2"/>
      <c r="AD254" s="2"/>
    </row>
    <row r="255" ht="12.0" customHeight="1">
      <c r="A255" s="2"/>
      <c r="B255" s="2"/>
      <c r="C255" s="2"/>
      <c r="D255" s="3"/>
      <c r="E255" s="3"/>
      <c r="F255" s="3"/>
      <c r="G255" s="2"/>
      <c r="H255" s="4"/>
      <c r="I255" s="5"/>
      <c r="J255" s="5"/>
      <c r="K255" s="5"/>
      <c r="L255" s="4"/>
      <c r="M255" s="4"/>
      <c r="N255" s="4"/>
      <c r="O255" s="4"/>
      <c r="P255" s="4"/>
      <c r="Q255" s="5"/>
      <c r="R255" s="5"/>
      <c r="S255" s="5"/>
      <c r="T255" s="5"/>
      <c r="U255" s="6"/>
      <c r="V255" s="5"/>
      <c r="W255" s="7"/>
      <c r="X255" s="8"/>
      <c r="Y255" s="8"/>
      <c r="Z255" s="2"/>
      <c r="AA255" s="2"/>
      <c r="AB255" s="2"/>
      <c r="AC255" s="2"/>
      <c r="AD255" s="2"/>
    </row>
    <row r="256" ht="12.0" customHeight="1">
      <c r="A256" s="2"/>
      <c r="B256" s="2"/>
      <c r="C256" s="2"/>
      <c r="D256" s="3"/>
      <c r="E256" s="3"/>
      <c r="F256" s="3"/>
      <c r="G256" s="2"/>
      <c r="H256" s="4"/>
      <c r="I256" s="5"/>
      <c r="J256" s="5"/>
      <c r="K256" s="5"/>
      <c r="L256" s="4"/>
      <c r="M256" s="4"/>
      <c r="N256" s="4"/>
      <c r="O256" s="4"/>
      <c r="P256" s="4"/>
      <c r="Q256" s="5"/>
      <c r="R256" s="5"/>
      <c r="S256" s="5"/>
      <c r="T256" s="5"/>
      <c r="U256" s="6"/>
      <c r="V256" s="5"/>
      <c r="W256" s="7"/>
      <c r="X256" s="8"/>
      <c r="Y256" s="8"/>
      <c r="Z256" s="2"/>
      <c r="AA256" s="2"/>
      <c r="AB256" s="2"/>
      <c r="AC256" s="2"/>
      <c r="AD256" s="2"/>
    </row>
    <row r="257" ht="12.0" customHeight="1">
      <c r="A257" s="2"/>
      <c r="B257" s="2"/>
      <c r="C257" s="2"/>
      <c r="D257" s="3"/>
      <c r="E257" s="3"/>
      <c r="F257" s="3"/>
      <c r="G257" s="2"/>
      <c r="H257" s="4"/>
      <c r="I257" s="5"/>
      <c r="J257" s="5"/>
      <c r="K257" s="5"/>
      <c r="L257" s="4"/>
      <c r="M257" s="4"/>
      <c r="N257" s="4"/>
      <c r="O257" s="4"/>
      <c r="P257" s="4"/>
      <c r="Q257" s="5"/>
      <c r="R257" s="5"/>
      <c r="S257" s="5"/>
      <c r="T257" s="5"/>
      <c r="U257" s="6"/>
      <c r="V257" s="5"/>
      <c r="W257" s="7"/>
      <c r="X257" s="8"/>
      <c r="Y257" s="8"/>
      <c r="Z257" s="2"/>
      <c r="AA257" s="2"/>
      <c r="AB257" s="2"/>
      <c r="AC257" s="2"/>
      <c r="AD257" s="2"/>
    </row>
    <row r="258" ht="12.0" customHeight="1">
      <c r="A258" s="2"/>
      <c r="B258" s="2"/>
      <c r="C258" s="2"/>
      <c r="D258" s="3"/>
      <c r="E258" s="3"/>
      <c r="F258" s="3"/>
      <c r="G258" s="2"/>
      <c r="H258" s="4"/>
      <c r="I258" s="5"/>
      <c r="J258" s="5"/>
      <c r="K258" s="5"/>
      <c r="L258" s="4"/>
      <c r="M258" s="4"/>
      <c r="N258" s="4"/>
      <c r="O258" s="4"/>
      <c r="P258" s="4"/>
      <c r="Q258" s="5"/>
      <c r="R258" s="5"/>
      <c r="S258" s="5"/>
      <c r="T258" s="5"/>
      <c r="U258" s="6"/>
      <c r="V258" s="5"/>
      <c r="W258" s="7"/>
      <c r="X258" s="8"/>
      <c r="Y258" s="8"/>
      <c r="Z258" s="2"/>
      <c r="AA258" s="2"/>
      <c r="AB258" s="2"/>
      <c r="AC258" s="2"/>
      <c r="AD258" s="2"/>
    </row>
    <row r="259" ht="12.0" customHeight="1">
      <c r="A259" s="2"/>
      <c r="B259" s="2"/>
      <c r="C259" s="2"/>
      <c r="D259" s="3"/>
      <c r="E259" s="3"/>
      <c r="F259" s="3"/>
      <c r="G259" s="2"/>
      <c r="H259" s="4"/>
      <c r="I259" s="5"/>
      <c r="J259" s="5"/>
      <c r="K259" s="5"/>
      <c r="L259" s="4"/>
      <c r="M259" s="4"/>
      <c r="N259" s="4"/>
      <c r="O259" s="4"/>
      <c r="P259" s="4"/>
      <c r="Q259" s="5"/>
      <c r="R259" s="5"/>
      <c r="S259" s="5"/>
      <c r="T259" s="5"/>
      <c r="U259" s="6"/>
      <c r="V259" s="5"/>
      <c r="W259" s="7"/>
      <c r="X259" s="8"/>
      <c r="Y259" s="8"/>
      <c r="Z259" s="2"/>
      <c r="AA259" s="2"/>
      <c r="AB259" s="2"/>
      <c r="AC259" s="2"/>
      <c r="AD259" s="2"/>
    </row>
    <row r="260" ht="12.0" customHeight="1">
      <c r="A260" s="2"/>
      <c r="B260" s="2"/>
      <c r="C260" s="2"/>
      <c r="D260" s="3"/>
      <c r="E260" s="3"/>
      <c r="F260" s="3"/>
      <c r="G260" s="2"/>
      <c r="H260" s="4"/>
      <c r="I260" s="5"/>
      <c r="J260" s="5"/>
      <c r="K260" s="5"/>
      <c r="L260" s="4"/>
      <c r="M260" s="4"/>
      <c r="N260" s="4"/>
      <c r="O260" s="4"/>
      <c r="P260" s="4"/>
      <c r="Q260" s="5"/>
      <c r="R260" s="5"/>
      <c r="S260" s="5"/>
      <c r="T260" s="5"/>
      <c r="U260" s="6"/>
      <c r="V260" s="5"/>
      <c r="W260" s="7"/>
      <c r="X260" s="8"/>
      <c r="Y260" s="8"/>
      <c r="Z260" s="2"/>
      <c r="AA260" s="2"/>
      <c r="AB260" s="2"/>
      <c r="AC260" s="2"/>
      <c r="AD260" s="2"/>
    </row>
    <row r="261" ht="12.0" customHeight="1">
      <c r="A261" s="2"/>
      <c r="B261" s="2"/>
      <c r="C261" s="2"/>
      <c r="D261" s="3"/>
      <c r="E261" s="3"/>
      <c r="F261" s="3"/>
      <c r="G261" s="2"/>
      <c r="H261" s="4"/>
      <c r="I261" s="5"/>
      <c r="J261" s="5"/>
      <c r="K261" s="5"/>
      <c r="L261" s="4"/>
      <c r="M261" s="4"/>
      <c r="N261" s="4"/>
      <c r="O261" s="4"/>
      <c r="P261" s="4"/>
      <c r="Q261" s="5"/>
      <c r="R261" s="5"/>
      <c r="S261" s="5"/>
      <c r="T261" s="5"/>
      <c r="U261" s="6"/>
      <c r="V261" s="5"/>
      <c r="W261" s="7"/>
      <c r="X261" s="8"/>
      <c r="Y261" s="8"/>
      <c r="Z261" s="2"/>
      <c r="AA261" s="2"/>
      <c r="AB261" s="2"/>
      <c r="AC261" s="2"/>
      <c r="AD261" s="2"/>
    </row>
    <row r="262" ht="12.0" customHeight="1">
      <c r="A262" s="2"/>
      <c r="B262" s="2"/>
      <c r="C262" s="2"/>
      <c r="D262" s="3"/>
      <c r="E262" s="3"/>
      <c r="F262" s="3"/>
      <c r="G262" s="2"/>
      <c r="H262" s="4"/>
      <c r="I262" s="5"/>
      <c r="J262" s="5"/>
      <c r="K262" s="5"/>
      <c r="L262" s="4"/>
      <c r="M262" s="4"/>
      <c r="N262" s="4"/>
      <c r="O262" s="4"/>
      <c r="P262" s="4"/>
      <c r="Q262" s="5"/>
      <c r="R262" s="5"/>
      <c r="S262" s="5"/>
      <c r="T262" s="5"/>
      <c r="U262" s="6"/>
      <c r="V262" s="5"/>
      <c r="W262" s="7"/>
      <c r="X262" s="8"/>
      <c r="Y262" s="8"/>
      <c r="Z262" s="2"/>
      <c r="AA262" s="2"/>
      <c r="AB262" s="2"/>
      <c r="AC262" s="2"/>
      <c r="AD262" s="2"/>
    </row>
    <row r="263" ht="12.0" customHeight="1">
      <c r="A263" s="2"/>
      <c r="B263" s="2"/>
      <c r="C263" s="2"/>
      <c r="D263" s="3"/>
      <c r="E263" s="3"/>
      <c r="F263" s="3"/>
      <c r="G263" s="2"/>
      <c r="H263" s="4"/>
      <c r="I263" s="5"/>
      <c r="J263" s="5"/>
      <c r="K263" s="5"/>
      <c r="L263" s="4"/>
      <c r="M263" s="4"/>
      <c r="N263" s="4"/>
      <c r="O263" s="4"/>
      <c r="P263" s="4"/>
      <c r="Q263" s="5"/>
      <c r="R263" s="5"/>
      <c r="S263" s="5"/>
      <c r="T263" s="5"/>
      <c r="U263" s="6"/>
      <c r="V263" s="5"/>
      <c r="W263" s="7"/>
      <c r="X263" s="8"/>
      <c r="Y263" s="8"/>
      <c r="Z263" s="2"/>
      <c r="AA263" s="2"/>
      <c r="AB263" s="2"/>
      <c r="AC263" s="2"/>
      <c r="AD263" s="2"/>
    </row>
    <row r="264" ht="12.0" customHeight="1">
      <c r="A264" s="2"/>
      <c r="B264" s="2"/>
      <c r="C264" s="2"/>
      <c r="D264" s="3"/>
      <c r="E264" s="3"/>
      <c r="F264" s="3"/>
      <c r="G264" s="2"/>
      <c r="H264" s="4"/>
      <c r="I264" s="5"/>
      <c r="J264" s="5"/>
      <c r="K264" s="5"/>
      <c r="L264" s="4"/>
      <c r="M264" s="4"/>
      <c r="N264" s="4"/>
      <c r="O264" s="4"/>
      <c r="P264" s="4"/>
      <c r="Q264" s="5"/>
      <c r="R264" s="5"/>
      <c r="S264" s="5"/>
      <c r="T264" s="5"/>
      <c r="U264" s="6"/>
      <c r="V264" s="5"/>
      <c r="W264" s="7"/>
      <c r="X264" s="8"/>
      <c r="Y264" s="8"/>
      <c r="Z264" s="2"/>
      <c r="AA264" s="2"/>
      <c r="AB264" s="2"/>
      <c r="AC264" s="2"/>
      <c r="AD264" s="2"/>
    </row>
    <row r="265" ht="12.0" customHeight="1">
      <c r="A265" s="2"/>
      <c r="B265" s="2"/>
      <c r="C265" s="2"/>
      <c r="D265" s="3"/>
      <c r="E265" s="3"/>
      <c r="F265" s="3"/>
      <c r="G265" s="2"/>
      <c r="H265" s="4"/>
      <c r="I265" s="5"/>
      <c r="J265" s="5"/>
      <c r="K265" s="5"/>
      <c r="L265" s="4"/>
      <c r="M265" s="4"/>
      <c r="N265" s="4"/>
      <c r="O265" s="4"/>
      <c r="P265" s="4"/>
      <c r="Q265" s="5"/>
      <c r="R265" s="5"/>
      <c r="S265" s="5"/>
      <c r="T265" s="5"/>
      <c r="U265" s="6"/>
      <c r="V265" s="5"/>
      <c r="W265" s="7"/>
      <c r="X265" s="8"/>
      <c r="Y265" s="8"/>
      <c r="Z265" s="2"/>
      <c r="AA265" s="2"/>
      <c r="AB265" s="2"/>
      <c r="AC265" s="2"/>
      <c r="AD265" s="2"/>
    </row>
    <row r="266" ht="12.0" customHeight="1">
      <c r="A266" s="2"/>
      <c r="B266" s="2"/>
      <c r="C266" s="2"/>
      <c r="D266" s="3"/>
      <c r="E266" s="3"/>
      <c r="F266" s="3"/>
      <c r="G266" s="2"/>
      <c r="H266" s="4"/>
      <c r="I266" s="5"/>
      <c r="J266" s="5"/>
      <c r="K266" s="5"/>
      <c r="L266" s="4"/>
      <c r="M266" s="4"/>
      <c r="N266" s="4"/>
      <c r="O266" s="4"/>
      <c r="P266" s="4"/>
      <c r="Q266" s="5"/>
      <c r="R266" s="5"/>
      <c r="S266" s="5"/>
      <c r="T266" s="5"/>
      <c r="U266" s="6"/>
      <c r="V266" s="5"/>
      <c r="W266" s="7"/>
      <c r="X266" s="8"/>
      <c r="Y266" s="8"/>
      <c r="Z266" s="2"/>
      <c r="AA266" s="2"/>
      <c r="AB266" s="2"/>
      <c r="AC266" s="2"/>
      <c r="AD266" s="2"/>
    </row>
    <row r="267" ht="12.0" customHeight="1">
      <c r="A267" s="2"/>
      <c r="B267" s="2"/>
      <c r="C267" s="2"/>
      <c r="D267" s="3"/>
      <c r="E267" s="3"/>
      <c r="F267" s="3"/>
      <c r="G267" s="2"/>
      <c r="H267" s="4"/>
      <c r="I267" s="5"/>
      <c r="J267" s="5"/>
      <c r="K267" s="5"/>
      <c r="L267" s="4"/>
      <c r="M267" s="4"/>
      <c r="N267" s="4"/>
      <c r="O267" s="4"/>
      <c r="P267" s="4"/>
      <c r="Q267" s="5"/>
      <c r="R267" s="5"/>
      <c r="S267" s="5"/>
      <c r="T267" s="5"/>
      <c r="U267" s="6"/>
      <c r="V267" s="5"/>
      <c r="W267" s="7"/>
      <c r="X267" s="8"/>
      <c r="Y267" s="8"/>
      <c r="Z267" s="2"/>
      <c r="AA267" s="2"/>
      <c r="AB267" s="2"/>
      <c r="AC267" s="2"/>
      <c r="AD267" s="2"/>
    </row>
    <row r="268" ht="12.0" customHeight="1">
      <c r="A268" s="2"/>
      <c r="B268" s="2"/>
      <c r="C268" s="2"/>
      <c r="D268" s="3"/>
      <c r="E268" s="3"/>
      <c r="F268" s="3"/>
      <c r="G268" s="2"/>
      <c r="H268" s="4"/>
      <c r="I268" s="5"/>
      <c r="J268" s="5"/>
      <c r="K268" s="5"/>
      <c r="L268" s="4"/>
      <c r="M268" s="4"/>
      <c r="N268" s="4"/>
      <c r="O268" s="4"/>
      <c r="P268" s="4"/>
      <c r="Q268" s="5"/>
      <c r="R268" s="5"/>
      <c r="S268" s="5"/>
      <c r="T268" s="5"/>
      <c r="U268" s="6"/>
      <c r="V268" s="5"/>
      <c r="W268" s="7"/>
      <c r="X268" s="8"/>
      <c r="Y268" s="8"/>
      <c r="Z268" s="2"/>
      <c r="AA268" s="2"/>
      <c r="AB268" s="2"/>
      <c r="AC268" s="2"/>
      <c r="AD268" s="2"/>
    </row>
    <row r="269" ht="12.0" customHeight="1">
      <c r="A269" s="2"/>
      <c r="B269" s="2"/>
      <c r="C269" s="2"/>
      <c r="D269" s="3"/>
      <c r="E269" s="3"/>
      <c r="F269" s="3"/>
      <c r="G269" s="2"/>
      <c r="H269" s="4"/>
      <c r="I269" s="5"/>
      <c r="J269" s="5"/>
      <c r="K269" s="5"/>
      <c r="L269" s="4"/>
      <c r="M269" s="4"/>
      <c r="N269" s="4"/>
      <c r="O269" s="4"/>
      <c r="P269" s="4"/>
      <c r="Q269" s="5"/>
      <c r="R269" s="5"/>
      <c r="S269" s="5"/>
      <c r="T269" s="5"/>
      <c r="U269" s="6"/>
      <c r="V269" s="5"/>
      <c r="W269" s="7"/>
      <c r="X269" s="8"/>
      <c r="Y269" s="8"/>
      <c r="Z269" s="2"/>
      <c r="AA269" s="2"/>
      <c r="AB269" s="2"/>
      <c r="AC269" s="2"/>
      <c r="AD269" s="2"/>
    </row>
    <row r="270" ht="12.0" customHeight="1">
      <c r="A270" s="2"/>
      <c r="B270" s="2"/>
      <c r="C270" s="2"/>
      <c r="D270" s="3"/>
      <c r="E270" s="3"/>
      <c r="F270" s="3"/>
      <c r="G270" s="2"/>
      <c r="H270" s="4"/>
      <c r="I270" s="5"/>
      <c r="J270" s="5"/>
      <c r="K270" s="5"/>
      <c r="L270" s="4"/>
      <c r="M270" s="4"/>
      <c r="N270" s="4"/>
      <c r="O270" s="4"/>
      <c r="P270" s="4"/>
      <c r="Q270" s="5"/>
      <c r="R270" s="5"/>
      <c r="S270" s="5"/>
      <c r="T270" s="5"/>
      <c r="U270" s="6"/>
      <c r="V270" s="5"/>
      <c r="W270" s="7"/>
      <c r="X270" s="8"/>
      <c r="Y270" s="8"/>
      <c r="Z270" s="2"/>
      <c r="AA270" s="2"/>
      <c r="AB270" s="2"/>
      <c r="AC270" s="2"/>
      <c r="AD270" s="2"/>
    </row>
    <row r="271" ht="12.0" customHeight="1">
      <c r="A271" s="2"/>
      <c r="B271" s="2"/>
      <c r="C271" s="2"/>
      <c r="D271" s="3"/>
      <c r="E271" s="3"/>
      <c r="F271" s="3"/>
      <c r="G271" s="2"/>
      <c r="H271" s="4"/>
      <c r="I271" s="5"/>
      <c r="J271" s="5"/>
      <c r="K271" s="5"/>
      <c r="L271" s="4"/>
      <c r="M271" s="4"/>
      <c r="N271" s="4"/>
      <c r="O271" s="4"/>
      <c r="P271" s="4"/>
      <c r="Q271" s="5"/>
      <c r="R271" s="5"/>
      <c r="S271" s="5"/>
      <c r="T271" s="5"/>
      <c r="U271" s="6"/>
      <c r="V271" s="5"/>
      <c r="W271" s="7"/>
      <c r="X271" s="8"/>
      <c r="Y271" s="8"/>
      <c r="Z271" s="2"/>
      <c r="AA271" s="2"/>
      <c r="AB271" s="2"/>
      <c r="AC271" s="2"/>
      <c r="AD271" s="2"/>
    </row>
    <row r="272" ht="12.0" customHeight="1">
      <c r="A272" s="2"/>
      <c r="B272" s="2"/>
      <c r="C272" s="2"/>
      <c r="D272" s="3"/>
      <c r="E272" s="3"/>
      <c r="F272" s="3"/>
      <c r="G272" s="2"/>
      <c r="H272" s="4"/>
      <c r="I272" s="5"/>
      <c r="J272" s="5"/>
      <c r="K272" s="5"/>
      <c r="L272" s="4"/>
      <c r="M272" s="4"/>
      <c r="N272" s="4"/>
      <c r="O272" s="4"/>
      <c r="P272" s="4"/>
      <c r="Q272" s="5"/>
      <c r="R272" s="5"/>
      <c r="S272" s="5"/>
      <c r="T272" s="5"/>
      <c r="U272" s="6"/>
      <c r="V272" s="5"/>
      <c r="W272" s="7"/>
      <c r="X272" s="8"/>
      <c r="Y272" s="8"/>
      <c r="Z272" s="2"/>
      <c r="AA272" s="2"/>
      <c r="AB272" s="2"/>
      <c r="AC272" s="2"/>
      <c r="AD272" s="2"/>
    </row>
    <row r="273" ht="12.0" customHeight="1">
      <c r="A273" s="2"/>
      <c r="B273" s="2"/>
      <c r="C273" s="2"/>
      <c r="D273" s="3"/>
      <c r="E273" s="3"/>
      <c r="F273" s="3"/>
      <c r="G273" s="2"/>
      <c r="H273" s="4"/>
      <c r="I273" s="5"/>
      <c r="J273" s="5"/>
      <c r="K273" s="5"/>
      <c r="L273" s="4"/>
      <c r="M273" s="4"/>
      <c r="N273" s="4"/>
      <c r="O273" s="4"/>
      <c r="P273" s="4"/>
      <c r="Q273" s="5"/>
      <c r="R273" s="5"/>
      <c r="S273" s="5"/>
      <c r="T273" s="5"/>
      <c r="U273" s="6"/>
      <c r="V273" s="5"/>
      <c r="W273" s="7"/>
      <c r="X273" s="8"/>
      <c r="Y273" s="8"/>
      <c r="Z273" s="2"/>
      <c r="AA273" s="2"/>
      <c r="AB273" s="2"/>
      <c r="AC273" s="2"/>
      <c r="AD273" s="2"/>
    </row>
    <row r="274" ht="12.0" customHeight="1">
      <c r="A274" s="2"/>
      <c r="B274" s="2"/>
      <c r="C274" s="2"/>
      <c r="D274" s="3"/>
      <c r="E274" s="3"/>
      <c r="F274" s="3"/>
      <c r="G274" s="2"/>
      <c r="H274" s="4"/>
      <c r="I274" s="5"/>
      <c r="J274" s="5"/>
      <c r="K274" s="5"/>
      <c r="L274" s="4"/>
      <c r="M274" s="4"/>
      <c r="N274" s="4"/>
      <c r="O274" s="4"/>
      <c r="P274" s="4"/>
      <c r="Q274" s="5"/>
      <c r="R274" s="5"/>
      <c r="S274" s="5"/>
      <c r="T274" s="5"/>
      <c r="U274" s="6"/>
      <c r="V274" s="5"/>
      <c r="W274" s="7"/>
      <c r="X274" s="8"/>
      <c r="Y274" s="8"/>
      <c r="Z274" s="2"/>
      <c r="AA274" s="2"/>
      <c r="AB274" s="2"/>
      <c r="AC274" s="2"/>
      <c r="AD274" s="2"/>
    </row>
    <row r="275" ht="12.0" customHeight="1">
      <c r="A275" s="2"/>
      <c r="B275" s="2"/>
      <c r="C275" s="2"/>
      <c r="D275" s="3"/>
      <c r="E275" s="3"/>
      <c r="F275" s="3"/>
      <c r="G275" s="2"/>
      <c r="H275" s="4"/>
      <c r="I275" s="5"/>
      <c r="J275" s="5"/>
      <c r="K275" s="5"/>
      <c r="L275" s="4"/>
      <c r="M275" s="4"/>
      <c r="N275" s="4"/>
      <c r="O275" s="4"/>
      <c r="P275" s="4"/>
      <c r="Q275" s="5"/>
      <c r="R275" s="5"/>
      <c r="S275" s="5"/>
      <c r="T275" s="5"/>
      <c r="U275" s="6"/>
      <c r="V275" s="5"/>
      <c r="W275" s="7"/>
      <c r="X275" s="8"/>
      <c r="Y275" s="8"/>
      <c r="Z275" s="2"/>
      <c r="AA275" s="2"/>
      <c r="AB275" s="2"/>
      <c r="AC275" s="2"/>
      <c r="AD275" s="2"/>
    </row>
    <row r="276" ht="12.0" customHeight="1">
      <c r="A276" s="2"/>
      <c r="B276" s="2"/>
      <c r="C276" s="2"/>
      <c r="D276" s="3"/>
      <c r="E276" s="3"/>
      <c r="F276" s="3"/>
      <c r="G276" s="2"/>
      <c r="H276" s="4"/>
      <c r="I276" s="5"/>
      <c r="J276" s="5"/>
      <c r="K276" s="5"/>
      <c r="L276" s="4"/>
      <c r="M276" s="4"/>
      <c r="N276" s="4"/>
      <c r="O276" s="4"/>
      <c r="P276" s="4"/>
      <c r="Q276" s="5"/>
      <c r="R276" s="5"/>
      <c r="S276" s="5"/>
      <c r="T276" s="5"/>
      <c r="U276" s="6"/>
      <c r="V276" s="5"/>
      <c r="W276" s="7"/>
      <c r="X276" s="8"/>
      <c r="Y276" s="8"/>
      <c r="Z276" s="2"/>
      <c r="AA276" s="2"/>
      <c r="AB276" s="2"/>
      <c r="AC276" s="2"/>
      <c r="AD276" s="2"/>
    </row>
    <row r="277" ht="12.0" customHeight="1">
      <c r="A277" s="2"/>
      <c r="B277" s="2"/>
      <c r="C277" s="2"/>
      <c r="D277" s="3"/>
      <c r="E277" s="3"/>
      <c r="F277" s="3"/>
      <c r="G277" s="2"/>
      <c r="H277" s="4"/>
      <c r="I277" s="5"/>
      <c r="J277" s="5"/>
      <c r="K277" s="5"/>
      <c r="L277" s="4"/>
      <c r="M277" s="4"/>
      <c r="N277" s="4"/>
      <c r="O277" s="4"/>
      <c r="P277" s="4"/>
      <c r="Q277" s="5"/>
      <c r="R277" s="5"/>
      <c r="S277" s="5"/>
      <c r="T277" s="5"/>
      <c r="U277" s="6"/>
      <c r="V277" s="5"/>
      <c r="W277" s="7"/>
      <c r="X277" s="8"/>
      <c r="Y277" s="8"/>
      <c r="Z277" s="2"/>
      <c r="AA277" s="2"/>
      <c r="AB277" s="2"/>
      <c r="AC277" s="2"/>
      <c r="AD277" s="2"/>
    </row>
    <row r="278" ht="12.0" customHeight="1">
      <c r="A278" s="2"/>
      <c r="B278" s="2"/>
      <c r="C278" s="2"/>
      <c r="D278" s="3"/>
      <c r="E278" s="3"/>
      <c r="F278" s="3"/>
      <c r="G278" s="2"/>
      <c r="H278" s="4"/>
      <c r="I278" s="5"/>
      <c r="J278" s="5"/>
      <c r="K278" s="5"/>
      <c r="L278" s="4"/>
      <c r="M278" s="4"/>
      <c r="N278" s="4"/>
      <c r="O278" s="4"/>
      <c r="P278" s="4"/>
      <c r="Q278" s="5"/>
      <c r="R278" s="5"/>
      <c r="S278" s="5"/>
      <c r="T278" s="5"/>
      <c r="U278" s="6"/>
      <c r="V278" s="5"/>
      <c r="W278" s="7"/>
      <c r="X278" s="8"/>
      <c r="Y278" s="8"/>
      <c r="Z278" s="2"/>
      <c r="AA278" s="2"/>
      <c r="AB278" s="2"/>
      <c r="AC278" s="2"/>
      <c r="AD278" s="2"/>
    </row>
    <row r="279" ht="12.0" customHeight="1">
      <c r="A279" s="2"/>
      <c r="B279" s="2"/>
      <c r="C279" s="2"/>
      <c r="D279" s="3"/>
      <c r="E279" s="3"/>
      <c r="F279" s="3"/>
      <c r="G279" s="2"/>
      <c r="H279" s="4"/>
      <c r="I279" s="5"/>
      <c r="J279" s="5"/>
      <c r="K279" s="5"/>
      <c r="L279" s="4"/>
      <c r="M279" s="4"/>
      <c r="N279" s="4"/>
      <c r="O279" s="4"/>
      <c r="P279" s="4"/>
      <c r="Q279" s="5"/>
      <c r="R279" s="5"/>
      <c r="S279" s="5"/>
      <c r="T279" s="5"/>
      <c r="U279" s="6"/>
      <c r="V279" s="5"/>
      <c r="W279" s="7"/>
      <c r="X279" s="8"/>
      <c r="Y279" s="8"/>
      <c r="Z279" s="2"/>
      <c r="AA279" s="2"/>
      <c r="AB279" s="2"/>
      <c r="AC279" s="2"/>
      <c r="AD279" s="2"/>
    </row>
    <row r="280" ht="12.0" customHeight="1">
      <c r="A280" s="2"/>
      <c r="B280" s="2"/>
      <c r="C280" s="2"/>
      <c r="D280" s="3"/>
      <c r="E280" s="3"/>
      <c r="F280" s="3"/>
      <c r="G280" s="2"/>
      <c r="H280" s="4"/>
      <c r="I280" s="5"/>
      <c r="J280" s="5"/>
      <c r="K280" s="5"/>
      <c r="L280" s="4"/>
      <c r="M280" s="4"/>
      <c r="N280" s="4"/>
      <c r="O280" s="4"/>
      <c r="P280" s="4"/>
      <c r="Q280" s="5"/>
      <c r="R280" s="5"/>
      <c r="S280" s="5"/>
      <c r="T280" s="5"/>
      <c r="U280" s="6"/>
      <c r="V280" s="5"/>
      <c r="W280" s="7"/>
      <c r="X280" s="8"/>
      <c r="Y280" s="8"/>
      <c r="Z280" s="2"/>
      <c r="AA280" s="2"/>
      <c r="AB280" s="2"/>
      <c r="AC280" s="2"/>
      <c r="AD280" s="2"/>
    </row>
    <row r="281" ht="12.0" customHeight="1">
      <c r="A281" s="2"/>
      <c r="B281" s="2"/>
      <c r="C281" s="2"/>
      <c r="D281" s="3"/>
      <c r="E281" s="3"/>
      <c r="F281" s="3"/>
      <c r="G281" s="2"/>
      <c r="H281" s="4"/>
      <c r="I281" s="5"/>
      <c r="J281" s="5"/>
      <c r="K281" s="5"/>
      <c r="L281" s="4"/>
      <c r="M281" s="4"/>
      <c r="N281" s="4"/>
      <c r="O281" s="4"/>
      <c r="P281" s="4"/>
      <c r="Q281" s="5"/>
      <c r="R281" s="5"/>
      <c r="S281" s="5"/>
      <c r="T281" s="5"/>
      <c r="U281" s="6"/>
      <c r="V281" s="5"/>
      <c r="W281" s="7"/>
      <c r="X281" s="8"/>
      <c r="Y281" s="8"/>
      <c r="Z281" s="2"/>
      <c r="AA281" s="2"/>
      <c r="AB281" s="2"/>
      <c r="AC281" s="2"/>
      <c r="AD281" s="2"/>
    </row>
    <row r="282" ht="12.0" customHeight="1">
      <c r="A282" s="2"/>
      <c r="B282" s="2"/>
      <c r="C282" s="2"/>
      <c r="D282" s="3"/>
      <c r="E282" s="3"/>
      <c r="F282" s="3"/>
      <c r="G282" s="2"/>
      <c r="H282" s="4"/>
      <c r="I282" s="5"/>
      <c r="J282" s="5"/>
      <c r="K282" s="5"/>
      <c r="L282" s="4"/>
      <c r="M282" s="4"/>
      <c r="N282" s="4"/>
      <c r="O282" s="4"/>
      <c r="P282" s="4"/>
      <c r="Q282" s="5"/>
      <c r="R282" s="5"/>
      <c r="S282" s="5"/>
      <c r="T282" s="5"/>
      <c r="U282" s="6"/>
      <c r="V282" s="5"/>
      <c r="W282" s="7"/>
      <c r="X282" s="8"/>
      <c r="Y282" s="8"/>
      <c r="Z282" s="2"/>
      <c r="AA282" s="2"/>
      <c r="AB282" s="2"/>
      <c r="AC282" s="2"/>
      <c r="AD282" s="2"/>
    </row>
    <row r="283" ht="12.0" customHeight="1">
      <c r="A283" s="2"/>
      <c r="B283" s="2"/>
      <c r="C283" s="2"/>
      <c r="D283" s="3"/>
      <c r="E283" s="3"/>
      <c r="F283" s="3"/>
      <c r="G283" s="2"/>
      <c r="H283" s="4"/>
      <c r="I283" s="5"/>
      <c r="J283" s="5"/>
      <c r="K283" s="5"/>
      <c r="L283" s="4"/>
      <c r="M283" s="4"/>
      <c r="N283" s="4"/>
      <c r="O283" s="4"/>
      <c r="P283" s="4"/>
      <c r="Q283" s="5"/>
      <c r="R283" s="5"/>
      <c r="S283" s="5"/>
      <c r="T283" s="5"/>
      <c r="U283" s="6"/>
      <c r="V283" s="5"/>
      <c r="W283" s="7"/>
      <c r="X283" s="8"/>
      <c r="Y283" s="8"/>
      <c r="Z283" s="2"/>
      <c r="AA283" s="2"/>
      <c r="AB283" s="2"/>
      <c r="AC283" s="2"/>
      <c r="AD283" s="2"/>
    </row>
    <row r="284" ht="12.0" customHeight="1">
      <c r="A284" s="2"/>
      <c r="B284" s="2"/>
      <c r="C284" s="2"/>
      <c r="D284" s="3"/>
      <c r="E284" s="3"/>
      <c r="F284" s="3"/>
      <c r="G284" s="2"/>
      <c r="H284" s="4"/>
      <c r="I284" s="5"/>
      <c r="J284" s="5"/>
      <c r="K284" s="5"/>
      <c r="L284" s="4"/>
      <c r="M284" s="4"/>
      <c r="N284" s="4"/>
      <c r="O284" s="4"/>
      <c r="P284" s="4"/>
      <c r="Q284" s="5"/>
      <c r="R284" s="5"/>
      <c r="S284" s="5"/>
      <c r="T284" s="5"/>
      <c r="U284" s="6"/>
      <c r="V284" s="5"/>
      <c r="W284" s="7"/>
      <c r="X284" s="8"/>
      <c r="Y284" s="8"/>
      <c r="Z284" s="2"/>
      <c r="AA284" s="2"/>
      <c r="AB284" s="2"/>
      <c r="AC284" s="2"/>
      <c r="AD284" s="2"/>
    </row>
    <row r="285" ht="12.0" customHeight="1">
      <c r="A285" s="2"/>
      <c r="B285" s="2"/>
      <c r="C285" s="2"/>
      <c r="D285" s="3"/>
      <c r="E285" s="3"/>
      <c r="F285" s="3"/>
      <c r="G285" s="2"/>
      <c r="H285" s="4"/>
      <c r="I285" s="5"/>
      <c r="J285" s="5"/>
      <c r="K285" s="5"/>
      <c r="L285" s="4"/>
      <c r="M285" s="4"/>
      <c r="N285" s="4"/>
      <c r="O285" s="4"/>
      <c r="P285" s="4"/>
      <c r="Q285" s="5"/>
      <c r="R285" s="5"/>
      <c r="S285" s="5"/>
      <c r="T285" s="5"/>
      <c r="U285" s="6"/>
      <c r="V285" s="5"/>
      <c r="W285" s="7"/>
      <c r="X285" s="8"/>
      <c r="Y285" s="8"/>
      <c r="Z285" s="2"/>
      <c r="AA285" s="2"/>
      <c r="AB285" s="2"/>
      <c r="AC285" s="2"/>
      <c r="AD285" s="2"/>
    </row>
    <row r="286" ht="12.0" customHeight="1">
      <c r="A286" s="2"/>
      <c r="B286" s="2"/>
      <c r="C286" s="2"/>
      <c r="D286" s="3"/>
      <c r="E286" s="3"/>
      <c r="F286" s="3"/>
      <c r="G286" s="2"/>
      <c r="H286" s="4"/>
      <c r="I286" s="5"/>
      <c r="J286" s="5"/>
      <c r="K286" s="5"/>
      <c r="L286" s="4"/>
      <c r="M286" s="4"/>
      <c r="N286" s="4"/>
      <c r="O286" s="4"/>
      <c r="P286" s="4"/>
      <c r="Q286" s="5"/>
      <c r="R286" s="5"/>
      <c r="S286" s="5"/>
      <c r="T286" s="5"/>
      <c r="U286" s="6"/>
      <c r="V286" s="5"/>
      <c r="W286" s="7"/>
      <c r="X286" s="8"/>
      <c r="Y286" s="8"/>
      <c r="Z286" s="2"/>
      <c r="AA286" s="2"/>
      <c r="AB286" s="2"/>
      <c r="AC286" s="2"/>
      <c r="AD286" s="2"/>
    </row>
    <row r="287" ht="12.0" customHeight="1">
      <c r="A287" s="2"/>
      <c r="B287" s="2"/>
      <c r="C287" s="2"/>
      <c r="D287" s="3"/>
      <c r="E287" s="3"/>
      <c r="F287" s="3"/>
      <c r="G287" s="2"/>
      <c r="H287" s="4"/>
      <c r="I287" s="5"/>
      <c r="J287" s="5"/>
      <c r="K287" s="5"/>
      <c r="L287" s="4"/>
      <c r="M287" s="4"/>
      <c r="N287" s="4"/>
      <c r="O287" s="4"/>
      <c r="P287" s="4"/>
      <c r="Q287" s="5"/>
      <c r="R287" s="5"/>
      <c r="S287" s="5"/>
      <c r="T287" s="5"/>
      <c r="U287" s="6"/>
      <c r="V287" s="5"/>
      <c r="W287" s="7"/>
      <c r="X287" s="8"/>
      <c r="Y287" s="8"/>
      <c r="Z287" s="2"/>
      <c r="AA287" s="2"/>
      <c r="AB287" s="2"/>
      <c r="AC287" s="2"/>
      <c r="AD287" s="2"/>
    </row>
    <row r="288" ht="12.0" customHeight="1">
      <c r="A288" s="2"/>
      <c r="B288" s="2"/>
      <c r="C288" s="2"/>
      <c r="D288" s="3"/>
      <c r="E288" s="3"/>
      <c r="F288" s="3"/>
      <c r="G288" s="2"/>
      <c r="H288" s="4"/>
      <c r="I288" s="5"/>
      <c r="J288" s="5"/>
      <c r="K288" s="5"/>
      <c r="L288" s="4"/>
      <c r="M288" s="4"/>
      <c r="N288" s="4"/>
      <c r="O288" s="4"/>
      <c r="P288" s="4"/>
      <c r="Q288" s="5"/>
      <c r="R288" s="5"/>
      <c r="S288" s="5"/>
      <c r="T288" s="5"/>
      <c r="U288" s="6"/>
      <c r="V288" s="5"/>
      <c r="W288" s="7"/>
      <c r="X288" s="8"/>
      <c r="Y288" s="8"/>
      <c r="Z288" s="2"/>
      <c r="AA288" s="2"/>
      <c r="AB288" s="2"/>
      <c r="AC288" s="2"/>
      <c r="AD288" s="2"/>
    </row>
    <row r="289" ht="12.0" customHeight="1">
      <c r="A289" s="2"/>
      <c r="B289" s="2"/>
      <c r="C289" s="2"/>
      <c r="D289" s="3"/>
      <c r="E289" s="3"/>
      <c r="F289" s="3"/>
      <c r="G289" s="2"/>
      <c r="H289" s="4"/>
      <c r="I289" s="5"/>
      <c r="J289" s="5"/>
      <c r="K289" s="5"/>
      <c r="L289" s="4"/>
      <c r="M289" s="4"/>
      <c r="N289" s="4"/>
      <c r="O289" s="4"/>
      <c r="P289" s="4"/>
      <c r="Q289" s="5"/>
      <c r="R289" s="5"/>
      <c r="S289" s="5"/>
      <c r="T289" s="5"/>
      <c r="U289" s="6"/>
      <c r="V289" s="5"/>
      <c r="W289" s="7"/>
      <c r="X289" s="8"/>
      <c r="Y289" s="8"/>
      <c r="Z289" s="2"/>
      <c r="AA289" s="2"/>
      <c r="AB289" s="2"/>
      <c r="AC289" s="2"/>
      <c r="AD289" s="2"/>
    </row>
    <row r="290" ht="12.0" customHeight="1">
      <c r="A290" s="2"/>
      <c r="B290" s="2"/>
      <c r="C290" s="2"/>
      <c r="D290" s="3"/>
      <c r="E290" s="3"/>
      <c r="F290" s="3"/>
      <c r="G290" s="2"/>
      <c r="H290" s="4"/>
      <c r="I290" s="5"/>
      <c r="J290" s="5"/>
      <c r="K290" s="5"/>
      <c r="L290" s="4"/>
      <c r="M290" s="4"/>
      <c r="N290" s="4"/>
      <c r="O290" s="4"/>
      <c r="P290" s="4"/>
      <c r="Q290" s="5"/>
      <c r="R290" s="5"/>
      <c r="S290" s="5"/>
      <c r="T290" s="5"/>
      <c r="U290" s="6"/>
      <c r="V290" s="5"/>
      <c r="W290" s="7"/>
      <c r="X290" s="8"/>
      <c r="Y290" s="8"/>
      <c r="Z290" s="2"/>
      <c r="AA290" s="2"/>
      <c r="AB290" s="2"/>
      <c r="AC290" s="2"/>
      <c r="AD290" s="2"/>
    </row>
    <row r="291" ht="12.0" customHeight="1">
      <c r="A291" s="2"/>
      <c r="B291" s="2"/>
      <c r="C291" s="2"/>
      <c r="D291" s="3"/>
      <c r="E291" s="3"/>
      <c r="F291" s="3"/>
      <c r="G291" s="2"/>
      <c r="H291" s="4"/>
      <c r="I291" s="5"/>
      <c r="J291" s="5"/>
      <c r="K291" s="5"/>
      <c r="L291" s="4"/>
      <c r="M291" s="4"/>
      <c r="N291" s="4"/>
      <c r="O291" s="4"/>
      <c r="P291" s="4"/>
      <c r="Q291" s="5"/>
      <c r="R291" s="5"/>
      <c r="S291" s="5"/>
      <c r="T291" s="5"/>
      <c r="U291" s="6"/>
      <c r="V291" s="5"/>
      <c r="W291" s="7"/>
      <c r="X291" s="8"/>
      <c r="Y291" s="8"/>
      <c r="Z291" s="2"/>
      <c r="AA291" s="2"/>
      <c r="AB291" s="2"/>
      <c r="AC291" s="2"/>
      <c r="AD291" s="2"/>
    </row>
    <row r="292" ht="12.0" customHeight="1">
      <c r="A292" s="2"/>
      <c r="B292" s="2"/>
      <c r="C292" s="2"/>
      <c r="D292" s="3"/>
      <c r="E292" s="3"/>
      <c r="F292" s="3"/>
      <c r="G292" s="2"/>
      <c r="H292" s="4"/>
      <c r="I292" s="5"/>
      <c r="J292" s="5"/>
      <c r="K292" s="5"/>
      <c r="L292" s="4"/>
      <c r="M292" s="4"/>
      <c r="N292" s="4"/>
      <c r="O292" s="4"/>
      <c r="P292" s="4"/>
      <c r="Q292" s="5"/>
      <c r="R292" s="5"/>
      <c r="S292" s="5"/>
      <c r="T292" s="5"/>
      <c r="U292" s="6"/>
      <c r="V292" s="5"/>
      <c r="W292" s="7"/>
      <c r="X292" s="8"/>
      <c r="Y292" s="8"/>
      <c r="Z292" s="2"/>
      <c r="AA292" s="2"/>
      <c r="AB292" s="2"/>
      <c r="AC292" s="2"/>
      <c r="AD292" s="2"/>
    </row>
    <row r="293" ht="12.0" customHeight="1">
      <c r="A293" s="2"/>
      <c r="B293" s="2"/>
      <c r="C293" s="2"/>
      <c r="D293" s="3"/>
      <c r="E293" s="3"/>
      <c r="F293" s="3"/>
      <c r="G293" s="2"/>
      <c r="H293" s="4"/>
      <c r="I293" s="5"/>
      <c r="J293" s="5"/>
      <c r="K293" s="5"/>
      <c r="L293" s="4"/>
      <c r="M293" s="4"/>
      <c r="N293" s="4"/>
      <c r="O293" s="4"/>
      <c r="P293" s="4"/>
      <c r="Q293" s="5"/>
      <c r="R293" s="5"/>
      <c r="S293" s="5"/>
      <c r="T293" s="5"/>
      <c r="U293" s="6"/>
      <c r="V293" s="5"/>
      <c r="W293" s="7"/>
      <c r="X293" s="8"/>
      <c r="Y293" s="8"/>
      <c r="Z293" s="2"/>
      <c r="AA293" s="2"/>
      <c r="AB293" s="2"/>
      <c r="AC293" s="2"/>
      <c r="AD293" s="2"/>
    </row>
    <row r="294" ht="12.0" customHeight="1">
      <c r="A294" s="2"/>
      <c r="B294" s="2"/>
      <c r="C294" s="2"/>
      <c r="D294" s="3"/>
      <c r="E294" s="3"/>
      <c r="F294" s="3"/>
      <c r="G294" s="2"/>
      <c r="H294" s="4"/>
      <c r="I294" s="5"/>
      <c r="J294" s="5"/>
      <c r="K294" s="5"/>
      <c r="L294" s="4"/>
      <c r="M294" s="4"/>
      <c r="N294" s="4"/>
      <c r="O294" s="4"/>
      <c r="P294" s="4"/>
      <c r="Q294" s="5"/>
      <c r="R294" s="5"/>
      <c r="S294" s="5"/>
      <c r="T294" s="5"/>
      <c r="U294" s="6"/>
      <c r="V294" s="5"/>
      <c r="W294" s="7"/>
      <c r="X294" s="8"/>
      <c r="Y294" s="8"/>
      <c r="Z294" s="2"/>
      <c r="AA294" s="2"/>
      <c r="AB294" s="2"/>
      <c r="AC294" s="2"/>
      <c r="AD294" s="2"/>
    </row>
    <row r="295" ht="12.0" customHeight="1">
      <c r="A295" s="2"/>
      <c r="B295" s="2"/>
      <c r="C295" s="2"/>
      <c r="D295" s="3"/>
      <c r="E295" s="3"/>
      <c r="F295" s="3"/>
      <c r="G295" s="2"/>
      <c r="H295" s="4"/>
      <c r="I295" s="5"/>
      <c r="J295" s="5"/>
      <c r="K295" s="5"/>
      <c r="L295" s="4"/>
      <c r="M295" s="4"/>
      <c r="N295" s="4"/>
      <c r="O295" s="4"/>
      <c r="P295" s="4"/>
      <c r="Q295" s="5"/>
      <c r="R295" s="5"/>
      <c r="S295" s="5"/>
      <c r="T295" s="5"/>
      <c r="U295" s="6"/>
      <c r="V295" s="5"/>
      <c r="W295" s="7"/>
      <c r="X295" s="8"/>
      <c r="Y295" s="8"/>
      <c r="Z295" s="2"/>
      <c r="AA295" s="2"/>
      <c r="AB295" s="2"/>
      <c r="AC295" s="2"/>
      <c r="AD295" s="2"/>
    </row>
    <row r="296" ht="12.0" customHeight="1">
      <c r="A296" s="2"/>
      <c r="B296" s="2"/>
      <c r="C296" s="2"/>
      <c r="D296" s="3"/>
      <c r="E296" s="3"/>
      <c r="F296" s="3"/>
      <c r="G296" s="2"/>
      <c r="H296" s="4"/>
      <c r="I296" s="5"/>
      <c r="J296" s="5"/>
      <c r="K296" s="5"/>
      <c r="L296" s="4"/>
      <c r="M296" s="4"/>
      <c r="N296" s="4"/>
      <c r="O296" s="4"/>
      <c r="P296" s="4"/>
      <c r="Q296" s="5"/>
      <c r="R296" s="5"/>
      <c r="S296" s="5"/>
      <c r="T296" s="5"/>
      <c r="U296" s="6"/>
      <c r="V296" s="5"/>
      <c r="W296" s="7"/>
      <c r="X296" s="8"/>
      <c r="Y296" s="8"/>
      <c r="Z296" s="2"/>
      <c r="AA296" s="2"/>
      <c r="AB296" s="2"/>
      <c r="AC296" s="2"/>
      <c r="AD296" s="2"/>
    </row>
    <row r="297" ht="12.0" customHeight="1">
      <c r="A297" s="2"/>
      <c r="B297" s="2"/>
      <c r="C297" s="2"/>
      <c r="D297" s="3"/>
      <c r="E297" s="3"/>
      <c r="F297" s="3"/>
      <c r="G297" s="2"/>
      <c r="H297" s="4"/>
      <c r="I297" s="5"/>
      <c r="J297" s="5"/>
      <c r="K297" s="5"/>
      <c r="L297" s="4"/>
      <c r="M297" s="4"/>
      <c r="N297" s="4"/>
      <c r="O297" s="4"/>
      <c r="P297" s="4"/>
      <c r="Q297" s="5"/>
      <c r="R297" s="5"/>
      <c r="S297" s="5"/>
      <c r="T297" s="5"/>
      <c r="U297" s="6"/>
      <c r="V297" s="5"/>
      <c r="W297" s="7"/>
      <c r="X297" s="8"/>
      <c r="Y297" s="8"/>
      <c r="Z297" s="2"/>
      <c r="AA297" s="2"/>
      <c r="AB297" s="2"/>
      <c r="AC297" s="2"/>
      <c r="AD297" s="2"/>
    </row>
    <row r="298" ht="12.0" customHeight="1">
      <c r="A298" s="2"/>
      <c r="B298" s="2"/>
      <c r="C298" s="2"/>
      <c r="D298" s="3"/>
      <c r="E298" s="3"/>
      <c r="F298" s="3"/>
      <c r="G298" s="2"/>
      <c r="H298" s="4"/>
      <c r="I298" s="5"/>
      <c r="J298" s="5"/>
      <c r="K298" s="5"/>
      <c r="L298" s="4"/>
      <c r="M298" s="4"/>
      <c r="N298" s="4"/>
      <c r="O298" s="4"/>
      <c r="P298" s="4"/>
      <c r="Q298" s="5"/>
      <c r="R298" s="5"/>
      <c r="S298" s="5"/>
      <c r="T298" s="5"/>
      <c r="U298" s="6"/>
      <c r="V298" s="5"/>
      <c r="W298" s="7"/>
      <c r="X298" s="8"/>
      <c r="Y298" s="8"/>
      <c r="Z298" s="2"/>
      <c r="AA298" s="2"/>
      <c r="AB298" s="2"/>
      <c r="AC298" s="2"/>
      <c r="AD298" s="2"/>
    </row>
    <row r="299" ht="12.0" customHeight="1">
      <c r="A299" s="2"/>
      <c r="B299" s="2"/>
      <c r="C299" s="2"/>
      <c r="D299" s="3"/>
      <c r="E299" s="3"/>
      <c r="F299" s="3"/>
      <c r="G299" s="2"/>
      <c r="H299" s="4"/>
      <c r="I299" s="5"/>
      <c r="J299" s="5"/>
      <c r="K299" s="5"/>
      <c r="L299" s="4"/>
      <c r="M299" s="4"/>
      <c r="N299" s="4"/>
      <c r="O299" s="4"/>
      <c r="P299" s="4"/>
      <c r="Q299" s="5"/>
      <c r="R299" s="5"/>
      <c r="S299" s="5"/>
      <c r="T299" s="5"/>
      <c r="U299" s="6"/>
      <c r="V299" s="5"/>
      <c r="W299" s="7"/>
      <c r="X299" s="8"/>
      <c r="Y299" s="8"/>
      <c r="Z299" s="2"/>
      <c r="AA299" s="2"/>
      <c r="AB299" s="2"/>
      <c r="AC299" s="2"/>
      <c r="AD299" s="2"/>
    </row>
    <row r="300" ht="12.0" customHeight="1">
      <c r="A300" s="2"/>
      <c r="B300" s="2"/>
      <c r="C300" s="2"/>
      <c r="D300" s="3"/>
      <c r="E300" s="3"/>
      <c r="F300" s="3"/>
      <c r="G300" s="2"/>
      <c r="H300" s="4"/>
      <c r="I300" s="5"/>
      <c r="J300" s="5"/>
      <c r="K300" s="5"/>
      <c r="L300" s="4"/>
      <c r="M300" s="4"/>
      <c r="N300" s="4"/>
      <c r="O300" s="4"/>
      <c r="P300" s="4"/>
      <c r="Q300" s="5"/>
      <c r="R300" s="5"/>
      <c r="S300" s="5"/>
      <c r="T300" s="5"/>
      <c r="U300" s="6"/>
      <c r="V300" s="5"/>
      <c r="W300" s="7"/>
      <c r="X300" s="8"/>
      <c r="Y300" s="8"/>
      <c r="Z300" s="2"/>
      <c r="AA300" s="2"/>
      <c r="AB300" s="2"/>
      <c r="AC300" s="2"/>
      <c r="AD300" s="2"/>
    </row>
    <row r="301" ht="12.0" customHeight="1">
      <c r="A301" s="2"/>
      <c r="B301" s="2"/>
      <c r="C301" s="2"/>
      <c r="D301" s="3"/>
      <c r="E301" s="3"/>
      <c r="F301" s="3"/>
      <c r="G301" s="2"/>
      <c r="H301" s="4"/>
      <c r="I301" s="5"/>
      <c r="J301" s="5"/>
      <c r="K301" s="5"/>
      <c r="L301" s="4"/>
      <c r="M301" s="4"/>
      <c r="N301" s="4"/>
      <c r="O301" s="4"/>
      <c r="P301" s="4"/>
      <c r="Q301" s="5"/>
      <c r="R301" s="5"/>
      <c r="S301" s="5"/>
      <c r="T301" s="5"/>
      <c r="U301" s="6"/>
      <c r="V301" s="5"/>
      <c r="W301" s="7"/>
      <c r="X301" s="8"/>
      <c r="Y301" s="8"/>
      <c r="Z301" s="2"/>
      <c r="AA301" s="2"/>
      <c r="AB301" s="2"/>
      <c r="AC301" s="2"/>
      <c r="AD301" s="2"/>
    </row>
    <row r="302" ht="12.0" customHeight="1">
      <c r="A302" s="2"/>
      <c r="B302" s="2"/>
      <c r="C302" s="2"/>
      <c r="D302" s="3"/>
      <c r="E302" s="3"/>
      <c r="F302" s="3"/>
      <c r="G302" s="2"/>
      <c r="H302" s="4"/>
      <c r="I302" s="5"/>
      <c r="J302" s="5"/>
      <c r="K302" s="5"/>
      <c r="L302" s="4"/>
      <c r="M302" s="4"/>
      <c r="N302" s="4"/>
      <c r="O302" s="4"/>
      <c r="P302" s="4"/>
      <c r="Q302" s="5"/>
      <c r="R302" s="5"/>
      <c r="S302" s="5"/>
      <c r="T302" s="5"/>
      <c r="U302" s="6"/>
      <c r="V302" s="5"/>
      <c r="W302" s="7"/>
      <c r="X302" s="8"/>
      <c r="Y302" s="8"/>
      <c r="Z302" s="2"/>
      <c r="AA302" s="2"/>
      <c r="AB302" s="2"/>
      <c r="AC302" s="2"/>
      <c r="AD302" s="2"/>
    </row>
    <row r="303" ht="12.0" customHeight="1">
      <c r="A303" s="2"/>
      <c r="B303" s="2"/>
      <c r="C303" s="2"/>
      <c r="D303" s="3"/>
      <c r="E303" s="3"/>
      <c r="F303" s="3"/>
      <c r="G303" s="2"/>
      <c r="H303" s="4"/>
      <c r="I303" s="5"/>
      <c r="J303" s="5"/>
      <c r="K303" s="5"/>
      <c r="L303" s="4"/>
      <c r="M303" s="4"/>
      <c r="N303" s="4"/>
      <c r="O303" s="4"/>
      <c r="P303" s="4"/>
      <c r="Q303" s="5"/>
      <c r="R303" s="5"/>
      <c r="S303" s="5"/>
      <c r="T303" s="5"/>
      <c r="U303" s="6"/>
      <c r="V303" s="5"/>
      <c r="W303" s="7"/>
      <c r="X303" s="8"/>
      <c r="Y303" s="8"/>
      <c r="Z303" s="2"/>
      <c r="AA303" s="2"/>
      <c r="AB303" s="2"/>
      <c r="AC303" s="2"/>
      <c r="AD303" s="2"/>
    </row>
    <row r="304" ht="12.0" customHeight="1">
      <c r="A304" s="2"/>
      <c r="B304" s="2"/>
      <c r="C304" s="2"/>
      <c r="D304" s="3"/>
      <c r="E304" s="3"/>
      <c r="F304" s="3"/>
      <c r="G304" s="2"/>
      <c r="H304" s="4"/>
      <c r="I304" s="5"/>
      <c r="J304" s="5"/>
      <c r="K304" s="5"/>
      <c r="L304" s="4"/>
      <c r="M304" s="4"/>
      <c r="N304" s="4"/>
      <c r="O304" s="4"/>
      <c r="P304" s="4"/>
      <c r="Q304" s="5"/>
      <c r="R304" s="5"/>
      <c r="S304" s="5"/>
      <c r="T304" s="5"/>
      <c r="U304" s="6"/>
      <c r="V304" s="5"/>
      <c r="W304" s="7"/>
      <c r="X304" s="8"/>
      <c r="Y304" s="8"/>
      <c r="Z304" s="2"/>
      <c r="AA304" s="2"/>
      <c r="AB304" s="2"/>
      <c r="AC304" s="2"/>
      <c r="AD304" s="2"/>
    </row>
    <row r="305" ht="12.0" customHeight="1">
      <c r="A305" s="2"/>
      <c r="B305" s="2"/>
      <c r="C305" s="2"/>
      <c r="D305" s="3"/>
      <c r="E305" s="3"/>
      <c r="F305" s="3"/>
      <c r="G305" s="2"/>
      <c r="H305" s="4"/>
      <c r="I305" s="5"/>
      <c r="J305" s="5"/>
      <c r="K305" s="5"/>
      <c r="L305" s="4"/>
      <c r="M305" s="4"/>
      <c r="N305" s="4"/>
      <c r="O305" s="4"/>
      <c r="P305" s="4"/>
      <c r="Q305" s="5"/>
      <c r="R305" s="5"/>
      <c r="S305" s="5"/>
      <c r="T305" s="5"/>
      <c r="U305" s="6"/>
      <c r="V305" s="5"/>
      <c r="W305" s="7"/>
      <c r="X305" s="8"/>
      <c r="Y305" s="8"/>
      <c r="Z305" s="2"/>
      <c r="AA305" s="2"/>
      <c r="AB305" s="2"/>
      <c r="AC305" s="2"/>
      <c r="AD305" s="2"/>
    </row>
    <row r="306" ht="12.0" customHeight="1">
      <c r="A306" s="2"/>
      <c r="B306" s="2"/>
      <c r="C306" s="2"/>
      <c r="D306" s="3"/>
      <c r="E306" s="3"/>
      <c r="F306" s="3"/>
      <c r="G306" s="2"/>
      <c r="H306" s="4"/>
      <c r="I306" s="5"/>
      <c r="J306" s="5"/>
      <c r="K306" s="5"/>
      <c r="L306" s="4"/>
      <c r="M306" s="4"/>
      <c r="N306" s="4"/>
      <c r="O306" s="4"/>
      <c r="P306" s="4"/>
      <c r="Q306" s="5"/>
      <c r="R306" s="5"/>
      <c r="S306" s="5"/>
      <c r="T306" s="5"/>
      <c r="U306" s="6"/>
      <c r="V306" s="5"/>
      <c r="W306" s="7"/>
      <c r="X306" s="8"/>
      <c r="Y306" s="8"/>
      <c r="Z306" s="2"/>
      <c r="AA306" s="2"/>
      <c r="AB306" s="2"/>
      <c r="AC306" s="2"/>
      <c r="AD306" s="2"/>
    </row>
    <row r="307" ht="12.0" customHeight="1">
      <c r="A307" s="2"/>
      <c r="B307" s="2"/>
      <c r="C307" s="2"/>
      <c r="D307" s="3"/>
      <c r="E307" s="3"/>
      <c r="F307" s="3"/>
      <c r="G307" s="2"/>
      <c r="H307" s="4"/>
      <c r="I307" s="5"/>
      <c r="J307" s="5"/>
      <c r="K307" s="5"/>
      <c r="L307" s="4"/>
      <c r="M307" s="4"/>
      <c r="N307" s="4"/>
      <c r="O307" s="4"/>
      <c r="P307" s="4"/>
      <c r="Q307" s="5"/>
      <c r="R307" s="5"/>
      <c r="S307" s="5"/>
      <c r="T307" s="5"/>
      <c r="U307" s="6"/>
      <c r="V307" s="5"/>
      <c r="W307" s="7"/>
      <c r="X307" s="8"/>
      <c r="Y307" s="8"/>
      <c r="Z307" s="2"/>
      <c r="AA307" s="2"/>
      <c r="AB307" s="2"/>
      <c r="AC307" s="2"/>
      <c r="AD307" s="2"/>
    </row>
    <row r="308" ht="12.0" customHeight="1">
      <c r="A308" s="2"/>
      <c r="B308" s="2"/>
      <c r="C308" s="2"/>
      <c r="D308" s="3"/>
      <c r="E308" s="3"/>
      <c r="F308" s="3"/>
      <c r="G308" s="2"/>
      <c r="H308" s="4"/>
      <c r="I308" s="5"/>
      <c r="J308" s="5"/>
      <c r="K308" s="5"/>
      <c r="L308" s="4"/>
      <c r="M308" s="4"/>
      <c r="N308" s="4"/>
      <c r="O308" s="4"/>
      <c r="P308" s="4"/>
      <c r="Q308" s="5"/>
      <c r="R308" s="5"/>
      <c r="S308" s="5"/>
      <c r="T308" s="5"/>
      <c r="U308" s="6"/>
      <c r="V308" s="5"/>
      <c r="W308" s="7"/>
      <c r="X308" s="8"/>
      <c r="Y308" s="8"/>
      <c r="Z308" s="2"/>
      <c r="AA308" s="2"/>
      <c r="AB308" s="2"/>
      <c r="AC308" s="2"/>
      <c r="AD308" s="2"/>
    </row>
    <row r="309" ht="12.0" customHeight="1">
      <c r="A309" s="2"/>
      <c r="B309" s="2"/>
      <c r="C309" s="2"/>
      <c r="D309" s="3"/>
      <c r="E309" s="3"/>
      <c r="F309" s="3"/>
      <c r="G309" s="2"/>
      <c r="H309" s="4"/>
      <c r="I309" s="5"/>
      <c r="J309" s="5"/>
      <c r="K309" s="5"/>
      <c r="L309" s="4"/>
      <c r="M309" s="4"/>
      <c r="N309" s="4"/>
      <c r="O309" s="4"/>
      <c r="P309" s="4"/>
      <c r="Q309" s="5"/>
      <c r="R309" s="5"/>
      <c r="S309" s="5"/>
      <c r="T309" s="5"/>
      <c r="U309" s="6"/>
      <c r="V309" s="5"/>
      <c r="W309" s="7"/>
      <c r="X309" s="8"/>
      <c r="Y309" s="8"/>
      <c r="Z309" s="2"/>
      <c r="AA309" s="2"/>
      <c r="AB309" s="2"/>
      <c r="AC309" s="2"/>
      <c r="AD309" s="2"/>
    </row>
    <row r="310" ht="12.0" customHeight="1">
      <c r="A310" s="2"/>
      <c r="B310" s="2"/>
      <c r="C310" s="2"/>
      <c r="D310" s="3"/>
      <c r="E310" s="3"/>
      <c r="F310" s="3"/>
      <c r="G310" s="2"/>
      <c r="H310" s="4"/>
      <c r="I310" s="5"/>
      <c r="J310" s="5"/>
      <c r="K310" s="5"/>
      <c r="L310" s="4"/>
      <c r="M310" s="4"/>
      <c r="N310" s="4"/>
      <c r="O310" s="4"/>
      <c r="P310" s="4"/>
      <c r="Q310" s="5"/>
      <c r="R310" s="5"/>
      <c r="S310" s="5"/>
      <c r="T310" s="5"/>
      <c r="U310" s="6"/>
      <c r="V310" s="5"/>
      <c r="W310" s="7"/>
      <c r="X310" s="8"/>
      <c r="Y310" s="8"/>
      <c r="Z310" s="2"/>
      <c r="AA310" s="2"/>
      <c r="AB310" s="2"/>
      <c r="AC310" s="2"/>
      <c r="AD310" s="2"/>
    </row>
    <row r="311" ht="12.0" customHeight="1">
      <c r="A311" s="2"/>
      <c r="B311" s="2"/>
      <c r="C311" s="2"/>
      <c r="D311" s="3"/>
      <c r="E311" s="3"/>
      <c r="F311" s="3"/>
      <c r="G311" s="2"/>
      <c r="H311" s="4"/>
      <c r="I311" s="5"/>
      <c r="J311" s="5"/>
      <c r="K311" s="5"/>
      <c r="L311" s="4"/>
      <c r="M311" s="4"/>
      <c r="N311" s="4"/>
      <c r="O311" s="4"/>
      <c r="P311" s="4"/>
      <c r="Q311" s="5"/>
      <c r="R311" s="5"/>
      <c r="S311" s="5"/>
      <c r="T311" s="5"/>
      <c r="U311" s="6"/>
      <c r="V311" s="5"/>
      <c r="W311" s="7"/>
      <c r="X311" s="8"/>
      <c r="Y311" s="8"/>
      <c r="Z311" s="2"/>
      <c r="AA311" s="2"/>
      <c r="AB311" s="2"/>
      <c r="AC311" s="2"/>
      <c r="AD311" s="2"/>
    </row>
    <row r="312" ht="12.0" customHeight="1">
      <c r="A312" s="2"/>
      <c r="B312" s="2"/>
      <c r="C312" s="2"/>
      <c r="D312" s="3"/>
      <c r="E312" s="3"/>
      <c r="F312" s="3"/>
      <c r="G312" s="2"/>
      <c r="H312" s="4"/>
      <c r="I312" s="5"/>
      <c r="J312" s="5"/>
      <c r="K312" s="5"/>
      <c r="L312" s="4"/>
      <c r="M312" s="4"/>
      <c r="N312" s="4"/>
      <c r="O312" s="4"/>
      <c r="P312" s="4"/>
      <c r="Q312" s="5"/>
      <c r="R312" s="5"/>
      <c r="S312" s="5"/>
      <c r="T312" s="5"/>
      <c r="U312" s="6"/>
      <c r="V312" s="5"/>
      <c r="W312" s="7"/>
      <c r="X312" s="8"/>
      <c r="Y312" s="8"/>
      <c r="Z312" s="2"/>
      <c r="AA312" s="2"/>
      <c r="AB312" s="2"/>
      <c r="AC312" s="2"/>
      <c r="AD312" s="2"/>
    </row>
    <row r="313" ht="12.0" customHeight="1">
      <c r="A313" s="2"/>
      <c r="B313" s="2"/>
      <c r="C313" s="2"/>
      <c r="D313" s="3"/>
      <c r="E313" s="3"/>
      <c r="F313" s="3"/>
      <c r="G313" s="2"/>
      <c r="H313" s="4"/>
      <c r="I313" s="5"/>
      <c r="J313" s="5"/>
      <c r="K313" s="5"/>
      <c r="L313" s="4"/>
      <c r="M313" s="4"/>
      <c r="N313" s="4"/>
      <c r="O313" s="4"/>
      <c r="P313" s="4"/>
      <c r="Q313" s="5"/>
      <c r="R313" s="5"/>
      <c r="S313" s="5"/>
      <c r="T313" s="5"/>
      <c r="U313" s="6"/>
      <c r="V313" s="5"/>
      <c r="W313" s="7"/>
      <c r="X313" s="8"/>
      <c r="Y313" s="8"/>
      <c r="Z313" s="2"/>
      <c r="AA313" s="2"/>
      <c r="AB313" s="2"/>
      <c r="AC313" s="2"/>
      <c r="AD313" s="2"/>
    </row>
    <row r="314" ht="12.0" customHeight="1">
      <c r="A314" s="2"/>
      <c r="B314" s="2"/>
      <c r="C314" s="2"/>
      <c r="D314" s="3"/>
      <c r="E314" s="3"/>
      <c r="F314" s="3"/>
      <c r="G314" s="2"/>
      <c r="H314" s="4"/>
      <c r="I314" s="5"/>
      <c r="J314" s="5"/>
      <c r="K314" s="5"/>
      <c r="L314" s="4"/>
      <c r="M314" s="4"/>
      <c r="N314" s="4"/>
      <c r="O314" s="4"/>
      <c r="P314" s="4"/>
      <c r="Q314" s="5"/>
      <c r="R314" s="5"/>
      <c r="S314" s="5"/>
      <c r="T314" s="5"/>
      <c r="U314" s="6"/>
      <c r="V314" s="5"/>
      <c r="W314" s="7"/>
      <c r="X314" s="8"/>
      <c r="Y314" s="8"/>
      <c r="Z314" s="2"/>
      <c r="AA314" s="2"/>
      <c r="AB314" s="2"/>
      <c r="AC314" s="2"/>
      <c r="AD314" s="2"/>
    </row>
    <row r="315" ht="12.0" customHeight="1">
      <c r="A315" s="2"/>
      <c r="B315" s="2"/>
      <c r="C315" s="2"/>
      <c r="D315" s="3"/>
      <c r="E315" s="3"/>
      <c r="F315" s="3"/>
      <c r="G315" s="2"/>
      <c r="H315" s="4"/>
      <c r="I315" s="5"/>
      <c r="J315" s="5"/>
      <c r="K315" s="5"/>
      <c r="L315" s="4"/>
      <c r="M315" s="4"/>
      <c r="N315" s="4"/>
      <c r="O315" s="4"/>
      <c r="P315" s="4"/>
      <c r="Q315" s="5"/>
      <c r="R315" s="5"/>
      <c r="S315" s="5"/>
      <c r="T315" s="5"/>
      <c r="U315" s="6"/>
      <c r="V315" s="5"/>
      <c r="W315" s="7"/>
      <c r="X315" s="8"/>
      <c r="Y315" s="8"/>
      <c r="Z315" s="2"/>
      <c r="AA315" s="2"/>
      <c r="AB315" s="2"/>
      <c r="AC315" s="2"/>
      <c r="AD315" s="2"/>
    </row>
    <row r="316" ht="12.0" customHeight="1">
      <c r="A316" s="2"/>
      <c r="B316" s="2"/>
      <c r="C316" s="2"/>
      <c r="D316" s="3"/>
      <c r="E316" s="3"/>
      <c r="F316" s="3"/>
      <c r="G316" s="2"/>
      <c r="H316" s="4"/>
      <c r="I316" s="5"/>
      <c r="J316" s="5"/>
      <c r="K316" s="5"/>
      <c r="L316" s="4"/>
      <c r="M316" s="4"/>
      <c r="N316" s="4"/>
      <c r="O316" s="4"/>
      <c r="P316" s="4"/>
      <c r="Q316" s="5"/>
      <c r="R316" s="5"/>
      <c r="S316" s="5"/>
      <c r="T316" s="5"/>
      <c r="U316" s="6"/>
      <c r="V316" s="5"/>
      <c r="W316" s="7"/>
      <c r="X316" s="8"/>
      <c r="Y316" s="8"/>
      <c r="Z316" s="2"/>
      <c r="AA316" s="2"/>
      <c r="AB316" s="2"/>
      <c r="AC316" s="2"/>
      <c r="AD316" s="2"/>
    </row>
    <row r="317" ht="12.0" customHeight="1">
      <c r="A317" s="2"/>
      <c r="B317" s="2"/>
      <c r="C317" s="2"/>
      <c r="D317" s="3"/>
      <c r="E317" s="3"/>
      <c r="F317" s="3"/>
      <c r="G317" s="2"/>
      <c r="H317" s="4"/>
      <c r="I317" s="5"/>
      <c r="J317" s="5"/>
      <c r="K317" s="5"/>
      <c r="L317" s="4"/>
      <c r="M317" s="4"/>
      <c r="N317" s="4"/>
      <c r="O317" s="4"/>
      <c r="P317" s="4"/>
      <c r="Q317" s="5"/>
      <c r="R317" s="5"/>
      <c r="S317" s="5"/>
      <c r="T317" s="5"/>
      <c r="U317" s="6"/>
      <c r="V317" s="5"/>
      <c r="W317" s="7"/>
      <c r="X317" s="8"/>
      <c r="Y317" s="8"/>
      <c r="Z317" s="2"/>
      <c r="AA317" s="2"/>
      <c r="AB317" s="2"/>
      <c r="AC317" s="2"/>
      <c r="AD317" s="2"/>
    </row>
    <row r="318" ht="12.0" customHeight="1">
      <c r="A318" s="2"/>
      <c r="B318" s="2"/>
      <c r="C318" s="2"/>
      <c r="D318" s="3"/>
      <c r="E318" s="3"/>
      <c r="F318" s="3"/>
      <c r="G318" s="2"/>
      <c r="H318" s="4"/>
      <c r="I318" s="5"/>
      <c r="J318" s="5"/>
      <c r="K318" s="5"/>
      <c r="L318" s="4"/>
      <c r="M318" s="4"/>
      <c r="N318" s="4"/>
      <c r="O318" s="4"/>
      <c r="P318" s="4"/>
      <c r="Q318" s="5"/>
      <c r="R318" s="5"/>
      <c r="S318" s="5"/>
      <c r="T318" s="5"/>
      <c r="U318" s="6"/>
      <c r="V318" s="5"/>
      <c r="W318" s="7"/>
      <c r="X318" s="8"/>
      <c r="Y318" s="8"/>
      <c r="Z318" s="2"/>
      <c r="AA318" s="2"/>
      <c r="AB318" s="2"/>
      <c r="AC318" s="2"/>
      <c r="AD318" s="2"/>
    </row>
    <row r="319" ht="12.0" customHeight="1">
      <c r="A319" s="2"/>
      <c r="B319" s="2"/>
      <c r="C319" s="2"/>
      <c r="D319" s="3"/>
      <c r="E319" s="3"/>
      <c r="F319" s="3"/>
      <c r="G319" s="2"/>
      <c r="H319" s="4"/>
      <c r="I319" s="5"/>
      <c r="J319" s="5"/>
      <c r="K319" s="5"/>
      <c r="L319" s="4"/>
      <c r="M319" s="4"/>
      <c r="N319" s="4"/>
      <c r="O319" s="4"/>
      <c r="P319" s="4"/>
      <c r="Q319" s="5"/>
      <c r="R319" s="5"/>
      <c r="S319" s="5"/>
      <c r="T319" s="5"/>
      <c r="U319" s="6"/>
      <c r="V319" s="5"/>
      <c r="W319" s="7"/>
      <c r="X319" s="8"/>
      <c r="Y319" s="8"/>
      <c r="Z319" s="2"/>
      <c r="AA319" s="2"/>
      <c r="AB319" s="2"/>
      <c r="AC319" s="2"/>
      <c r="AD319" s="2"/>
    </row>
    <row r="320" ht="12.0" customHeight="1">
      <c r="A320" s="2"/>
      <c r="B320" s="2"/>
      <c r="C320" s="2"/>
      <c r="D320" s="3"/>
      <c r="E320" s="3"/>
      <c r="F320" s="3"/>
      <c r="G320" s="2"/>
      <c r="H320" s="4"/>
      <c r="I320" s="5"/>
      <c r="J320" s="5"/>
      <c r="K320" s="5"/>
      <c r="L320" s="4"/>
      <c r="M320" s="4"/>
      <c r="N320" s="4"/>
      <c r="O320" s="4"/>
      <c r="P320" s="4"/>
      <c r="Q320" s="5"/>
      <c r="R320" s="5"/>
      <c r="S320" s="5"/>
      <c r="T320" s="5"/>
      <c r="U320" s="6"/>
      <c r="V320" s="5"/>
      <c r="W320" s="7"/>
      <c r="X320" s="8"/>
      <c r="Y320" s="8"/>
      <c r="Z320" s="2"/>
      <c r="AA320" s="2"/>
      <c r="AB320" s="2"/>
      <c r="AC320" s="2"/>
      <c r="AD320" s="2"/>
    </row>
    <row r="321" ht="12.0" customHeight="1">
      <c r="A321" s="2"/>
      <c r="B321" s="2"/>
      <c r="C321" s="2"/>
      <c r="D321" s="3"/>
      <c r="E321" s="3"/>
      <c r="F321" s="3"/>
      <c r="G321" s="2"/>
      <c r="H321" s="4"/>
      <c r="I321" s="5"/>
      <c r="J321" s="5"/>
      <c r="K321" s="5"/>
      <c r="L321" s="4"/>
      <c r="M321" s="4"/>
      <c r="N321" s="4"/>
      <c r="O321" s="4"/>
      <c r="P321" s="4"/>
      <c r="Q321" s="5"/>
      <c r="R321" s="5"/>
      <c r="S321" s="5"/>
      <c r="T321" s="5"/>
      <c r="U321" s="6"/>
      <c r="V321" s="5"/>
      <c r="W321" s="7"/>
      <c r="X321" s="8"/>
      <c r="Y321" s="8"/>
      <c r="Z321" s="2"/>
      <c r="AA321" s="2"/>
      <c r="AB321" s="2"/>
      <c r="AC321" s="2"/>
      <c r="AD321" s="2"/>
    </row>
    <row r="322" ht="12.0" customHeight="1">
      <c r="A322" s="2"/>
      <c r="B322" s="2"/>
      <c r="C322" s="2"/>
      <c r="D322" s="3"/>
      <c r="E322" s="3"/>
      <c r="F322" s="3"/>
      <c r="G322" s="2"/>
      <c r="H322" s="4"/>
      <c r="I322" s="5"/>
      <c r="J322" s="5"/>
      <c r="K322" s="5"/>
      <c r="L322" s="4"/>
      <c r="M322" s="4"/>
      <c r="N322" s="4"/>
      <c r="O322" s="4"/>
      <c r="P322" s="4"/>
      <c r="Q322" s="5"/>
      <c r="R322" s="5"/>
      <c r="S322" s="5"/>
      <c r="T322" s="5"/>
      <c r="U322" s="6"/>
      <c r="V322" s="5"/>
      <c r="W322" s="7"/>
      <c r="X322" s="8"/>
      <c r="Y322" s="8"/>
      <c r="Z322" s="2"/>
      <c r="AA322" s="2"/>
      <c r="AB322" s="2"/>
      <c r="AC322" s="2"/>
      <c r="AD322" s="2"/>
    </row>
    <row r="323" ht="12.0" customHeight="1">
      <c r="A323" s="2"/>
      <c r="B323" s="2"/>
      <c r="C323" s="2"/>
      <c r="D323" s="3"/>
      <c r="E323" s="3"/>
      <c r="F323" s="3"/>
      <c r="G323" s="2"/>
      <c r="H323" s="4"/>
      <c r="I323" s="5"/>
      <c r="J323" s="5"/>
      <c r="K323" s="5"/>
      <c r="L323" s="4"/>
      <c r="M323" s="4"/>
      <c r="N323" s="4"/>
      <c r="O323" s="4"/>
      <c r="P323" s="4"/>
      <c r="Q323" s="5"/>
      <c r="R323" s="5"/>
      <c r="S323" s="5"/>
      <c r="T323" s="5"/>
      <c r="U323" s="6"/>
      <c r="V323" s="5"/>
      <c r="W323" s="7"/>
      <c r="X323" s="8"/>
      <c r="Y323" s="8"/>
      <c r="Z323" s="2"/>
      <c r="AA323" s="2"/>
      <c r="AB323" s="2"/>
      <c r="AC323" s="2"/>
      <c r="AD323" s="2"/>
    </row>
    <row r="324" ht="12.0" customHeight="1">
      <c r="A324" s="2"/>
      <c r="B324" s="2"/>
      <c r="C324" s="2"/>
      <c r="D324" s="3"/>
      <c r="E324" s="3"/>
      <c r="F324" s="3"/>
      <c r="G324" s="2"/>
      <c r="H324" s="4"/>
      <c r="I324" s="5"/>
      <c r="J324" s="5"/>
      <c r="K324" s="5"/>
      <c r="L324" s="4"/>
      <c r="M324" s="4"/>
      <c r="N324" s="4"/>
      <c r="O324" s="4"/>
      <c r="P324" s="4"/>
      <c r="Q324" s="5"/>
      <c r="R324" s="5"/>
      <c r="S324" s="5"/>
      <c r="T324" s="5"/>
      <c r="U324" s="6"/>
      <c r="V324" s="5"/>
      <c r="W324" s="7"/>
      <c r="X324" s="8"/>
      <c r="Y324" s="8"/>
      <c r="Z324" s="2"/>
      <c r="AA324" s="2"/>
      <c r="AB324" s="2"/>
      <c r="AC324" s="2"/>
      <c r="AD324" s="2"/>
    </row>
    <row r="325" ht="12.0" customHeight="1">
      <c r="A325" s="2"/>
      <c r="B325" s="2"/>
      <c r="C325" s="2"/>
      <c r="D325" s="3"/>
      <c r="E325" s="3"/>
      <c r="F325" s="3"/>
      <c r="G325" s="2"/>
      <c r="H325" s="4"/>
      <c r="I325" s="5"/>
      <c r="J325" s="5"/>
      <c r="K325" s="5"/>
      <c r="L325" s="4"/>
      <c r="M325" s="4"/>
      <c r="N325" s="4"/>
      <c r="O325" s="4"/>
      <c r="P325" s="4"/>
      <c r="Q325" s="5"/>
      <c r="R325" s="5"/>
      <c r="S325" s="5"/>
      <c r="T325" s="5"/>
      <c r="U325" s="6"/>
      <c r="V325" s="5"/>
      <c r="W325" s="7"/>
      <c r="X325" s="8"/>
      <c r="Y325" s="8"/>
      <c r="Z325" s="2"/>
      <c r="AA325" s="2"/>
      <c r="AB325" s="2"/>
      <c r="AC325" s="2"/>
      <c r="AD325" s="2"/>
    </row>
    <row r="326" ht="12.0" customHeight="1">
      <c r="A326" s="2"/>
      <c r="B326" s="2"/>
      <c r="C326" s="2"/>
      <c r="D326" s="3"/>
      <c r="E326" s="3"/>
      <c r="F326" s="3"/>
      <c r="G326" s="2"/>
      <c r="H326" s="4"/>
      <c r="I326" s="5"/>
      <c r="J326" s="5"/>
      <c r="K326" s="5"/>
      <c r="L326" s="4"/>
      <c r="M326" s="4"/>
      <c r="N326" s="4"/>
      <c r="O326" s="4"/>
      <c r="P326" s="4"/>
      <c r="Q326" s="5"/>
      <c r="R326" s="5"/>
      <c r="S326" s="5"/>
      <c r="T326" s="5"/>
      <c r="U326" s="6"/>
      <c r="V326" s="5"/>
      <c r="W326" s="7"/>
      <c r="X326" s="8"/>
      <c r="Y326" s="8"/>
      <c r="Z326" s="2"/>
      <c r="AA326" s="2"/>
      <c r="AB326" s="2"/>
      <c r="AC326" s="2"/>
      <c r="AD326" s="2"/>
    </row>
    <row r="327" ht="12.0" customHeight="1">
      <c r="A327" s="2"/>
      <c r="B327" s="2"/>
      <c r="C327" s="2"/>
      <c r="D327" s="3"/>
      <c r="E327" s="3"/>
      <c r="F327" s="3"/>
      <c r="G327" s="2"/>
      <c r="H327" s="4"/>
      <c r="I327" s="5"/>
      <c r="J327" s="5"/>
      <c r="K327" s="5"/>
      <c r="L327" s="4"/>
      <c r="M327" s="4"/>
      <c r="N327" s="4"/>
      <c r="O327" s="4"/>
      <c r="P327" s="4"/>
      <c r="Q327" s="5"/>
      <c r="R327" s="5"/>
      <c r="S327" s="5"/>
      <c r="T327" s="5"/>
      <c r="U327" s="6"/>
      <c r="V327" s="5"/>
      <c r="W327" s="7"/>
      <c r="X327" s="8"/>
      <c r="Y327" s="8"/>
      <c r="Z327" s="2"/>
      <c r="AA327" s="2"/>
      <c r="AB327" s="2"/>
      <c r="AC327" s="2"/>
      <c r="AD327" s="2"/>
    </row>
    <row r="328" ht="12.0" customHeight="1">
      <c r="A328" s="2"/>
      <c r="B328" s="2"/>
      <c r="C328" s="2"/>
      <c r="D328" s="3"/>
      <c r="E328" s="3"/>
      <c r="F328" s="3"/>
      <c r="G328" s="2"/>
      <c r="H328" s="4"/>
      <c r="I328" s="5"/>
      <c r="J328" s="5"/>
      <c r="K328" s="5"/>
      <c r="L328" s="4"/>
      <c r="M328" s="4"/>
      <c r="N328" s="4"/>
      <c r="O328" s="4"/>
      <c r="P328" s="4"/>
      <c r="Q328" s="5"/>
      <c r="R328" s="5"/>
      <c r="S328" s="5"/>
      <c r="T328" s="5"/>
      <c r="U328" s="6"/>
      <c r="V328" s="5"/>
      <c r="W328" s="7"/>
      <c r="X328" s="8"/>
      <c r="Y328" s="8"/>
      <c r="Z328" s="2"/>
      <c r="AA328" s="2"/>
      <c r="AB328" s="2"/>
      <c r="AC328" s="2"/>
      <c r="AD328" s="2"/>
    </row>
    <row r="329" ht="12.0" customHeight="1">
      <c r="A329" s="2"/>
      <c r="B329" s="2"/>
      <c r="C329" s="2"/>
      <c r="D329" s="3"/>
      <c r="E329" s="3"/>
      <c r="F329" s="3"/>
      <c r="G329" s="2"/>
      <c r="H329" s="4"/>
      <c r="I329" s="5"/>
      <c r="J329" s="5"/>
      <c r="K329" s="5"/>
      <c r="L329" s="4"/>
      <c r="M329" s="4"/>
      <c r="N329" s="4"/>
      <c r="O329" s="4"/>
      <c r="P329" s="4"/>
      <c r="Q329" s="5"/>
      <c r="R329" s="5"/>
      <c r="S329" s="5"/>
      <c r="T329" s="5"/>
      <c r="U329" s="6"/>
      <c r="V329" s="5"/>
      <c r="W329" s="7"/>
      <c r="X329" s="8"/>
      <c r="Y329" s="8"/>
      <c r="Z329" s="2"/>
      <c r="AA329" s="2"/>
      <c r="AB329" s="2"/>
      <c r="AC329" s="2"/>
      <c r="AD329" s="2"/>
    </row>
    <row r="330" ht="12.0" customHeight="1">
      <c r="A330" s="2"/>
      <c r="B330" s="2"/>
      <c r="C330" s="2"/>
      <c r="D330" s="3"/>
      <c r="E330" s="3"/>
      <c r="F330" s="3"/>
      <c r="G330" s="2"/>
      <c r="H330" s="4"/>
      <c r="I330" s="5"/>
      <c r="J330" s="5"/>
      <c r="K330" s="5"/>
      <c r="L330" s="4"/>
      <c r="M330" s="4"/>
      <c r="N330" s="4"/>
      <c r="O330" s="4"/>
      <c r="P330" s="4"/>
      <c r="Q330" s="5"/>
      <c r="R330" s="5"/>
      <c r="S330" s="5"/>
      <c r="T330" s="5"/>
      <c r="U330" s="6"/>
      <c r="V330" s="5"/>
      <c r="W330" s="7"/>
      <c r="X330" s="8"/>
      <c r="Y330" s="8"/>
      <c r="Z330" s="2"/>
      <c r="AA330" s="2"/>
      <c r="AB330" s="2"/>
      <c r="AC330" s="2"/>
      <c r="AD330" s="2"/>
    </row>
    <row r="331" ht="12.0" customHeight="1">
      <c r="A331" s="2"/>
      <c r="B331" s="2"/>
      <c r="C331" s="2"/>
      <c r="D331" s="3"/>
      <c r="E331" s="3"/>
      <c r="F331" s="3"/>
      <c r="G331" s="2"/>
      <c r="H331" s="4"/>
      <c r="I331" s="5"/>
      <c r="J331" s="5"/>
      <c r="K331" s="5"/>
      <c r="L331" s="4"/>
      <c r="M331" s="4"/>
      <c r="N331" s="4"/>
      <c r="O331" s="4"/>
      <c r="P331" s="4"/>
      <c r="Q331" s="5"/>
      <c r="R331" s="5"/>
      <c r="S331" s="5"/>
      <c r="T331" s="5"/>
      <c r="U331" s="6"/>
      <c r="V331" s="5"/>
      <c r="W331" s="7"/>
      <c r="X331" s="8"/>
      <c r="Y331" s="8"/>
      <c r="Z331" s="2"/>
      <c r="AA331" s="2"/>
      <c r="AB331" s="2"/>
      <c r="AC331" s="2"/>
      <c r="AD331" s="2"/>
    </row>
    <row r="332" ht="12.0" customHeight="1">
      <c r="A332" s="2"/>
      <c r="B332" s="2"/>
      <c r="C332" s="2"/>
      <c r="D332" s="3"/>
      <c r="E332" s="3"/>
      <c r="F332" s="3"/>
      <c r="G332" s="2"/>
      <c r="H332" s="4"/>
      <c r="I332" s="5"/>
      <c r="J332" s="5"/>
      <c r="K332" s="5"/>
      <c r="L332" s="4"/>
      <c r="M332" s="4"/>
      <c r="N332" s="4"/>
      <c r="O332" s="4"/>
      <c r="P332" s="4"/>
      <c r="Q332" s="5"/>
      <c r="R332" s="5"/>
      <c r="S332" s="5"/>
      <c r="T332" s="5"/>
      <c r="U332" s="6"/>
      <c r="V332" s="5"/>
      <c r="W332" s="7"/>
      <c r="X332" s="8"/>
      <c r="Y332" s="8"/>
      <c r="Z332" s="2"/>
      <c r="AA332" s="2"/>
      <c r="AB332" s="2"/>
      <c r="AC332" s="2"/>
      <c r="AD332" s="2"/>
    </row>
    <row r="333" ht="12.0" customHeight="1">
      <c r="A333" s="2"/>
      <c r="B333" s="2"/>
      <c r="C333" s="2"/>
      <c r="D333" s="3"/>
      <c r="E333" s="3"/>
      <c r="F333" s="3"/>
      <c r="G333" s="2"/>
      <c r="H333" s="4"/>
      <c r="I333" s="5"/>
      <c r="J333" s="5"/>
      <c r="K333" s="5"/>
      <c r="L333" s="4"/>
      <c r="M333" s="4"/>
      <c r="N333" s="4"/>
      <c r="O333" s="4"/>
      <c r="P333" s="4"/>
      <c r="Q333" s="5"/>
      <c r="R333" s="5"/>
      <c r="S333" s="5"/>
      <c r="T333" s="5"/>
      <c r="U333" s="6"/>
      <c r="V333" s="5"/>
      <c r="W333" s="7"/>
      <c r="X333" s="8"/>
      <c r="Y333" s="8"/>
      <c r="Z333" s="2"/>
      <c r="AA333" s="2"/>
      <c r="AB333" s="2"/>
      <c r="AC333" s="2"/>
      <c r="AD333" s="2"/>
    </row>
    <row r="334" ht="12.0" customHeight="1">
      <c r="A334" s="2"/>
      <c r="B334" s="2"/>
      <c r="C334" s="2"/>
      <c r="D334" s="3"/>
      <c r="E334" s="3"/>
      <c r="F334" s="3"/>
      <c r="G334" s="2"/>
      <c r="H334" s="4"/>
      <c r="I334" s="5"/>
      <c r="J334" s="5"/>
      <c r="K334" s="5"/>
      <c r="L334" s="4"/>
      <c r="M334" s="4"/>
      <c r="N334" s="4"/>
      <c r="O334" s="4"/>
      <c r="P334" s="4"/>
      <c r="Q334" s="5"/>
      <c r="R334" s="5"/>
      <c r="S334" s="5"/>
      <c r="T334" s="5"/>
      <c r="U334" s="6"/>
      <c r="V334" s="5"/>
      <c r="W334" s="7"/>
      <c r="X334" s="8"/>
      <c r="Y334" s="8"/>
      <c r="Z334" s="2"/>
      <c r="AA334" s="2"/>
      <c r="AB334" s="2"/>
      <c r="AC334" s="2"/>
      <c r="AD334" s="2"/>
    </row>
    <row r="335" ht="12.0" customHeight="1">
      <c r="A335" s="2"/>
      <c r="B335" s="2"/>
      <c r="C335" s="2"/>
      <c r="D335" s="3"/>
      <c r="E335" s="3"/>
      <c r="F335" s="3"/>
      <c r="G335" s="2"/>
      <c r="H335" s="4"/>
      <c r="I335" s="5"/>
      <c r="J335" s="5"/>
      <c r="K335" s="5"/>
      <c r="L335" s="4"/>
      <c r="M335" s="4"/>
      <c r="N335" s="4"/>
      <c r="O335" s="4"/>
      <c r="P335" s="4"/>
      <c r="Q335" s="5"/>
      <c r="R335" s="5"/>
      <c r="S335" s="5"/>
      <c r="T335" s="5"/>
      <c r="U335" s="6"/>
      <c r="V335" s="5"/>
      <c r="W335" s="7"/>
      <c r="X335" s="8"/>
      <c r="Y335" s="8"/>
      <c r="Z335" s="2"/>
      <c r="AA335" s="2"/>
      <c r="AB335" s="2"/>
      <c r="AC335" s="2"/>
      <c r="AD335" s="2"/>
    </row>
    <row r="336" ht="12.0" customHeight="1">
      <c r="A336" s="2"/>
      <c r="B336" s="2"/>
      <c r="C336" s="2"/>
      <c r="D336" s="3"/>
      <c r="E336" s="3"/>
      <c r="F336" s="3"/>
      <c r="G336" s="2"/>
      <c r="H336" s="4"/>
      <c r="I336" s="5"/>
      <c r="J336" s="5"/>
      <c r="K336" s="5"/>
      <c r="L336" s="4"/>
      <c r="M336" s="4"/>
      <c r="N336" s="4"/>
      <c r="O336" s="4"/>
      <c r="P336" s="4"/>
      <c r="Q336" s="5"/>
      <c r="R336" s="5"/>
      <c r="S336" s="5"/>
      <c r="T336" s="5"/>
      <c r="U336" s="6"/>
      <c r="V336" s="5"/>
      <c r="W336" s="7"/>
      <c r="X336" s="8"/>
      <c r="Y336" s="8"/>
      <c r="Z336" s="2"/>
      <c r="AA336" s="2"/>
      <c r="AB336" s="2"/>
      <c r="AC336" s="2"/>
      <c r="AD336" s="2"/>
    </row>
    <row r="337" ht="12.0" customHeight="1">
      <c r="A337" s="2"/>
      <c r="B337" s="2"/>
      <c r="C337" s="2"/>
      <c r="D337" s="3"/>
      <c r="E337" s="3"/>
      <c r="F337" s="3"/>
      <c r="G337" s="2"/>
      <c r="H337" s="4"/>
      <c r="I337" s="5"/>
      <c r="J337" s="5"/>
      <c r="K337" s="5"/>
      <c r="L337" s="4"/>
      <c r="M337" s="4"/>
      <c r="N337" s="4"/>
      <c r="O337" s="4"/>
      <c r="P337" s="4"/>
      <c r="Q337" s="5"/>
      <c r="R337" s="5"/>
      <c r="S337" s="5"/>
      <c r="T337" s="5"/>
      <c r="U337" s="6"/>
      <c r="V337" s="5"/>
      <c r="W337" s="7"/>
      <c r="X337" s="8"/>
      <c r="Y337" s="8"/>
      <c r="Z337" s="2"/>
      <c r="AA337" s="2"/>
      <c r="AB337" s="2"/>
      <c r="AC337" s="2"/>
      <c r="AD337" s="2"/>
    </row>
    <row r="338" ht="12.0" customHeight="1">
      <c r="A338" s="2"/>
      <c r="B338" s="2"/>
      <c r="C338" s="2"/>
      <c r="D338" s="3"/>
      <c r="E338" s="3"/>
      <c r="F338" s="3"/>
      <c r="G338" s="2"/>
      <c r="H338" s="4"/>
      <c r="I338" s="5"/>
      <c r="J338" s="5"/>
      <c r="K338" s="5"/>
      <c r="L338" s="4"/>
      <c r="M338" s="4"/>
      <c r="N338" s="4"/>
      <c r="O338" s="4"/>
      <c r="P338" s="4"/>
      <c r="Q338" s="5"/>
      <c r="R338" s="5"/>
      <c r="S338" s="5"/>
      <c r="T338" s="5"/>
      <c r="U338" s="6"/>
      <c r="V338" s="5"/>
      <c r="W338" s="7"/>
      <c r="X338" s="8"/>
      <c r="Y338" s="8"/>
      <c r="Z338" s="2"/>
      <c r="AA338" s="2"/>
      <c r="AB338" s="2"/>
      <c r="AC338" s="2"/>
      <c r="AD338" s="2"/>
    </row>
    <row r="339" ht="12.0" customHeight="1">
      <c r="A339" s="2"/>
      <c r="B339" s="2"/>
      <c r="C339" s="2"/>
      <c r="D339" s="3"/>
      <c r="E339" s="3"/>
      <c r="F339" s="3"/>
      <c r="G339" s="2"/>
      <c r="H339" s="4"/>
      <c r="I339" s="5"/>
      <c r="J339" s="5"/>
      <c r="K339" s="5"/>
      <c r="L339" s="4"/>
      <c r="M339" s="4"/>
      <c r="N339" s="4"/>
      <c r="O339" s="4"/>
      <c r="P339" s="4"/>
      <c r="Q339" s="5"/>
      <c r="R339" s="5"/>
      <c r="S339" s="5"/>
      <c r="T339" s="5"/>
      <c r="U339" s="6"/>
      <c r="V339" s="5"/>
      <c r="W339" s="7"/>
      <c r="X339" s="8"/>
      <c r="Y339" s="8"/>
      <c r="Z339" s="2"/>
      <c r="AA339" s="2"/>
      <c r="AB339" s="2"/>
      <c r="AC339" s="2"/>
      <c r="AD339" s="2"/>
    </row>
    <row r="340" ht="12.0" customHeight="1">
      <c r="A340" s="2"/>
      <c r="B340" s="2"/>
      <c r="C340" s="2"/>
      <c r="D340" s="3"/>
      <c r="E340" s="3"/>
      <c r="F340" s="3"/>
      <c r="G340" s="2"/>
      <c r="H340" s="4"/>
      <c r="I340" s="5"/>
      <c r="J340" s="5"/>
      <c r="K340" s="5"/>
      <c r="L340" s="4"/>
      <c r="M340" s="4"/>
      <c r="N340" s="4"/>
      <c r="O340" s="4"/>
      <c r="P340" s="4"/>
      <c r="Q340" s="5"/>
      <c r="R340" s="5"/>
      <c r="S340" s="5"/>
      <c r="T340" s="5"/>
      <c r="U340" s="6"/>
      <c r="V340" s="5"/>
      <c r="W340" s="7"/>
      <c r="X340" s="8"/>
      <c r="Y340" s="8"/>
      <c r="Z340" s="2"/>
      <c r="AA340" s="2"/>
      <c r="AB340" s="2"/>
      <c r="AC340" s="2"/>
      <c r="AD340" s="2"/>
    </row>
    <row r="341" ht="12.0" customHeight="1">
      <c r="A341" s="2"/>
      <c r="B341" s="2"/>
      <c r="C341" s="2"/>
      <c r="D341" s="3"/>
      <c r="E341" s="3"/>
      <c r="F341" s="3"/>
      <c r="G341" s="2"/>
      <c r="H341" s="4"/>
      <c r="I341" s="5"/>
      <c r="J341" s="5"/>
      <c r="K341" s="5"/>
      <c r="L341" s="4"/>
      <c r="M341" s="4"/>
      <c r="N341" s="4"/>
      <c r="O341" s="4"/>
      <c r="P341" s="4"/>
      <c r="Q341" s="5"/>
      <c r="R341" s="5"/>
      <c r="S341" s="5"/>
      <c r="T341" s="5"/>
      <c r="U341" s="6"/>
      <c r="V341" s="5"/>
      <c r="W341" s="7"/>
      <c r="X341" s="8"/>
      <c r="Y341" s="8"/>
      <c r="Z341" s="2"/>
      <c r="AA341" s="2"/>
      <c r="AB341" s="2"/>
      <c r="AC341" s="2"/>
      <c r="AD341" s="2"/>
    </row>
    <row r="342" ht="12.0" customHeight="1">
      <c r="A342" s="2"/>
      <c r="B342" s="2"/>
      <c r="C342" s="2"/>
      <c r="D342" s="3"/>
      <c r="E342" s="3"/>
      <c r="F342" s="3"/>
      <c r="G342" s="2"/>
      <c r="H342" s="4"/>
      <c r="I342" s="5"/>
      <c r="J342" s="5"/>
      <c r="K342" s="5"/>
      <c r="L342" s="4"/>
      <c r="M342" s="4"/>
      <c r="N342" s="4"/>
      <c r="O342" s="4"/>
      <c r="P342" s="4"/>
      <c r="Q342" s="5"/>
      <c r="R342" s="5"/>
      <c r="S342" s="5"/>
      <c r="T342" s="5"/>
      <c r="U342" s="6"/>
      <c r="V342" s="5"/>
      <c r="W342" s="7"/>
      <c r="X342" s="8"/>
      <c r="Y342" s="8"/>
      <c r="Z342" s="2"/>
      <c r="AA342" s="2"/>
      <c r="AB342" s="2"/>
      <c r="AC342" s="2"/>
      <c r="AD342" s="2"/>
    </row>
    <row r="343" ht="12.0" customHeight="1">
      <c r="A343" s="2"/>
      <c r="B343" s="2"/>
      <c r="C343" s="2"/>
      <c r="D343" s="3"/>
      <c r="E343" s="3"/>
      <c r="F343" s="3"/>
      <c r="G343" s="2"/>
      <c r="H343" s="4"/>
      <c r="I343" s="5"/>
      <c r="J343" s="5"/>
      <c r="K343" s="5"/>
      <c r="L343" s="4"/>
      <c r="M343" s="4"/>
      <c r="N343" s="4"/>
      <c r="O343" s="4"/>
      <c r="P343" s="4"/>
      <c r="Q343" s="5"/>
      <c r="R343" s="5"/>
      <c r="S343" s="5"/>
      <c r="T343" s="5"/>
      <c r="U343" s="6"/>
      <c r="V343" s="5"/>
      <c r="W343" s="7"/>
      <c r="X343" s="8"/>
      <c r="Y343" s="8"/>
      <c r="Z343" s="2"/>
      <c r="AA343" s="2"/>
      <c r="AB343" s="2"/>
      <c r="AC343" s="2"/>
      <c r="AD343" s="2"/>
    </row>
    <row r="344" ht="12.0" customHeight="1">
      <c r="A344" s="2"/>
      <c r="B344" s="2"/>
      <c r="C344" s="2"/>
      <c r="D344" s="3"/>
      <c r="E344" s="3"/>
      <c r="F344" s="3"/>
      <c r="G344" s="2"/>
      <c r="H344" s="4"/>
      <c r="I344" s="5"/>
      <c r="J344" s="5"/>
      <c r="K344" s="5"/>
      <c r="L344" s="4"/>
      <c r="M344" s="4"/>
      <c r="N344" s="4"/>
      <c r="O344" s="4"/>
      <c r="P344" s="4"/>
      <c r="Q344" s="5"/>
      <c r="R344" s="5"/>
      <c r="S344" s="5"/>
      <c r="T344" s="5"/>
      <c r="U344" s="6"/>
      <c r="V344" s="5"/>
      <c r="W344" s="7"/>
      <c r="X344" s="8"/>
      <c r="Y344" s="8"/>
      <c r="Z344" s="2"/>
      <c r="AA344" s="2"/>
      <c r="AB344" s="2"/>
      <c r="AC344" s="2"/>
      <c r="AD344" s="2"/>
    </row>
    <row r="345" ht="12.0" customHeight="1">
      <c r="A345" s="2"/>
      <c r="B345" s="2"/>
      <c r="C345" s="2"/>
      <c r="D345" s="3"/>
      <c r="E345" s="3"/>
      <c r="F345" s="3"/>
      <c r="G345" s="2"/>
      <c r="H345" s="4"/>
      <c r="I345" s="5"/>
      <c r="J345" s="5"/>
      <c r="K345" s="5"/>
      <c r="L345" s="4"/>
      <c r="M345" s="4"/>
      <c r="N345" s="4"/>
      <c r="O345" s="4"/>
      <c r="P345" s="4"/>
      <c r="Q345" s="5"/>
      <c r="R345" s="5"/>
      <c r="S345" s="5"/>
      <c r="T345" s="5"/>
      <c r="U345" s="6"/>
      <c r="V345" s="5"/>
      <c r="W345" s="7"/>
      <c r="X345" s="8"/>
      <c r="Y345" s="8"/>
      <c r="Z345" s="2"/>
      <c r="AA345" s="2"/>
      <c r="AB345" s="2"/>
      <c r="AC345" s="2"/>
      <c r="AD345" s="2"/>
    </row>
    <row r="346" ht="12.0" customHeight="1">
      <c r="A346" s="2"/>
      <c r="B346" s="2"/>
      <c r="C346" s="2"/>
      <c r="D346" s="3"/>
      <c r="E346" s="3"/>
      <c r="F346" s="3"/>
      <c r="G346" s="2"/>
      <c r="H346" s="4"/>
      <c r="I346" s="5"/>
      <c r="J346" s="5"/>
      <c r="K346" s="5"/>
      <c r="L346" s="4"/>
      <c r="M346" s="4"/>
      <c r="N346" s="4"/>
      <c r="O346" s="4"/>
      <c r="P346" s="4"/>
      <c r="Q346" s="5"/>
      <c r="R346" s="5"/>
      <c r="S346" s="5"/>
      <c r="T346" s="5"/>
      <c r="U346" s="6"/>
      <c r="V346" s="5"/>
      <c r="W346" s="7"/>
      <c r="X346" s="8"/>
      <c r="Y346" s="8"/>
      <c r="Z346" s="2"/>
      <c r="AA346" s="2"/>
      <c r="AB346" s="2"/>
      <c r="AC346" s="2"/>
      <c r="AD346" s="2"/>
    </row>
    <row r="347" ht="12.0" customHeight="1">
      <c r="A347" s="2"/>
      <c r="B347" s="2"/>
      <c r="C347" s="2"/>
      <c r="D347" s="3"/>
      <c r="E347" s="3"/>
      <c r="F347" s="3"/>
      <c r="G347" s="2"/>
      <c r="H347" s="4"/>
      <c r="I347" s="5"/>
      <c r="J347" s="5"/>
      <c r="K347" s="5"/>
      <c r="L347" s="4"/>
      <c r="M347" s="4"/>
      <c r="N347" s="4"/>
      <c r="O347" s="4"/>
      <c r="P347" s="4"/>
      <c r="Q347" s="5"/>
      <c r="R347" s="5"/>
      <c r="S347" s="5"/>
      <c r="T347" s="5"/>
      <c r="U347" s="6"/>
      <c r="V347" s="5"/>
      <c r="W347" s="7"/>
      <c r="X347" s="8"/>
      <c r="Y347" s="8"/>
      <c r="Z347" s="2"/>
      <c r="AA347" s="2"/>
      <c r="AB347" s="2"/>
      <c r="AC347" s="2"/>
      <c r="AD347" s="2"/>
    </row>
    <row r="348" ht="12.0" customHeight="1">
      <c r="A348" s="2"/>
      <c r="B348" s="2"/>
      <c r="C348" s="2"/>
      <c r="D348" s="3"/>
      <c r="E348" s="3"/>
      <c r="F348" s="3"/>
      <c r="G348" s="2"/>
      <c r="H348" s="4"/>
      <c r="I348" s="5"/>
      <c r="J348" s="5"/>
      <c r="K348" s="5"/>
      <c r="L348" s="4"/>
      <c r="M348" s="4"/>
      <c r="N348" s="4"/>
      <c r="O348" s="4"/>
      <c r="P348" s="4"/>
      <c r="Q348" s="5"/>
      <c r="R348" s="5"/>
      <c r="S348" s="5"/>
      <c r="T348" s="5"/>
      <c r="U348" s="6"/>
      <c r="V348" s="5"/>
      <c r="W348" s="7"/>
      <c r="X348" s="8"/>
      <c r="Y348" s="8"/>
      <c r="Z348" s="2"/>
      <c r="AA348" s="2"/>
      <c r="AB348" s="2"/>
      <c r="AC348" s="2"/>
      <c r="AD348" s="2"/>
    </row>
    <row r="349" ht="12.0" customHeight="1">
      <c r="A349" s="2"/>
      <c r="B349" s="2"/>
      <c r="C349" s="2"/>
      <c r="D349" s="3"/>
      <c r="E349" s="3"/>
      <c r="F349" s="3"/>
      <c r="G349" s="2"/>
      <c r="H349" s="4"/>
      <c r="I349" s="5"/>
      <c r="J349" s="5"/>
      <c r="K349" s="5"/>
      <c r="L349" s="4"/>
      <c r="M349" s="4"/>
      <c r="N349" s="4"/>
      <c r="O349" s="4"/>
      <c r="P349" s="4"/>
      <c r="Q349" s="5"/>
      <c r="R349" s="5"/>
      <c r="S349" s="5"/>
      <c r="T349" s="5"/>
      <c r="U349" s="6"/>
      <c r="V349" s="5"/>
      <c r="W349" s="7"/>
      <c r="X349" s="8"/>
      <c r="Y349" s="8"/>
      <c r="Z349" s="2"/>
      <c r="AA349" s="2"/>
      <c r="AB349" s="2"/>
      <c r="AC349" s="2"/>
      <c r="AD349" s="2"/>
    </row>
    <row r="350" ht="12.0" customHeight="1">
      <c r="A350" s="2"/>
      <c r="B350" s="2"/>
      <c r="C350" s="2"/>
      <c r="D350" s="3"/>
      <c r="E350" s="3"/>
      <c r="F350" s="3"/>
      <c r="G350" s="2"/>
      <c r="H350" s="4"/>
      <c r="I350" s="5"/>
      <c r="J350" s="5"/>
      <c r="K350" s="5"/>
      <c r="L350" s="4"/>
      <c r="M350" s="4"/>
      <c r="N350" s="4"/>
      <c r="O350" s="4"/>
      <c r="P350" s="4"/>
      <c r="Q350" s="5"/>
      <c r="R350" s="5"/>
      <c r="S350" s="5"/>
      <c r="T350" s="5"/>
      <c r="U350" s="6"/>
      <c r="V350" s="5"/>
      <c r="W350" s="7"/>
      <c r="X350" s="8"/>
      <c r="Y350" s="8"/>
      <c r="Z350" s="2"/>
      <c r="AA350" s="2"/>
      <c r="AB350" s="2"/>
      <c r="AC350" s="2"/>
      <c r="AD350" s="2"/>
    </row>
    <row r="351" ht="12.0" customHeight="1">
      <c r="A351" s="2"/>
      <c r="B351" s="2"/>
      <c r="C351" s="2"/>
      <c r="D351" s="3"/>
      <c r="E351" s="3"/>
      <c r="F351" s="3"/>
      <c r="G351" s="2"/>
      <c r="H351" s="4"/>
      <c r="I351" s="5"/>
      <c r="J351" s="5"/>
      <c r="K351" s="5"/>
      <c r="L351" s="4"/>
      <c r="M351" s="4"/>
      <c r="N351" s="4"/>
      <c r="O351" s="4"/>
      <c r="P351" s="4"/>
      <c r="Q351" s="5"/>
      <c r="R351" s="5"/>
      <c r="S351" s="5"/>
      <c r="T351" s="5"/>
      <c r="U351" s="6"/>
      <c r="V351" s="5"/>
      <c r="W351" s="7"/>
      <c r="X351" s="8"/>
      <c r="Y351" s="8"/>
      <c r="Z351" s="2"/>
      <c r="AA351" s="2"/>
      <c r="AB351" s="2"/>
      <c r="AC351" s="2"/>
      <c r="AD351" s="2"/>
    </row>
    <row r="352" ht="12.0" customHeight="1">
      <c r="A352" s="2"/>
      <c r="B352" s="2"/>
      <c r="C352" s="2"/>
      <c r="D352" s="3"/>
      <c r="E352" s="3"/>
      <c r="F352" s="3"/>
      <c r="G352" s="2"/>
      <c r="H352" s="4"/>
      <c r="I352" s="5"/>
      <c r="J352" s="5"/>
      <c r="K352" s="5"/>
      <c r="L352" s="4"/>
      <c r="M352" s="4"/>
      <c r="N352" s="4"/>
      <c r="O352" s="4"/>
      <c r="P352" s="4"/>
      <c r="Q352" s="5"/>
      <c r="R352" s="5"/>
      <c r="S352" s="5"/>
      <c r="T352" s="5"/>
      <c r="U352" s="6"/>
      <c r="V352" s="5"/>
      <c r="W352" s="7"/>
      <c r="X352" s="8"/>
      <c r="Y352" s="8"/>
      <c r="Z352" s="2"/>
      <c r="AA352" s="2"/>
      <c r="AB352" s="2"/>
      <c r="AC352" s="2"/>
      <c r="AD352" s="2"/>
    </row>
    <row r="353" ht="12.0" customHeight="1">
      <c r="A353" s="2"/>
      <c r="B353" s="2"/>
      <c r="C353" s="2"/>
      <c r="D353" s="3"/>
      <c r="E353" s="3"/>
      <c r="F353" s="3"/>
      <c r="G353" s="2"/>
      <c r="H353" s="4"/>
      <c r="I353" s="5"/>
      <c r="J353" s="5"/>
      <c r="K353" s="5"/>
      <c r="L353" s="4"/>
      <c r="M353" s="4"/>
      <c r="N353" s="4"/>
      <c r="O353" s="4"/>
      <c r="P353" s="4"/>
      <c r="Q353" s="5"/>
      <c r="R353" s="5"/>
      <c r="S353" s="5"/>
      <c r="T353" s="5"/>
      <c r="U353" s="6"/>
      <c r="V353" s="5"/>
      <c r="W353" s="7"/>
      <c r="X353" s="8"/>
      <c r="Y353" s="8"/>
      <c r="Z353" s="2"/>
      <c r="AA353" s="2"/>
      <c r="AB353" s="2"/>
      <c r="AC353" s="2"/>
      <c r="AD353" s="2"/>
    </row>
    <row r="354" ht="12.0" customHeight="1">
      <c r="A354" s="2"/>
      <c r="B354" s="2"/>
      <c r="C354" s="2"/>
      <c r="D354" s="3"/>
      <c r="E354" s="3"/>
      <c r="F354" s="3"/>
      <c r="G354" s="2"/>
      <c r="H354" s="4"/>
      <c r="I354" s="5"/>
      <c r="J354" s="5"/>
      <c r="K354" s="5"/>
      <c r="L354" s="4"/>
      <c r="M354" s="4"/>
      <c r="N354" s="4"/>
      <c r="O354" s="4"/>
      <c r="P354" s="4"/>
      <c r="Q354" s="5"/>
      <c r="R354" s="5"/>
      <c r="S354" s="5"/>
      <c r="T354" s="5"/>
      <c r="U354" s="6"/>
      <c r="V354" s="5"/>
      <c r="W354" s="7"/>
      <c r="X354" s="8"/>
      <c r="Y354" s="8"/>
      <c r="Z354" s="2"/>
      <c r="AA354" s="2"/>
      <c r="AB354" s="2"/>
      <c r="AC354" s="2"/>
      <c r="AD354" s="2"/>
    </row>
    <row r="355" ht="12.0" customHeight="1">
      <c r="A355" s="2"/>
      <c r="B355" s="2"/>
      <c r="C355" s="2"/>
      <c r="D355" s="3"/>
      <c r="E355" s="3"/>
      <c r="F355" s="3"/>
      <c r="G355" s="2"/>
      <c r="H355" s="4"/>
      <c r="I355" s="5"/>
      <c r="J355" s="5"/>
      <c r="K355" s="5"/>
      <c r="L355" s="4"/>
      <c r="M355" s="4"/>
      <c r="N355" s="4"/>
      <c r="O355" s="4"/>
      <c r="P355" s="4"/>
      <c r="Q355" s="5"/>
      <c r="R355" s="5"/>
      <c r="S355" s="5"/>
      <c r="T355" s="5"/>
      <c r="U355" s="6"/>
      <c r="V355" s="5"/>
      <c r="W355" s="7"/>
      <c r="X355" s="8"/>
      <c r="Y355" s="8"/>
      <c r="Z355" s="2"/>
      <c r="AA355" s="2"/>
      <c r="AB355" s="2"/>
      <c r="AC355" s="2"/>
      <c r="AD355" s="2"/>
    </row>
    <row r="356" ht="12.0" customHeight="1">
      <c r="A356" s="2"/>
      <c r="B356" s="2"/>
      <c r="C356" s="2"/>
      <c r="D356" s="3"/>
      <c r="E356" s="3"/>
      <c r="F356" s="3"/>
      <c r="G356" s="2"/>
      <c r="H356" s="4"/>
      <c r="I356" s="5"/>
      <c r="J356" s="5"/>
      <c r="K356" s="5"/>
      <c r="L356" s="4"/>
      <c r="M356" s="4"/>
      <c r="N356" s="4"/>
      <c r="O356" s="4"/>
      <c r="P356" s="4"/>
      <c r="Q356" s="5"/>
      <c r="R356" s="5"/>
      <c r="S356" s="5"/>
      <c r="T356" s="5"/>
      <c r="U356" s="6"/>
      <c r="V356" s="5"/>
      <c r="W356" s="7"/>
      <c r="X356" s="8"/>
      <c r="Y356" s="8"/>
      <c r="Z356" s="2"/>
      <c r="AA356" s="2"/>
      <c r="AB356" s="2"/>
      <c r="AC356" s="2"/>
      <c r="AD356" s="2"/>
    </row>
    <row r="357" ht="12.0" customHeight="1">
      <c r="A357" s="2"/>
      <c r="B357" s="2"/>
      <c r="C357" s="2"/>
      <c r="D357" s="3"/>
      <c r="E357" s="3"/>
      <c r="F357" s="3"/>
      <c r="G357" s="2"/>
      <c r="H357" s="4"/>
      <c r="I357" s="5"/>
      <c r="J357" s="5"/>
      <c r="K357" s="5"/>
      <c r="L357" s="4"/>
      <c r="M357" s="4"/>
      <c r="N357" s="4"/>
      <c r="O357" s="4"/>
      <c r="P357" s="4"/>
      <c r="Q357" s="5"/>
      <c r="R357" s="5"/>
      <c r="S357" s="5"/>
      <c r="T357" s="5"/>
      <c r="U357" s="6"/>
      <c r="V357" s="5"/>
      <c r="W357" s="7"/>
      <c r="X357" s="8"/>
      <c r="Y357" s="8"/>
      <c r="Z357" s="2"/>
      <c r="AA357" s="2"/>
      <c r="AB357" s="2"/>
      <c r="AC357" s="2"/>
      <c r="AD357" s="2"/>
    </row>
    <row r="358" ht="12.0" customHeight="1">
      <c r="A358" s="2"/>
      <c r="B358" s="2"/>
      <c r="C358" s="2"/>
      <c r="D358" s="3"/>
      <c r="E358" s="3"/>
      <c r="F358" s="3"/>
      <c r="G358" s="2"/>
      <c r="H358" s="4"/>
      <c r="I358" s="5"/>
      <c r="J358" s="5"/>
      <c r="K358" s="5"/>
      <c r="L358" s="4"/>
      <c r="M358" s="4"/>
      <c r="N358" s="4"/>
      <c r="O358" s="4"/>
      <c r="P358" s="4"/>
      <c r="Q358" s="5"/>
      <c r="R358" s="5"/>
      <c r="S358" s="5"/>
      <c r="T358" s="5"/>
      <c r="U358" s="6"/>
      <c r="V358" s="5"/>
      <c r="W358" s="7"/>
      <c r="X358" s="8"/>
      <c r="Y358" s="8"/>
      <c r="Z358" s="2"/>
      <c r="AA358" s="2"/>
      <c r="AB358" s="2"/>
      <c r="AC358" s="2"/>
      <c r="AD358" s="2"/>
    </row>
    <row r="359" ht="12.0" customHeight="1">
      <c r="A359" s="2"/>
      <c r="B359" s="2"/>
      <c r="C359" s="2"/>
      <c r="D359" s="3"/>
      <c r="E359" s="3"/>
      <c r="F359" s="3"/>
      <c r="G359" s="2"/>
      <c r="H359" s="4"/>
      <c r="I359" s="5"/>
      <c r="J359" s="5"/>
      <c r="K359" s="5"/>
      <c r="L359" s="4"/>
      <c r="M359" s="4"/>
      <c r="N359" s="4"/>
      <c r="O359" s="4"/>
      <c r="P359" s="4"/>
      <c r="Q359" s="5"/>
      <c r="R359" s="5"/>
      <c r="S359" s="5"/>
      <c r="T359" s="5"/>
      <c r="U359" s="6"/>
      <c r="V359" s="5"/>
      <c r="W359" s="7"/>
      <c r="X359" s="8"/>
      <c r="Y359" s="8"/>
      <c r="Z359" s="2"/>
      <c r="AA359" s="2"/>
      <c r="AB359" s="2"/>
      <c r="AC359" s="2"/>
      <c r="AD359" s="2"/>
    </row>
    <row r="360" ht="12.0" customHeight="1">
      <c r="A360" s="2"/>
      <c r="B360" s="2"/>
      <c r="C360" s="2"/>
      <c r="D360" s="3"/>
      <c r="E360" s="3"/>
      <c r="F360" s="3"/>
      <c r="G360" s="2"/>
      <c r="H360" s="4"/>
      <c r="I360" s="5"/>
      <c r="J360" s="5"/>
      <c r="K360" s="5"/>
      <c r="L360" s="4"/>
      <c r="M360" s="4"/>
      <c r="N360" s="4"/>
      <c r="O360" s="4"/>
      <c r="P360" s="4"/>
      <c r="Q360" s="5"/>
      <c r="R360" s="5"/>
      <c r="S360" s="5"/>
      <c r="T360" s="5"/>
      <c r="U360" s="6"/>
      <c r="V360" s="5"/>
      <c r="W360" s="7"/>
      <c r="X360" s="8"/>
      <c r="Y360" s="8"/>
      <c r="Z360" s="2"/>
      <c r="AA360" s="2"/>
      <c r="AB360" s="2"/>
      <c r="AC360" s="2"/>
      <c r="AD360" s="2"/>
    </row>
    <row r="361" ht="12.0" customHeight="1">
      <c r="A361" s="2"/>
      <c r="B361" s="2"/>
      <c r="C361" s="2"/>
      <c r="D361" s="3"/>
      <c r="E361" s="3"/>
      <c r="F361" s="3"/>
      <c r="G361" s="2"/>
      <c r="H361" s="4"/>
      <c r="I361" s="5"/>
      <c r="J361" s="5"/>
      <c r="K361" s="5"/>
      <c r="L361" s="4"/>
      <c r="M361" s="4"/>
      <c r="N361" s="4"/>
      <c r="O361" s="4"/>
      <c r="P361" s="4"/>
      <c r="Q361" s="5"/>
      <c r="R361" s="5"/>
      <c r="S361" s="5"/>
      <c r="T361" s="5"/>
      <c r="U361" s="6"/>
      <c r="V361" s="5"/>
      <c r="W361" s="7"/>
      <c r="X361" s="8"/>
      <c r="Y361" s="8"/>
      <c r="Z361" s="2"/>
      <c r="AA361" s="2"/>
      <c r="AB361" s="2"/>
      <c r="AC361" s="2"/>
      <c r="AD361" s="2"/>
    </row>
    <row r="362" ht="12.0" customHeight="1">
      <c r="A362" s="2"/>
      <c r="B362" s="2"/>
      <c r="C362" s="2"/>
      <c r="D362" s="3"/>
      <c r="E362" s="3"/>
      <c r="F362" s="3"/>
      <c r="G362" s="2"/>
      <c r="H362" s="4"/>
      <c r="I362" s="5"/>
      <c r="J362" s="5"/>
      <c r="K362" s="5"/>
      <c r="L362" s="4"/>
      <c r="M362" s="4"/>
      <c r="N362" s="4"/>
      <c r="O362" s="4"/>
      <c r="P362" s="4"/>
      <c r="Q362" s="5"/>
      <c r="R362" s="5"/>
      <c r="S362" s="5"/>
      <c r="T362" s="5"/>
      <c r="U362" s="6"/>
      <c r="V362" s="5"/>
      <c r="W362" s="7"/>
      <c r="X362" s="8"/>
      <c r="Y362" s="8"/>
      <c r="Z362" s="2"/>
      <c r="AA362" s="2"/>
      <c r="AB362" s="2"/>
      <c r="AC362" s="2"/>
      <c r="AD362" s="2"/>
    </row>
    <row r="363" ht="12.0" customHeight="1">
      <c r="A363" s="2"/>
      <c r="B363" s="2"/>
      <c r="C363" s="2"/>
      <c r="D363" s="3"/>
      <c r="E363" s="3"/>
      <c r="F363" s="3"/>
      <c r="G363" s="2"/>
      <c r="H363" s="4"/>
      <c r="I363" s="5"/>
      <c r="J363" s="5"/>
      <c r="K363" s="5"/>
      <c r="L363" s="4"/>
      <c r="M363" s="4"/>
      <c r="N363" s="4"/>
      <c r="O363" s="4"/>
      <c r="P363" s="4"/>
      <c r="Q363" s="5"/>
      <c r="R363" s="5"/>
      <c r="S363" s="5"/>
      <c r="T363" s="5"/>
      <c r="U363" s="6"/>
      <c r="V363" s="5"/>
      <c r="W363" s="7"/>
      <c r="X363" s="8"/>
      <c r="Y363" s="8"/>
      <c r="Z363" s="2"/>
      <c r="AA363" s="2"/>
      <c r="AB363" s="2"/>
      <c r="AC363" s="2"/>
      <c r="AD363" s="2"/>
    </row>
    <row r="364" ht="12.0" customHeight="1">
      <c r="A364" s="2"/>
      <c r="B364" s="2"/>
      <c r="C364" s="2"/>
      <c r="D364" s="3"/>
      <c r="E364" s="3"/>
      <c r="F364" s="3"/>
      <c r="G364" s="2"/>
      <c r="H364" s="4"/>
      <c r="I364" s="5"/>
      <c r="J364" s="5"/>
      <c r="K364" s="5"/>
      <c r="L364" s="4"/>
      <c r="M364" s="4"/>
      <c r="N364" s="4"/>
      <c r="O364" s="4"/>
      <c r="P364" s="4"/>
      <c r="Q364" s="5"/>
      <c r="R364" s="5"/>
      <c r="S364" s="5"/>
      <c r="T364" s="5"/>
      <c r="U364" s="6"/>
      <c r="V364" s="5"/>
      <c r="W364" s="7"/>
      <c r="X364" s="8"/>
      <c r="Y364" s="8"/>
      <c r="Z364" s="2"/>
      <c r="AA364" s="2"/>
      <c r="AB364" s="2"/>
      <c r="AC364" s="2"/>
      <c r="AD364" s="2"/>
    </row>
    <row r="365" ht="12.0" customHeight="1">
      <c r="A365" s="2"/>
      <c r="B365" s="2"/>
      <c r="C365" s="2"/>
      <c r="D365" s="3"/>
      <c r="E365" s="3"/>
      <c r="F365" s="3"/>
      <c r="G365" s="2"/>
      <c r="H365" s="4"/>
      <c r="I365" s="5"/>
      <c r="J365" s="5"/>
      <c r="K365" s="5"/>
      <c r="L365" s="4"/>
      <c r="M365" s="4"/>
      <c r="N365" s="4"/>
      <c r="O365" s="4"/>
      <c r="P365" s="4"/>
      <c r="Q365" s="5"/>
      <c r="R365" s="5"/>
      <c r="S365" s="5"/>
      <c r="T365" s="5"/>
      <c r="U365" s="6"/>
      <c r="V365" s="5"/>
      <c r="W365" s="7"/>
      <c r="X365" s="8"/>
      <c r="Y365" s="8"/>
      <c r="Z365" s="2"/>
      <c r="AA365" s="2"/>
      <c r="AB365" s="2"/>
      <c r="AC365" s="2"/>
      <c r="AD365" s="2"/>
    </row>
    <row r="366" ht="12.0" customHeight="1">
      <c r="A366" s="2"/>
      <c r="B366" s="2"/>
      <c r="C366" s="2"/>
      <c r="D366" s="3"/>
      <c r="E366" s="3"/>
      <c r="F366" s="3"/>
      <c r="G366" s="2"/>
      <c r="H366" s="4"/>
      <c r="I366" s="5"/>
      <c r="J366" s="5"/>
      <c r="K366" s="5"/>
      <c r="L366" s="4"/>
      <c r="M366" s="4"/>
      <c r="N366" s="4"/>
      <c r="O366" s="4"/>
      <c r="P366" s="4"/>
      <c r="Q366" s="5"/>
      <c r="R366" s="5"/>
      <c r="S366" s="5"/>
      <c r="T366" s="5"/>
      <c r="U366" s="6"/>
      <c r="V366" s="5"/>
      <c r="W366" s="7"/>
      <c r="X366" s="8"/>
      <c r="Y366" s="8"/>
      <c r="Z366" s="2"/>
      <c r="AA366" s="2"/>
      <c r="AB366" s="2"/>
      <c r="AC366" s="2"/>
      <c r="AD366" s="2"/>
    </row>
    <row r="367" ht="12.0" customHeight="1">
      <c r="A367" s="2"/>
      <c r="B367" s="2"/>
      <c r="C367" s="2"/>
      <c r="D367" s="3"/>
      <c r="E367" s="3"/>
      <c r="F367" s="3"/>
      <c r="G367" s="2"/>
      <c r="H367" s="4"/>
      <c r="I367" s="5"/>
      <c r="J367" s="5"/>
      <c r="K367" s="5"/>
      <c r="L367" s="4"/>
      <c r="M367" s="4"/>
      <c r="N367" s="4"/>
      <c r="O367" s="4"/>
      <c r="P367" s="4"/>
      <c r="Q367" s="5"/>
      <c r="R367" s="5"/>
      <c r="S367" s="5"/>
      <c r="T367" s="5"/>
      <c r="U367" s="6"/>
      <c r="V367" s="5"/>
      <c r="W367" s="7"/>
      <c r="X367" s="8"/>
      <c r="Y367" s="8"/>
      <c r="Z367" s="2"/>
      <c r="AA367" s="2"/>
      <c r="AB367" s="2"/>
      <c r="AC367" s="2"/>
      <c r="AD367" s="2"/>
    </row>
    <row r="368" ht="12.0" customHeight="1">
      <c r="A368" s="2"/>
      <c r="B368" s="2"/>
      <c r="C368" s="2"/>
      <c r="D368" s="3"/>
      <c r="E368" s="3"/>
      <c r="F368" s="3"/>
      <c r="G368" s="2"/>
      <c r="H368" s="4"/>
      <c r="I368" s="5"/>
      <c r="J368" s="5"/>
      <c r="K368" s="5"/>
      <c r="L368" s="4"/>
      <c r="M368" s="4"/>
      <c r="N368" s="4"/>
      <c r="O368" s="4"/>
      <c r="P368" s="4"/>
      <c r="Q368" s="5"/>
      <c r="R368" s="5"/>
      <c r="S368" s="5"/>
      <c r="T368" s="5"/>
      <c r="U368" s="6"/>
      <c r="V368" s="5"/>
      <c r="W368" s="7"/>
      <c r="X368" s="8"/>
      <c r="Y368" s="8"/>
      <c r="Z368" s="2"/>
      <c r="AA368" s="2"/>
      <c r="AB368" s="2"/>
      <c r="AC368" s="2"/>
      <c r="AD368" s="2"/>
    </row>
    <row r="369" ht="12.0" customHeight="1">
      <c r="A369" s="2"/>
      <c r="B369" s="2"/>
      <c r="C369" s="2"/>
      <c r="D369" s="3"/>
      <c r="E369" s="3"/>
      <c r="F369" s="3"/>
      <c r="G369" s="2"/>
      <c r="H369" s="4"/>
      <c r="I369" s="5"/>
      <c r="J369" s="5"/>
      <c r="K369" s="5"/>
      <c r="L369" s="4"/>
      <c r="M369" s="4"/>
      <c r="N369" s="4"/>
      <c r="O369" s="4"/>
      <c r="P369" s="4"/>
      <c r="Q369" s="5"/>
      <c r="R369" s="5"/>
      <c r="S369" s="5"/>
      <c r="T369" s="5"/>
      <c r="U369" s="6"/>
      <c r="V369" s="5"/>
      <c r="W369" s="7"/>
      <c r="X369" s="8"/>
      <c r="Y369" s="8"/>
      <c r="Z369" s="2"/>
      <c r="AA369" s="2"/>
      <c r="AB369" s="2"/>
      <c r="AC369" s="2"/>
      <c r="AD369" s="2"/>
    </row>
    <row r="370" ht="12.0" customHeight="1">
      <c r="A370" s="2"/>
      <c r="B370" s="2"/>
      <c r="C370" s="2"/>
      <c r="D370" s="3"/>
      <c r="E370" s="3"/>
      <c r="F370" s="3"/>
      <c r="G370" s="2"/>
      <c r="H370" s="4"/>
      <c r="I370" s="5"/>
      <c r="J370" s="5"/>
      <c r="K370" s="5"/>
      <c r="L370" s="4"/>
      <c r="M370" s="4"/>
      <c r="N370" s="4"/>
      <c r="O370" s="4"/>
      <c r="P370" s="4"/>
      <c r="Q370" s="5"/>
      <c r="R370" s="5"/>
      <c r="S370" s="5"/>
      <c r="T370" s="5"/>
      <c r="U370" s="6"/>
      <c r="V370" s="5"/>
      <c r="W370" s="7"/>
      <c r="X370" s="8"/>
      <c r="Y370" s="8"/>
      <c r="Z370" s="2"/>
      <c r="AA370" s="2"/>
      <c r="AB370" s="2"/>
      <c r="AC370" s="2"/>
      <c r="AD370" s="2"/>
    </row>
    <row r="371" ht="12.0" customHeight="1">
      <c r="A371" s="2"/>
      <c r="B371" s="2"/>
      <c r="C371" s="2"/>
      <c r="D371" s="3"/>
      <c r="E371" s="3"/>
      <c r="F371" s="3"/>
      <c r="G371" s="2"/>
      <c r="H371" s="4"/>
      <c r="I371" s="5"/>
      <c r="J371" s="5"/>
      <c r="K371" s="5"/>
      <c r="L371" s="4"/>
      <c r="M371" s="4"/>
      <c r="N371" s="4"/>
      <c r="O371" s="4"/>
      <c r="P371" s="4"/>
      <c r="Q371" s="5"/>
      <c r="R371" s="5"/>
      <c r="S371" s="5"/>
      <c r="T371" s="5"/>
      <c r="U371" s="6"/>
      <c r="V371" s="5"/>
      <c r="W371" s="7"/>
      <c r="X371" s="8"/>
      <c r="Y371" s="8"/>
      <c r="Z371" s="2"/>
      <c r="AA371" s="2"/>
      <c r="AB371" s="2"/>
      <c r="AC371" s="2"/>
      <c r="AD371" s="2"/>
    </row>
    <row r="372" ht="12.0" customHeight="1">
      <c r="A372" s="2"/>
      <c r="B372" s="2"/>
      <c r="C372" s="2"/>
      <c r="D372" s="3"/>
      <c r="E372" s="3"/>
      <c r="F372" s="3"/>
      <c r="G372" s="2"/>
      <c r="H372" s="4"/>
      <c r="I372" s="5"/>
      <c r="J372" s="5"/>
      <c r="K372" s="5"/>
      <c r="L372" s="4"/>
      <c r="M372" s="4"/>
      <c r="N372" s="4"/>
      <c r="O372" s="4"/>
      <c r="P372" s="4"/>
      <c r="Q372" s="5"/>
      <c r="R372" s="5"/>
      <c r="S372" s="5"/>
      <c r="T372" s="5"/>
      <c r="U372" s="6"/>
      <c r="V372" s="5"/>
      <c r="W372" s="7"/>
      <c r="X372" s="8"/>
      <c r="Y372" s="8"/>
      <c r="Z372" s="2"/>
      <c r="AA372" s="2"/>
      <c r="AB372" s="2"/>
      <c r="AC372" s="2"/>
      <c r="AD372" s="2"/>
    </row>
    <row r="373" ht="12.0" customHeight="1">
      <c r="A373" s="2"/>
      <c r="B373" s="2"/>
      <c r="C373" s="2"/>
      <c r="D373" s="3"/>
      <c r="E373" s="3"/>
      <c r="F373" s="3"/>
      <c r="G373" s="2"/>
      <c r="H373" s="4"/>
      <c r="I373" s="5"/>
      <c r="J373" s="5"/>
      <c r="K373" s="5"/>
      <c r="L373" s="4"/>
      <c r="M373" s="4"/>
      <c r="N373" s="4"/>
      <c r="O373" s="4"/>
      <c r="P373" s="4"/>
      <c r="Q373" s="5"/>
      <c r="R373" s="5"/>
      <c r="S373" s="5"/>
      <c r="T373" s="5"/>
      <c r="U373" s="6"/>
      <c r="V373" s="5"/>
      <c r="W373" s="7"/>
      <c r="X373" s="8"/>
      <c r="Y373" s="8"/>
      <c r="Z373" s="2"/>
      <c r="AA373" s="2"/>
      <c r="AB373" s="2"/>
      <c r="AC373" s="2"/>
      <c r="AD373" s="2"/>
    </row>
    <row r="374" ht="12.0" customHeight="1">
      <c r="A374" s="2"/>
      <c r="B374" s="2"/>
      <c r="C374" s="2"/>
      <c r="D374" s="3"/>
      <c r="E374" s="3"/>
      <c r="F374" s="3"/>
      <c r="G374" s="2"/>
      <c r="H374" s="4"/>
      <c r="I374" s="5"/>
      <c r="J374" s="5"/>
      <c r="K374" s="5"/>
      <c r="L374" s="4"/>
      <c r="M374" s="4"/>
      <c r="N374" s="4"/>
      <c r="O374" s="4"/>
      <c r="P374" s="4"/>
      <c r="Q374" s="5"/>
      <c r="R374" s="5"/>
      <c r="S374" s="5"/>
      <c r="T374" s="5"/>
      <c r="U374" s="6"/>
      <c r="V374" s="5"/>
      <c r="W374" s="7"/>
      <c r="X374" s="8"/>
      <c r="Y374" s="8"/>
      <c r="Z374" s="2"/>
      <c r="AA374" s="2"/>
      <c r="AB374" s="2"/>
      <c r="AC374" s="2"/>
      <c r="AD374" s="2"/>
    </row>
    <row r="375" ht="12.0" customHeight="1">
      <c r="A375" s="2"/>
      <c r="B375" s="2"/>
      <c r="C375" s="2"/>
      <c r="D375" s="3"/>
      <c r="E375" s="3"/>
      <c r="F375" s="3"/>
      <c r="G375" s="2"/>
      <c r="H375" s="4"/>
      <c r="I375" s="5"/>
      <c r="J375" s="5"/>
      <c r="K375" s="5"/>
      <c r="L375" s="4"/>
      <c r="M375" s="4"/>
      <c r="N375" s="4"/>
      <c r="O375" s="4"/>
      <c r="P375" s="4"/>
      <c r="Q375" s="5"/>
      <c r="R375" s="5"/>
      <c r="S375" s="5"/>
      <c r="T375" s="5"/>
      <c r="U375" s="6"/>
      <c r="V375" s="5"/>
      <c r="W375" s="7"/>
      <c r="X375" s="8"/>
      <c r="Y375" s="8"/>
      <c r="Z375" s="2"/>
      <c r="AA375" s="2"/>
      <c r="AB375" s="2"/>
      <c r="AC375" s="2"/>
      <c r="AD375" s="2"/>
    </row>
    <row r="376" ht="12.0" customHeight="1">
      <c r="A376" s="2"/>
      <c r="B376" s="2"/>
      <c r="C376" s="2"/>
      <c r="D376" s="3"/>
      <c r="E376" s="3"/>
      <c r="F376" s="3"/>
      <c r="G376" s="2"/>
      <c r="H376" s="4"/>
      <c r="I376" s="5"/>
      <c r="J376" s="5"/>
      <c r="K376" s="5"/>
      <c r="L376" s="4"/>
      <c r="M376" s="4"/>
      <c r="N376" s="4"/>
      <c r="O376" s="4"/>
      <c r="P376" s="4"/>
      <c r="Q376" s="5"/>
      <c r="R376" s="5"/>
      <c r="S376" s="5"/>
      <c r="T376" s="5"/>
      <c r="U376" s="6"/>
      <c r="V376" s="5"/>
      <c r="W376" s="7"/>
      <c r="X376" s="8"/>
      <c r="Y376" s="8"/>
      <c r="Z376" s="2"/>
      <c r="AA376" s="2"/>
      <c r="AB376" s="2"/>
      <c r="AC376" s="2"/>
      <c r="AD376" s="2"/>
    </row>
    <row r="377" ht="12.0" customHeight="1">
      <c r="A377" s="2"/>
      <c r="B377" s="2"/>
      <c r="C377" s="2"/>
      <c r="D377" s="3"/>
      <c r="E377" s="3"/>
      <c r="F377" s="3"/>
      <c r="G377" s="2"/>
      <c r="H377" s="4"/>
      <c r="I377" s="5"/>
      <c r="J377" s="5"/>
      <c r="K377" s="5"/>
      <c r="L377" s="4"/>
      <c r="M377" s="4"/>
      <c r="N377" s="4"/>
      <c r="O377" s="4"/>
      <c r="P377" s="4"/>
      <c r="Q377" s="5"/>
      <c r="R377" s="5"/>
      <c r="S377" s="5"/>
      <c r="T377" s="5"/>
      <c r="U377" s="6"/>
      <c r="V377" s="5"/>
      <c r="W377" s="7"/>
      <c r="X377" s="8"/>
      <c r="Y377" s="8"/>
      <c r="Z377" s="2"/>
      <c r="AA377" s="2"/>
      <c r="AB377" s="2"/>
      <c r="AC377" s="2"/>
      <c r="AD377" s="2"/>
    </row>
    <row r="378" ht="12.0" customHeight="1">
      <c r="A378" s="2"/>
      <c r="B378" s="2"/>
      <c r="C378" s="2"/>
      <c r="D378" s="3"/>
      <c r="E378" s="3"/>
      <c r="F378" s="3"/>
      <c r="G378" s="2"/>
      <c r="H378" s="4"/>
      <c r="I378" s="5"/>
      <c r="J378" s="5"/>
      <c r="K378" s="5"/>
      <c r="L378" s="4"/>
      <c r="M378" s="4"/>
      <c r="N378" s="4"/>
      <c r="O378" s="4"/>
      <c r="P378" s="4"/>
      <c r="Q378" s="5"/>
      <c r="R378" s="5"/>
      <c r="S378" s="5"/>
      <c r="T378" s="5"/>
      <c r="U378" s="6"/>
      <c r="V378" s="5"/>
      <c r="W378" s="7"/>
      <c r="X378" s="8"/>
      <c r="Y378" s="8"/>
      <c r="Z378" s="2"/>
      <c r="AA378" s="2"/>
      <c r="AB378" s="2"/>
      <c r="AC378" s="2"/>
      <c r="AD378" s="2"/>
    </row>
    <row r="379" ht="12.0" customHeight="1">
      <c r="A379" s="2"/>
      <c r="B379" s="2"/>
      <c r="C379" s="2"/>
      <c r="D379" s="3"/>
      <c r="E379" s="3"/>
      <c r="F379" s="3"/>
      <c r="G379" s="2"/>
      <c r="H379" s="4"/>
      <c r="I379" s="5"/>
      <c r="J379" s="5"/>
      <c r="K379" s="5"/>
      <c r="L379" s="4"/>
      <c r="M379" s="4"/>
      <c r="N379" s="4"/>
      <c r="O379" s="4"/>
      <c r="P379" s="4"/>
      <c r="Q379" s="5"/>
      <c r="R379" s="5"/>
      <c r="S379" s="5"/>
      <c r="T379" s="5"/>
      <c r="U379" s="6"/>
      <c r="V379" s="5"/>
      <c r="W379" s="7"/>
      <c r="X379" s="8"/>
      <c r="Y379" s="8"/>
      <c r="Z379" s="2"/>
      <c r="AA379" s="2"/>
      <c r="AB379" s="2"/>
      <c r="AC379" s="2"/>
      <c r="AD379" s="2"/>
    </row>
    <row r="380" ht="12.0" customHeight="1">
      <c r="A380" s="2"/>
      <c r="B380" s="2"/>
      <c r="C380" s="2"/>
      <c r="D380" s="3"/>
      <c r="E380" s="3"/>
      <c r="F380" s="3"/>
      <c r="G380" s="2"/>
      <c r="H380" s="4"/>
      <c r="I380" s="5"/>
      <c r="J380" s="5"/>
      <c r="K380" s="5"/>
      <c r="L380" s="4"/>
      <c r="M380" s="4"/>
      <c r="N380" s="4"/>
      <c r="O380" s="4"/>
      <c r="P380" s="4"/>
      <c r="Q380" s="5"/>
      <c r="R380" s="5"/>
      <c r="S380" s="5"/>
      <c r="T380" s="5"/>
      <c r="U380" s="6"/>
      <c r="V380" s="5"/>
      <c r="W380" s="7"/>
      <c r="X380" s="8"/>
      <c r="Y380" s="8"/>
      <c r="Z380" s="2"/>
      <c r="AA380" s="2"/>
      <c r="AB380" s="2"/>
      <c r="AC380" s="2"/>
      <c r="AD380" s="2"/>
    </row>
    <row r="381" ht="12.0" customHeight="1">
      <c r="A381" s="2"/>
      <c r="B381" s="2"/>
      <c r="C381" s="2"/>
      <c r="D381" s="3"/>
      <c r="E381" s="3"/>
      <c r="F381" s="3"/>
      <c r="G381" s="2"/>
      <c r="H381" s="4"/>
      <c r="I381" s="5"/>
      <c r="J381" s="5"/>
      <c r="K381" s="5"/>
      <c r="L381" s="4"/>
      <c r="M381" s="4"/>
      <c r="N381" s="4"/>
      <c r="O381" s="4"/>
      <c r="P381" s="4"/>
      <c r="Q381" s="5"/>
      <c r="R381" s="5"/>
      <c r="S381" s="5"/>
      <c r="T381" s="5"/>
      <c r="U381" s="6"/>
      <c r="V381" s="5"/>
      <c r="W381" s="7"/>
      <c r="X381" s="8"/>
      <c r="Y381" s="8"/>
      <c r="Z381" s="2"/>
      <c r="AA381" s="2"/>
      <c r="AB381" s="2"/>
      <c r="AC381" s="2"/>
      <c r="AD381" s="2"/>
    </row>
    <row r="382" ht="12.0" customHeight="1">
      <c r="A382" s="2"/>
      <c r="B382" s="2"/>
      <c r="C382" s="2"/>
      <c r="D382" s="3"/>
      <c r="E382" s="3"/>
      <c r="F382" s="3"/>
      <c r="G382" s="2"/>
      <c r="H382" s="4"/>
      <c r="I382" s="5"/>
      <c r="J382" s="5"/>
      <c r="K382" s="5"/>
      <c r="L382" s="4"/>
      <c r="M382" s="4"/>
      <c r="N382" s="4"/>
      <c r="O382" s="4"/>
      <c r="P382" s="4"/>
      <c r="Q382" s="5"/>
      <c r="R382" s="5"/>
      <c r="S382" s="5"/>
      <c r="T382" s="5"/>
      <c r="U382" s="6"/>
      <c r="V382" s="5"/>
      <c r="W382" s="7"/>
      <c r="X382" s="8"/>
      <c r="Y382" s="8"/>
      <c r="Z382" s="2"/>
      <c r="AA382" s="2"/>
      <c r="AB382" s="2"/>
      <c r="AC382" s="2"/>
      <c r="AD382" s="2"/>
    </row>
    <row r="383" ht="12.0" customHeight="1">
      <c r="A383" s="2"/>
      <c r="B383" s="2"/>
      <c r="C383" s="2"/>
      <c r="D383" s="3"/>
      <c r="E383" s="3"/>
      <c r="F383" s="3"/>
      <c r="G383" s="2"/>
      <c r="H383" s="4"/>
      <c r="I383" s="5"/>
      <c r="J383" s="5"/>
      <c r="K383" s="5"/>
      <c r="L383" s="4"/>
      <c r="M383" s="4"/>
      <c r="N383" s="4"/>
      <c r="O383" s="4"/>
      <c r="P383" s="4"/>
      <c r="Q383" s="5"/>
      <c r="R383" s="5"/>
      <c r="S383" s="5"/>
      <c r="T383" s="5"/>
      <c r="U383" s="6"/>
      <c r="V383" s="5"/>
      <c r="W383" s="7"/>
      <c r="X383" s="8"/>
      <c r="Y383" s="8"/>
      <c r="Z383" s="2"/>
      <c r="AA383" s="2"/>
      <c r="AB383" s="2"/>
      <c r="AC383" s="2"/>
      <c r="AD383" s="2"/>
    </row>
    <row r="384" ht="12.0" customHeight="1">
      <c r="A384" s="2"/>
      <c r="B384" s="2"/>
      <c r="C384" s="2"/>
      <c r="D384" s="3"/>
      <c r="E384" s="3"/>
      <c r="F384" s="3"/>
      <c r="G384" s="2"/>
      <c r="H384" s="4"/>
      <c r="I384" s="5"/>
      <c r="J384" s="5"/>
      <c r="K384" s="5"/>
      <c r="L384" s="4"/>
      <c r="M384" s="4"/>
      <c r="N384" s="4"/>
      <c r="O384" s="4"/>
      <c r="P384" s="4"/>
      <c r="Q384" s="5"/>
      <c r="R384" s="5"/>
      <c r="S384" s="5"/>
      <c r="T384" s="5"/>
      <c r="U384" s="6"/>
      <c r="V384" s="5"/>
      <c r="W384" s="7"/>
      <c r="X384" s="8"/>
      <c r="Y384" s="8"/>
      <c r="Z384" s="2"/>
      <c r="AA384" s="2"/>
      <c r="AB384" s="2"/>
      <c r="AC384" s="2"/>
      <c r="AD384" s="2"/>
    </row>
    <row r="385" ht="12.0" customHeight="1">
      <c r="A385" s="2"/>
      <c r="B385" s="2"/>
      <c r="C385" s="2"/>
      <c r="D385" s="3"/>
      <c r="E385" s="3"/>
      <c r="F385" s="3"/>
      <c r="G385" s="2"/>
      <c r="H385" s="4"/>
      <c r="I385" s="5"/>
      <c r="J385" s="5"/>
      <c r="K385" s="5"/>
      <c r="L385" s="4"/>
      <c r="M385" s="4"/>
      <c r="N385" s="4"/>
      <c r="O385" s="4"/>
      <c r="P385" s="4"/>
      <c r="Q385" s="5"/>
      <c r="R385" s="5"/>
      <c r="S385" s="5"/>
      <c r="T385" s="5"/>
      <c r="U385" s="6"/>
      <c r="V385" s="5"/>
      <c r="W385" s="7"/>
      <c r="X385" s="8"/>
      <c r="Y385" s="8"/>
      <c r="Z385" s="2"/>
      <c r="AA385" s="2"/>
      <c r="AB385" s="2"/>
      <c r="AC385" s="2"/>
      <c r="AD385" s="2"/>
    </row>
    <row r="386" ht="12.0" customHeight="1">
      <c r="A386" s="2"/>
      <c r="B386" s="2"/>
      <c r="C386" s="2"/>
      <c r="D386" s="3"/>
      <c r="E386" s="3"/>
      <c r="F386" s="3"/>
      <c r="G386" s="2"/>
      <c r="H386" s="4"/>
      <c r="I386" s="5"/>
      <c r="J386" s="5"/>
      <c r="K386" s="5"/>
      <c r="L386" s="4"/>
      <c r="M386" s="4"/>
      <c r="N386" s="4"/>
      <c r="O386" s="4"/>
      <c r="P386" s="4"/>
      <c r="Q386" s="5"/>
      <c r="R386" s="5"/>
      <c r="S386" s="5"/>
      <c r="T386" s="5"/>
      <c r="U386" s="6"/>
      <c r="V386" s="5"/>
      <c r="W386" s="7"/>
      <c r="X386" s="8"/>
      <c r="Y386" s="8"/>
      <c r="Z386" s="2"/>
      <c r="AA386" s="2"/>
      <c r="AB386" s="2"/>
      <c r="AC386" s="2"/>
      <c r="AD386" s="2"/>
    </row>
    <row r="387" ht="12.0" customHeight="1">
      <c r="A387" s="2"/>
      <c r="B387" s="2"/>
      <c r="C387" s="2"/>
      <c r="D387" s="3"/>
      <c r="E387" s="3"/>
      <c r="F387" s="3"/>
      <c r="G387" s="2"/>
      <c r="H387" s="4"/>
      <c r="I387" s="5"/>
      <c r="J387" s="5"/>
      <c r="K387" s="5"/>
      <c r="L387" s="4"/>
      <c r="M387" s="4"/>
      <c r="N387" s="4"/>
      <c r="O387" s="4"/>
      <c r="P387" s="4"/>
      <c r="Q387" s="5"/>
      <c r="R387" s="5"/>
      <c r="S387" s="5"/>
      <c r="T387" s="5"/>
      <c r="U387" s="6"/>
      <c r="V387" s="5"/>
      <c r="W387" s="7"/>
      <c r="X387" s="8"/>
      <c r="Y387" s="8"/>
      <c r="Z387" s="2"/>
      <c r="AA387" s="2"/>
      <c r="AB387" s="2"/>
      <c r="AC387" s="2"/>
      <c r="AD387" s="2"/>
    </row>
    <row r="388" ht="12.0" customHeight="1">
      <c r="A388" s="2"/>
      <c r="B388" s="2"/>
      <c r="C388" s="2"/>
      <c r="D388" s="3"/>
      <c r="E388" s="3"/>
      <c r="F388" s="3"/>
      <c r="G388" s="2"/>
      <c r="H388" s="4"/>
      <c r="I388" s="5"/>
      <c r="J388" s="5"/>
      <c r="K388" s="5"/>
      <c r="L388" s="4"/>
      <c r="M388" s="4"/>
      <c r="N388" s="4"/>
      <c r="O388" s="4"/>
      <c r="P388" s="4"/>
      <c r="Q388" s="5"/>
      <c r="R388" s="5"/>
      <c r="S388" s="5"/>
      <c r="T388" s="5"/>
      <c r="U388" s="6"/>
      <c r="V388" s="5"/>
      <c r="W388" s="7"/>
      <c r="X388" s="8"/>
      <c r="Y388" s="8"/>
      <c r="Z388" s="2"/>
      <c r="AA388" s="2"/>
      <c r="AB388" s="2"/>
      <c r="AC388" s="2"/>
      <c r="AD388" s="2"/>
    </row>
    <row r="389" ht="12.0" customHeight="1">
      <c r="A389" s="2"/>
      <c r="B389" s="2"/>
      <c r="C389" s="2"/>
      <c r="D389" s="3"/>
      <c r="E389" s="3"/>
      <c r="F389" s="3"/>
      <c r="G389" s="2"/>
      <c r="H389" s="4"/>
      <c r="I389" s="5"/>
      <c r="J389" s="5"/>
      <c r="K389" s="5"/>
      <c r="L389" s="4"/>
      <c r="M389" s="4"/>
      <c r="N389" s="4"/>
      <c r="O389" s="4"/>
      <c r="P389" s="4"/>
      <c r="Q389" s="5"/>
      <c r="R389" s="5"/>
      <c r="S389" s="5"/>
      <c r="T389" s="5"/>
      <c r="U389" s="6"/>
      <c r="V389" s="5"/>
      <c r="W389" s="7"/>
      <c r="X389" s="8"/>
      <c r="Y389" s="8"/>
      <c r="Z389" s="2"/>
      <c r="AA389" s="2"/>
      <c r="AB389" s="2"/>
      <c r="AC389" s="2"/>
      <c r="AD389" s="2"/>
    </row>
    <row r="390" ht="12.0" customHeight="1">
      <c r="A390" s="2"/>
      <c r="B390" s="2"/>
      <c r="C390" s="2"/>
      <c r="D390" s="3"/>
      <c r="E390" s="3"/>
      <c r="F390" s="3"/>
      <c r="G390" s="2"/>
      <c r="H390" s="4"/>
      <c r="I390" s="5"/>
      <c r="J390" s="5"/>
      <c r="K390" s="5"/>
      <c r="L390" s="4"/>
      <c r="M390" s="4"/>
      <c r="N390" s="4"/>
      <c r="O390" s="4"/>
      <c r="P390" s="4"/>
      <c r="Q390" s="5"/>
      <c r="R390" s="5"/>
      <c r="S390" s="5"/>
      <c r="T390" s="5"/>
      <c r="U390" s="6"/>
      <c r="V390" s="5"/>
      <c r="W390" s="7"/>
      <c r="X390" s="8"/>
      <c r="Y390" s="8"/>
      <c r="Z390" s="2"/>
      <c r="AA390" s="2"/>
      <c r="AB390" s="2"/>
      <c r="AC390" s="2"/>
      <c r="AD390" s="2"/>
    </row>
    <row r="391" ht="12.0" customHeight="1">
      <c r="A391" s="2"/>
      <c r="B391" s="2"/>
      <c r="C391" s="2"/>
      <c r="D391" s="3"/>
      <c r="E391" s="3"/>
      <c r="F391" s="3"/>
      <c r="G391" s="2"/>
      <c r="H391" s="4"/>
      <c r="I391" s="5"/>
      <c r="J391" s="5"/>
      <c r="K391" s="5"/>
      <c r="L391" s="4"/>
      <c r="M391" s="4"/>
      <c r="N391" s="4"/>
      <c r="O391" s="4"/>
      <c r="P391" s="4"/>
      <c r="Q391" s="5"/>
      <c r="R391" s="5"/>
      <c r="S391" s="5"/>
      <c r="T391" s="5"/>
      <c r="U391" s="6"/>
      <c r="V391" s="5"/>
      <c r="W391" s="7"/>
      <c r="X391" s="8"/>
      <c r="Y391" s="8"/>
      <c r="Z391" s="2"/>
      <c r="AA391" s="2"/>
      <c r="AB391" s="2"/>
      <c r="AC391" s="2"/>
      <c r="AD391" s="2"/>
    </row>
    <row r="392" ht="12.0" customHeight="1">
      <c r="A392" s="2"/>
      <c r="B392" s="2"/>
      <c r="C392" s="2"/>
      <c r="D392" s="3"/>
      <c r="E392" s="3"/>
      <c r="F392" s="3"/>
      <c r="G392" s="2"/>
      <c r="H392" s="4"/>
      <c r="I392" s="5"/>
      <c r="J392" s="5"/>
      <c r="K392" s="5"/>
      <c r="L392" s="4"/>
      <c r="M392" s="4"/>
      <c r="N392" s="4"/>
      <c r="O392" s="4"/>
      <c r="P392" s="4"/>
      <c r="Q392" s="5"/>
      <c r="R392" s="5"/>
      <c r="S392" s="5"/>
      <c r="T392" s="5"/>
      <c r="U392" s="6"/>
      <c r="V392" s="5"/>
      <c r="W392" s="7"/>
      <c r="X392" s="8"/>
      <c r="Y392" s="8"/>
      <c r="Z392" s="2"/>
      <c r="AA392" s="2"/>
      <c r="AB392" s="2"/>
      <c r="AC392" s="2"/>
      <c r="AD392" s="2"/>
    </row>
    <row r="393" ht="12.0" customHeight="1">
      <c r="A393" s="2"/>
      <c r="B393" s="2"/>
      <c r="C393" s="2"/>
      <c r="D393" s="3"/>
      <c r="E393" s="3"/>
      <c r="F393" s="3"/>
      <c r="G393" s="2"/>
      <c r="H393" s="4"/>
      <c r="I393" s="5"/>
      <c r="J393" s="5"/>
      <c r="K393" s="5"/>
      <c r="L393" s="4"/>
      <c r="M393" s="4"/>
      <c r="N393" s="4"/>
      <c r="O393" s="4"/>
      <c r="P393" s="4"/>
      <c r="Q393" s="5"/>
      <c r="R393" s="5"/>
      <c r="S393" s="5"/>
      <c r="T393" s="5"/>
      <c r="U393" s="6"/>
      <c r="V393" s="5"/>
      <c r="W393" s="7"/>
      <c r="X393" s="8"/>
      <c r="Y393" s="8"/>
      <c r="Z393" s="2"/>
      <c r="AA393" s="2"/>
      <c r="AB393" s="2"/>
      <c r="AC393" s="2"/>
      <c r="AD393" s="2"/>
    </row>
    <row r="394" ht="12.0" customHeight="1">
      <c r="A394" s="2"/>
      <c r="B394" s="2"/>
      <c r="C394" s="2"/>
      <c r="D394" s="3"/>
      <c r="E394" s="3"/>
      <c r="F394" s="3"/>
      <c r="G394" s="2"/>
      <c r="H394" s="4"/>
      <c r="I394" s="5"/>
      <c r="J394" s="5"/>
      <c r="K394" s="5"/>
      <c r="L394" s="4"/>
      <c r="M394" s="4"/>
      <c r="N394" s="4"/>
      <c r="O394" s="4"/>
      <c r="P394" s="4"/>
      <c r="Q394" s="5"/>
      <c r="R394" s="5"/>
      <c r="S394" s="5"/>
      <c r="T394" s="5"/>
      <c r="U394" s="6"/>
      <c r="V394" s="5"/>
      <c r="W394" s="7"/>
      <c r="X394" s="8"/>
      <c r="Y394" s="8"/>
      <c r="Z394" s="2"/>
      <c r="AA394" s="2"/>
      <c r="AB394" s="2"/>
      <c r="AC394" s="2"/>
      <c r="AD394" s="2"/>
    </row>
    <row r="395" ht="12.0" customHeight="1">
      <c r="A395" s="2"/>
      <c r="B395" s="2"/>
      <c r="C395" s="2"/>
      <c r="D395" s="3"/>
      <c r="E395" s="3"/>
      <c r="F395" s="3"/>
      <c r="G395" s="2"/>
      <c r="H395" s="4"/>
      <c r="I395" s="5"/>
      <c r="J395" s="5"/>
      <c r="K395" s="5"/>
      <c r="L395" s="4"/>
      <c r="M395" s="4"/>
      <c r="N395" s="4"/>
      <c r="O395" s="4"/>
      <c r="P395" s="4"/>
      <c r="Q395" s="5"/>
      <c r="R395" s="5"/>
      <c r="S395" s="5"/>
      <c r="T395" s="5"/>
      <c r="U395" s="6"/>
      <c r="V395" s="5"/>
      <c r="W395" s="7"/>
      <c r="X395" s="8"/>
      <c r="Y395" s="8"/>
      <c r="Z395" s="2"/>
      <c r="AA395" s="2"/>
      <c r="AB395" s="2"/>
      <c r="AC395" s="2"/>
      <c r="AD395" s="2"/>
    </row>
    <row r="396" ht="12.0" customHeight="1">
      <c r="A396" s="2"/>
      <c r="B396" s="2"/>
      <c r="C396" s="2"/>
      <c r="D396" s="3"/>
      <c r="E396" s="3"/>
      <c r="F396" s="3"/>
      <c r="G396" s="2"/>
      <c r="H396" s="4"/>
      <c r="I396" s="5"/>
      <c r="J396" s="5"/>
      <c r="K396" s="5"/>
      <c r="L396" s="4"/>
      <c r="M396" s="4"/>
      <c r="N396" s="4"/>
      <c r="O396" s="4"/>
      <c r="P396" s="4"/>
      <c r="Q396" s="5"/>
      <c r="R396" s="5"/>
      <c r="S396" s="5"/>
      <c r="T396" s="5"/>
      <c r="U396" s="6"/>
      <c r="V396" s="5"/>
      <c r="W396" s="7"/>
      <c r="X396" s="8"/>
      <c r="Y396" s="8"/>
      <c r="Z396" s="2"/>
      <c r="AA396" s="2"/>
      <c r="AB396" s="2"/>
      <c r="AC396" s="2"/>
      <c r="AD396" s="2"/>
    </row>
    <row r="397" ht="12.0" customHeight="1">
      <c r="A397" s="2"/>
      <c r="B397" s="2"/>
      <c r="C397" s="2"/>
      <c r="D397" s="3"/>
      <c r="E397" s="3"/>
      <c r="F397" s="3"/>
      <c r="G397" s="2"/>
      <c r="H397" s="4"/>
      <c r="I397" s="5"/>
      <c r="J397" s="5"/>
      <c r="K397" s="5"/>
      <c r="L397" s="4"/>
      <c r="M397" s="4"/>
      <c r="N397" s="4"/>
      <c r="O397" s="4"/>
      <c r="P397" s="4"/>
      <c r="Q397" s="5"/>
      <c r="R397" s="5"/>
      <c r="S397" s="5"/>
      <c r="T397" s="5"/>
      <c r="U397" s="6"/>
      <c r="V397" s="5"/>
      <c r="W397" s="7"/>
      <c r="X397" s="8"/>
      <c r="Y397" s="8"/>
      <c r="Z397" s="2"/>
      <c r="AA397" s="2"/>
      <c r="AB397" s="2"/>
      <c r="AC397" s="2"/>
      <c r="AD397" s="2"/>
    </row>
    <row r="398" ht="12.0" customHeight="1">
      <c r="A398" s="2"/>
      <c r="B398" s="2"/>
      <c r="C398" s="2"/>
      <c r="D398" s="3"/>
      <c r="E398" s="3"/>
      <c r="F398" s="3"/>
      <c r="G398" s="2"/>
      <c r="H398" s="4"/>
      <c r="I398" s="5"/>
      <c r="J398" s="5"/>
      <c r="K398" s="5"/>
      <c r="L398" s="4"/>
      <c r="M398" s="4"/>
      <c r="N398" s="4"/>
      <c r="O398" s="4"/>
      <c r="P398" s="4"/>
      <c r="Q398" s="5"/>
      <c r="R398" s="5"/>
      <c r="S398" s="5"/>
      <c r="T398" s="5"/>
      <c r="U398" s="6"/>
      <c r="V398" s="5"/>
      <c r="W398" s="7"/>
      <c r="X398" s="8"/>
      <c r="Y398" s="8"/>
      <c r="Z398" s="2"/>
      <c r="AA398" s="2"/>
      <c r="AB398" s="2"/>
      <c r="AC398" s="2"/>
      <c r="AD398" s="2"/>
    </row>
    <row r="399" ht="12.0" customHeight="1">
      <c r="A399" s="2"/>
      <c r="B399" s="2"/>
      <c r="C399" s="2"/>
      <c r="D399" s="3"/>
      <c r="E399" s="3"/>
      <c r="F399" s="3"/>
      <c r="G399" s="2"/>
      <c r="H399" s="4"/>
      <c r="I399" s="5"/>
      <c r="J399" s="5"/>
      <c r="K399" s="5"/>
      <c r="L399" s="4"/>
      <c r="M399" s="4"/>
      <c r="N399" s="4"/>
      <c r="O399" s="4"/>
      <c r="P399" s="4"/>
      <c r="Q399" s="5"/>
      <c r="R399" s="5"/>
      <c r="S399" s="5"/>
      <c r="T399" s="5"/>
      <c r="U399" s="6"/>
      <c r="V399" s="5"/>
      <c r="W399" s="7"/>
      <c r="X399" s="8"/>
      <c r="Y399" s="8"/>
      <c r="Z399" s="2"/>
      <c r="AA399" s="2"/>
      <c r="AB399" s="2"/>
      <c r="AC399" s="2"/>
      <c r="AD399" s="2"/>
    </row>
    <row r="400" ht="12.0" customHeight="1">
      <c r="A400" s="2"/>
      <c r="B400" s="2"/>
      <c r="C400" s="2"/>
      <c r="D400" s="3"/>
      <c r="E400" s="3"/>
      <c r="F400" s="3"/>
      <c r="G400" s="2"/>
      <c r="H400" s="4"/>
      <c r="I400" s="5"/>
      <c r="J400" s="5"/>
      <c r="K400" s="5"/>
      <c r="L400" s="4"/>
      <c r="M400" s="4"/>
      <c r="N400" s="4"/>
      <c r="O400" s="4"/>
      <c r="P400" s="4"/>
      <c r="Q400" s="5"/>
      <c r="R400" s="5"/>
      <c r="S400" s="5"/>
      <c r="T400" s="5"/>
      <c r="U400" s="6"/>
      <c r="V400" s="5"/>
      <c r="W400" s="7"/>
      <c r="X400" s="8"/>
      <c r="Y400" s="8"/>
      <c r="Z400" s="2"/>
      <c r="AA400" s="2"/>
      <c r="AB400" s="2"/>
      <c r="AC400" s="2"/>
      <c r="AD400" s="2"/>
    </row>
    <row r="401" ht="12.0" customHeight="1">
      <c r="A401" s="2"/>
      <c r="B401" s="2"/>
      <c r="C401" s="2"/>
      <c r="D401" s="3"/>
      <c r="E401" s="3"/>
      <c r="F401" s="3"/>
      <c r="G401" s="2"/>
      <c r="H401" s="4"/>
      <c r="I401" s="5"/>
      <c r="J401" s="5"/>
      <c r="K401" s="5"/>
      <c r="L401" s="4"/>
      <c r="M401" s="4"/>
      <c r="N401" s="4"/>
      <c r="O401" s="4"/>
      <c r="P401" s="4"/>
      <c r="Q401" s="5"/>
      <c r="R401" s="5"/>
      <c r="S401" s="5"/>
      <c r="T401" s="5"/>
      <c r="U401" s="6"/>
      <c r="V401" s="5"/>
      <c r="W401" s="7"/>
      <c r="X401" s="8"/>
      <c r="Y401" s="8"/>
      <c r="Z401" s="2"/>
      <c r="AA401" s="2"/>
      <c r="AB401" s="2"/>
      <c r="AC401" s="2"/>
      <c r="AD401" s="2"/>
    </row>
    <row r="402" ht="12.0" customHeight="1">
      <c r="A402" s="2"/>
      <c r="B402" s="2"/>
      <c r="C402" s="2"/>
      <c r="D402" s="3"/>
      <c r="E402" s="3"/>
      <c r="F402" s="3"/>
      <c r="G402" s="2"/>
      <c r="H402" s="4"/>
      <c r="I402" s="5"/>
      <c r="J402" s="5"/>
      <c r="K402" s="5"/>
      <c r="L402" s="4"/>
      <c r="M402" s="4"/>
      <c r="N402" s="4"/>
      <c r="O402" s="4"/>
      <c r="P402" s="4"/>
      <c r="Q402" s="5"/>
      <c r="R402" s="5"/>
      <c r="S402" s="5"/>
      <c r="T402" s="5"/>
      <c r="U402" s="6"/>
      <c r="V402" s="5"/>
      <c r="W402" s="7"/>
      <c r="X402" s="8"/>
      <c r="Y402" s="8"/>
      <c r="Z402" s="2"/>
      <c r="AA402" s="2"/>
      <c r="AB402" s="2"/>
      <c r="AC402" s="2"/>
      <c r="AD402" s="2"/>
    </row>
    <row r="403" ht="12.0" customHeight="1">
      <c r="A403" s="2"/>
      <c r="B403" s="2"/>
      <c r="C403" s="2"/>
      <c r="D403" s="3"/>
      <c r="E403" s="3"/>
      <c r="F403" s="3"/>
      <c r="G403" s="2"/>
      <c r="H403" s="4"/>
      <c r="I403" s="5"/>
      <c r="J403" s="5"/>
      <c r="K403" s="5"/>
      <c r="L403" s="4"/>
      <c r="M403" s="4"/>
      <c r="N403" s="4"/>
      <c r="O403" s="4"/>
      <c r="P403" s="4"/>
      <c r="Q403" s="5"/>
      <c r="R403" s="5"/>
      <c r="S403" s="5"/>
      <c r="T403" s="5"/>
      <c r="U403" s="6"/>
      <c r="V403" s="5"/>
      <c r="W403" s="7"/>
      <c r="X403" s="8"/>
      <c r="Y403" s="8"/>
      <c r="Z403" s="2"/>
      <c r="AA403" s="2"/>
      <c r="AB403" s="2"/>
      <c r="AC403" s="2"/>
      <c r="AD403" s="2"/>
    </row>
    <row r="404" ht="12.0" customHeight="1">
      <c r="A404" s="2"/>
      <c r="B404" s="2"/>
      <c r="C404" s="2"/>
      <c r="D404" s="3"/>
      <c r="E404" s="3"/>
      <c r="F404" s="3"/>
      <c r="G404" s="2"/>
      <c r="H404" s="4"/>
      <c r="I404" s="5"/>
      <c r="J404" s="5"/>
      <c r="K404" s="5"/>
      <c r="L404" s="4"/>
      <c r="M404" s="4"/>
      <c r="N404" s="4"/>
      <c r="O404" s="4"/>
      <c r="P404" s="4"/>
      <c r="Q404" s="5"/>
      <c r="R404" s="5"/>
      <c r="S404" s="5"/>
      <c r="T404" s="5"/>
      <c r="U404" s="6"/>
      <c r="V404" s="5"/>
      <c r="W404" s="7"/>
      <c r="X404" s="8"/>
      <c r="Y404" s="8"/>
      <c r="Z404" s="2"/>
      <c r="AA404" s="2"/>
      <c r="AB404" s="2"/>
      <c r="AC404" s="2"/>
      <c r="AD404" s="2"/>
    </row>
    <row r="405" ht="12.0" customHeight="1">
      <c r="A405" s="2"/>
      <c r="B405" s="2"/>
      <c r="C405" s="2"/>
      <c r="D405" s="3"/>
      <c r="E405" s="3"/>
      <c r="F405" s="3"/>
      <c r="G405" s="2"/>
      <c r="H405" s="4"/>
      <c r="I405" s="5"/>
      <c r="J405" s="5"/>
      <c r="K405" s="5"/>
      <c r="L405" s="4"/>
      <c r="M405" s="4"/>
      <c r="N405" s="4"/>
      <c r="O405" s="4"/>
      <c r="P405" s="4"/>
      <c r="Q405" s="5"/>
      <c r="R405" s="5"/>
      <c r="S405" s="5"/>
      <c r="T405" s="5"/>
      <c r="U405" s="6"/>
      <c r="V405" s="5"/>
      <c r="W405" s="7"/>
      <c r="X405" s="8"/>
      <c r="Y405" s="8"/>
      <c r="Z405" s="2"/>
      <c r="AA405" s="2"/>
      <c r="AB405" s="2"/>
      <c r="AC405" s="2"/>
      <c r="AD405" s="2"/>
    </row>
    <row r="406" ht="12.0" customHeight="1">
      <c r="A406" s="2"/>
      <c r="B406" s="2"/>
      <c r="C406" s="2"/>
      <c r="D406" s="3"/>
      <c r="E406" s="3"/>
      <c r="F406" s="3"/>
      <c r="G406" s="2"/>
      <c r="H406" s="4"/>
      <c r="I406" s="5"/>
      <c r="J406" s="5"/>
      <c r="K406" s="5"/>
      <c r="L406" s="4"/>
      <c r="M406" s="4"/>
      <c r="N406" s="4"/>
      <c r="O406" s="4"/>
      <c r="P406" s="4"/>
      <c r="Q406" s="5"/>
      <c r="R406" s="5"/>
      <c r="S406" s="5"/>
      <c r="T406" s="5"/>
      <c r="U406" s="6"/>
      <c r="V406" s="5"/>
      <c r="W406" s="7"/>
      <c r="X406" s="8"/>
      <c r="Y406" s="8"/>
      <c r="Z406" s="2"/>
      <c r="AA406" s="2"/>
      <c r="AB406" s="2"/>
      <c r="AC406" s="2"/>
      <c r="AD406" s="2"/>
    </row>
    <row r="407" ht="12.0" customHeight="1">
      <c r="A407" s="2"/>
      <c r="B407" s="2"/>
      <c r="C407" s="2"/>
      <c r="D407" s="3"/>
      <c r="E407" s="3"/>
      <c r="F407" s="3"/>
      <c r="G407" s="2"/>
      <c r="H407" s="4"/>
      <c r="I407" s="5"/>
      <c r="J407" s="5"/>
      <c r="K407" s="5"/>
      <c r="L407" s="4"/>
      <c r="M407" s="4"/>
      <c r="N407" s="4"/>
      <c r="O407" s="4"/>
      <c r="P407" s="4"/>
      <c r="Q407" s="5"/>
      <c r="R407" s="5"/>
      <c r="S407" s="5"/>
      <c r="T407" s="5"/>
      <c r="U407" s="6"/>
      <c r="V407" s="5"/>
      <c r="W407" s="7"/>
      <c r="X407" s="8"/>
      <c r="Y407" s="8"/>
      <c r="Z407" s="2"/>
      <c r="AA407" s="2"/>
      <c r="AB407" s="2"/>
      <c r="AC407" s="2"/>
      <c r="AD407" s="2"/>
    </row>
    <row r="408" ht="12.0" customHeight="1">
      <c r="A408" s="2"/>
      <c r="B408" s="2"/>
      <c r="C408" s="2"/>
      <c r="D408" s="3"/>
      <c r="E408" s="3"/>
      <c r="F408" s="3"/>
      <c r="G408" s="2"/>
      <c r="H408" s="4"/>
      <c r="I408" s="5"/>
      <c r="J408" s="5"/>
      <c r="K408" s="5"/>
      <c r="L408" s="4"/>
      <c r="M408" s="4"/>
      <c r="N408" s="4"/>
      <c r="O408" s="4"/>
      <c r="P408" s="4"/>
      <c r="Q408" s="5"/>
      <c r="R408" s="5"/>
      <c r="S408" s="5"/>
      <c r="T408" s="5"/>
      <c r="U408" s="6"/>
      <c r="V408" s="5"/>
      <c r="W408" s="7"/>
      <c r="X408" s="8"/>
      <c r="Y408" s="8"/>
      <c r="Z408" s="2"/>
      <c r="AA408" s="2"/>
      <c r="AB408" s="2"/>
      <c r="AC408" s="2"/>
      <c r="AD408" s="2"/>
    </row>
    <row r="409" ht="12.0" customHeight="1">
      <c r="A409" s="2"/>
      <c r="B409" s="2"/>
      <c r="C409" s="2"/>
      <c r="D409" s="3"/>
      <c r="E409" s="3"/>
      <c r="F409" s="3"/>
      <c r="G409" s="2"/>
      <c r="H409" s="4"/>
      <c r="I409" s="5"/>
      <c r="J409" s="5"/>
      <c r="K409" s="5"/>
      <c r="L409" s="4"/>
      <c r="M409" s="4"/>
      <c r="N409" s="4"/>
      <c r="O409" s="4"/>
      <c r="P409" s="4"/>
      <c r="Q409" s="5"/>
      <c r="R409" s="5"/>
      <c r="S409" s="5"/>
      <c r="T409" s="5"/>
      <c r="U409" s="6"/>
      <c r="V409" s="5"/>
      <c r="W409" s="7"/>
      <c r="X409" s="8"/>
      <c r="Y409" s="8"/>
      <c r="Z409" s="2"/>
      <c r="AA409" s="2"/>
      <c r="AB409" s="2"/>
      <c r="AC409" s="2"/>
      <c r="AD409" s="2"/>
    </row>
    <row r="410" ht="12.0" customHeight="1">
      <c r="A410" s="2"/>
      <c r="B410" s="2"/>
      <c r="C410" s="2"/>
      <c r="D410" s="3"/>
      <c r="E410" s="3"/>
      <c r="F410" s="3"/>
      <c r="G410" s="2"/>
      <c r="H410" s="4"/>
      <c r="I410" s="5"/>
      <c r="J410" s="5"/>
      <c r="K410" s="5"/>
      <c r="L410" s="4"/>
      <c r="M410" s="4"/>
      <c r="N410" s="4"/>
      <c r="O410" s="4"/>
      <c r="P410" s="4"/>
      <c r="Q410" s="5"/>
      <c r="R410" s="5"/>
      <c r="S410" s="5"/>
      <c r="T410" s="5"/>
      <c r="U410" s="6"/>
      <c r="V410" s="5"/>
      <c r="W410" s="7"/>
      <c r="X410" s="8"/>
      <c r="Y410" s="8"/>
      <c r="Z410" s="2"/>
      <c r="AA410" s="2"/>
      <c r="AB410" s="2"/>
      <c r="AC410" s="2"/>
      <c r="AD410" s="2"/>
    </row>
    <row r="411" ht="12.0" customHeight="1">
      <c r="A411" s="2"/>
      <c r="B411" s="2"/>
      <c r="C411" s="2"/>
      <c r="D411" s="3"/>
      <c r="E411" s="3"/>
      <c r="F411" s="3"/>
      <c r="G411" s="2"/>
      <c r="H411" s="4"/>
      <c r="I411" s="5"/>
      <c r="J411" s="5"/>
      <c r="K411" s="5"/>
      <c r="L411" s="4"/>
      <c r="M411" s="4"/>
      <c r="N411" s="4"/>
      <c r="O411" s="4"/>
      <c r="P411" s="4"/>
      <c r="Q411" s="5"/>
      <c r="R411" s="5"/>
      <c r="S411" s="5"/>
      <c r="T411" s="5"/>
      <c r="U411" s="6"/>
      <c r="V411" s="5"/>
      <c r="W411" s="7"/>
      <c r="X411" s="8"/>
      <c r="Y411" s="8"/>
      <c r="Z411" s="2"/>
      <c r="AA411" s="2"/>
      <c r="AB411" s="2"/>
      <c r="AC411" s="2"/>
      <c r="AD411" s="2"/>
    </row>
    <row r="412" ht="12.0" customHeight="1">
      <c r="A412" s="2"/>
      <c r="B412" s="2"/>
      <c r="C412" s="2"/>
      <c r="D412" s="3"/>
      <c r="E412" s="3"/>
      <c r="F412" s="3"/>
      <c r="G412" s="2"/>
      <c r="H412" s="4"/>
      <c r="I412" s="5"/>
      <c r="J412" s="5"/>
      <c r="K412" s="5"/>
      <c r="L412" s="4"/>
      <c r="M412" s="4"/>
      <c r="N412" s="4"/>
      <c r="O412" s="4"/>
      <c r="P412" s="4"/>
      <c r="Q412" s="5"/>
      <c r="R412" s="5"/>
      <c r="S412" s="5"/>
      <c r="T412" s="5"/>
      <c r="U412" s="6"/>
      <c r="V412" s="5"/>
      <c r="W412" s="7"/>
      <c r="X412" s="8"/>
      <c r="Y412" s="8"/>
      <c r="Z412" s="2"/>
      <c r="AA412" s="2"/>
      <c r="AB412" s="2"/>
      <c r="AC412" s="2"/>
      <c r="AD412" s="2"/>
    </row>
    <row r="413" ht="12.0" customHeight="1">
      <c r="A413" s="2"/>
      <c r="B413" s="2"/>
      <c r="C413" s="2"/>
      <c r="D413" s="3"/>
      <c r="E413" s="3"/>
      <c r="F413" s="3"/>
      <c r="G413" s="2"/>
      <c r="H413" s="4"/>
      <c r="I413" s="5"/>
      <c r="J413" s="5"/>
      <c r="K413" s="5"/>
      <c r="L413" s="4"/>
      <c r="M413" s="4"/>
      <c r="N413" s="4"/>
      <c r="O413" s="4"/>
      <c r="P413" s="4"/>
      <c r="Q413" s="5"/>
      <c r="R413" s="5"/>
      <c r="S413" s="5"/>
      <c r="T413" s="5"/>
      <c r="U413" s="6"/>
      <c r="V413" s="5"/>
      <c r="W413" s="7"/>
      <c r="X413" s="8"/>
      <c r="Y413" s="8"/>
      <c r="Z413" s="2"/>
      <c r="AA413" s="2"/>
      <c r="AB413" s="2"/>
      <c r="AC413" s="2"/>
      <c r="AD413" s="2"/>
    </row>
    <row r="414" ht="12.0" customHeight="1">
      <c r="A414" s="2"/>
      <c r="B414" s="2"/>
      <c r="C414" s="2"/>
      <c r="D414" s="3"/>
      <c r="E414" s="3"/>
      <c r="F414" s="3"/>
      <c r="G414" s="2"/>
      <c r="H414" s="4"/>
      <c r="I414" s="5"/>
      <c r="J414" s="5"/>
      <c r="K414" s="5"/>
      <c r="L414" s="4"/>
      <c r="M414" s="4"/>
      <c r="N414" s="4"/>
      <c r="O414" s="4"/>
      <c r="P414" s="4"/>
      <c r="Q414" s="5"/>
      <c r="R414" s="5"/>
      <c r="S414" s="5"/>
      <c r="T414" s="5"/>
      <c r="U414" s="6"/>
      <c r="V414" s="5"/>
      <c r="W414" s="7"/>
      <c r="X414" s="8"/>
      <c r="Y414" s="8"/>
      <c r="Z414" s="2"/>
      <c r="AA414" s="2"/>
      <c r="AB414" s="2"/>
      <c r="AC414" s="2"/>
      <c r="AD414" s="2"/>
    </row>
    <row r="415" ht="12.0" customHeight="1">
      <c r="A415" s="2"/>
      <c r="B415" s="2"/>
      <c r="C415" s="2"/>
      <c r="D415" s="3"/>
      <c r="E415" s="3"/>
      <c r="F415" s="3"/>
      <c r="G415" s="2"/>
      <c r="H415" s="4"/>
      <c r="I415" s="5"/>
      <c r="J415" s="5"/>
      <c r="K415" s="5"/>
      <c r="L415" s="4"/>
      <c r="M415" s="4"/>
      <c r="N415" s="4"/>
      <c r="O415" s="4"/>
      <c r="P415" s="4"/>
      <c r="Q415" s="5"/>
      <c r="R415" s="5"/>
      <c r="S415" s="5"/>
      <c r="T415" s="5"/>
      <c r="U415" s="6"/>
      <c r="V415" s="5"/>
      <c r="W415" s="7"/>
      <c r="X415" s="8"/>
      <c r="Y415" s="8"/>
      <c r="Z415" s="2"/>
      <c r="AA415" s="2"/>
      <c r="AB415" s="2"/>
      <c r="AC415" s="2"/>
      <c r="AD415" s="2"/>
    </row>
    <row r="416" ht="12.0" customHeight="1">
      <c r="A416" s="2"/>
      <c r="B416" s="2"/>
      <c r="C416" s="2"/>
      <c r="D416" s="3"/>
      <c r="E416" s="3"/>
      <c r="F416" s="3"/>
      <c r="G416" s="2"/>
      <c r="H416" s="4"/>
      <c r="I416" s="5"/>
      <c r="J416" s="5"/>
      <c r="K416" s="5"/>
      <c r="L416" s="4"/>
      <c r="M416" s="4"/>
      <c r="N416" s="4"/>
      <c r="O416" s="4"/>
      <c r="P416" s="4"/>
      <c r="Q416" s="5"/>
      <c r="R416" s="5"/>
      <c r="S416" s="5"/>
      <c r="T416" s="5"/>
      <c r="U416" s="6"/>
      <c r="V416" s="5"/>
      <c r="W416" s="7"/>
      <c r="X416" s="8"/>
      <c r="Y416" s="8"/>
      <c r="Z416" s="2"/>
      <c r="AA416" s="2"/>
      <c r="AB416" s="2"/>
      <c r="AC416" s="2"/>
      <c r="AD416" s="2"/>
    </row>
    <row r="417" ht="12.0" customHeight="1">
      <c r="A417" s="2"/>
      <c r="B417" s="2"/>
      <c r="C417" s="2"/>
      <c r="D417" s="3"/>
      <c r="E417" s="3"/>
      <c r="F417" s="3"/>
      <c r="G417" s="2"/>
      <c r="H417" s="4"/>
      <c r="I417" s="5"/>
      <c r="J417" s="5"/>
      <c r="K417" s="5"/>
      <c r="L417" s="4"/>
      <c r="M417" s="4"/>
      <c r="N417" s="4"/>
      <c r="O417" s="4"/>
      <c r="P417" s="4"/>
      <c r="Q417" s="5"/>
      <c r="R417" s="5"/>
      <c r="S417" s="5"/>
      <c r="T417" s="5"/>
      <c r="U417" s="6"/>
      <c r="V417" s="5"/>
      <c r="W417" s="7"/>
      <c r="X417" s="8"/>
      <c r="Y417" s="8"/>
      <c r="Z417" s="2"/>
      <c r="AA417" s="2"/>
      <c r="AB417" s="2"/>
      <c r="AC417" s="2"/>
      <c r="AD417" s="2"/>
    </row>
    <row r="418" ht="12.0" customHeight="1">
      <c r="A418" s="2"/>
      <c r="B418" s="2"/>
      <c r="C418" s="2"/>
      <c r="D418" s="3"/>
      <c r="E418" s="3"/>
      <c r="F418" s="3"/>
      <c r="G418" s="2"/>
      <c r="H418" s="4"/>
      <c r="I418" s="5"/>
      <c r="J418" s="5"/>
      <c r="K418" s="5"/>
      <c r="L418" s="4"/>
      <c r="M418" s="4"/>
      <c r="N418" s="4"/>
      <c r="O418" s="4"/>
      <c r="P418" s="4"/>
      <c r="Q418" s="5"/>
      <c r="R418" s="5"/>
      <c r="S418" s="5"/>
      <c r="T418" s="5"/>
      <c r="U418" s="6"/>
      <c r="V418" s="5"/>
      <c r="W418" s="7"/>
      <c r="X418" s="8"/>
      <c r="Y418" s="8"/>
      <c r="Z418" s="2"/>
      <c r="AA418" s="2"/>
      <c r="AB418" s="2"/>
      <c r="AC418" s="2"/>
      <c r="AD418" s="2"/>
    </row>
    <row r="419" ht="12.0" customHeight="1">
      <c r="A419" s="2"/>
      <c r="B419" s="2"/>
      <c r="C419" s="2"/>
      <c r="D419" s="3"/>
      <c r="E419" s="3"/>
      <c r="F419" s="3"/>
      <c r="G419" s="2"/>
      <c r="H419" s="4"/>
      <c r="I419" s="5"/>
      <c r="J419" s="5"/>
      <c r="K419" s="5"/>
      <c r="L419" s="4"/>
      <c r="M419" s="4"/>
      <c r="N419" s="4"/>
      <c r="O419" s="4"/>
      <c r="P419" s="4"/>
      <c r="Q419" s="5"/>
      <c r="R419" s="5"/>
      <c r="S419" s="5"/>
      <c r="T419" s="5"/>
      <c r="U419" s="6"/>
      <c r="V419" s="5"/>
      <c r="W419" s="7"/>
      <c r="X419" s="8"/>
      <c r="Y419" s="8"/>
      <c r="Z419" s="2"/>
      <c r="AA419" s="2"/>
      <c r="AB419" s="2"/>
      <c r="AC419" s="2"/>
      <c r="AD419" s="2"/>
    </row>
    <row r="420" ht="12.0" customHeight="1">
      <c r="A420" s="2"/>
      <c r="B420" s="2"/>
      <c r="C420" s="2"/>
      <c r="D420" s="3"/>
      <c r="E420" s="3"/>
      <c r="F420" s="3"/>
      <c r="G420" s="2"/>
      <c r="H420" s="4"/>
      <c r="I420" s="5"/>
      <c r="J420" s="5"/>
      <c r="K420" s="5"/>
      <c r="L420" s="4"/>
      <c r="M420" s="4"/>
      <c r="N420" s="4"/>
      <c r="O420" s="4"/>
      <c r="P420" s="4"/>
      <c r="Q420" s="5"/>
      <c r="R420" s="5"/>
      <c r="S420" s="5"/>
      <c r="T420" s="5"/>
      <c r="U420" s="6"/>
      <c r="V420" s="5"/>
      <c r="W420" s="7"/>
      <c r="X420" s="8"/>
      <c r="Y420" s="8"/>
      <c r="Z420" s="2"/>
      <c r="AA420" s="2"/>
      <c r="AB420" s="2"/>
      <c r="AC420" s="2"/>
      <c r="AD420" s="2"/>
    </row>
    <row r="421" ht="12.0" customHeight="1">
      <c r="A421" s="2"/>
      <c r="B421" s="2"/>
      <c r="C421" s="2"/>
      <c r="D421" s="3"/>
      <c r="E421" s="3"/>
      <c r="F421" s="3"/>
      <c r="G421" s="2"/>
      <c r="H421" s="4"/>
      <c r="I421" s="5"/>
      <c r="J421" s="5"/>
      <c r="K421" s="5"/>
      <c r="L421" s="4"/>
      <c r="M421" s="4"/>
      <c r="N421" s="4"/>
      <c r="O421" s="4"/>
      <c r="P421" s="4"/>
      <c r="Q421" s="5"/>
      <c r="R421" s="5"/>
      <c r="S421" s="5"/>
      <c r="T421" s="5"/>
      <c r="U421" s="6"/>
      <c r="V421" s="5"/>
      <c r="W421" s="7"/>
      <c r="X421" s="8"/>
      <c r="Y421" s="8"/>
      <c r="Z421" s="2"/>
      <c r="AA421" s="2"/>
      <c r="AB421" s="2"/>
      <c r="AC421" s="2"/>
      <c r="AD421" s="2"/>
    </row>
    <row r="422" ht="12.0" customHeight="1">
      <c r="A422" s="2"/>
      <c r="B422" s="2"/>
      <c r="C422" s="2"/>
      <c r="D422" s="3"/>
      <c r="E422" s="3"/>
      <c r="F422" s="3"/>
      <c r="G422" s="2"/>
      <c r="H422" s="4"/>
      <c r="I422" s="5"/>
      <c r="J422" s="5"/>
      <c r="K422" s="5"/>
      <c r="L422" s="4"/>
      <c r="M422" s="4"/>
      <c r="N422" s="4"/>
      <c r="O422" s="4"/>
      <c r="P422" s="4"/>
      <c r="Q422" s="5"/>
      <c r="R422" s="5"/>
      <c r="S422" s="5"/>
      <c r="T422" s="5"/>
      <c r="U422" s="6"/>
      <c r="V422" s="5"/>
      <c r="W422" s="7"/>
      <c r="X422" s="8"/>
      <c r="Y422" s="8"/>
      <c r="Z422" s="2"/>
      <c r="AA422" s="2"/>
      <c r="AB422" s="2"/>
      <c r="AC422" s="2"/>
      <c r="AD422" s="2"/>
    </row>
    <row r="423" ht="12.0" customHeight="1">
      <c r="A423" s="2"/>
      <c r="B423" s="2"/>
      <c r="C423" s="2"/>
      <c r="D423" s="3"/>
      <c r="E423" s="3"/>
      <c r="F423" s="3"/>
      <c r="G423" s="2"/>
      <c r="H423" s="4"/>
      <c r="I423" s="5"/>
      <c r="J423" s="5"/>
      <c r="K423" s="5"/>
      <c r="L423" s="4"/>
      <c r="M423" s="4"/>
      <c r="N423" s="4"/>
      <c r="O423" s="4"/>
      <c r="P423" s="4"/>
      <c r="Q423" s="5"/>
      <c r="R423" s="5"/>
      <c r="S423" s="5"/>
      <c r="T423" s="5"/>
      <c r="U423" s="6"/>
      <c r="V423" s="5"/>
      <c r="W423" s="7"/>
      <c r="X423" s="8"/>
      <c r="Y423" s="8"/>
      <c r="Z423" s="2"/>
      <c r="AA423" s="2"/>
      <c r="AB423" s="2"/>
      <c r="AC423" s="2"/>
      <c r="AD423" s="2"/>
    </row>
    <row r="424" ht="12.0" customHeight="1">
      <c r="A424" s="2"/>
      <c r="B424" s="2"/>
      <c r="C424" s="2"/>
      <c r="D424" s="3"/>
      <c r="E424" s="3"/>
      <c r="F424" s="3"/>
      <c r="G424" s="2"/>
      <c r="H424" s="4"/>
      <c r="I424" s="5"/>
      <c r="J424" s="5"/>
      <c r="K424" s="5"/>
      <c r="L424" s="4"/>
      <c r="M424" s="4"/>
      <c r="N424" s="4"/>
      <c r="O424" s="4"/>
      <c r="P424" s="4"/>
      <c r="Q424" s="5"/>
      <c r="R424" s="5"/>
      <c r="S424" s="5"/>
      <c r="T424" s="5"/>
      <c r="U424" s="6"/>
      <c r="V424" s="5"/>
      <c r="W424" s="7"/>
      <c r="X424" s="8"/>
      <c r="Y424" s="8"/>
      <c r="Z424" s="2"/>
      <c r="AA424" s="2"/>
      <c r="AB424" s="2"/>
      <c r="AC424" s="2"/>
      <c r="AD424" s="2"/>
    </row>
    <row r="425" ht="12.0" customHeight="1">
      <c r="A425" s="2"/>
      <c r="B425" s="2"/>
      <c r="C425" s="2"/>
      <c r="D425" s="3"/>
      <c r="E425" s="3"/>
      <c r="F425" s="3"/>
      <c r="G425" s="2"/>
      <c r="H425" s="4"/>
      <c r="I425" s="5"/>
      <c r="J425" s="5"/>
      <c r="K425" s="5"/>
      <c r="L425" s="4"/>
      <c r="M425" s="4"/>
      <c r="N425" s="4"/>
      <c r="O425" s="4"/>
      <c r="P425" s="4"/>
      <c r="Q425" s="5"/>
      <c r="R425" s="5"/>
      <c r="S425" s="5"/>
      <c r="T425" s="5"/>
      <c r="U425" s="6"/>
      <c r="V425" s="5"/>
      <c r="W425" s="7"/>
      <c r="X425" s="8"/>
      <c r="Y425" s="8"/>
      <c r="Z425" s="2"/>
      <c r="AA425" s="2"/>
      <c r="AB425" s="2"/>
      <c r="AC425" s="2"/>
      <c r="AD425" s="2"/>
    </row>
    <row r="426" ht="12.0" customHeight="1">
      <c r="A426" s="2"/>
      <c r="B426" s="2"/>
      <c r="C426" s="2"/>
      <c r="D426" s="3"/>
      <c r="E426" s="3"/>
      <c r="F426" s="3"/>
      <c r="G426" s="2"/>
      <c r="H426" s="4"/>
      <c r="I426" s="5"/>
      <c r="J426" s="5"/>
      <c r="K426" s="5"/>
      <c r="L426" s="4"/>
      <c r="M426" s="4"/>
      <c r="N426" s="4"/>
      <c r="O426" s="4"/>
      <c r="P426" s="4"/>
      <c r="Q426" s="5"/>
      <c r="R426" s="5"/>
      <c r="S426" s="5"/>
      <c r="T426" s="5"/>
      <c r="U426" s="6"/>
      <c r="V426" s="5"/>
      <c r="W426" s="7"/>
      <c r="X426" s="8"/>
      <c r="Y426" s="8"/>
      <c r="Z426" s="2"/>
      <c r="AA426" s="2"/>
      <c r="AB426" s="2"/>
      <c r="AC426" s="2"/>
      <c r="AD426" s="2"/>
    </row>
    <row r="427" ht="12.0" customHeight="1">
      <c r="A427" s="2"/>
      <c r="B427" s="2"/>
      <c r="C427" s="2"/>
      <c r="D427" s="3"/>
      <c r="E427" s="3"/>
      <c r="F427" s="3"/>
      <c r="G427" s="2"/>
      <c r="H427" s="4"/>
      <c r="I427" s="5"/>
      <c r="J427" s="5"/>
      <c r="K427" s="5"/>
      <c r="L427" s="4"/>
      <c r="M427" s="4"/>
      <c r="N427" s="4"/>
      <c r="O427" s="4"/>
      <c r="P427" s="4"/>
      <c r="Q427" s="5"/>
      <c r="R427" s="5"/>
      <c r="S427" s="5"/>
      <c r="T427" s="5"/>
      <c r="U427" s="6"/>
      <c r="V427" s="5"/>
      <c r="W427" s="7"/>
      <c r="X427" s="8"/>
      <c r="Y427" s="8"/>
      <c r="Z427" s="2"/>
      <c r="AA427" s="2"/>
      <c r="AB427" s="2"/>
      <c r="AC427" s="2"/>
      <c r="AD427" s="2"/>
    </row>
    <row r="428" ht="12.0" customHeight="1">
      <c r="A428" s="2"/>
      <c r="B428" s="2"/>
      <c r="C428" s="2"/>
      <c r="D428" s="3"/>
      <c r="E428" s="3"/>
      <c r="F428" s="3"/>
      <c r="G428" s="2"/>
      <c r="H428" s="4"/>
      <c r="I428" s="5"/>
      <c r="J428" s="5"/>
      <c r="K428" s="5"/>
      <c r="L428" s="4"/>
      <c r="M428" s="4"/>
      <c r="N428" s="4"/>
      <c r="O428" s="4"/>
      <c r="P428" s="4"/>
      <c r="Q428" s="5"/>
      <c r="R428" s="5"/>
      <c r="S428" s="5"/>
      <c r="T428" s="5"/>
      <c r="U428" s="6"/>
      <c r="V428" s="5"/>
      <c r="W428" s="7"/>
      <c r="X428" s="8"/>
      <c r="Y428" s="8"/>
      <c r="Z428" s="2"/>
      <c r="AA428" s="2"/>
      <c r="AB428" s="2"/>
      <c r="AC428" s="2"/>
      <c r="AD428" s="2"/>
    </row>
    <row r="429" ht="12.0" customHeight="1">
      <c r="A429" s="2"/>
      <c r="B429" s="2"/>
      <c r="C429" s="2"/>
      <c r="D429" s="3"/>
      <c r="E429" s="3"/>
      <c r="F429" s="3"/>
      <c r="G429" s="2"/>
      <c r="H429" s="4"/>
      <c r="I429" s="5"/>
      <c r="J429" s="5"/>
      <c r="K429" s="5"/>
      <c r="L429" s="4"/>
      <c r="M429" s="4"/>
      <c r="N429" s="4"/>
      <c r="O429" s="4"/>
      <c r="P429" s="4"/>
      <c r="Q429" s="5"/>
      <c r="R429" s="5"/>
      <c r="S429" s="5"/>
      <c r="T429" s="5"/>
      <c r="U429" s="6"/>
      <c r="V429" s="5"/>
      <c r="W429" s="7"/>
      <c r="X429" s="8"/>
      <c r="Y429" s="8"/>
      <c r="Z429" s="2"/>
      <c r="AA429" s="2"/>
      <c r="AB429" s="2"/>
      <c r="AC429" s="2"/>
      <c r="AD429" s="2"/>
    </row>
    <row r="430" ht="12.0" customHeight="1">
      <c r="A430" s="2"/>
      <c r="B430" s="2"/>
      <c r="C430" s="2"/>
      <c r="D430" s="3"/>
      <c r="E430" s="3"/>
      <c r="F430" s="3"/>
      <c r="G430" s="2"/>
      <c r="H430" s="4"/>
      <c r="I430" s="5"/>
      <c r="J430" s="5"/>
      <c r="K430" s="5"/>
      <c r="L430" s="4"/>
      <c r="M430" s="4"/>
      <c r="N430" s="4"/>
      <c r="O430" s="4"/>
      <c r="P430" s="4"/>
      <c r="Q430" s="5"/>
      <c r="R430" s="5"/>
      <c r="S430" s="5"/>
      <c r="T430" s="5"/>
      <c r="U430" s="6"/>
      <c r="V430" s="5"/>
      <c r="W430" s="7"/>
      <c r="X430" s="8"/>
      <c r="Y430" s="8"/>
      <c r="Z430" s="2"/>
      <c r="AA430" s="2"/>
      <c r="AB430" s="2"/>
      <c r="AC430" s="2"/>
      <c r="AD430" s="2"/>
    </row>
    <row r="431" ht="12.0" customHeight="1">
      <c r="A431" s="2"/>
      <c r="B431" s="2"/>
      <c r="C431" s="2"/>
      <c r="D431" s="3"/>
      <c r="E431" s="3"/>
      <c r="F431" s="3"/>
      <c r="G431" s="2"/>
      <c r="H431" s="4"/>
      <c r="I431" s="5"/>
      <c r="J431" s="5"/>
      <c r="K431" s="5"/>
      <c r="L431" s="4"/>
      <c r="M431" s="4"/>
      <c r="N431" s="4"/>
      <c r="O431" s="4"/>
      <c r="P431" s="4"/>
      <c r="Q431" s="5"/>
      <c r="R431" s="5"/>
      <c r="S431" s="5"/>
      <c r="T431" s="5"/>
      <c r="U431" s="6"/>
      <c r="V431" s="5"/>
      <c r="W431" s="7"/>
      <c r="X431" s="8"/>
      <c r="Y431" s="8"/>
      <c r="Z431" s="2"/>
      <c r="AA431" s="2"/>
      <c r="AB431" s="2"/>
      <c r="AC431" s="2"/>
      <c r="AD431" s="2"/>
    </row>
    <row r="432" ht="12.0" customHeight="1">
      <c r="A432" s="2"/>
      <c r="B432" s="2"/>
      <c r="C432" s="2"/>
      <c r="D432" s="3"/>
      <c r="E432" s="3"/>
      <c r="F432" s="3"/>
      <c r="G432" s="2"/>
      <c r="H432" s="4"/>
      <c r="I432" s="5"/>
      <c r="J432" s="5"/>
      <c r="K432" s="5"/>
      <c r="L432" s="4"/>
      <c r="M432" s="4"/>
      <c r="N432" s="4"/>
      <c r="O432" s="4"/>
      <c r="P432" s="4"/>
      <c r="Q432" s="5"/>
      <c r="R432" s="5"/>
      <c r="S432" s="5"/>
      <c r="T432" s="5"/>
      <c r="U432" s="6"/>
      <c r="V432" s="5"/>
      <c r="W432" s="7"/>
      <c r="X432" s="8"/>
      <c r="Y432" s="8"/>
      <c r="Z432" s="2"/>
      <c r="AA432" s="2"/>
      <c r="AB432" s="2"/>
      <c r="AC432" s="2"/>
      <c r="AD432" s="2"/>
    </row>
    <row r="433" ht="12.0" customHeight="1">
      <c r="A433" s="2"/>
      <c r="B433" s="2"/>
      <c r="C433" s="2"/>
      <c r="D433" s="3"/>
      <c r="E433" s="3"/>
      <c r="F433" s="3"/>
      <c r="G433" s="2"/>
      <c r="H433" s="4"/>
      <c r="I433" s="5"/>
      <c r="J433" s="5"/>
      <c r="K433" s="5"/>
      <c r="L433" s="4"/>
      <c r="M433" s="4"/>
      <c r="N433" s="4"/>
      <c r="O433" s="4"/>
      <c r="P433" s="4"/>
      <c r="Q433" s="5"/>
      <c r="R433" s="5"/>
      <c r="S433" s="5"/>
      <c r="T433" s="5"/>
      <c r="U433" s="6"/>
      <c r="V433" s="5"/>
      <c r="W433" s="7"/>
      <c r="X433" s="8"/>
      <c r="Y433" s="8"/>
      <c r="Z433" s="2"/>
      <c r="AA433" s="2"/>
      <c r="AB433" s="2"/>
      <c r="AC433" s="2"/>
      <c r="AD433" s="2"/>
    </row>
    <row r="434" ht="12.0" customHeight="1">
      <c r="A434" s="2"/>
      <c r="B434" s="2"/>
      <c r="C434" s="2"/>
      <c r="D434" s="3"/>
      <c r="E434" s="3"/>
      <c r="F434" s="3"/>
      <c r="G434" s="2"/>
      <c r="H434" s="4"/>
      <c r="I434" s="5"/>
      <c r="J434" s="5"/>
      <c r="K434" s="5"/>
      <c r="L434" s="4"/>
      <c r="M434" s="4"/>
      <c r="N434" s="4"/>
      <c r="O434" s="4"/>
      <c r="P434" s="4"/>
      <c r="Q434" s="5"/>
      <c r="R434" s="5"/>
      <c r="S434" s="5"/>
      <c r="T434" s="5"/>
      <c r="U434" s="6"/>
      <c r="V434" s="5"/>
      <c r="W434" s="7"/>
      <c r="X434" s="8"/>
      <c r="Y434" s="8"/>
      <c r="Z434" s="2"/>
      <c r="AA434" s="2"/>
      <c r="AB434" s="2"/>
      <c r="AC434" s="2"/>
      <c r="AD434" s="2"/>
    </row>
    <row r="435" ht="12.0" customHeight="1">
      <c r="A435" s="2"/>
      <c r="B435" s="2"/>
      <c r="C435" s="2"/>
      <c r="D435" s="3"/>
      <c r="E435" s="3"/>
      <c r="F435" s="3"/>
      <c r="G435" s="2"/>
      <c r="H435" s="4"/>
      <c r="I435" s="5"/>
      <c r="J435" s="5"/>
      <c r="K435" s="5"/>
      <c r="L435" s="4"/>
      <c r="M435" s="4"/>
      <c r="N435" s="4"/>
      <c r="O435" s="4"/>
      <c r="P435" s="4"/>
      <c r="Q435" s="5"/>
      <c r="R435" s="5"/>
      <c r="S435" s="5"/>
      <c r="T435" s="5"/>
      <c r="U435" s="6"/>
      <c r="V435" s="5"/>
      <c r="W435" s="7"/>
      <c r="X435" s="8"/>
      <c r="Y435" s="8"/>
      <c r="Z435" s="2"/>
      <c r="AA435" s="2"/>
      <c r="AB435" s="2"/>
      <c r="AC435" s="2"/>
      <c r="AD435" s="2"/>
    </row>
    <row r="436" ht="12.0" customHeight="1">
      <c r="A436" s="2"/>
      <c r="B436" s="2"/>
      <c r="C436" s="2"/>
      <c r="D436" s="3"/>
      <c r="E436" s="3"/>
      <c r="F436" s="3"/>
      <c r="G436" s="2"/>
      <c r="H436" s="4"/>
      <c r="I436" s="5"/>
      <c r="J436" s="5"/>
      <c r="K436" s="5"/>
      <c r="L436" s="4"/>
      <c r="M436" s="4"/>
      <c r="N436" s="4"/>
      <c r="O436" s="4"/>
      <c r="P436" s="4"/>
      <c r="Q436" s="5"/>
      <c r="R436" s="5"/>
      <c r="S436" s="5"/>
      <c r="T436" s="5"/>
      <c r="U436" s="6"/>
      <c r="V436" s="5"/>
      <c r="W436" s="7"/>
      <c r="X436" s="8"/>
      <c r="Y436" s="8"/>
      <c r="Z436" s="2"/>
      <c r="AA436" s="2"/>
      <c r="AB436" s="2"/>
      <c r="AC436" s="2"/>
      <c r="AD436" s="2"/>
    </row>
    <row r="437" ht="12.0" customHeight="1">
      <c r="A437" s="2"/>
      <c r="B437" s="2"/>
      <c r="C437" s="2"/>
      <c r="D437" s="3"/>
      <c r="E437" s="3"/>
      <c r="F437" s="3"/>
      <c r="G437" s="2"/>
      <c r="H437" s="4"/>
      <c r="I437" s="5"/>
      <c r="J437" s="5"/>
      <c r="K437" s="5"/>
      <c r="L437" s="4"/>
      <c r="M437" s="4"/>
      <c r="N437" s="4"/>
      <c r="O437" s="4"/>
      <c r="P437" s="4"/>
      <c r="Q437" s="5"/>
      <c r="R437" s="5"/>
      <c r="S437" s="5"/>
      <c r="T437" s="5"/>
      <c r="U437" s="6"/>
      <c r="V437" s="5"/>
      <c r="W437" s="7"/>
      <c r="X437" s="8"/>
      <c r="Y437" s="8"/>
      <c r="Z437" s="2"/>
      <c r="AA437" s="2"/>
      <c r="AB437" s="2"/>
      <c r="AC437" s="2"/>
      <c r="AD437" s="2"/>
    </row>
    <row r="438" ht="12.0" customHeight="1">
      <c r="A438" s="2"/>
      <c r="B438" s="2"/>
      <c r="C438" s="2"/>
      <c r="D438" s="3"/>
      <c r="E438" s="3"/>
      <c r="F438" s="3"/>
      <c r="G438" s="2"/>
      <c r="H438" s="4"/>
      <c r="I438" s="5"/>
      <c r="J438" s="5"/>
      <c r="K438" s="5"/>
      <c r="L438" s="4"/>
      <c r="M438" s="4"/>
      <c r="N438" s="4"/>
      <c r="O438" s="4"/>
      <c r="P438" s="4"/>
      <c r="Q438" s="5"/>
      <c r="R438" s="5"/>
      <c r="S438" s="5"/>
      <c r="T438" s="5"/>
      <c r="U438" s="6"/>
      <c r="V438" s="5"/>
      <c r="W438" s="7"/>
      <c r="X438" s="8"/>
      <c r="Y438" s="8"/>
      <c r="Z438" s="2"/>
      <c r="AA438" s="2"/>
      <c r="AB438" s="2"/>
      <c r="AC438" s="2"/>
      <c r="AD438" s="2"/>
    </row>
    <row r="439" ht="12.0" customHeight="1">
      <c r="A439" s="2"/>
      <c r="B439" s="2"/>
      <c r="C439" s="2"/>
      <c r="D439" s="3"/>
      <c r="E439" s="3"/>
      <c r="F439" s="3"/>
      <c r="G439" s="2"/>
      <c r="H439" s="4"/>
      <c r="I439" s="5"/>
      <c r="J439" s="5"/>
      <c r="K439" s="5"/>
      <c r="L439" s="4"/>
      <c r="M439" s="4"/>
      <c r="N439" s="4"/>
      <c r="O439" s="4"/>
      <c r="P439" s="4"/>
      <c r="Q439" s="5"/>
      <c r="R439" s="5"/>
      <c r="S439" s="5"/>
      <c r="T439" s="5"/>
      <c r="U439" s="6"/>
      <c r="V439" s="5"/>
      <c r="W439" s="7"/>
      <c r="X439" s="8"/>
      <c r="Y439" s="8"/>
      <c r="Z439" s="2"/>
      <c r="AA439" s="2"/>
      <c r="AB439" s="2"/>
      <c r="AC439" s="2"/>
      <c r="AD439" s="2"/>
    </row>
    <row r="440" ht="12.0" customHeight="1">
      <c r="A440" s="2"/>
      <c r="B440" s="2"/>
      <c r="C440" s="2"/>
      <c r="D440" s="3"/>
      <c r="E440" s="3"/>
      <c r="F440" s="3"/>
      <c r="G440" s="2"/>
      <c r="H440" s="4"/>
      <c r="I440" s="5"/>
      <c r="J440" s="5"/>
      <c r="K440" s="5"/>
      <c r="L440" s="4"/>
      <c r="M440" s="4"/>
      <c r="N440" s="4"/>
      <c r="O440" s="4"/>
      <c r="P440" s="4"/>
      <c r="Q440" s="5"/>
      <c r="R440" s="5"/>
      <c r="S440" s="5"/>
      <c r="T440" s="5"/>
      <c r="U440" s="6"/>
      <c r="V440" s="5"/>
      <c r="W440" s="7"/>
      <c r="X440" s="8"/>
      <c r="Y440" s="8"/>
      <c r="Z440" s="2"/>
      <c r="AA440" s="2"/>
      <c r="AB440" s="2"/>
      <c r="AC440" s="2"/>
      <c r="AD440" s="2"/>
    </row>
    <row r="441" ht="12.0" customHeight="1">
      <c r="A441" s="2"/>
      <c r="B441" s="2"/>
      <c r="C441" s="2"/>
      <c r="D441" s="3"/>
      <c r="E441" s="3"/>
      <c r="F441" s="3"/>
      <c r="G441" s="2"/>
      <c r="H441" s="4"/>
      <c r="I441" s="5"/>
      <c r="J441" s="5"/>
      <c r="K441" s="5"/>
      <c r="L441" s="4"/>
      <c r="M441" s="4"/>
      <c r="N441" s="4"/>
      <c r="O441" s="4"/>
      <c r="P441" s="4"/>
      <c r="Q441" s="5"/>
      <c r="R441" s="5"/>
      <c r="S441" s="5"/>
      <c r="T441" s="5"/>
      <c r="U441" s="6"/>
      <c r="V441" s="5"/>
      <c r="W441" s="7"/>
      <c r="X441" s="8"/>
      <c r="Y441" s="8"/>
      <c r="Z441" s="2"/>
      <c r="AA441" s="2"/>
      <c r="AB441" s="2"/>
      <c r="AC441" s="2"/>
      <c r="AD441" s="2"/>
    </row>
    <row r="442" ht="12.0" customHeight="1">
      <c r="A442" s="2"/>
      <c r="B442" s="2"/>
      <c r="C442" s="2"/>
      <c r="D442" s="3"/>
      <c r="E442" s="3"/>
      <c r="F442" s="3"/>
      <c r="G442" s="2"/>
      <c r="H442" s="4"/>
      <c r="I442" s="5"/>
      <c r="J442" s="5"/>
      <c r="K442" s="5"/>
      <c r="L442" s="4"/>
      <c r="M442" s="4"/>
      <c r="N442" s="4"/>
      <c r="O442" s="4"/>
      <c r="P442" s="4"/>
      <c r="Q442" s="5"/>
      <c r="R442" s="5"/>
      <c r="S442" s="5"/>
      <c r="T442" s="5"/>
      <c r="U442" s="6"/>
      <c r="V442" s="5"/>
      <c r="W442" s="7"/>
      <c r="X442" s="8"/>
      <c r="Y442" s="8"/>
      <c r="Z442" s="2"/>
      <c r="AA442" s="2"/>
      <c r="AB442" s="2"/>
      <c r="AC442" s="2"/>
      <c r="AD442" s="2"/>
    </row>
    <row r="443" ht="12.0" customHeight="1">
      <c r="A443" s="2"/>
      <c r="B443" s="2"/>
      <c r="C443" s="2"/>
      <c r="D443" s="3"/>
      <c r="E443" s="3"/>
      <c r="F443" s="3"/>
      <c r="G443" s="2"/>
      <c r="H443" s="4"/>
      <c r="I443" s="5"/>
      <c r="J443" s="5"/>
      <c r="K443" s="5"/>
      <c r="L443" s="4"/>
      <c r="M443" s="4"/>
      <c r="N443" s="4"/>
      <c r="O443" s="4"/>
      <c r="P443" s="4"/>
      <c r="Q443" s="5"/>
      <c r="R443" s="5"/>
      <c r="S443" s="5"/>
      <c r="T443" s="5"/>
      <c r="U443" s="6"/>
      <c r="V443" s="5"/>
      <c r="W443" s="7"/>
      <c r="X443" s="8"/>
      <c r="Y443" s="8"/>
      <c r="Z443" s="2"/>
      <c r="AA443" s="2"/>
      <c r="AB443" s="2"/>
      <c r="AC443" s="2"/>
      <c r="AD443" s="2"/>
    </row>
    <row r="444" ht="12.0" customHeight="1">
      <c r="A444" s="2"/>
      <c r="B444" s="2"/>
      <c r="C444" s="2"/>
      <c r="D444" s="3"/>
      <c r="E444" s="3"/>
      <c r="F444" s="3"/>
      <c r="G444" s="2"/>
      <c r="H444" s="4"/>
      <c r="I444" s="5"/>
      <c r="J444" s="5"/>
      <c r="K444" s="5"/>
      <c r="L444" s="4"/>
      <c r="M444" s="4"/>
      <c r="N444" s="4"/>
      <c r="O444" s="4"/>
      <c r="P444" s="4"/>
      <c r="Q444" s="5"/>
      <c r="R444" s="5"/>
      <c r="S444" s="5"/>
      <c r="T444" s="5"/>
      <c r="U444" s="6"/>
      <c r="V444" s="5"/>
      <c r="W444" s="7"/>
      <c r="X444" s="8"/>
      <c r="Y444" s="8"/>
      <c r="Z444" s="2"/>
      <c r="AA444" s="2"/>
      <c r="AB444" s="2"/>
      <c r="AC444" s="2"/>
      <c r="AD444" s="2"/>
    </row>
    <row r="445" ht="12.0" customHeight="1">
      <c r="A445" s="2"/>
      <c r="B445" s="2"/>
      <c r="C445" s="2"/>
      <c r="D445" s="3"/>
      <c r="E445" s="3"/>
      <c r="F445" s="3"/>
      <c r="G445" s="2"/>
      <c r="H445" s="4"/>
      <c r="I445" s="5"/>
      <c r="J445" s="5"/>
      <c r="K445" s="5"/>
      <c r="L445" s="4"/>
      <c r="M445" s="4"/>
      <c r="N445" s="4"/>
      <c r="O445" s="4"/>
      <c r="P445" s="4"/>
      <c r="Q445" s="5"/>
      <c r="R445" s="5"/>
      <c r="S445" s="5"/>
      <c r="T445" s="5"/>
      <c r="U445" s="6"/>
      <c r="V445" s="5"/>
      <c r="W445" s="7"/>
      <c r="X445" s="8"/>
      <c r="Y445" s="8"/>
      <c r="Z445" s="2"/>
      <c r="AA445" s="2"/>
      <c r="AB445" s="2"/>
      <c r="AC445" s="2"/>
      <c r="AD445" s="2"/>
    </row>
    <row r="446" ht="12.0" customHeight="1">
      <c r="A446" s="2"/>
      <c r="B446" s="2"/>
      <c r="C446" s="2"/>
      <c r="D446" s="3"/>
      <c r="E446" s="3"/>
      <c r="F446" s="3"/>
      <c r="G446" s="2"/>
      <c r="H446" s="4"/>
      <c r="I446" s="5"/>
      <c r="J446" s="5"/>
      <c r="K446" s="5"/>
      <c r="L446" s="4"/>
      <c r="M446" s="4"/>
      <c r="N446" s="4"/>
      <c r="O446" s="4"/>
      <c r="P446" s="4"/>
      <c r="Q446" s="5"/>
      <c r="R446" s="5"/>
      <c r="S446" s="5"/>
      <c r="T446" s="5"/>
      <c r="U446" s="6"/>
      <c r="V446" s="5"/>
      <c r="W446" s="7"/>
      <c r="X446" s="8"/>
      <c r="Y446" s="8"/>
      <c r="Z446" s="2"/>
      <c r="AA446" s="2"/>
      <c r="AB446" s="2"/>
      <c r="AC446" s="2"/>
      <c r="AD446" s="2"/>
    </row>
    <row r="447" ht="12.0" customHeight="1">
      <c r="A447" s="2"/>
      <c r="B447" s="2"/>
      <c r="C447" s="2"/>
      <c r="D447" s="3"/>
      <c r="E447" s="3"/>
      <c r="F447" s="3"/>
      <c r="G447" s="2"/>
      <c r="H447" s="4"/>
      <c r="I447" s="5"/>
      <c r="J447" s="5"/>
      <c r="K447" s="5"/>
      <c r="L447" s="4"/>
      <c r="M447" s="4"/>
      <c r="N447" s="4"/>
      <c r="O447" s="4"/>
      <c r="P447" s="4"/>
      <c r="Q447" s="5"/>
      <c r="R447" s="5"/>
      <c r="S447" s="5"/>
      <c r="T447" s="5"/>
      <c r="U447" s="6"/>
      <c r="V447" s="5"/>
      <c r="W447" s="7"/>
      <c r="X447" s="8"/>
      <c r="Y447" s="8"/>
      <c r="Z447" s="2"/>
      <c r="AA447" s="2"/>
      <c r="AB447" s="2"/>
      <c r="AC447" s="2"/>
      <c r="AD447" s="2"/>
    </row>
    <row r="448" ht="12.0" customHeight="1">
      <c r="A448" s="2"/>
      <c r="B448" s="2"/>
      <c r="C448" s="2"/>
      <c r="D448" s="3"/>
      <c r="E448" s="3"/>
      <c r="F448" s="3"/>
      <c r="G448" s="2"/>
      <c r="H448" s="4"/>
      <c r="I448" s="5"/>
      <c r="J448" s="5"/>
      <c r="K448" s="5"/>
      <c r="L448" s="4"/>
      <c r="M448" s="4"/>
      <c r="N448" s="4"/>
      <c r="O448" s="4"/>
      <c r="P448" s="4"/>
      <c r="Q448" s="5"/>
      <c r="R448" s="5"/>
      <c r="S448" s="5"/>
      <c r="T448" s="5"/>
      <c r="U448" s="6"/>
      <c r="V448" s="5"/>
      <c r="W448" s="7"/>
      <c r="X448" s="8"/>
      <c r="Y448" s="8"/>
      <c r="Z448" s="2"/>
      <c r="AA448" s="2"/>
      <c r="AB448" s="2"/>
      <c r="AC448" s="2"/>
      <c r="AD448" s="2"/>
    </row>
    <row r="449" ht="12.0" customHeight="1">
      <c r="A449" s="2"/>
      <c r="B449" s="2"/>
      <c r="C449" s="2"/>
      <c r="D449" s="3"/>
      <c r="E449" s="3"/>
      <c r="F449" s="3"/>
      <c r="G449" s="2"/>
      <c r="H449" s="4"/>
      <c r="I449" s="5"/>
      <c r="J449" s="5"/>
      <c r="K449" s="5"/>
      <c r="L449" s="4"/>
      <c r="M449" s="4"/>
      <c r="N449" s="4"/>
      <c r="O449" s="4"/>
      <c r="P449" s="4"/>
      <c r="Q449" s="5"/>
      <c r="R449" s="5"/>
      <c r="S449" s="5"/>
      <c r="T449" s="5"/>
      <c r="U449" s="6"/>
      <c r="V449" s="5"/>
      <c r="W449" s="7"/>
      <c r="X449" s="8"/>
      <c r="Y449" s="8"/>
      <c r="Z449" s="2"/>
      <c r="AA449" s="2"/>
      <c r="AB449" s="2"/>
      <c r="AC449" s="2"/>
      <c r="AD449" s="2"/>
    </row>
    <row r="450" ht="12.0" customHeight="1">
      <c r="A450" s="2"/>
      <c r="B450" s="2"/>
      <c r="C450" s="2"/>
      <c r="D450" s="3"/>
      <c r="E450" s="3"/>
      <c r="F450" s="3"/>
      <c r="G450" s="2"/>
      <c r="H450" s="4"/>
      <c r="I450" s="5"/>
      <c r="J450" s="5"/>
      <c r="K450" s="5"/>
      <c r="L450" s="4"/>
      <c r="M450" s="4"/>
      <c r="N450" s="4"/>
      <c r="O450" s="4"/>
      <c r="P450" s="4"/>
      <c r="Q450" s="5"/>
      <c r="R450" s="5"/>
      <c r="S450" s="5"/>
      <c r="T450" s="5"/>
      <c r="U450" s="6"/>
      <c r="V450" s="5"/>
      <c r="W450" s="7"/>
      <c r="X450" s="8"/>
      <c r="Y450" s="8"/>
      <c r="Z450" s="2"/>
      <c r="AA450" s="2"/>
      <c r="AB450" s="2"/>
      <c r="AC450" s="2"/>
      <c r="AD450" s="2"/>
    </row>
    <row r="451" ht="12.0" customHeight="1">
      <c r="A451" s="2"/>
      <c r="B451" s="2"/>
      <c r="C451" s="2"/>
      <c r="D451" s="3"/>
      <c r="E451" s="3"/>
      <c r="F451" s="3"/>
      <c r="G451" s="2"/>
      <c r="H451" s="4"/>
      <c r="I451" s="5"/>
      <c r="J451" s="5"/>
      <c r="K451" s="5"/>
      <c r="L451" s="4"/>
      <c r="M451" s="4"/>
      <c r="N451" s="4"/>
      <c r="O451" s="4"/>
      <c r="P451" s="4"/>
      <c r="Q451" s="5"/>
      <c r="R451" s="5"/>
      <c r="S451" s="5"/>
      <c r="T451" s="5"/>
      <c r="U451" s="6"/>
      <c r="V451" s="5"/>
      <c r="W451" s="7"/>
      <c r="X451" s="8"/>
      <c r="Y451" s="8"/>
      <c r="Z451" s="2"/>
      <c r="AA451" s="2"/>
      <c r="AB451" s="2"/>
      <c r="AC451" s="2"/>
      <c r="AD451" s="2"/>
    </row>
    <row r="452" ht="12.0" customHeight="1">
      <c r="A452" s="2"/>
      <c r="B452" s="2"/>
      <c r="C452" s="2"/>
      <c r="D452" s="3"/>
      <c r="E452" s="3"/>
      <c r="F452" s="3"/>
      <c r="G452" s="2"/>
      <c r="H452" s="4"/>
      <c r="I452" s="5"/>
      <c r="J452" s="5"/>
      <c r="K452" s="5"/>
      <c r="L452" s="4"/>
      <c r="M452" s="4"/>
      <c r="N452" s="4"/>
      <c r="O452" s="4"/>
      <c r="P452" s="4"/>
      <c r="Q452" s="5"/>
      <c r="R452" s="5"/>
      <c r="S452" s="5"/>
      <c r="T452" s="5"/>
      <c r="U452" s="6"/>
      <c r="V452" s="5"/>
      <c r="W452" s="7"/>
      <c r="X452" s="8"/>
      <c r="Y452" s="8"/>
      <c r="Z452" s="2"/>
      <c r="AA452" s="2"/>
      <c r="AB452" s="2"/>
      <c r="AC452" s="2"/>
      <c r="AD452" s="2"/>
    </row>
    <row r="453" ht="12.0" customHeight="1">
      <c r="A453" s="2"/>
      <c r="B453" s="2"/>
      <c r="C453" s="2"/>
      <c r="D453" s="3"/>
      <c r="E453" s="3"/>
      <c r="F453" s="3"/>
      <c r="G453" s="2"/>
      <c r="H453" s="4"/>
      <c r="I453" s="5"/>
      <c r="J453" s="5"/>
      <c r="K453" s="5"/>
      <c r="L453" s="4"/>
      <c r="M453" s="4"/>
      <c r="N453" s="4"/>
      <c r="O453" s="4"/>
      <c r="P453" s="4"/>
      <c r="Q453" s="5"/>
      <c r="R453" s="5"/>
      <c r="S453" s="5"/>
      <c r="T453" s="5"/>
      <c r="U453" s="6"/>
      <c r="V453" s="5"/>
      <c r="W453" s="7"/>
      <c r="X453" s="8"/>
      <c r="Y453" s="8"/>
      <c r="Z453" s="2"/>
      <c r="AA453" s="2"/>
      <c r="AB453" s="2"/>
      <c r="AC453" s="2"/>
      <c r="AD453" s="2"/>
    </row>
    <row r="454" ht="12.0" customHeight="1">
      <c r="A454" s="2"/>
      <c r="B454" s="2"/>
      <c r="C454" s="2"/>
      <c r="D454" s="3"/>
      <c r="E454" s="3"/>
      <c r="F454" s="3"/>
      <c r="G454" s="2"/>
      <c r="H454" s="4"/>
      <c r="I454" s="5"/>
      <c r="J454" s="5"/>
      <c r="K454" s="5"/>
      <c r="L454" s="4"/>
      <c r="M454" s="4"/>
      <c r="N454" s="4"/>
      <c r="O454" s="4"/>
      <c r="P454" s="4"/>
      <c r="Q454" s="5"/>
      <c r="R454" s="5"/>
      <c r="S454" s="5"/>
      <c r="T454" s="5"/>
      <c r="U454" s="6"/>
      <c r="V454" s="5"/>
      <c r="W454" s="7"/>
      <c r="X454" s="8"/>
      <c r="Y454" s="8"/>
      <c r="Z454" s="2"/>
      <c r="AA454" s="2"/>
      <c r="AB454" s="2"/>
      <c r="AC454" s="2"/>
      <c r="AD454" s="2"/>
    </row>
    <row r="455" ht="12.0" customHeight="1">
      <c r="A455" s="2"/>
      <c r="B455" s="2"/>
      <c r="C455" s="2"/>
      <c r="D455" s="3"/>
      <c r="E455" s="3"/>
      <c r="F455" s="3"/>
      <c r="G455" s="2"/>
      <c r="H455" s="4"/>
      <c r="I455" s="5"/>
      <c r="J455" s="5"/>
      <c r="K455" s="5"/>
      <c r="L455" s="4"/>
      <c r="M455" s="4"/>
      <c r="N455" s="4"/>
      <c r="O455" s="4"/>
      <c r="P455" s="4"/>
      <c r="Q455" s="5"/>
      <c r="R455" s="5"/>
      <c r="S455" s="5"/>
      <c r="T455" s="5"/>
      <c r="U455" s="6"/>
      <c r="V455" s="5"/>
      <c r="W455" s="7"/>
      <c r="X455" s="8"/>
      <c r="Y455" s="8"/>
      <c r="Z455" s="2"/>
      <c r="AA455" s="2"/>
      <c r="AB455" s="2"/>
      <c r="AC455" s="2"/>
      <c r="AD455" s="2"/>
    </row>
    <row r="456" ht="12.0" customHeight="1">
      <c r="A456" s="2"/>
      <c r="B456" s="2"/>
      <c r="C456" s="2"/>
      <c r="D456" s="3"/>
      <c r="E456" s="3"/>
      <c r="F456" s="3"/>
      <c r="G456" s="2"/>
      <c r="H456" s="4"/>
      <c r="I456" s="5"/>
      <c r="J456" s="5"/>
      <c r="K456" s="5"/>
      <c r="L456" s="4"/>
      <c r="M456" s="4"/>
      <c r="N456" s="4"/>
      <c r="O456" s="4"/>
      <c r="P456" s="4"/>
      <c r="Q456" s="5"/>
      <c r="R456" s="5"/>
      <c r="S456" s="5"/>
      <c r="T456" s="5"/>
      <c r="U456" s="6"/>
      <c r="V456" s="5"/>
      <c r="W456" s="7"/>
      <c r="X456" s="8"/>
      <c r="Y456" s="8"/>
      <c r="Z456" s="2"/>
      <c r="AA456" s="2"/>
      <c r="AB456" s="2"/>
      <c r="AC456" s="2"/>
      <c r="AD456" s="2"/>
    </row>
    <row r="457" ht="12.0" customHeight="1">
      <c r="A457" s="2"/>
      <c r="B457" s="2"/>
      <c r="C457" s="2"/>
      <c r="D457" s="3"/>
      <c r="E457" s="3"/>
      <c r="F457" s="3"/>
      <c r="G457" s="2"/>
      <c r="H457" s="4"/>
      <c r="I457" s="5"/>
      <c r="J457" s="5"/>
      <c r="K457" s="5"/>
      <c r="L457" s="4"/>
      <c r="M457" s="4"/>
      <c r="N457" s="4"/>
      <c r="O457" s="4"/>
      <c r="P457" s="4"/>
      <c r="Q457" s="5"/>
      <c r="R457" s="5"/>
      <c r="S457" s="5"/>
      <c r="T457" s="5"/>
      <c r="U457" s="6"/>
      <c r="V457" s="5"/>
      <c r="W457" s="7"/>
      <c r="X457" s="8"/>
      <c r="Y457" s="8"/>
      <c r="Z457" s="2"/>
      <c r="AA457" s="2"/>
      <c r="AB457" s="2"/>
      <c r="AC457" s="2"/>
      <c r="AD457" s="2"/>
    </row>
    <row r="458" ht="12.0" customHeight="1">
      <c r="A458" s="2"/>
      <c r="B458" s="2"/>
      <c r="C458" s="2"/>
      <c r="D458" s="3"/>
      <c r="E458" s="3"/>
      <c r="F458" s="3"/>
      <c r="G458" s="2"/>
      <c r="H458" s="4"/>
      <c r="I458" s="5"/>
      <c r="J458" s="5"/>
      <c r="K458" s="5"/>
      <c r="L458" s="4"/>
      <c r="M458" s="4"/>
      <c r="N458" s="4"/>
      <c r="O458" s="4"/>
      <c r="P458" s="4"/>
      <c r="Q458" s="5"/>
      <c r="R458" s="5"/>
      <c r="S458" s="5"/>
      <c r="T458" s="5"/>
      <c r="U458" s="6"/>
      <c r="V458" s="5"/>
      <c r="W458" s="7"/>
      <c r="X458" s="8"/>
      <c r="Y458" s="8"/>
      <c r="Z458" s="2"/>
      <c r="AA458" s="2"/>
      <c r="AB458" s="2"/>
      <c r="AC458" s="2"/>
      <c r="AD458" s="2"/>
    </row>
    <row r="459" ht="12.0" customHeight="1">
      <c r="A459" s="2"/>
      <c r="B459" s="2"/>
      <c r="C459" s="2"/>
      <c r="D459" s="3"/>
      <c r="E459" s="3"/>
      <c r="F459" s="3"/>
      <c r="G459" s="2"/>
      <c r="H459" s="4"/>
      <c r="I459" s="5"/>
      <c r="J459" s="5"/>
      <c r="K459" s="5"/>
      <c r="L459" s="4"/>
      <c r="M459" s="4"/>
      <c r="N459" s="4"/>
      <c r="O459" s="4"/>
      <c r="P459" s="4"/>
      <c r="Q459" s="5"/>
      <c r="R459" s="5"/>
      <c r="S459" s="5"/>
      <c r="T459" s="5"/>
      <c r="U459" s="6"/>
      <c r="V459" s="5"/>
      <c r="W459" s="7"/>
      <c r="X459" s="8"/>
      <c r="Y459" s="8"/>
      <c r="Z459" s="2"/>
      <c r="AA459" s="2"/>
      <c r="AB459" s="2"/>
      <c r="AC459" s="2"/>
      <c r="AD459" s="2"/>
    </row>
    <row r="460" ht="12.0" customHeight="1">
      <c r="A460" s="2"/>
      <c r="B460" s="2"/>
      <c r="C460" s="2"/>
      <c r="D460" s="3"/>
      <c r="E460" s="3"/>
      <c r="F460" s="3"/>
      <c r="G460" s="2"/>
      <c r="H460" s="4"/>
      <c r="I460" s="5"/>
      <c r="J460" s="5"/>
      <c r="K460" s="5"/>
      <c r="L460" s="4"/>
      <c r="M460" s="4"/>
      <c r="N460" s="4"/>
      <c r="O460" s="4"/>
      <c r="P460" s="4"/>
      <c r="Q460" s="5"/>
      <c r="R460" s="5"/>
      <c r="S460" s="5"/>
      <c r="T460" s="5"/>
      <c r="U460" s="6"/>
      <c r="V460" s="5"/>
      <c r="W460" s="7"/>
      <c r="X460" s="8"/>
      <c r="Y460" s="8"/>
      <c r="Z460" s="2"/>
      <c r="AA460" s="2"/>
      <c r="AB460" s="2"/>
      <c r="AC460" s="2"/>
      <c r="AD460" s="2"/>
    </row>
    <row r="461" ht="12.0" customHeight="1">
      <c r="A461" s="2"/>
      <c r="B461" s="2"/>
      <c r="C461" s="2"/>
      <c r="D461" s="3"/>
      <c r="E461" s="3"/>
      <c r="F461" s="3"/>
      <c r="G461" s="2"/>
      <c r="H461" s="4"/>
      <c r="I461" s="5"/>
      <c r="J461" s="5"/>
      <c r="K461" s="5"/>
      <c r="L461" s="4"/>
      <c r="M461" s="4"/>
      <c r="N461" s="4"/>
      <c r="O461" s="4"/>
      <c r="P461" s="4"/>
      <c r="Q461" s="5"/>
      <c r="R461" s="5"/>
      <c r="S461" s="5"/>
      <c r="T461" s="5"/>
      <c r="U461" s="6"/>
      <c r="V461" s="5"/>
      <c r="W461" s="7"/>
      <c r="X461" s="8"/>
      <c r="Y461" s="8"/>
      <c r="Z461" s="2"/>
      <c r="AA461" s="2"/>
      <c r="AB461" s="2"/>
      <c r="AC461" s="2"/>
      <c r="AD461" s="2"/>
    </row>
    <row r="462" ht="12.0" customHeight="1">
      <c r="A462" s="2"/>
      <c r="B462" s="2"/>
      <c r="C462" s="2"/>
      <c r="D462" s="3"/>
      <c r="E462" s="3"/>
      <c r="F462" s="3"/>
      <c r="G462" s="2"/>
      <c r="H462" s="4"/>
      <c r="I462" s="5"/>
      <c r="J462" s="5"/>
      <c r="K462" s="5"/>
      <c r="L462" s="4"/>
      <c r="M462" s="4"/>
      <c r="N462" s="4"/>
      <c r="O462" s="4"/>
      <c r="P462" s="4"/>
      <c r="Q462" s="5"/>
      <c r="R462" s="5"/>
      <c r="S462" s="5"/>
      <c r="T462" s="5"/>
      <c r="U462" s="6"/>
      <c r="V462" s="5"/>
      <c r="W462" s="7"/>
      <c r="X462" s="8"/>
      <c r="Y462" s="8"/>
      <c r="Z462" s="2"/>
      <c r="AA462" s="2"/>
      <c r="AB462" s="2"/>
      <c r="AC462" s="2"/>
      <c r="AD462" s="2"/>
    </row>
    <row r="463" ht="12.0" customHeight="1">
      <c r="A463" s="2"/>
      <c r="B463" s="2"/>
      <c r="C463" s="2"/>
      <c r="D463" s="3"/>
      <c r="E463" s="3"/>
      <c r="F463" s="3"/>
      <c r="G463" s="2"/>
      <c r="H463" s="4"/>
      <c r="I463" s="5"/>
      <c r="J463" s="5"/>
      <c r="K463" s="5"/>
      <c r="L463" s="4"/>
      <c r="M463" s="4"/>
      <c r="N463" s="4"/>
      <c r="O463" s="4"/>
      <c r="P463" s="4"/>
      <c r="Q463" s="5"/>
      <c r="R463" s="5"/>
      <c r="S463" s="5"/>
      <c r="T463" s="5"/>
      <c r="U463" s="6"/>
      <c r="V463" s="5"/>
      <c r="W463" s="7"/>
      <c r="X463" s="8"/>
      <c r="Y463" s="8"/>
      <c r="Z463" s="2"/>
      <c r="AA463" s="2"/>
      <c r="AB463" s="2"/>
      <c r="AC463" s="2"/>
      <c r="AD463" s="2"/>
    </row>
    <row r="464" ht="12.0" customHeight="1">
      <c r="A464" s="2"/>
      <c r="B464" s="2"/>
      <c r="C464" s="2"/>
      <c r="D464" s="3"/>
      <c r="E464" s="3"/>
      <c r="F464" s="3"/>
      <c r="G464" s="2"/>
      <c r="H464" s="4"/>
      <c r="I464" s="5"/>
      <c r="J464" s="5"/>
      <c r="K464" s="5"/>
      <c r="L464" s="4"/>
      <c r="M464" s="4"/>
      <c r="N464" s="4"/>
      <c r="O464" s="4"/>
      <c r="P464" s="4"/>
      <c r="Q464" s="5"/>
      <c r="R464" s="5"/>
      <c r="S464" s="5"/>
      <c r="T464" s="5"/>
      <c r="U464" s="6"/>
      <c r="V464" s="5"/>
      <c r="W464" s="7"/>
      <c r="X464" s="8"/>
      <c r="Y464" s="8"/>
      <c r="Z464" s="2"/>
      <c r="AA464" s="2"/>
      <c r="AB464" s="2"/>
      <c r="AC464" s="2"/>
      <c r="AD464" s="2"/>
    </row>
    <row r="465" ht="12.0" customHeight="1">
      <c r="A465" s="2"/>
      <c r="B465" s="2"/>
      <c r="C465" s="2"/>
      <c r="D465" s="3"/>
      <c r="E465" s="3"/>
      <c r="F465" s="3"/>
      <c r="G465" s="2"/>
      <c r="H465" s="4"/>
      <c r="I465" s="5"/>
      <c r="J465" s="5"/>
      <c r="K465" s="5"/>
      <c r="L465" s="4"/>
      <c r="M465" s="4"/>
      <c r="N465" s="4"/>
      <c r="O465" s="4"/>
      <c r="P465" s="4"/>
      <c r="Q465" s="5"/>
      <c r="R465" s="5"/>
      <c r="S465" s="5"/>
      <c r="T465" s="5"/>
      <c r="U465" s="6"/>
      <c r="V465" s="5"/>
      <c r="W465" s="7"/>
      <c r="X465" s="8"/>
      <c r="Y465" s="8"/>
      <c r="Z465" s="2"/>
      <c r="AA465" s="2"/>
      <c r="AB465" s="2"/>
      <c r="AC465" s="2"/>
      <c r="AD465" s="2"/>
    </row>
    <row r="466" ht="12.0" customHeight="1">
      <c r="A466" s="2"/>
      <c r="B466" s="2"/>
      <c r="C466" s="2"/>
      <c r="D466" s="3"/>
      <c r="E466" s="3"/>
      <c r="F466" s="3"/>
      <c r="G466" s="2"/>
      <c r="H466" s="4"/>
      <c r="I466" s="5"/>
      <c r="J466" s="5"/>
      <c r="K466" s="5"/>
      <c r="L466" s="4"/>
      <c r="M466" s="4"/>
      <c r="N466" s="4"/>
      <c r="O466" s="4"/>
      <c r="P466" s="4"/>
      <c r="Q466" s="5"/>
      <c r="R466" s="5"/>
      <c r="S466" s="5"/>
      <c r="T466" s="5"/>
      <c r="U466" s="6"/>
      <c r="V466" s="5"/>
      <c r="W466" s="7"/>
      <c r="X466" s="8"/>
      <c r="Y466" s="8"/>
      <c r="Z466" s="2"/>
      <c r="AA466" s="2"/>
      <c r="AB466" s="2"/>
      <c r="AC466" s="2"/>
      <c r="AD466" s="2"/>
    </row>
    <row r="467" ht="12.0" customHeight="1">
      <c r="A467" s="2"/>
      <c r="B467" s="2"/>
      <c r="C467" s="2"/>
      <c r="D467" s="3"/>
      <c r="E467" s="3"/>
      <c r="F467" s="3"/>
      <c r="G467" s="2"/>
      <c r="H467" s="4"/>
      <c r="I467" s="5"/>
      <c r="J467" s="5"/>
      <c r="K467" s="5"/>
      <c r="L467" s="4"/>
      <c r="M467" s="4"/>
      <c r="N467" s="4"/>
      <c r="O467" s="4"/>
      <c r="P467" s="4"/>
      <c r="Q467" s="5"/>
      <c r="R467" s="5"/>
      <c r="S467" s="5"/>
      <c r="T467" s="5"/>
      <c r="U467" s="6"/>
      <c r="V467" s="5"/>
      <c r="W467" s="7"/>
      <c r="X467" s="8"/>
      <c r="Y467" s="8"/>
      <c r="Z467" s="2"/>
      <c r="AA467" s="2"/>
      <c r="AB467" s="2"/>
      <c r="AC467" s="2"/>
      <c r="AD467" s="2"/>
    </row>
    <row r="468" ht="12.0" customHeight="1">
      <c r="A468" s="2"/>
      <c r="B468" s="2"/>
      <c r="C468" s="2"/>
      <c r="D468" s="3"/>
      <c r="E468" s="3"/>
      <c r="F468" s="3"/>
      <c r="G468" s="2"/>
      <c r="H468" s="4"/>
      <c r="I468" s="5"/>
      <c r="J468" s="5"/>
      <c r="K468" s="5"/>
      <c r="L468" s="4"/>
      <c r="M468" s="4"/>
      <c r="N468" s="4"/>
      <c r="O468" s="4"/>
      <c r="P468" s="4"/>
      <c r="Q468" s="5"/>
      <c r="R468" s="5"/>
      <c r="S468" s="5"/>
      <c r="T468" s="5"/>
      <c r="U468" s="6"/>
      <c r="V468" s="5"/>
      <c r="W468" s="7"/>
      <c r="X468" s="8"/>
      <c r="Y468" s="8"/>
      <c r="Z468" s="2"/>
      <c r="AA468" s="2"/>
      <c r="AB468" s="2"/>
      <c r="AC468" s="2"/>
      <c r="AD468" s="2"/>
    </row>
    <row r="469" ht="12.0" customHeight="1">
      <c r="A469" s="2"/>
      <c r="B469" s="2"/>
      <c r="C469" s="2"/>
      <c r="D469" s="3"/>
      <c r="E469" s="3"/>
      <c r="F469" s="3"/>
      <c r="G469" s="2"/>
      <c r="H469" s="4"/>
      <c r="I469" s="5"/>
      <c r="J469" s="5"/>
      <c r="K469" s="5"/>
      <c r="L469" s="4"/>
      <c r="M469" s="4"/>
      <c r="N469" s="4"/>
      <c r="O469" s="4"/>
      <c r="P469" s="4"/>
      <c r="Q469" s="5"/>
      <c r="R469" s="5"/>
      <c r="S469" s="5"/>
      <c r="T469" s="5"/>
      <c r="U469" s="6"/>
      <c r="V469" s="5"/>
      <c r="W469" s="7"/>
      <c r="X469" s="8"/>
      <c r="Y469" s="8"/>
      <c r="Z469" s="2"/>
      <c r="AA469" s="2"/>
      <c r="AB469" s="2"/>
      <c r="AC469" s="2"/>
      <c r="AD469" s="2"/>
    </row>
    <row r="470" ht="12.0" customHeight="1">
      <c r="A470" s="2"/>
      <c r="B470" s="2"/>
      <c r="C470" s="2"/>
      <c r="D470" s="3"/>
      <c r="E470" s="3"/>
      <c r="F470" s="3"/>
      <c r="G470" s="2"/>
      <c r="H470" s="4"/>
      <c r="I470" s="5"/>
      <c r="J470" s="5"/>
      <c r="K470" s="5"/>
      <c r="L470" s="4"/>
      <c r="M470" s="4"/>
      <c r="N470" s="4"/>
      <c r="O470" s="4"/>
      <c r="P470" s="4"/>
      <c r="Q470" s="5"/>
      <c r="R470" s="5"/>
      <c r="S470" s="5"/>
      <c r="T470" s="5"/>
      <c r="U470" s="6"/>
      <c r="V470" s="5"/>
      <c r="W470" s="7"/>
      <c r="X470" s="8"/>
      <c r="Y470" s="8"/>
      <c r="Z470" s="2"/>
      <c r="AA470" s="2"/>
      <c r="AB470" s="2"/>
      <c r="AC470" s="2"/>
      <c r="AD470" s="2"/>
    </row>
    <row r="471" ht="12.0" customHeight="1">
      <c r="A471" s="2"/>
      <c r="B471" s="2"/>
      <c r="C471" s="2"/>
      <c r="D471" s="3"/>
      <c r="E471" s="3"/>
      <c r="F471" s="3"/>
      <c r="G471" s="2"/>
      <c r="H471" s="4"/>
      <c r="I471" s="5"/>
      <c r="J471" s="5"/>
      <c r="K471" s="5"/>
      <c r="L471" s="4"/>
      <c r="M471" s="4"/>
      <c r="N471" s="4"/>
      <c r="O471" s="4"/>
      <c r="P471" s="4"/>
      <c r="Q471" s="5"/>
      <c r="R471" s="5"/>
      <c r="S471" s="5"/>
      <c r="T471" s="5"/>
      <c r="U471" s="6"/>
      <c r="V471" s="5"/>
      <c r="W471" s="7"/>
      <c r="X471" s="8"/>
      <c r="Y471" s="8"/>
      <c r="Z471" s="2"/>
      <c r="AA471" s="2"/>
      <c r="AB471" s="2"/>
      <c r="AC471" s="2"/>
      <c r="AD471" s="2"/>
    </row>
    <row r="472" ht="12.0" customHeight="1">
      <c r="A472" s="2"/>
      <c r="B472" s="2"/>
      <c r="C472" s="2"/>
      <c r="D472" s="3"/>
      <c r="E472" s="3"/>
      <c r="F472" s="3"/>
      <c r="G472" s="2"/>
      <c r="H472" s="4"/>
      <c r="I472" s="5"/>
      <c r="J472" s="5"/>
      <c r="K472" s="5"/>
      <c r="L472" s="4"/>
      <c r="M472" s="4"/>
      <c r="N472" s="4"/>
      <c r="O472" s="4"/>
      <c r="P472" s="4"/>
      <c r="Q472" s="5"/>
      <c r="R472" s="5"/>
      <c r="S472" s="5"/>
      <c r="T472" s="5"/>
      <c r="U472" s="6"/>
      <c r="V472" s="5"/>
      <c r="W472" s="7"/>
      <c r="X472" s="8"/>
      <c r="Y472" s="8"/>
      <c r="Z472" s="2"/>
      <c r="AA472" s="2"/>
      <c r="AB472" s="2"/>
      <c r="AC472" s="2"/>
      <c r="AD472" s="2"/>
    </row>
    <row r="473" ht="12.0" customHeight="1">
      <c r="A473" s="2"/>
      <c r="B473" s="2"/>
      <c r="C473" s="2"/>
      <c r="D473" s="3"/>
      <c r="E473" s="3"/>
      <c r="F473" s="3"/>
      <c r="G473" s="2"/>
      <c r="H473" s="4"/>
      <c r="I473" s="5"/>
      <c r="J473" s="5"/>
      <c r="K473" s="5"/>
      <c r="L473" s="4"/>
      <c r="M473" s="4"/>
      <c r="N473" s="4"/>
      <c r="O473" s="4"/>
      <c r="P473" s="4"/>
      <c r="Q473" s="5"/>
      <c r="R473" s="5"/>
      <c r="S473" s="5"/>
      <c r="T473" s="5"/>
      <c r="U473" s="6"/>
      <c r="V473" s="5"/>
      <c r="W473" s="7"/>
      <c r="X473" s="8"/>
      <c r="Y473" s="8"/>
      <c r="Z473" s="2"/>
      <c r="AA473" s="2"/>
      <c r="AB473" s="2"/>
      <c r="AC473" s="2"/>
      <c r="AD473" s="2"/>
    </row>
    <row r="474" ht="12.0" customHeight="1">
      <c r="A474" s="2"/>
      <c r="B474" s="2"/>
      <c r="C474" s="2"/>
      <c r="D474" s="3"/>
      <c r="E474" s="3"/>
      <c r="F474" s="3"/>
      <c r="G474" s="2"/>
      <c r="H474" s="4"/>
      <c r="I474" s="5"/>
      <c r="J474" s="5"/>
      <c r="K474" s="5"/>
      <c r="L474" s="4"/>
      <c r="M474" s="4"/>
      <c r="N474" s="4"/>
      <c r="O474" s="4"/>
      <c r="P474" s="4"/>
      <c r="Q474" s="5"/>
      <c r="R474" s="5"/>
      <c r="S474" s="5"/>
      <c r="T474" s="5"/>
      <c r="U474" s="6"/>
      <c r="V474" s="5"/>
      <c r="W474" s="7"/>
      <c r="X474" s="8"/>
      <c r="Y474" s="8"/>
      <c r="Z474" s="2"/>
      <c r="AA474" s="2"/>
      <c r="AB474" s="2"/>
      <c r="AC474" s="2"/>
      <c r="AD474" s="2"/>
    </row>
    <row r="475" ht="12.0" customHeight="1">
      <c r="A475" s="2"/>
      <c r="B475" s="2"/>
      <c r="C475" s="2"/>
      <c r="D475" s="3"/>
      <c r="E475" s="3"/>
      <c r="F475" s="3"/>
      <c r="G475" s="2"/>
      <c r="H475" s="4"/>
      <c r="I475" s="5"/>
      <c r="J475" s="5"/>
      <c r="K475" s="5"/>
      <c r="L475" s="4"/>
      <c r="M475" s="4"/>
      <c r="N475" s="4"/>
      <c r="O475" s="4"/>
      <c r="P475" s="4"/>
      <c r="Q475" s="5"/>
      <c r="R475" s="5"/>
      <c r="S475" s="5"/>
      <c r="T475" s="5"/>
      <c r="U475" s="6"/>
      <c r="V475" s="5"/>
      <c r="W475" s="7"/>
      <c r="X475" s="8"/>
      <c r="Y475" s="8"/>
      <c r="Z475" s="2"/>
      <c r="AA475" s="2"/>
      <c r="AB475" s="2"/>
      <c r="AC475" s="2"/>
      <c r="AD475" s="2"/>
    </row>
    <row r="476" ht="12.0" customHeight="1">
      <c r="A476" s="2"/>
      <c r="B476" s="2"/>
      <c r="C476" s="2"/>
      <c r="D476" s="3"/>
      <c r="E476" s="3"/>
      <c r="F476" s="3"/>
      <c r="G476" s="2"/>
      <c r="H476" s="4"/>
      <c r="I476" s="5"/>
      <c r="J476" s="5"/>
      <c r="K476" s="5"/>
      <c r="L476" s="4"/>
      <c r="M476" s="4"/>
      <c r="N476" s="4"/>
      <c r="O476" s="4"/>
      <c r="P476" s="4"/>
      <c r="Q476" s="5"/>
      <c r="R476" s="5"/>
      <c r="S476" s="5"/>
      <c r="T476" s="5"/>
      <c r="U476" s="6"/>
      <c r="V476" s="5"/>
      <c r="W476" s="7"/>
      <c r="X476" s="8"/>
      <c r="Y476" s="8"/>
      <c r="Z476" s="2"/>
      <c r="AA476" s="2"/>
      <c r="AB476" s="2"/>
      <c r="AC476" s="2"/>
      <c r="AD476" s="2"/>
    </row>
    <row r="477" ht="12.0" customHeight="1">
      <c r="A477" s="2"/>
      <c r="B477" s="2"/>
      <c r="C477" s="2"/>
      <c r="D477" s="3"/>
      <c r="E477" s="3"/>
      <c r="F477" s="3"/>
      <c r="G477" s="2"/>
      <c r="H477" s="4"/>
      <c r="I477" s="5"/>
      <c r="J477" s="5"/>
      <c r="K477" s="5"/>
      <c r="L477" s="4"/>
      <c r="M477" s="4"/>
      <c r="N477" s="4"/>
      <c r="O477" s="4"/>
      <c r="P477" s="4"/>
      <c r="Q477" s="5"/>
      <c r="R477" s="5"/>
      <c r="S477" s="5"/>
      <c r="T477" s="5"/>
      <c r="U477" s="6"/>
      <c r="V477" s="5"/>
      <c r="W477" s="7"/>
      <c r="X477" s="8"/>
      <c r="Y477" s="8"/>
      <c r="Z477" s="2"/>
      <c r="AA477" s="2"/>
      <c r="AB477" s="2"/>
      <c r="AC477" s="2"/>
      <c r="AD477" s="2"/>
    </row>
    <row r="478" ht="12.0" customHeight="1">
      <c r="A478" s="2"/>
      <c r="B478" s="2"/>
      <c r="C478" s="2"/>
      <c r="D478" s="3"/>
      <c r="E478" s="3"/>
      <c r="F478" s="3"/>
      <c r="G478" s="2"/>
      <c r="H478" s="4"/>
      <c r="I478" s="5"/>
      <c r="J478" s="5"/>
      <c r="K478" s="5"/>
      <c r="L478" s="4"/>
      <c r="M478" s="4"/>
      <c r="N478" s="4"/>
      <c r="O478" s="4"/>
      <c r="P478" s="4"/>
      <c r="Q478" s="5"/>
      <c r="R478" s="5"/>
      <c r="S478" s="5"/>
      <c r="T478" s="5"/>
      <c r="U478" s="6"/>
      <c r="V478" s="5"/>
      <c r="W478" s="7"/>
      <c r="X478" s="8"/>
      <c r="Y478" s="8"/>
      <c r="Z478" s="2"/>
      <c r="AA478" s="2"/>
      <c r="AB478" s="2"/>
      <c r="AC478" s="2"/>
      <c r="AD478" s="2"/>
    </row>
    <row r="479" ht="12.0" customHeight="1">
      <c r="A479" s="2"/>
      <c r="B479" s="2"/>
      <c r="C479" s="2"/>
      <c r="D479" s="3"/>
      <c r="E479" s="3"/>
      <c r="F479" s="3"/>
      <c r="G479" s="2"/>
      <c r="H479" s="4"/>
      <c r="I479" s="5"/>
      <c r="J479" s="5"/>
      <c r="K479" s="5"/>
      <c r="L479" s="4"/>
      <c r="M479" s="4"/>
      <c r="N479" s="4"/>
      <c r="O479" s="4"/>
      <c r="P479" s="4"/>
      <c r="Q479" s="5"/>
      <c r="R479" s="5"/>
      <c r="S479" s="5"/>
      <c r="T479" s="5"/>
      <c r="U479" s="6"/>
      <c r="V479" s="5"/>
      <c r="W479" s="7"/>
      <c r="X479" s="8"/>
      <c r="Y479" s="8"/>
      <c r="Z479" s="2"/>
      <c r="AA479" s="2"/>
      <c r="AB479" s="2"/>
      <c r="AC479" s="2"/>
      <c r="AD479" s="2"/>
    </row>
    <row r="480" ht="12.0" customHeight="1">
      <c r="A480" s="2"/>
      <c r="B480" s="2"/>
      <c r="C480" s="2"/>
      <c r="D480" s="3"/>
      <c r="E480" s="3"/>
      <c r="F480" s="3"/>
      <c r="G480" s="2"/>
      <c r="H480" s="4"/>
      <c r="I480" s="5"/>
      <c r="J480" s="5"/>
      <c r="K480" s="5"/>
      <c r="L480" s="4"/>
      <c r="M480" s="4"/>
      <c r="N480" s="4"/>
      <c r="O480" s="4"/>
      <c r="P480" s="4"/>
      <c r="Q480" s="5"/>
      <c r="R480" s="5"/>
      <c r="S480" s="5"/>
      <c r="T480" s="5"/>
      <c r="U480" s="6"/>
      <c r="V480" s="5"/>
      <c r="W480" s="7"/>
      <c r="X480" s="8"/>
      <c r="Y480" s="8"/>
      <c r="Z480" s="2"/>
      <c r="AA480" s="2"/>
      <c r="AB480" s="2"/>
      <c r="AC480" s="2"/>
      <c r="AD480" s="2"/>
    </row>
    <row r="481" ht="12.0" customHeight="1">
      <c r="A481" s="2"/>
      <c r="B481" s="2"/>
      <c r="C481" s="2"/>
      <c r="D481" s="3"/>
      <c r="E481" s="3"/>
      <c r="F481" s="3"/>
      <c r="G481" s="2"/>
      <c r="H481" s="4"/>
      <c r="I481" s="5"/>
      <c r="J481" s="5"/>
      <c r="K481" s="5"/>
      <c r="L481" s="4"/>
      <c r="M481" s="4"/>
      <c r="N481" s="4"/>
      <c r="O481" s="4"/>
      <c r="P481" s="4"/>
      <c r="Q481" s="5"/>
      <c r="R481" s="5"/>
      <c r="S481" s="5"/>
      <c r="T481" s="5"/>
      <c r="U481" s="6"/>
      <c r="V481" s="5"/>
      <c r="W481" s="7"/>
      <c r="X481" s="8"/>
      <c r="Y481" s="8"/>
      <c r="Z481" s="2"/>
      <c r="AA481" s="2"/>
      <c r="AB481" s="2"/>
      <c r="AC481" s="2"/>
      <c r="AD481" s="2"/>
    </row>
    <row r="482" ht="12.0" customHeight="1">
      <c r="A482" s="2"/>
      <c r="B482" s="2"/>
      <c r="C482" s="2"/>
      <c r="D482" s="3"/>
      <c r="E482" s="3"/>
      <c r="F482" s="3"/>
      <c r="G482" s="2"/>
      <c r="H482" s="4"/>
      <c r="I482" s="5"/>
      <c r="J482" s="5"/>
      <c r="K482" s="5"/>
      <c r="L482" s="4"/>
      <c r="M482" s="4"/>
      <c r="N482" s="4"/>
      <c r="O482" s="4"/>
      <c r="P482" s="4"/>
      <c r="Q482" s="5"/>
      <c r="R482" s="5"/>
      <c r="S482" s="5"/>
      <c r="T482" s="5"/>
      <c r="U482" s="6"/>
      <c r="V482" s="5"/>
      <c r="W482" s="7"/>
      <c r="X482" s="8"/>
      <c r="Y482" s="8"/>
      <c r="Z482" s="2"/>
      <c r="AA482" s="2"/>
      <c r="AB482" s="2"/>
      <c r="AC482" s="2"/>
      <c r="AD482" s="2"/>
    </row>
    <row r="483" ht="12.0" customHeight="1">
      <c r="A483" s="2"/>
      <c r="B483" s="2"/>
      <c r="C483" s="2"/>
      <c r="D483" s="3"/>
      <c r="E483" s="3"/>
      <c r="F483" s="3"/>
      <c r="G483" s="2"/>
      <c r="H483" s="4"/>
      <c r="I483" s="5"/>
      <c r="J483" s="5"/>
      <c r="K483" s="5"/>
      <c r="L483" s="4"/>
      <c r="M483" s="4"/>
      <c r="N483" s="4"/>
      <c r="O483" s="4"/>
      <c r="P483" s="4"/>
      <c r="Q483" s="5"/>
      <c r="R483" s="5"/>
      <c r="S483" s="5"/>
      <c r="T483" s="5"/>
      <c r="U483" s="6"/>
      <c r="V483" s="5"/>
      <c r="W483" s="7"/>
      <c r="X483" s="8"/>
      <c r="Y483" s="8"/>
      <c r="Z483" s="2"/>
      <c r="AA483" s="2"/>
      <c r="AB483" s="2"/>
      <c r="AC483" s="2"/>
      <c r="AD483" s="2"/>
    </row>
    <row r="484" ht="12.0" customHeight="1">
      <c r="A484" s="2"/>
      <c r="B484" s="2"/>
      <c r="C484" s="2"/>
      <c r="D484" s="3"/>
      <c r="E484" s="3"/>
      <c r="F484" s="3"/>
      <c r="G484" s="2"/>
      <c r="H484" s="4"/>
      <c r="I484" s="5"/>
      <c r="J484" s="5"/>
      <c r="K484" s="5"/>
      <c r="L484" s="4"/>
      <c r="M484" s="4"/>
      <c r="N484" s="4"/>
      <c r="O484" s="4"/>
      <c r="P484" s="4"/>
      <c r="Q484" s="5"/>
      <c r="R484" s="5"/>
      <c r="S484" s="5"/>
      <c r="T484" s="5"/>
      <c r="U484" s="6"/>
      <c r="V484" s="5"/>
      <c r="W484" s="7"/>
      <c r="X484" s="8"/>
      <c r="Y484" s="8"/>
      <c r="Z484" s="2"/>
      <c r="AA484" s="2"/>
      <c r="AB484" s="2"/>
      <c r="AC484" s="2"/>
      <c r="AD484" s="2"/>
    </row>
    <row r="485" ht="12.0" customHeight="1">
      <c r="A485" s="2"/>
      <c r="B485" s="2"/>
      <c r="C485" s="2"/>
      <c r="D485" s="3"/>
      <c r="E485" s="3"/>
      <c r="F485" s="3"/>
      <c r="G485" s="2"/>
      <c r="H485" s="4"/>
      <c r="I485" s="5"/>
      <c r="J485" s="5"/>
      <c r="K485" s="5"/>
      <c r="L485" s="4"/>
      <c r="M485" s="4"/>
      <c r="N485" s="4"/>
      <c r="O485" s="4"/>
      <c r="P485" s="4"/>
      <c r="Q485" s="5"/>
      <c r="R485" s="5"/>
      <c r="S485" s="5"/>
      <c r="T485" s="5"/>
      <c r="U485" s="6"/>
      <c r="V485" s="5"/>
      <c r="W485" s="7"/>
      <c r="X485" s="8"/>
      <c r="Y485" s="8"/>
      <c r="Z485" s="2"/>
      <c r="AA485" s="2"/>
      <c r="AB485" s="2"/>
      <c r="AC485" s="2"/>
      <c r="AD485" s="2"/>
    </row>
    <row r="486" ht="12.0" customHeight="1">
      <c r="A486" s="2"/>
      <c r="B486" s="2"/>
      <c r="C486" s="2"/>
      <c r="D486" s="3"/>
      <c r="E486" s="3"/>
      <c r="F486" s="3"/>
      <c r="G486" s="2"/>
      <c r="H486" s="4"/>
      <c r="I486" s="5"/>
      <c r="J486" s="5"/>
      <c r="K486" s="5"/>
      <c r="L486" s="4"/>
      <c r="M486" s="4"/>
      <c r="N486" s="4"/>
      <c r="O486" s="4"/>
      <c r="P486" s="4"/>
      <c r="Q486" s="5"/>
      <c r="R486" s="5"/>
      <c r="S486" s="5"/>
      <c r="T486" s="5"/>
      <c r="U486" s="6"/>
      <c r="V486" s="5"/>
      <c r="W486" s="7"/>
      <c r="X486" s="8"/>
      <c r="Y486" s="8"/>
      <c r="Z486" s="2"/>
      <c r="AA486" s="2"/>
      <c r="AB486" s="2"/>
      <c r="AC486" s="2"/>
      <c r="AD486" s="2"/>
    </row>
    <row r="487" ht="12.0" customHeight="1">
      <c r="A487" s="2"/>
      <c r="B487" s="2"/>
      <c r="C487" s="2"/>
      <c r="D487" s="3"/>
      <c r="E487" s="3"/>
      <c r="F487" s="3"/>
      <c r="G487" s="2"/>
      <c r="H487" s="4"/>
      <c r="I487" s="5"/>
      <c r="J487" s="5"/>
      <c r="K487" s="5"/>
      <c r="L487" s="4"/>
      <c r="M487" s="4"/>
      <c r="N487" s="4"/>
      <c r="O487" s="4"/>
      <c r="P487" s="4"/>
      <c r="Q487" s="5"/>
      <c r="R487" s="5"/>
      <c r="S487" s="5"/>
      <c r="T487" s="5"/>
      <c r="U487" s="6"/>
      <c r="V487" s="5"/>
      <c r="W487" s="7"/>
      <c r="X487" s="8"/>
      <c r="Y487" s="8"/>
      <c r="Z487" s="2"/>
      <c r="AA487" s="2"/>
      <c r="AB487" s="2"/>
      <c r="AC487" s="2"/>
      <c r="AD487" s="2"/>
    </row>
    <row r="488" ht="12.0" customHeight="1">
      <c r="A488" s="2"/>
      <c r="B488" s="2"/>
      <c r="C488" s="2"/>
      <c r="D488" s="3"/>
      <c r="E488" s="3"/>
      <c r="F488" s="3"/>
      <c r="G488" s="2"/>
      <c r="H488" s="4"/>
      <c r="I488" s="5"/>
      <c r="J488" s="5"/>
      <c r="K488" s="5"/>
      <c r="L488" s="4"/>
      <c r="M488" s="4"/>
      <c r="N488" s="4"/>
      <c r="O488" s="4"/>
      <c r="P488" s="4"/>
      <c r="Q488" s="5"/>
      <c r="R488" s="5"/>
      <c r="S488" s="5"/>
      <c r="T488" s="5"/>
      <c r="U488" s="6"/>
      <c r="V488" s="5"/>
      <c r="W488" s="7"/>
      <c r="X488" s="8"/>
      <c r="Y488" s="8"/>
      <c r="Z488" s="2"/>
      <c r="AA488" s="2"/>
      <c r="AB488" s="2"/>
      <c r="AC488" s="2"/>
      <c r="AD488" s="2"/>
    </row>
    <row r="489" ht="12.0" customHeight="1">
      <c r="A489" s="2"/>
      <c r="B489" s="2"/>
      <c r="C489" s="2"/>
      <c r="D489" s="3"/>
      <c r="E489" s="3"/>
      <c r="F489" s="3"/>
      <c r="G489" s="2"/>
      <c r="H489" s="4"/>
      <c r="I489" s="5"/>
      <c r="J489" s="5"/>
      <c r="K489" s="5"/>
      <c r="L489" s="4"/>
      <c r="M489" s="4"/>
      <c r="N489" s="4"/>
      <c r="O489" s="4"/>
      <c r="P489" s="4"/>
      <c r="Q489" s="5"/>
      <c r="R489" s="5"/>
      <c r="S489" s="5"/>
      <c r="T489" s="5"/>
      <c r="U489" s="6"/>
      <c r="V489" s="5"/>
      <c r="W489" s="7"/>
      <c r="X489" s="8"/>
      <c r="Y489" s="8"/>
      <c r="Z489" s="2"/>
      <c r="AA489" s="2"/>
      <c r="AB489" s="2"/>
      <c r="AC489" s="2"/>
      <c r="AD489" s="2"/>
    </row>
    <row r="490" ht="12.0" customHeight="1">
      <c r="A490" s="2"/>
      <c r="B490" s="2"/>
      <c r="C490" s="2"/>
      <c r="D490" s="3"/>
      <c r="E490" s="3"/>
      <c r="F490" s="3"/>
      <c r="G490" s="2"/>
      <c r="H490" s="4"/>
      <c r="I490" s="5"/>
      <c r="J490" s="5"/>
      <c r="K490" s="5"/>
      <c r="L490" s="4"/>
      <c r="M490" s="4"/>
      <c r="N490" s="4"/>
      <c r="O490" s="4"/>
      <c r="P490" s="4"/>
      <c r="Q490" s="5"/>
      <c r="R490" s="5"/>
      <c r="S490" s="5"/>
      <c r="T490" s="5"/>
      <c r="U490" s="6"/>
      <c r="V490" s="5"/>
      <c r="W490" s="7"/>
      <c r="X490" s="8"/>
      <c r="Y490" s="8"/>
      <c r="Z490" s="2"/>
      <c r="AA490" s="2"/>
      <c r="AB490" s="2"/>
      <c r="AC490" s="2"/>
      <c r="AD490" s="2"/>
    </row>
    <row r="491" ht="12.0" customHeight="1">
      <c r="A491" s="2"/>
      <c r="B491" s="2"/>
      <c r="C491" s="2"/>
      <c r="D491" s="3"/>
      <c r="E491" s="3"/>
      <c r="F491" s="3"/>
      <c r="G491" s="2"/>
      <c r="H491" s="4"/>
      <c r="I491" s="5"/>
      <c r="J491" s="5"/>
      <c r="K491" s="5"/>
      <c r="L491" s="4"/>
      <c r="M491" s="4"/>
      <c r="N491" s="4"/>
      <c r="O491" s="4"/>
      <c r="P491" s="4"/>
      <c r="Q491" s="5"/>
      <c r="R491" s="5"/>
      <c r="S491" s="5"/>
      <c r="T491" s="5"/>
      <c r="U491" s="6"/>
      <c r="V491" s="5"/>
      <c r="W491" s="7"/>
      <c r="X491" s="8"/>
      <c r="Y491" s="8"/>
      <c r="Z491" s="2"/>
      <c r="AA491" s="2"/>
      <c r="AB491" s="2"/>
      <c r="AC491" s="2"/>
      <c r="AD491" s="2"/>
    </row>
    <row r="492" ht="12.0" customHeight="1">
      <c r="A492" s="2"/>
      <c r="B492" s="2"/>
      <c r="C492" s="2"/>
      <c r="D492" s="3"/>
      <c r="E492" s="3"/>
      <c r="F492" s="3"/>
      <c r="G492" s="2"/>
      <c r="H492" s="4"/>
      <c r="I492" s="5"/>
      <c r="J492" s="5"/>
      <c r="K492" s="5"/>
      <c r="L492" s="4"/>
      <c r="M492" s="4"/>
      <c r="N492" s="4"/>
      <c r="O492" s="4"/>
      <c r="P492" s="4"/>
      <c r="Q492" s="5"/>
      <c r="R492" s="5"/>
      <c r="S492" s="5"/>
      <c r="T492" s="5"/>
      <c r="U492" s="6"/>
      <c r="V492" s="5"/>
      <c r="W492" s="7"/>
      <c r="X492" s="8"/>
      <c r="Y492" s="8"/>
      <c r="Z492" s="2"/>
      <c r="AA492" s="2"/>
      <c r="AB492" s="2"/>
      <c r="AC492" s="2"/>
      <c r="AD492" s="2"/>
    </row>
    <row r="493" ht="12.0" customHeight="1">
      <c r="A493" s="2"/>
      <c r="B493" s="2"/>
      <c r="C493" s="2"/>
      <c r="D493" s="3"/>
      <c r="E493" s="3"/>
      <c r="F493" s="3"/>
      <c r="G493" s="2"/>
      <c r="H493" s="4"/>
      <c r="I493" s="5"/>
      <c r="J493" s="5"/>
      <c r="K493" s="5"/>
      <c r="L493" s="4"/>
      <c r="M493" s="4"/>
      <c r="N493" s="4"/>
      <c r="O493" s="4"/>
      <c r="P493" s="4"/>
      <c r="Q493" s="5"/>
      <c r="R493" s="5"/>
      <c r="S493" s="5"/>
      <c r="T493" s="5"/>
      <c r="U493" s="6"/>
      <c r="V493" s="5"/>
      <c r="W493" s="7"/>
      <c r="X493" s="8"/>
      <c r="Y493" s="8"/>
      <c r="Z493" s="2"/>
      <c r="AA493" s="2"/>
      <c r="AB493" s="2"/>
      <c r="AC493" s="2"/>
      <c r="AD493" s="2"/>
    </row>
    <row r="494" ht="12.0" customHeight="1">
      <c r="A494" s="2"/>
      <c r="B494" s="2"/>
      <c r="C494" s="2"/>
      <c r="D494" s="3"/>
      <c r="E494" s="3"/>
      <c r="F494" s="3"/>
      <c r="G494" s="2"/>
      <c r="H494" s="4"/>
      <c r="I494" s="5"/>
      <c r="J494" s="5"/>
      <c r="K494" s="5"/>
      <c r="L494" s="4"/>
      <c r="M494" s="4"/>
      <c r="N494" s="4"/>
      <c r="O494" s="4"/>
      <c r="P494" s="4"/>
      <c r="Q494" s="5"/>
      <c r="R494" s="5"/>
      <c r="S494" s="5"/>
      <c r="T494" s="5"/>
      <c r="U494" s="6"/>
      <c r="V494" s="5"/>
      <c r="W494" s="7"/>
      <c r="X494" s="8"/>
      <c r="Y494" s="8"/>
      <c r="Z494" s="2"/>
      <c r="AA494" s="2"/>
      <c r="AB494" s="2"/>
      <c r="AC494" s="2"/>
      <c r="AD494" s="2"/>
    </row>
    <row r="495" ht="12.0" customHeight="1">
      <c r="A495" s="2"/>
      <c r="B495" s="2"/>
      <c r="C495" s="2"/>
      <c r="D495" s="3"/>
      <c r="E495" s="3"/>
      <c r="F495" s="3"/>
      <c r="G495" s="2"/>
      <c r="H495" s="4"/>
      <c r="I495" s="5"/>
      <c r="J495" s="5"/>
      <c r="K495" s="5"/>
      <c r="L495" s="4"/>
      <c r="M495" s="4"/>
      <c r="N495" s="4"/>
      <c r="O495" s="4"/>
      <c r="P495" s="4"/>
      <c r="Q495" s="5"/>
      <c r="R495" s="5"/>
      <c r="S495" s="5"/>
      <c r="T495" s="5"/>
      <c r="U495" s="6"/>
      <c r="V495" s="5"/>
      <c r="W495" s="7"/>
      <c r="X495" s="8"/>
      <c r="Y495" s="8"/>
      <c r="Z495" s="2"/>
      <c r="AA495" s="2"/>
      <c r="AB495" s="2"/>
      <c r="AC495" s="2"/>
      <c r="AD495" s="2"/>
    </row>
    <row r="496" ht="12.0" customHeight="1">
      <c r="A496" s="2"/>
      <c r="B496" s="2"/>
      <c r="C496" s="2"/>
      <c r="D496" s="3"/>
      <c r="E496" s="3"/>
      <c r="F496" s="3"/>
      <c r="G496" s="2"/>
      <c r="H496" s="4"/>
      <c r="I496" s="5"/>
      <c r="J496" s="5"/>
      <c r="K496" s="5"/>
      <c r="L496" s="4"/>
      <c r="M496" s="4"/>
      <c r="N496" s="4"/>
      <c r="O496" s="4"/>
      <c r="P496" s="4"/>
      <c r="Q496" s="5"/>
      <c r="R496" s="5"/>
      <c r="S496" s="5"/>
      <c r="T496" s="5"/>
      <c r="U496" s="6"/>
      <c r="V496" s="5"/>
      <c r="W496" s="7"/>
      <c r="X496" s="8"/>
      <c r="Y496" s="8"/>
      <c r="Z496" s="2"/>
      <c r="AA496" s="2"/>
      <c r="AB496" s="2"/>
      <c r="AC496" s="2"/>
      <c r="AD496" s="2"/>
    </row>
    <row r="497" ht="12.0" customHeight="1">
      <c r="A497" s="2"/>
      <c r="B497" s="2"/>
      <c r="C497" s="2"/>
      <c r="D497" s="3"/>
      <c r="E497" s="3"/>
      <c r="F497" s="3"/>
      <c r="G497" s="2"/>
      <c r="H497" s="4"/>
      <c r="I497" s="5"/>
      <c r="J497" s="5"/>
      <c r="K497" s="5"/>
      <c r="L497" s="4"/>
      <c r="M497" s="4"/>
      <c r="N497" s="4"/>
      <c r="O497" s="4"/>
      <c r="P497" s="4"/>
      <c r="Q497" s="5"/>
      <c r="R497" s="5"/>
      <c r="S497" s="5"/>
      <c r="T497" s="5"/>
      <c r="U497" s="6"/>
      <c r="V497" s="5"/>
      <c r="W497" s="7"/>
      <c r="X497" s="8"/>
      <c r="Y497" s="8"/>
      <c r="Z497" s="2"/>
      <c r="AA497" s="2"/>
      <c r="AB497" s="2"/>
      <c r="AC497" s="2"/>
      <c r="AD497" s="2"/>
    </row>
    <row r="498" ht="12.0" customHeight="1">
      <c r="A498" s="2"/>
      <c r="B498" s="2"/>
      <c r="C498" s="2"/>
      <c r="D498" s="3"/>
      <c r="E498" s="3"/>
      <c r="F498" s="3"/>
      <c r="G498" s="2"/>
      <c r="H498" s="4"/>
      <c r="I498" s="5"/>
      <c r="J498" s="5"/>
      <c r="K498" s="5"/>
      <c r="L498" s="4"/>
      <c r="M498" s="4"/>
      <c r="N498" s="4"/>
      <c r="O498" s="4"/>
      <c r="P498" s="4"/>
      <c r="Q498" s="5"/>
      <c r="R498" s="5"/>
      <c r="S498" s="5"/>
      <c r="T498" s="5"/>
      <c r="U498" s="6"/>
      <c r="V498" s="5"/>
      <c r="W498" s="7"/>
      <c r="X498" s="8"/>
      <c r="Y498" s="8"/>
      <c r="Z498" s="2"/>
      <c r="AA498" s="2"/>
      <c r="AB498" s="2"/>
      <c r="AC498" s="2"/>
      <c r="AD498" s="2"/>
    </row>
    <row r="499" ht="12.0" customHeight="1">
      <c r="A499" s="2"/>
      <c r="B499" s="2"/>
      <c r="C499" s="2"/>
      <c r="D499" s="3"/>
      <c r="E499" s="3"/>
      <c r="F499" s="3"/>
      <c r="G499" s="2"/>
      <c r="H499" s="4"/>
      <c r="I499" s="5"/>
      <c r="J499" s="5"/>
      <c r="K499" s="5"/>
      <c r="L499" s="4"/>
      <c r="M499" s="4"/>
      <c r="N499" s="4"/>
      <c r="O499" s="4"/>
      <c r="P499" s="4"/>
      <c r="Q499" s="5"/>
      <c r="R499" s="5"/>
      <c r="S499" s="5"/>
      <c r="T499" s="5"/>
      <c r="U499" s="6"/>
      <c r="V499" s="5"/>
      <c r="W499" s="7"/>
      <c r="X499" s="8"/>
      <c r="Y499" s="8"/>
      <c r="Z499" s="2"/>
      <c r="AA499" s="2"/>
      <c r="AB499" s="2"/>
      <c r="AC499" s="2"/>
      <c r="AD499" s="2"/>
    </row>
    <row r="500" ht="12.0" customHeight="1">
      <c r="A500" s="2"/>
      <c r="B500" s="2"/>
      <c r="C500" s="2"/>
      <c r="D500" s="3"/>
      <c r="E500" s="3"/>
      <c r="F500" s="3"/>
      <c r="G500" s="2"/>
      <c r="H500" s="4"/>
      <c r="I500" s="5"/>
      <c r="J500" s="5"/>
      <c r="K500" s="5"/>
      <c r="L500" s="4"/>
      <c r="M500" s="4"/>
      <c r="N500" s="4"/>
      <c r="O500" s="4"/>
      <c r="P500" s="4"/>
      <c r="Q500" s="5"/>
      <c r="R500" s="5"/>
      <c r="S500" s="5"/>
      <c r="T500" s="5"/>
      <c r="U500" s="6"/>
      <c r="V500" s="5"/>
      <c r="W500" s="7"/>
      <c r="X500" s="8"/>
      <c r="Y500" s="8"/>
      <c r="Z500" s="2"/>
      <c r="AA500" s="2"/>
      <c r="AB500" s="2"/>
      <c r="AC500" s="2"/>
      <c r="AD500" s="2"/>
    </row>
    <row r="501" ht="12.0" customHeight="1">
      <c r="A501" s="2"/>
      <c r="B501" s="2"/>
      <c r="C501" s="2"/>
      <c r="D501" s="3"/>
      <c r="E501" s="3"/>
      <c r="F501" s="3"/>
      <c r="G501" s="2"/>
      <c r="H501" s="4"/>
      <c r="I501" s="5"/>
      <c r="J501" s="5"/>
      <c r="K501" s="5"/>
      <c r="L501" s="4"/>
      <c r="M501" s="4"/>
      <c r="N501" s="4"/>
      <c r="O501" s="4"/>
      <c r="P501" s="4"/>
      <c r="Q501" s="5"/>
      <c r="R501" s="5"/>
      <c r="S501" s="5"/>
      <c r="T501" s="5"/>
      <c r="U501" s="6"/>
      <c r="V501" s="5"/>
      <c r="W501" s="7"/>
      <c r="X501" s="8"/>
      <c r="Y501" s="8"/>
      <c r="Z501" s="2"/>
      <c r="AA501" s="2"/>
      <c r="AB501" s="2"/>
      <c r="AC501" s="2"/>
      <c r="AD501" s="2"/>
    </row>
    <row r="502" ht="12.0" customHeight="1">
      <c r="A502" s="2"/>
      <c r="B502" s="2"/>
      <c r="C502" s="2"/>
      <c r="D502" s="3"/>
      <c r="E502" s="3"/>
      <c r="F502" s="3"/>
      <c r="G502" s="2"/>
      <c r="H502" s="4"/>
      <c r="I502" s="5"/>
      <c r="J502" s="5"/>
      <c r="K502" s="5"/>
      <c r="L502" s="4"/>
      <c r="M502" s="4"/>
      <c r="N502" s="4"/>
      <c r="O502" s="4"/>
      <c r="P502" s="4"/>
      <c r="Q502" s="5"/>
      <c r="R502" s="5"/>
      <c r="S502" s="5"/>
      <c r="T502" s="5"/>
      <c r="U502" s="6"/>
      <c r="V502" s="5"/>
      <c r="W502" s="7"/>
      <c r="X502" s="8"/>
      <c r="Y502" s="8"/>
      <c r="Z502" s="2"/>
      <c r="AA502" s="2"/>
      <c r="AB502" s="2"/>
      <c r="AC502" s="2"/>
      <c r="AD502" s="2"/>
    </row>
    <row r="503" ht="12.0" customHeight="1">
      <c r="A503" s="2"/>
      <c r="B503" s="2"/>
      <c r="C503" s="2"/>
      <c r="D503" s="3"/>
      <c r="E503" s="3"/>
      <c r="F503" s="3"/>
      <c r="G503" s="2"/>
      <c r="H503" s="4"/>
      <c r="I503" s="5"/>
      <c r="J503" s="5"/>
      <c r="K503" s="5"/>
      <c r="L503" s="4"/>
      <c r="M503" s="4"/>
      <c r="N503" s="4"/>
      <c r="O503" s="4"/>
      <c r="P503" s="4"/>
      <c r="Q503" s="5"/>
      <c r="R503" s="5"/>
      <c r="S503" s="5"/>
      <c r="T503" s="5"/>
      <c r="U503" s="6"/>
      <c r="V503" s="5"/>
      <c r="W503" s="7"/>
      <c r="X503" s="8"/>
      <c r="Y503" s="8"/>
      <c r="Z503" s="2"/>
      <c r="AA503" s="2"/>
      <c r="AB503" s="2"/>
      <c r="AC503" s="2"/>
      <c r="AD503" s="2"/>
    </row>
    <row r="504" ht="12.0" customHeight="1">
      <c r="A504" s="2"/>
      <c r="B504" s="2"/>
      <c r="C504" s="2"/>
      <c r="D504" s="3"/>
      <c r="E504" s="3"/>
      <c r="F504" s="3"/>
      <c r="G504" s="2"/>
      <c r="H504" s="4"/>
      <c r="I504" s="5"/>
      <c r="J504" s="5"/>
      <c r="K504" s="5"/>
      <c r="L504" s="4"/>
      <c r="M504" s="4"/>
      <c r="N504" s="4"/>
      <c r="O504" s="4"/>
      <c r="P504" s="4"/>
      <c r="Q504" s="5"/>
      <c r="R504" s="5"/>
      <c r="S504" s="5"/>
      <c r="T504" s="5"/>
      <c r="U504" s="6"/>
      <c r="V504" s="5"/>
      <c r="W504" s="7"/>
      <c r="X504" s="8"/>
      <c r="Y504" s="8"/>
      <c r="Z504" s="2"/>
      <c r="AA504" s="2"/>
      <c r="AB504" s="2"/>
      <c r="AC504" s="2"/>
      <c r="AD504" s="2"/>
    </row>
    <row r="505" ht="12.0" customHeight="1">
      <c r="A505" s="2"/>
      <c r="B505" s="2"/>
      <c r="C505" s="2"/>
      <c r="D505" s="3"/>
      <c r="E505" s="3"/>
      <c r="F505" s="3"/>
      <c r="G505" s="2"/>
      <c r="H505" s="4"/>
      <c r="I505" s="5"/>
      <c r="J505" s="5"/>
      <c r="K505" s="5"/>
      <c r="L505" s="4"/>
      <c r="M505" s="4"/>
      <c r="N505" s="4"/>
      <c r="O505" s="4"/>
      <c r="P505" s="4"/>
      <c r="Q505" s="5"/>
      <c r="R505" s="5"/>
      <c r="S505" s="5"/>
      <c r="T505" s="5"/>
      <c r="U505" s="6"/>
      <c r="V505" s="5"/>
      <c r="W505" s="7"/>
      <c r="X505" s="8"/>
      <c r="Y505" s="8"/>
      <c r="Z505" s="2"/>
      <c r="AA505" s="2"/>
      <c r="AB505" s="2"/>
      <c r="AC505" s="2"/>
      <c r="AD505" s="2"/>
    </row>
    <row r="506" ht="12.0" customHeight="1">
      <c r="A506" s="2"/>
      <c r="B506" s="2"/>
      <c r="C506" s="2"/>
      <c r="D506" s="3"/>
      <c r="E506" s="3"/>
      <c r="F506" s="3"/>
      <c r="G506" s="2"/>
      <c r="H506" s="4"/>
      <c r="I506" s="5"/>
      <c r="J506" s="5"/>
      <c r="K506" s="5"/>
      <c r="L506" s="4"/>
      <c r="M506" s="4"/>
      <c r="N506" s="4"/>
      <c r="O506" s="4"/>
      <c r="P506" s="4"/>
      <c r="Q506" s="5"/>
      <c r="R506" s="5"/>
      <c r="S506" s="5"/>
      <c r="T506" s="5"/>
      <c r="U506" s="6"/>
      <c r="V506" s="5"/>
      <c r="W506" s="7"/>
      <c r="X506" s="8"/>
      <c r="Y506" s="8"/>
      <c r="Z506" s="2"/>
      <c r="AA506" s="2"/>
      <c r="AB506" s="2"/>
      <c r="AC506" s="2"/>
      <c r="AD506" s="2"/>
    </row>
    <row r="507" ht="12.0" customHeight="1">
      <c r="A507" s="2"/>
      <c r="B507" s="2"/>
      <c r="C507" s="2"/>
      <c r="D507" s="3"/>
      <c r="E507" s="3"/>
      <c r="F507" s="3"/>
      <c r="G507" s="2"/>
      <c r="H507" s="4"/>
      <c r="I507" s="5"/>
      <c r="J507" s="5"/>
      <c r="K507" s="5"/>
      <c r="L507" s="4"/>
      <c r="M507" s="4"/>
      <c r="N507" s="4"/>
      <c r="O507" s="4"/>
      <c r="P507" s="4"/>
      <c r="Q507" s="5"/>
      <c r="R507" s="5"/>
      <c r="S507" s="5"/>
      <c r="T507" s="5"/>
      <c r="U507" s="6"/>
      <c r="V507" s="5"/>
      <c r="W507" s="7"/>
      <c r="X507" s="8"/>
      <c r="Y507" s="8"/>
      <c r="Z507" s="2"/>
      <c r="AA507" s="2"/>
      <c r="AB507" s="2"/>
      <c r="AC507" s="2"/>
      <c r="AD507" s="2"/>
    </row>
    <row r="508" ht="12.0" customHeight="1">
      <c r="A508" s="2"/>
      <c r="B508" s="2"/>
      <c r="C508" s="2"/>
      <c r="D508" s="3"/>
      <c r="E508" s="3"/>
      <c r="F508" s="3"/>
      <c r="G508" s="2"/>
      <c r="H508" s="4"/>
      <c r="I508" s="5"/>
      <c r="J508" s="5"/>
      <c r="K508" s="5"/>
      <c r="L508" s="4"/>
      <c r="M508" s="4"/>
      <c r="N508" s="4"/>
      <c r="O508" s="4"/>
      <c r="P508" s="4"/>
      <c r="Q508" s="5"/>
      <c r="R508" s="5"/>
      <c r="S508" s="5"/>
      <c r="T508" s="5"/>
      <c r="U508" s="6"/>
      <c r="V508" s="5"/>
      <c r="W508" s="7"/>
      <c r="X508" s="8"/>
      <c r="Y508" s="8"/>
      <c r="Z508" s="2"/>
      <c r="AA508" s="2"/>
      <c r="AB508" s="2"/>
      <c r="AC508" s="2"/>
      <c r="AD508" s="2"/>
    </row>
    <row r="509" ht="12.0" customHeight="1">
      <c r="A509" s="2"/>
      <c r="B509" s="2"/>
      <c r="C509" s="2"/>
      <c r="D509" s="3"/>
      <c r="E509" s="3"/>
      <c r="F509" s="3"/>
      <c r="G509" s="2"/>
      <c r="H509" s="4"/>
      <c r="I509" s="5"/>
      <c r="J509" s="5"/>
      <c r="K509" s="5"/>
      <c r="L509" s="4"/>
      <c r="M509" s="4"/>
      <c r="N509" s="4"/>
      <c r="O509" s="4"/>
      <c r="P509" s="4"/>
      <c r="Q509" s="5"/>
      <c r="R509" s="5"/>
      <c r="S509" s="5"/>
      <c r="T509" s="5"/>
      <c r="U509" s="6"/>
      <c r="V509" s="5"/>
      <c r="W509" s="7"/>
      <c r="X509" s="8"/>
      <c r="Y509" s="8"/>
      <c r="Z509" s="2"/>
      <c r="AA509" s="2"/>
      <c r="AB509" s="2"/>
      <c r="AC509" s="2"/>
      <c r="AD509" s="2"/>
    </row>
    <row r="510" ht="12.0" customHeight="1">
      <c r="A510" s="2"/>
      <c r="B510" s="2"/>
      <c r="C510" s="2"/>
      <c r="D510" s="3"/>
      <c r="E510" s="3"/>
      <c r="F510" s="3"/>
      <c r="G510" s="2"/>
      <c r="H510" s="4"/>
      <c r="I510" s="5"/>
      <c r="J510" s="5"/>
      <c r="K510" s="5"/>
      <c r="L510" s="4"/>
      <c r="M510" s="4"/>
      <c r="N510" s="4"/>
      <c r="O510" s="4"/>
      <c r="P510" s="4"/>
      <c r="Q510" s="5"/>
      <c r="R510" s="5"/>
      <c r="S510" s="5"/>
      <c r="T510" s="5"/>
      <c r="U510" s="6"/>
      <c r="V510" s="5"/>
      <c r="W510" s="7"/>
      <c r="X510" s="8"/>
      <c r="Y510" s="8"/>
      <c r="Z510" s="2"/>
      <c r="AA510" s="2"/>
      <c r="AB510" s="2"/>
      <c r="AC510" s="2"/>
      <c r="AD510" s="2"/>
    </row>
    <row r="511" ht="12.0" customHeight="1">
      <c r="A511" s="2"/>
      <c r="B511" s="2"/>
      <c r="C511" s="2"/>
      <c r="D511" s="3"/>
      <c r="E511" s="3"/>
      <c r="F511" s="3"/>
      <c r="G511" s="2"/>
      <c r="H511" s="4"/>
      <c r="I511" s="5"/>
      <c r="J511" s="5"/>
      <c r="K511" s="5"/>
      <c r="L511" s="4"/>
      <c r="M511" s="4"/>
      <c r="N511" s="4"/>
      <c r="O511" s="4"/>
      <c r="P511" s="4"/>
      <c r="Q511" s="5"/>
      <c r="R511" s="5"/>
      <c r="S511" s="5"/>
      <c r="T511" s="5"/>
      <c r="U511" s="6"/>
      <c r="V511" s="5"/>
      <c r="W511" s="7"/>
      <c r="X511" s="8"/>
      <c r="Y511" s="8"/>
      <c r="Z511" s="2"/>
      <c r="AA511" s="2"/>
      <c r="AB511" s="2"/>
      <c r="AC511" s="2"/>
      <c r="AD511" s="2"/>
    </row>
    <row r="512" ht="12.0" customHeight="1">
      <c r="A512" s="2"/>
      <c r="B512" s="2"/>
      <c r="C512" s="2"/>
      <c r="D512" s="3"/>
      <c r="E512" s="3"/>
      <c r="F512" s="3"/>
      <c r="G512" s="2"/>
      <c r="H512" s="4"/>
      <c r="I512" s="5"/>
      <c r="J512" s="5"/>
      <c r="K512" s="5"/>
      <c r="L512" s="4"/>
      <c r="M512" s="4"/>
      <c r="N512" s="4"/>
      <c r="O512" s="4"/>
      <c r="P512" s="4"/>
      <c r="Q512" s="5"/>
      <c r="R512" s="5"/>
      <c r="S512" s="5"/>
      <c r="T512" s="5"/>
      <c r="U512" s="6"/>
      <c r="V512" s="5"/>
      <c r="W512" s="7"/>
      <c r="X512" s="8"/>
      <c r="Y512" s="8"/>
      <c r="Z512" s="2"/>
      <c r="AA512" s="2"/>
      <c r="AB512" s="2"/>
      <c r="AC512" s="2"/>
      <c r="AD512" s="2"/>
    </row>
    <row r="513" ht="12.0" customHeight="1">
      <c r="A513" s="2"/>
      <c r="B513" s="2"/>
      <c r="C513" s="2"/>
      <c r="D513" s="3"/>
      <c r="E513" s="3"/>
      <c r="F513" s="3"/>
      <c r="G513" s="2"/>
      <c r="H513" s="4"/>
      <c r="I513" s="5"/>
      <c r="J513" s="5"/>
      <c r="K513" s="5"/>
      <c r="L513" s="4"/>
      <c r="M513" s="4"/>
      <c r="N513" s="4"/>
      <c r="O513" s="4"/>
      <c r="P513" s="4"/>
      <c r="Q513" s="5"/>
      <c r="R513" s="5"/>
      <c r="S513" s="5"/>
      <c r="T513" s="5"/>
      <c r="U513" s="6"/>
      <c r="V513" s="5"/>
      <c r="W513" s="7"/>
      <c r="X513" s="8"/>
      <c r="Y513" s="8"/>
      <c r="Z513" s="2"/>
      <c r="AA513" s="2"/>
      <c r="AB513" s="2"/>
      <c r="AC513" s="2"/>
      <c r="AD513" s="2"/>
    </row>
    <row r="514" ht="12.0" customHeight="1">
      <c r="A514" s="2"/>
      <c r="B514" s="2"/>
      <c r="C514" s="2"/>
      <c r="D514" s="3"/>
      <c r="E514" s="3"/>
      <c r="F514" s="3"/>
      <c r="G514" s="2"/>
      <c r="H514" s="4"/>
      <c r="I514" s="5"/>
      <c r="J514" s="5"/>
      <c r="K514" s="5"/>
      <c r="L514" s="4"/>
      <c r="M514" s="4"/>
      <c r="N514" s="4"/>
      <c r="O514" s="4"/>
      <c r="P514" s="4"/>
      <c r="Q514" s="5"/>
      <c r="R514" s="5"/>
      <c r="S514" s="5"/>
      <c r="T514" s="5"/>
      <c r="U514" s="6"/>
      <c r="V514" s="5"/>
      <c r="W514" s="7"/>
      <c r="X514" s="8"/>
      <c r="Y514" s="8"/>
      <c r="Z514" s="2"/>
      <c r="AA514" s="2"/>
      <c r="AB514" s="2"/>
      <c r="AC514" s="2"/>
      <c r="AD514" s="2"/>
    </row>
    <row r="515" ht="12.0" customHeight="1">
      <c r="A515" s="2"/>
      <c r="B515" s="2"/>
      <c r="C515" s="2"/>
      <c r="D515" s="3"/>
      <c r="E515" s="3"/>
      <c r="F515" s="3"/>
      <c r="G515" s="2"/>
      <c r="H515" s="4"/>
      <c r="I515" s="5"/>
      <c r="J515" s="5"/>
      <c r="K515" s="5"/>
      <c r="L515" s="4"/>
      <c r="M515" s="4"/>
      <c r="N515" s="4"/>
      <c r="O515" s="4"/>
      <c r="P515" s="4"/>
      <c r="Q515" s="5"/>
      <c r="R515" s="5"/>
      <c r="S515" s="5"/>
      <c r="T515" s="5"/>
      <c r="U515" s="6"/>
      <c r="V515" s="5"/>
      <c r="W515" s="7"/>
      <c r="X515" s="8"/>
      <c r="Y515" s="8"/>
      <c r="Z515" s="2"/>
      <c r="AA515" s="2"/>
      <c r="AB515" s="2"/>
      <c r="AC515" s="2"/>
      <c r="AD515" s="2"/>
    </row>
    <row r="516" ht="12.0" customHeight="1">
      <c r="A516" s="2"/>
      <c r="B516" s="2"/>
      <c r="C516" s="2"/>
      <c r="D516" s="3"/>
      <c r="E516" s="3"/>
      <c r="F516" s="3"/>
      <c r="G516" s="2"/>
      <c r="H516" s="4"/>
      <c r="I516" s="5"/>
      <c r="J516" s="5"/>
      <c r="K516" s="5"/>
      <c r="L516" s="4"/>
      <c r="M516" s="4"/>
      <c r="N516" s="4"/>
      <c r="O516" s="4"/>
      <c r="P516" s="4"/>
      <c r="Q516" s="5"/>
      <c r="R516" s="5"/>
      <c r="S516" s="5"/>
      <c r="T516" s="5"/>
      <c r="U516" s="6"/>
      <c r="V516" s="5"/>
      <c r="W516" s="7"/>
      <c r="X516" s="8"/>
      <c r="Y516" s="8"/>
      <c r="Z516" s="2"/>
      <c r="AA516" s="2"/>
      <c r="AB516" s="2"/>
      <c r="AC516" s="2"/>
      <c r="AD516" s="2"/>
    </row>
    <row r="517" ht="12.0" customHeight="1">
      <c r="A517" s="2"/>
      <c r="B517" s="2"/>
      <c r="C517" s="2"/>
      <c r="D517" s="3"/>
      <c r="E517" s="3"/>
      <c r="F517" s="3"/>
      <c r="G517" s="2"/>
      <c r="H517" s="4"/>
      <c r="I517" s="5"/>
      <c r="J517" s="5"/>
      <c r="K517" s="5"/>
      <c r="L517" s="4"/>
      <c r="M517" s="4"/>
      <c r="N517" s="4"/>
      <c r="O517" s="4"/>
      <c r="P517" s="4"/>
      <c r="Q517" s="5"/>
      <c r="R517" s="5"/>
      <c r="S517" s="5"/>
      <c r="T517" s="5"/>
      <c r="U517" s="6"/>
      <c r="V517" s="5"/>
      <c r="W517" s="7"/>
      <c r="X517" s="8"/>
      <c r="Y517" s="8"/>
      <c r="Z517" s="2"/>
      <c r="AA517" s="2"/>
      <c r="AB517" s="2"/>
      <c r="AC517" s="2"/>
      <c r="AD517" s="2"/>
    </row>
    <row r="518" ht="12.0" customHeight="1">
      <c r="A518" s="2"/>
      <c r="B518" s="2"/>
      <c r="C518" s="2"/>
      <c r="D518" s="3"/>
      <c r="E518" s="3"/>
      <c r="F518" s="3"/>
      <c r="G518" s="2"/>
      <c r="H518" s="4"/>
      <c r="I518" s="5"/>
      <c r="J518" s="5"/>
      <c r="K518" s="5"/>
      <c r="L518" s="4"/>
      <c r="M518" s="4"/>
      <c r="N518" s="4"/>
      <c r="O518" s="4"/>
      <c r="P518" s="4"/>
      <c r="Q518" s="5"/>
      <c r="R518" s="5"/>
      <c r="S518" s="5"/>
      <c r="T518" s="5"/>
      <c r="U518" s="6"/>
      <c r="V518" s="5"/>
      <c r="W518" s="7"/>
      <c r="X518" s="8"/>
      <c r="Y518" s="8"/>
      <c r="Z518" s="2"/>
      <c r="AA518" s="2"/>
      <c r="AB518" s="2"/>
      <c r="AC518" s="2"/>
      <c r="AD518" s="2"/>
    </row>
    <row r="519" ht="12.0" customHeight="1">
      <c r="A519" s="2"/>
      <c r="B519" s="2"/>
      <c r="C519" s="2"/>
      <c r="D519" s="3"/>
      <c r="E519" s="3"/>
      <c r="F519" s="3"/>
      <c r="G519" s="2"/>
      <c r="H519" s="4"/>
      <c r="I519" s="5"/>
      <c r="J519" s="5"/>
      <c r="K519" s="5"/>
      <c r="L519" s="4"/>
      <c r="M519" s="4"/>
      <c r="N519" s="4"/>
      <c r="O519" s="4"/>
      <c r="P519" s="4"/>
      <c r="Q519" s="5"/>
      <c r="R519" s="5"/>
      <c r="S519" s="5"/>
      <c r="T519" s="5"/>
      <c r="U519" s="6"/>
      <c r="V519" s="5"/>
      <c r="W519" s="7"/>
      <c r="X519" s="8"/>
      <c r="Y519" s="8"/>
      <c r="Z519" s="2"/>
      <c r="AA519" s="2"/>
      <c r="AB519" s="2"/>
      <c r="AC519" s="2"/>
      <c r="AD519" s="2"/>
    </row>
    <row r="520" ht="12.0" customHeight="1">
      <c r="A520" s="2"/>
      <c r="B520" s="2"/>
      <c r="C520" s="2"/>
      <c r="D520" s="3"/>
      <c r="E520" s="3"/>
      <c r="F520" s="3"/>
      <c r="G520" s="2"/>
      <c r="H520" s="4"/>
      <c r="I520" s="5"/>
      <c r="J520" s="5"/>
      <c r="K520" s="5"/>
      <c r="L520" s="4"/>
      <c r="M520" s="4"/>
      <c r="N520" s="4"/>
      <c r="O520" s="4"/>
      <c r="P520" s="4"/>
      <c r="Q520" s="5"/>
      <c r="R520" s="5"/>
      <c r="S520" s="5"/>
      <c r="T520" s="5"/>
      <c r="U520" s="6"/>
      <c r="V520" s="5"/>
      <c r="W520" s="7"/>
      <c r="X520" s="8"/>
      <c r="Y520" s="8"/>
      <c r="Z520" s="2"/>
      <c r="AA520" s="2"/>
      <c r="AB520" s="2"/>
      <c r="AC520" s="2"/>
      <c r="AD520" s="2"/>
    </row>
    <row r="521" ht="12.0" customHeight="1">
      <c r="A521" s="2"/>
      <c r="B521" s="2"/>
      <c r="C521" s="2"/>
      <c r="D521" s="3"/>
      <c r="E521" s="3"/>
      <c r="F521" s="3"/>
      <c r="G521" s="2"/>
      <c r="H521" s="4"/>
      <c r="I521" s="5"/>
      <c r="J521" s="5"/>
      <c r="K521" s="5"/>
      <c r="L521" s="4"/>
      <c r="M521" s="4"/>
      <c r="N521" s="4"/>
      <c r="O521" s="4"/>
      <c r="P521" s="4"/>
      <c r="Q521" s="5"/>
      <c r="R521" s="5"/>
      <c r="S521" s="5"/>
      <c r="T521" s="5"/>
      <c r="U521" s="6"/>
      <c r="V521" s="5"/>
      <c r="W521" s="7"/>
      <c r="X521" s="8"/>
      <c r="Y521" s="8"/>
      <c r="Z521" s="2"/>
      <c r="AA521" s="2"/>
      <c r="AB521" s="2"/>
      <c r="AC521" s="2"/>
      <c r="AD521" s="2"/>
    </row>
    <row r="522" ht="12.0" customHeight="1">
      <c r="A522" s="2"/>
      <c r="B522" s="2"/>
      <c r="C522" s="2"/>
      <c r="D522" s="3"/>
      <c r="E522" s="3"/>
      <c r="F522" s="3"/>
      <c r="G522" s="2"/>
      <c r="H522" s="4"/>
      <c r="I522" s="5"/>
      <c r="J522" s="5"/>
      <c r="K522" s="5"/>
      <c r="L522" s="4"/>
      <c r="M522" s="4"/>
      <c r="N522" s="4"/>
      <c r="O522" s="4"/>
      <c r="P522" s="4"/>
      <c r="Q522" s="5"/>
      <c r="R522" s="5"/>
      <c r="S522" s="5"/>
      <c r="T522" s="5"/>
      <c r="U522" s="6"/>
      <c r="V522" s="5"/>
      <c r="W522" s="7"/>
      <c r="X522" s="8"/>
      <c r="Y522" s="8"/>
      <c r="Z522" s="2"/>
      <c r="AA522" s="2"/>
      <c r="AB522" s="2"/>
      <c r="AC522" s="2"/>
      <c r="AD522" s="2"/>
    </row>
    <row r="523" ht="12.0" customHeight="1">
      <c r="A523" s="2"/>
      <c r="B523" s="2"/>
      <c r="C523" s="2"/>
      <c r="D523" s="3"/>
      <c r="E523" s="3"/>
      <c r="F523" s="3"/>
      <c r="G523" s="2"/>
      <c r="H523" s="4"/>
      <c r="I523" s="5"/>
      <c r="J523" s="5"/>
      <c r="K523" s="5"/>
      <c r="L523" s="4"/>
      <c r="M523" s="4"/>
      <c r="N523" s="4"/>
      <c r="O523" s="4"/>
      <c r="P523" s="4"/>
      <c r="Q523" s="5"/>
      <c r="R523" s="5"/>
      <c r="S523" s="5"/>
      <c r="T523" s="5"/>
      <c r="U523" s="6"/>
      <c r="V523" s="5"/>
      <c r="W523" s="7"/>
      <c r="X523" s="8"/>
      <c r="Y523" s="8"/>
      <c r="Z523" s="2"/>
      <c r="AA523" s="2"/>
      <c r="AB523" s="2"/>
      <c r="AC523" s="2"/>
      <c r="AD523" s="2"/>
    </row>
    <row r="524" ht="12.0" customHeight="1">
      <c r="A524" s="2"/>
      <c r="B524" s="2"/>
      <c r="C524" s="2"/>
      <c r="D524" s="3"/>
      <c r="E524" s="3"/>
      <c r="F524" s="3"/>
      <c r="G524" s="2"/>
      <c r="H524" s="4"/>
      <c r="I524" s="5"/>
      <c r="J524" s="5"/>
      <c r="K524" s="5"/>
      <c r="L524" s="4"/>
      <c r="M524" s="4"/>
      <c r="N524" s="4"/>
      <c r="O524" s="4"/>
      <c r="P524" s="4"/>
      <c r="Q524" s="5"/>
      <c r="R524" s="5"/>
      <c r="S524" s="5"/>
      <c r="T524" s="5"/>
      <c r="U524" s="6"/>
      <c r="V524" s="5"/>
      <c r="W524" s="7"/>
      <c r="X524" s="8"/>
      <c r="Y524" s="8"/>
      <c r="Z524" s="2"/>
      <c r="AA524" s="2"/>
      <c r="AB524" s="2"/>
      <c r="AC524" s="2"/>
      <c r="AD524" s="2"/>
    </row>
    <row r="525" ht="12.0" customHeight="1">
      <c r="A525" s="2"/>
      <c r="B525" s="2"/>
      <c r="C525" s="2"/>
      <c r="D525" s="3"/>
      <c r="E525" s="3"/>
      <c r="F525" s="3"/>
      <c r="G525" s="2"/>
      <c r="H525" s="4"/>
      <c r="I525" s="5"/>
      <c r="J525" s="5"/>
      <c r="K525" s="5"/>
      <c r="L525" s="4"/>
      <c r="M525" s="4"/>
      <c r="N525" s="4"/>
      <c r="O525" s="4"/>
      <c r="P525" s="4"/>
      <c r="Q525" s="5"/>
      <c r="R525" s="5"/>
      <c r="S525" s="5"/>
      <c r="T525" s="5"/>
      <c r="U525" s="6"/>
      <c r="V525" s="5"/>
      <c r="W525" s="7"/>
      <c r="X525" s="8"/>
      <c r="Y525" s="8"/>
      <c r="Z525" s="2"/>
      <c r="AA525" s="2"/>
      <c r="AB525" s="2"/>
      <c r="AC525" s="2"/>
      <c r="AD525" s="2"/>
    </row>
    <row r="526" ht="12.0" customHeight="1">
      <c r="A526" s="2"/>
      <c r="B526" s="2"/>
      <c r="C526" s="2"/>
      <c r="D526" s="3"/>
      <c r="E526" s="3"/>
      <c r="F526" s="3"/>
      <c r="G526" s="2"/>
      <c r="H526" s="4"/>
      <c r="I526" s="5"/>
      <c r="J526" s="5"/>
      <c r="K526" s="5"/>
      <c r="L526" s="4"/>
      <c r="M526" s="4"/>
      <c r="N526" s="4"/>
      <c r="O526" s="4"/>
      <c r="P526" s="4"/>
      <c r="Q526" s="5"/>
      <c r="R526" s="5"/>
      <c r="S526" s="5"/>
      <c r="T526" s="5"/>
      <c r="U526" s="6"/>
      <c r="V526" s="5"/>
      <c r="W526" s="7"/>
      <c r="X526" s="8"/>
      <c r="Y526" s="8"/>
      <c r="Z526" s="2"/>
      <c r="AA526" s="2"/>
      <c r="AB526" s="2"/>
      <c r="AC526" s="2"/>
      <c r="AD526" s="2"/>
    </row>
    <row r="527" ht="12.0" customHeight="1">
      <c r="A527" s="2"/>
      <c r="B527" s="2"/>
      <c r="C527" s="2"/>
      <c r="D527" s="3"/>
      <c r="E527" s="3"/>
      <c r="F527" s="3"/>
      <c r="G527" s="2"/>
      <c r="H527" s="4"/>
      <c r="I527" s="5"/>
      <c r="J527" s="5"/>
      <c r="K527" s="5"/>
      <c r="L527" s="4"/>
      <c r="M527" s="4"/>
      <c r="N527" s="4"/>
      <c r="O527" s="4"/>
      <c r="P527" s="4"/>
      <c r="Q527" s="5"/>
      <c r="R527" s="5"/>
      <c r="S527" s="5"/>
      <c r="T527" s="5"/>
      <c r="U527" s="6"/>
      <c r="V527" s="5"/>
      <c r="W527" s="7"/>
      <c r="X527" s="8"/>
      <c r="Y527" s="8"/>
      <c r="Z527" s="2"/>
      <c r="AA527" s="2"/>
      <c r="AB527" s="2"/>
      <c r="AC527" s="2"/>
      <c r="AD527" s="2"/>
    </row>
    <row r="528" ht="12.0" customHeight="1">
      <c r="A528" s="2"/>
      <c r="B528" s="2"/>
      <c r="C528" s="2"/>
      <c r="D528" s="3"/>
      <c r="E528" s="3"/>
      <c r="F528" s="3"/>
      <c r="G528" s="2"/>
      <c r="H528" s="4"/>
      <c r="I528" s="5"/>
      <c r="J528" s="5"/>
      <c r="K528" s="5"/>
      <c r="L528" s="4"/>
      <c r="M528" s="4"/>
      <c r="N528" s="4"/>
      <c r="O528" s="4"/>
      <c r="P528" s="4"/>
      <c r="Q528" s="5"/>
      <c r="R528" s="5"/>
      <c r="S528" s="5"/>
      <c r="T528" s="5"/>
      <c r="U528" s="6"/>
      <c r="V528" s="5"/>
      <c r="W528" s="7"/>
      <c r="X528" s="8"/>
      <c r="Y528" s="8"/>
      <c r="Z528" s="2"/>
      <c r="AA528" s="2"/>
      <c r="AB528" s="2"/>
      <c r="AC528" s="2"/>
      <c r="AD528" s="2"/>
    </row>
    <row r="529" ht="12.0" customHeight="1">
      <c r="A529" s="2"/>
      <c r="B529" s="2"/>
      <c r="C529" s="2"/>
      <c r="D529" s="3"/>
      <c r="E529" s="3"/>
      <c r="F529" s="3"/>
      <c r="G529" s="2"/>
      <c r="H529" s="4"/>
      <c r="I529" s="5"/>
      <c r="J529" s="5"/>
      <c r="K529" s="5"/>
      <c r="L529" s="4"/>
      <c r="M529" s="4"/>
      <c r="N529" s="4"/>
      <c r="O529" s="4"/>
      <c r="P529" s="4"/>
      <c r="Q529" s="5"/>
      <c r="R529" s="5"/>
      <c r="S529" s="5"/>
      <c r="T529" s="5"/>
      <c r="U529" s="6"/>
      <c r="V529" s="5"/>
      <c r="W529" s="7"/>
      <c r="X529" s="8"/>
      <c r="Y529" s="8"/>
      <c r="Z529" s="2"/>
      <c r="AA529" s="2"/>
      <c r="AB529" s="2"/>
      <c r="AC529" s="2"/>
      <c r="AD529" s="2"/>
    </row>
    <row r="530" ht="12.0" customHeight="1">
      <c r="A530" s="2"/>
      <c r="B530" s="2"/>
      <c r="C530" s="2"/>
      <c r="D530" s="3"/>
      <c r="E530" s="3"/>
      <c r="F530" s="3"/>
      <c r="G530" s="2"/>
      <c r="H530" s="4"/>
      <c r="I530" s="5"/>
      <c r="J530" s="5"/>
      <c r="K530" s="5"/>
      <c r="L530" s="4"/>
      <c r="M530" s="4"/>
      <c r="N530" s="4"/>
      <c r="O530" s="4"/>
      <c r="P530" s="4"/>
      <c r="Q530" s="5"/>
      <c r="R530" s="5"/>
      <c r="S530" s="5"/>
      <c r="T530" s="5"/>
      <c r="U530" s="6"/>
      <c r="V530" s="5"/>
      <c r="W530" s="7"/>
      <c r="X530" s="8"/>
      <c r="Y530" s="8"/>
      <c r="Z530" s="2"/>
      <c r="AA530" s="2"/>
      <c r="AB530" s="2"/>
      <c r="AC530" s="2"/>
      <c r="AD530" s="2"/>
    </row>
    <row r="531" ht="12.0" customHeight="1">
      <c r="A531" s="2"/>
      <c r="B531" s="2"/>
      <c r="C531" s="2"/>
      <c r="D531" s="3"/>
      <c r="E531" s="3"/>
      <c r="F531" s="3"/>
      <c r="G531" s="2"/>
      <c r="H531" s="4"/>
      <c r="I531" s="5"/>
      <c r="J531" s="5"/>
      <c r="K531" s="5"/>
      <c r="L531" s="4"/>
      <c r="M531" s="4"/>
      <c r="N531" s="4"/>
      <c r="O531" s="4"/>
      <c r="P531" s="4"/>
      <c r="Q531" s="5"/>
      <c r="R531" s="5"/>
      <c r="S531" s="5"/>
      <c r="T531" s="5"/>
      <c r="U531" s="6"/>
      <c r="V531" s="5"/>
      <c r="W531" s="7"/>
      <c r="X531" s="8"/>
      <c r="Y531" s="8"/>
      <c r="Z531" s="2"/>
      <c r="AA531" s="2"/>
      <c r="AB531" s="2"/>
      <c r="AC531" s="2"/>
      <c r="AD531" s="2"/>
    </row>
    <row r="532" ht="12.0" customHeight="1">
      <c r="A532" s="2"/>
      <c r="B532" s="2"/>
      <c r="C532" s="2"/>
      <c r="D532" s="3"/>
      <c r="E532" s="3"/>
      <c r="F532" s="3"/>
      <c r="G532" s="2"/>
      <c r="H532" s="4"/>
      <c r="I532" s="5"/>
      <c r="J532" s="5"/>
      <c r="K532" s="5"/>
      <c r="L532" s="4"/>
      <c r="M532" s="4"/>
      <c r="N532" s="4"/>
      <c r="O532" s="4"/>
      <c r="P532" s="4"/>
      <c r="Q532" s="5"/>
      <c r="R532" s="5"/>
      <c r="S532" s="5"/>
      <c r="T532" s="5"/>
      <c r="U532" s="6"/>
      <c r="V532" s="5"/>
      <c r="W532" s="7"/>
      <c r="X532" s="8"/>
      <c r="Y532" s="8"/>
      <c r="Z532" s="2"/>
      <c r="AA532" s="2"/>
      <c r="AB532" s="2"/>
      <c r="AC532" s="2"/>
      <c r="AD532" s="2"/>
    </row>
    <row r="533" ht="12.0" customHeight="1">
      <c r="A533" s="2"/>
      <c r="B533" s="2"/>
      <c r="C533" s="2"/>
      <c r="D533" s="3"/>
      <c r="E533" s="3"/>
      <c r="F533" s="3"/>
      <c r="G533" s="2"/>
      <c r="H533" s="4"/>
      <c r="I533" s="5"/>
      <c r="J533" s="5"/>
      <c r="K533" s="5"/>
      <c r="L533" s="4"/>
      <c r="M533" s="4"/>
      <c r="N533" s="4"/>
      <c r="O533" s="4"/>
      <c r="P533" s="4"/>
      <c r="Q533" s="5"/>
      <c r="R533" s="5"/>
      <c r="S533" s="5"/>
      <c r="T533" s="5"/>
      <c r="U533" s="6"/>
      <c r="V533" s="5"/>
      <c r="W533" s="7"/>
      <c r="X533" s="8"/>
      <c r="Y533" s="8"/>
      <c r="Z533" s="2"/>
      <c r="AA533" s="2"/>
      <c r="AB533" s="2"/>
      <c r="AC533" s="2"/>
      <c r="AD533" s="2"/>
    </row>
    <row r="534" ht="12.0" customHeight="1">
      <c r="A534" s="2"/>
      <c r="B534" s="2"/>
      <c r="C534" s="2"/>
      <c r="D534" s="3"/>
      <c r="E534" s="3"/>
      <c r="F534" s="3"/>
      <c r="G534" s="2"/>
      <c r="H534" s="4"/>
      <c r="I534" s="5"/>
      <c r="J534" s="5"/>
      <c r="K534" s="5"/>
      <c r="L534" s="4"/>
      <c r="M534" s="4"/>
      <c r="N534" s="4"/>
      <c r="O534" s="4"/>
      <c r="P534" s="4"/>
      <c r="Q534" s="5"/>
      <c r="R534" s="5"/>
      <c r="S534" s="5"/>
      <c r="T534" s="5"/>
      <c r="U534" s="6"/>
      <c r="V534" s="5"/>
      <c r="W534" s="7"/>
      <c r="X534" s="8"/>
      <c r="Y534" s="8"/>
      <c r="Z534" s="2"/>
      <c r="AA534" s="2"/>
      <c r="AB534" s="2"/>
      <c r="AC534" s="2"/>
      <c r="AD534" s="2"/>
    </row>
    <row r="535" ht="12.0" customHeight="1">
      <c r="A535" s="2"/>
      <c r="B535" s="2"/>
      <c r="C535" s="2"/>
      <c r="D535" s="3"/>
      <c r="E535" s="3"/>
      <c r="F535" s="3"/>
      <c r="G535" s="2"/>
      <c r="H535" s="4"/>
      <c r="I535" s="5"/>
      <c r="J535" s="5"/>
      <c r="K535" s="5"/>
      <c r="L535" s="4"/>
      <c r="M535" s="4"/>
      <c r="N535" s="4"/>
      <c r="O535" s="4"/>
      <c r="P535" s="4"/>
      <c r="Q535" s="5"/>
      <c r="R535" s="5"/>
      <c r="S535" s="5"/>
      <c r="T535" s="5"/>
      <c r="U535" s="6"/>
      <c r="V535" s="5"/>
      <c r="W535" s="7"/>
      <c r="X535" s="8"/>
      <c r="Y535" s="8"/>
      <c r="Z535" s="2"/>
      <c r="AA535" s="2"/>
      <c r="AB535" s="2"/>
      <c r="AC535" s="2"/>
      <c r="AD535" s="2"/>
    </row>
    <row r="536" ht="12.0" customHeight="1">
      <c r="A536" s="2"/>
      <c r="B536" s="2"/>
      <c r="C536" s="2"/>
      <c r="D536" s="3"/>
      <c r="E536" s="3"/>
      <c r="F536" s="3"/>
      <c r="G536" s="2"/>
      <c r="H536" s="4"/>
      <c r="I536" s="5"/>
      <c r="J536" s="5"/>
      <c r="K536" s="5"/>
      <c r="L536" s="4"/>
      <c r="M536" s="4"/>
      <c r="N536" s="4"/>
      <c r="O536" s="4"/>
      <c r="P536" s="4"/>
      <c r="Q536" s="5"/>
      <c r="R536" s="5"/>
      <c r="S536" s="5"/>
      <c r="T536" s="5"/>
      <c r="U536" s="6"/>
      <c r="V536" s="5"/>
      <c r="W536" s="7"/>
      <c r="X536" s="8"/>
      <c r="Y536" s="8"/>
      <c r="Z536" s="2"/>
      <c r="AA536" s="2"/>
      <c r="AB536" s="2"/>
      <c r="AC536" s="2"/>
      <c r="AD536" s="2"/>
    </row>
    <row r="537" ht="12.0" customHeight="1">
      <c r="A537" s="2"/>
      <c r="B537" s="2"/>
      <c r="C537" s="2"/>
      <c r="D537" s="3"/>
      <c r="E537" s="3"/>
      <c r="F537" s="3"/>
      <c r="G537" s="2"/>
      <c r="H537" s="4"/>
      <c r="I537" s="5"/>
      <c r="J537" s="5"/>
      <c r="K537" s="5"/>
      <c r="L537" s="4"/>
      <c r="M537" s="4"/>
      <c r="N537" s="4"/>
      <c r="O537" s="4"/>
      <c r="P537" s="4"/>
      <c r="Q537" s="5"/>
      <c r="R537" s="5"/>
      <c r="S537" s="5"/>
      <c r="T537" s="5"/>
      <c r="U537" s="6"/>
      <c r="V537" s="5"/>
      <c r="W537" s="7"/>
      <c r="X537" s="8"/>
      <c r="Y537" s="8"/>
      <c r="Z537" s="2"/>
      <c r="AA537" s="2"/>
      <c r="AB537" s="2"/>
      <c r="AC537" s="2"/>
      <c r="AD537" s="2"/>
    </row>
    <row r="538" ht="12.0" customHeight="1">
      <c r="A538" s="2"/>
      <c r="B538" s="2"/>
      <c r="C538" s="2"/>
      <c r="D538" s="3"/>
      <c r="E538" s="3"/>
      <c r="F538" s="3"/>
      <c r="G538" s="2"/>
      <c r="H538" s="4"/>
      <c r="I538" s="5"/>
      <c r="J538" s="5"/>
      <c r="K538" s="5"/>
      <c r="L538" s="4"/>
      <c r="M538" s="4"/>
      <c r="N538" s="4"/>
      <c r="O538" s="4"/>
      <c r="P538" s="4"/>
      <c r="Q538" s="5"/>
      <c r="R538" s="5"/>
      <c r="S538" s="5"/>
      <c r="T538" s="5"/>
      <c r="U538" s="6"/>
      <c r="V538" s="5"/>
      <c r="W538" s="7"/>
      <c r="X538" s="8"/>
      <c r="Y538" s="8"/>
      <c r="Z538" s="2"/>
      <c r="AA538" s="2"/>
      <c r="AB538" s="2"/>
      <c r="AC538" s="2"/>
      <c r="AD538" s="2"/>
    </row>
    <row r="539" ht="12.0" customHeight="1">
      <c r="A539" s="2"/>
      <c r="B539" s="2"/>
      <c r="C539" s="2"/>
      <c r="D539" s="3"/>
      <c r="E539" s="3"/>
      <c r="F539" s="3"/>
      <c r="G539" s="2"/>
      <c r="H539" s="4"/>
      <c r="I539" s="5"/>
      <c r="J539" s="5"/>
      <c r="K539" s="5"/>
      <c r="L539" s="4"/>
      <c r="M539" s="4"/>
      <c r="N539" s="4"/>
      <c r="O539" s="4"/>
      <c r="P539" s="4"/>
      <c r="Q539" s="5"/>
      <c r="R539" s="5"/>
      <c r="S539" s="5"/>
      <c r="T539" s="5"/>
      <c r="U539" s="6"/>
      <c r="V539" s="5"/>
      <c r="W539" s="7"/>
      <c r="X539" s="8"/>
      <c r="Y539" s="8"/>
      <c r="Z539" s="2"/>
      <c r="AA539" s="2"/>
      <c r="AB539" s="2"/>
      <c r="AC539" s="2"/>
      <c r="AD539" s="2"/>
    </row>
    <row r="540" ht="12.0" customHeight="1">
      <c r="A540" s="2"/>
      <c r="B540" s="2"/>
      <c r="C540" s="2"/>
      <c r="D540" s="3"/>
      <c r="E540" s="3"/>
      <c r="F540" s="3"/>
      <c r="G540" s="2"/>
      <c r="H540" s="4"/>
      <c r="I540" s="5"/>
      <c r="J540" s="5"/>
      <c r="K540" s="5"/>
      <c r="L540" s="4"/>
      <c r="M540" s="4"/>
      <c r="N540" s="4"/>
      <c r="O540" s="4"/>
      <c r="P540" s="4"/>
      <c r="Q540" s="5"/>
      <c r="R540" s="5"/>
      <c r="S540" s="5"/>
      <c r="T540" s="5"/>
      <c r="U540" s="6"/>
      <c r="V540" s="5"/>
      <c r="W540" s="7"/>
      <c r="X540" s="8"/>
      <c r="Y540" s="8"/>
      <c r="Z540" s="2"/>
      <c r="AA540" s="2"/>
      <c r="AB540" s="2"/>
      <c r="AC540" s="2"/>
      <c r="AD540" s="2"/>
    </row>
    <row r="541" ht="12.0" customHeight="1">
      <c r="A541" s="2"/>
      <c r="B541" s="2"/>
      <c r="C541" s="2"/>
      <c r="D541" s="3"/>
      <c r="E541" s="3"/>
      <c r="F541" s="3"/>
      <c r="G541" s="2"/>
      <c r="H541" s="4"/>
      <c r="I541" s="5"/>
      <c r="J541" s="5"/>
      <c r="K541" s="5"/>
      <c r="L541" s="4"/>
      <c r="M541" s="4"/>
      <c r="N541" s="4"/>
      <c r="O541" s="4"/>
      <c r="P541" s="4"/>
      <c r="Q541" s="5"/>
      <c r="R541" s="5"/>
      <c r="S541" s="5"/>
      <c r="T541" s="5"/>
      <c r="U541" s="6"/>
      <c r="V541" s="5"/>
      <c r="W541" s="7"/>
      <c r="X541" s="8"/>
      <c r="Y541" s="8"/>
      <c r="Z541" s="2"/>
      <c r="AA541" s="2"/>
      <c r="AB541" s="2"/>
      <c r="AC541" s="2"/>
      <c r="AD541" s="2"/>
    </row>
    <row r="542" ht="12.0" customHeight="1">
      <c r="A542" s="2"/>
      <c r="B542" s="2"/>
      <c r="C542" s="2"/>
      <c r="D542" s="3"/>
      <c r="E542" s="3"/>
      <c r="F542" s="3"/>
      <c r="G542" s="2"/>
      <c r="H542" s="4"/>
      <c r="I542" s="5"/>
      <c r="J542" s="5"/>
      <c r="K542" s="5"/>
      <c r="L542" s="4"/>
      <c r="M542" s="4"/>
      <c r="N542" s="4"/>
      <c r="O542" s="4"/>
      <c r="P542" s="4"/>
      <c r="Q542" s="5"/>
      <c r="R542" s="5"/>
      <c r="S542" s="5"/>
      <c r="T542" s="5"/>
      <c r="U542" s="6"/>
      <c r="V542" s="5"/>
      <c r="W542" s="7"/>
      <c r="X542" s="8"/>
      <c r="Y542" s="8"/>
      <c r="Z542" s="2"/>
      <c r="AA542" s="2"/>
      <c r="AB542" s="2"/>
      <c r="AC542" s="2"/>
      <c r="AD542" s="2"/>
    </row>
    <row r="543" ht="12.0" customHeight="1">
      <c r="A543" s="2"/>
      <c r="B543" s="2"/>
      <c r="C543" s="2"/>
      <c r="D543" s="3"/>
      <c r="E543" s="3"/>
      <c r="F543" s="3"/>
      <c r="G543" s="2"/>
      <c r="H543" s="4"/>
      <c r="I543" s="5"/>
      <c r="J543" s="5"/>
      <c r="K543" s="5"/>
      <c r="L543" s="4"/>
      <c r="M543" s="4"/>
      <c r="N543" s="4"/>
      <c r="O543" s="4"/>
      <c r="P543" s="4"/>
      <c r="Q543" s="5"/>
      <c r="R543" s="5"/>
      <c r="S543" s="5"/>
      <c r="T543" s="5"/>
      <c r="U543" s="6"/>
      <c r="V543" s="5"/>
      <c r="W543" s="7"/>
      <c r="X543" s="8"/>
      <c r="Y543" s="8"/>
      <c r="Z543" s="2"/>
      <c r="AA543" s="2"/>
      <c r="AB543" s="2"/>
      <c r="AC543" s="2"/>
      <c r="AD543" s="2"/>
    </row>
    <row r="544" ht="12.0" customHeight="1">
      <c r="A544" s="2"/>
      <c r="B544" s="2"/>
      <c r="C544" s="2"/>
      <c r="D544" s="3"/>
      <c r="E544" s="3"/>
      <c r="F544" s="3"/>
      <c r="G544" s="2"/>
      <c r="H544" s="4"/>
      <c r="I544" s="5"/>
      <c r="J544" s="5"/>
      <c r="K544" s="5"/>
      <c r="L544" s="4"/>
      <c r="M544" s="4"/>
      <c r="N544" s="4"/>
      <c r="O544" s="4"/>
      <c r="P544" s="4"/>
      <c r="Q544" s="5"/>
      <c r="R544" s="5"/>
      <c r="S544" s="5"/>
      <c r="T544" s="5"/>
      <c r="U544" s="6"/>
      <c r="V544" s="5"/>
      <c r="W544" s="7"/>
      <c r="X544" s="8"/>
      <c r="Y544" s="8"/>
      <c r="Z544" s="2"/>
      <c r="AA544" s="2"/>
      <c r="AB544" s="2"/>
      <c r="AC544" s="2"/>
      <c r="AD544" s="2"/>
    </row>
    <row r="545" ht="12.0" customHeight="1">
      <c r="A545" s="2"/>
      <c r="B545" s="2"/>
      <c r="C545" s="2"/>
      <c r="D545" s="3"/>
      <c r="E545" s="3"/>
      <c r="F545" s="3"/>
      <c r="G545" s="2"/>
      <c r="H545" s="4"/>
      <c r="I545" s="5"/>
      <c r="J545" s="5"/>
      <c r="K545" s="5"/>
      <c r="L545" s="4"/>
      <c r="M545" s="4"/>
      <c r="N545" s="4"/>
      <c r="O545" s="4"/>
      <c r="P545" s="4"/>
      <c r="Q545" s="5"/>
      <c r="R545" s="5"/>
      <c r="S545" s="5"/>
      <c r="T545" s="5"/>
      <c r="U545" s="6"/>
      <c r="V545" s="5"/>
      <c r="W545" s="7"/>
      <c r="X545" s="8"/>
      <c r="Y545" s="8"/>
      <c r="Z545" s="2"/>
      <c r="AA545" s="2"/>
      <c r="AB545" s="2"/>
      <c r="AC545" s="2"/>
      <c r="AD545" s="2"/>
    </row>
    <row r="546" ht="12.0" customHeight="1">
      <c r="A546" s="2"/>
      <c r="B546" s="2"/>
      <c r="C546" s="2"/>
      <c r="D546" s="3"/>
      <c r="E546" s="3"/>
      <c r="F546" s="3"/>
      <c r="G546" s="2"/>
      <c r="H546" s="4"/>
      <c r="I546" s="5"/>
      <c r="J546" s="5"/>
      <c r="K546" s="5"/>
      <c r="L546" s="4"/>
      <c r="M546" s="4"/>
      <c r="N546" s="4"/>
      <c r="O546" s="4"/>
      <c r="P546" s="4"/>
      <c r="Q546" s="5"/>
      <c r="R546" s="5"/>
      <c r="S546" s="5"/>
      <c r="T546" s="5"/>
      <c r="U546" s="6"/>
      <c r="V546" s="5"/>
      <c r="W546" s="7"/>
      <c r="X546" s="8"/>
      <c r="Y546" s="8"/>
      <c r="Z546" s="2"/>
      <c r="AA546" s="2"/>
      <c r="AB546" s="2"/>
      <c r="AC546" s="2"/>
      <c r="AD546" s="2"/>
    </row>
    <row r="547" ht="12.0" customHeight="1">
      <c r="A547" s="2"/>
      <c r="B547" s="2"/>
      <c r="C547" s="2"/>
      <c r="D547" s="3"/>
      <c r="E547" s="3"/>
      <c r="F547" s="3"/>
      <c r="G547" s="2"/>
      <c r="H547" s="4"/>
      <c r="I547" s="5"/>
      <c r="J547" s="5"/>
      <c r="K547" s="5"/>
      <c r="L547" s="4"/>
      <c r="M547" s="4"/>
      <c r="N547" s="4"/>
      <c r="O547" s="4"/>
      <c r="P547" s="4"/>
      <c r="Q547" s="5"/>
      <c r="R547" s="5"/>
      <c r="S547" s="5"/>
      <c r="T547" s="5"/>
      <c r="U547" s="6"/>
      <c r="V547" s="5"/>
      <c r="W547" s="7"/>
      <c r="X547" s="8"/>
      <c r="Y547" s="8"/>
      <c r="Z547" s="2"/>
      <c r="AA547" s="2"/>
      <c r="AB547" s="2"/>
      <c r="AC547" s="2"/>
      <c r="AD547" s="2"/>
    </row>
    <row r="548" ht="12.0" customHeight="1">
      <c r="A548" s="2"/>
      <c r="B548" s="2"/>
      <c r="C548" s="2"/>
      <c r="D548" s="3"/>
      <c r="E548" s="3"/>
      <c r="F548" s="3"/>
      <c r="G548" s="2"/>
      <c r="H548" s="4"/>
      <c r="I548" s="5"/>
      <c r="J548" s="5"/>
      <c r="K548" s="5"/>
      <c r="L548" s="4"/>
      <c r="M548" s="4"/>
      <c r="N548" s="4"/>
      <c r="O548" s="4"/>
      <c r="P548" s="4"/>
      <c r="Q548" s="5"/>
      <c r="R548" s="5"/>
      <c r="S548" s="5"/>
      <c r="T548" s="5"/>
      <c r="U548" s="6"/>
      <c r="V548" s="5"/>
      <c r="W548" s="7"/>
      <c r="X548" s="8"/>
      <c r="Y548" s="8"/>
      <c r="Z548" s="2"/>
      <c r="AA548" s="2"/>
      <c r="AB548" s="2"/>
      <c r="AC548" s="2"/>
      <c r="AD548" s="2"/>
    </row>
    <row r="549" ht="12.0" customHeight="1">
      <c r="A549" s="2"/>
      <c r="B549" s="2"/>
      <c r="C549" s="2"/>
      <c r="D549" s="3"/>
      <c r="E549" s="3"/>
      <c r="F549" s="3"/>
      <c r="G549" s="2"/>
      <c r="H549" s="4"/>
      <c r="I549" s="5"/>
      <c r="J549" s="5"/>
      <c r="K549" s="5"/>
      <c r="L549" s="4"/>
      <c r="M549" s="4"/>
      <c r="N549" s="4"/>
      <c r="O549" s="4"/>
      <c r="P549" s="4"/>
      <c r="Q549" s="5"/>
      <c r="R549" s="5"/>
      <c r="S549" s="5"/>
      <c r="T549" s="5"/>
      <c r="U549" s="6"/>
      <c r="V549" s="5"/>
      <c r="W549" s="7"/>
      <c r="X549" s="8"/>
      <c r="Y549" s="8"/>
      <c r="Z549" s="2"/>
      <c r="AA549" s="2"/>
      <c r="AB549" s="2"/>
      <c r="AC549" s="2"/>
      <c r="AD549" s="2"/>
    </row>
    <row r="550" ht="12.0" customHeight="1">
      <c r="A550" s="2"/>
      <c r="B550" s="2"/>
      <c r="C550" s="2"/>
      <c r="D550" s="3"/>
      <c r="E550" s="3"/>
      <c r="F550" s="3"/>
      <c r="G550" s="2"/>
      <c r="H550" s="4"/>
      <c r="I550" s="5"/>
      <c r="J550" s="5"/>
      <c r="K550" s="5"/>
      <c r="L550" s="4"/>
      <c r="M550" s="4"/>
      <c r="N550" s="4"/>
      <c r="O550" s="4"/>
      <c r="P550" s="4"/>
      <c r="Q550" s="5"/>
      <c r="R550" s="5"/>
      <c r="S550" s="5"/>
      <c r="T550" s="5"/>
      <c r="U550" s="6"/>
      <c r="V550" s="5"/>
      <c r="W550" s="7"/>
      <c r="X550" s="8"/>
      <c r="Y550" s="8"/>
      <c r="Z550" s="2"/>
      <c r="AA550" s="2"/>
      <c r="AB550" s="2"/>
      <c r="AC550" s="2"/>
      <c r="AD550" s="2"/>
    </row>
    <row r="551" ht="12.0" customHeight="1">
      <c r="A551" s="2"/>
      <c r="B551" s="2"/>
      <c r="C551" s="2"/>
      <c r="D551" s="3"/>
      <c r="E551" s="3"/>
      <c r="F551" s="3"/>
      <c r="G551" s="2"/>
      <c r="H551" s="4"/>
      <c r="I551" s="5"/>
      <c r="J551" s="5"/>
      <c r="K551" s="5"/>
      <c r="L551" s="4"/>
      <c r="M551" s="4"/>
      <c r="N551" s="4"/>
      <c r="O551" s="4"/>
      <c r="P551" s="4"/>
      <c r="Q551" s="5"/>
      <c r="R551" s="5"/>
      <c r="S551" s="5"/>
      <c r="T551" s="5"/>
      <c r="U551" s="6"/>
      <c r="V551" s="5"/>
      <c r="W551" s="7"/>
      <c r="X551" s="8"/>
      <c r="Y551" s="8"/>
      <c r="Z551" s="2"/>
      <c r="AA551" s="2"/>
      <c r="AB551" s="2"/>
      <c r="AC551" s="2"/>
      <c r="AD551" s="2"/>
    </row>
    <row r="552" ht="12.0" customHeight="1">
      <c r="A552" s="2"/>
      <c r="B552" s="2"/>
      <c r="C552" s="2"/>
      <c r="D552" s="3"/>
      <c r="E552" s="3"/>
      <c r="F552" s="3"/>
      <c r="G552" s="2"/>
      <c r="H552" s="4"/>
      <c r="I552" s="5"/>
      <c r="J552" s="5"/>
      <c r="K552" s="5"/>
      <c r="L552" s="4"/>
      <c r="M552" s="4"/>
      <c r="N552" s="4"/>
      <c r="O552" s="4"/>
      <c r="P552" s="4"/>
      <c r="Q552" s="5"/>
      <c r="R552" s="5"/>
      <c r="S552" s="5"/>
      <c r="T552" s="5"/>
      <c r="U552" s="6"/>
      <c r="V552" s="5"/>
      <c r="W552" s="7"/>
      <c r="X552" s="8"/>
      <c r="Y552" s="8"/>
      <c r="Z552" s="2"/>
      <c r="AA552" s="2"/>
      <c r="AB552" s="2"/>
      <c r="AC552" s="2"/>
      <c r="AD552" s="2"/>
    </row>
    <row r="553" ht="12.0" customHeight="1">
      <c r="A553" s="2"/>
      <c r="B553" s="2"/>
      <c r="C553" s="2"/>
      <c r="D553" s="3"/>
      <c r="E553" s="3"/>
      <c r="F553" s="3"/>
      <c r="G553" s="2"/>
      <c r="H553" s="4"/>
      <c r="I553" s="5"/>
      <c r="J553" s="5"/>
      <c r="K553" s="5"/>
      <c r="L553" s="4"/>
      <c r="M553" s="4"/>
      <c r="N553" s="4"/>
      <c r="O553" s="4"/>
      <c r="P553" s="4"/>
      <c r="Q553" s="5"/>
      <c r="R553" s="5"/>
      <c r="S553" s="5"/>
      <c r="T553" s="5"/>
      <c r="U553" s="6"/>
      <c r="V553" s="5"/>
      <c r="W553" s="7"/>
      <c r="X553" s="8"/>
      <c r="Y553" s="8"/>
      <c r="Z553" s="2"/>
      <c r="AA553" s="2"/>
      <c r="AB553" s="2"/>
      <c r="AC553" s="2"/>
      <c r="AD553" s="2"/>
    </row>
    <row r="554" ht="12.0" customHeight="1">
      <c r="A554" s="2"/>
      <c r="B554" s="2"/>
      <c r="C554" s="2"/>
      <c r="D554" s="3"/>
      <c r="E554" s="3"/>
      <c r="F554" s="3"/>
      <c r="G554" s="2"/>
      <c r="H554" s="4"/>
      <c r="I554" s="5"/>
      <c r="J554" s="5"/>
      <c r="K554" s="5"/>
      <c r="L554" s="4"/>
      <c r="M554" s="4"/>
      <c r="N554" s="4"/>
      <c r="O554" s="4"/>
      <c r="P554" s="4"/>
      <c r="Q554" s="5"/>
      <c r="R554" s="5"/>
      <c r="S554" s="5"/>
      <c r="T554" s="5"/>
      <c r="U554" s="6"/>
      <c r="V554" s="5"/>
      <c r="W554" s="7"/>
      <c r="X554" s="8"/>
      <c r="Y554" s="8"/>
      <c r="Z554" s="2"/>
      <c r="AA554" s="2"/>
      <c r="AB554" s="2"/>
      <c r="AC554" s="2"/>
      <c r="AD554" s="2"/>
    </row>
    <row r="555" ht="12.0" customHeight="1">
      <c r="A555" s="2"/>
      <c r="B555" s="2"/>
      <c r="C555" s="2"/>
      <c r="D555" s="3"/>
      <c r="E555" s="3"/>
      <c r="F555" s="3"/>
      <c r="G555" s="2"/>
      <c r="H555" s="4"/>
      <c r="I555" s="5"/>
      <c r="J555" s="5"/>
      <c r="K555" s="5"/>
      <c r="L555" s="4"/>
      <c r="M555" s="4"/>
      <c r="N555" s="4"/>
      <c r="O555" s="4"/>
      <c r="P555" s="4"/>
      <c r="Q555" s="5"/>
      <c r="R555" s="5"/>
      <c r="S555" s="5"/>
      <c r="T555" s="5"/>
      <c r="U555" s="6"/>
      <c r="V555" s="5"/>
      <c r="W555" s="7"/>
      <c r="X555" s="8"/>
      <c r="Y555" s="8"/>
      <c r="Z555" s="2"/>
      <c r="AA555" s="2"/>
      <c r="AB555" s="2"/>
      <c r="AC555" s="2"/>
      <c r="AD555" s="2"/>
    </row>
    <row r="556" ht="12.0" customHeight="1">
      <c r="A556" s="2"/>
      <c r="B556" s="2"/>
      <c r="C556" s="2"/>
      <c r="D556" s="3"/>
      <c r="E556" s="3"/>
      <c r="F556" s="3"/>
      <c r="G556" s="2"/>
      <c r="H556" s="4"/>
      <c r="I556" s="5"/>
      <c r="J556" s="5"/>
      <c r="K556" s="5"/>
      <c r="L556" s="4"/>
      <c r="M556" s="4"/>
      <c r="N556" s="4"/>
      <c r="O556" s="4"/>
      <c r="P556" s="4"/>
      <c r="Q556" s="5"/>
      <c r="R556" s="5"/>
      <c r="S556" s="5"/>
      <c r="T556" s="5"/>
      <c r="U556" s="6"/>
      <c r="V556" s="5"/>
      <c r="W556" s="7"/>
      <c r="X556" s="8"/>
      <c r="Y556" s="8"/>
      <c r="Z556" s="2"/>
      <c r="AA556" s="2"/>
      <c r="AB556" s="2"/>
      <c r="AC556" s="2"/>
      <c r="AD556" s="2"/>
    </row>
    <row r="557" ht="12.0" customHeight="1">
      <c r="A557" s="2"/>
      <c r="B557" s="2"/>
      <c r="C557" s="2"/>
      <c r="D557" s="3"/>
      <c r="E557" s="3"/>
      <c r="F557" s="3"/>
      <c r="G557" s="2"/>
      <c r="H557" s="4"/>
      <c r="I557" s="5"/>
      <c r="J557" s="5"/>
      <c r="K557" s="5"/>
      <c r="L557" s="4"/>
      <c r="M557" s="4"/>
      <c r="N557" s="4"/>
      <c r="O557" s="4"/>
      <c r="P557" s="4"/>
      <c r="Q557" s="5"/>
      <c r="R557" s="5"/>
      <c r="S557" s="5"/>
      <c r="T557" s="5"/>
      <c r="U557" s="6"/>
      <c r="V557" s="5"/>
      <c r="W557" s="7"/>
      <c r="X557" s="8"/>
      <c r="Y557" s="8"/>
      <c r="Z557" s="2"/>
      <c r="AA557" s="2"/>
      <c r="AB557" s="2"/>
      <c r="AC557" s="2"/>
      <c r="AD557" s="2"/>
    </row>
    <row r="558" ht="12.0" customHeight="1">
      <c r="A558" s="2"/>
      <c r="B558" s="2"/>
      <c r="C558" s="2"/>
      <c r="D558" s="3"/>
      <c r="E558" s="3"/>
      <c r="F558" s="3"/>
      <c r="G558" s="2"/>
      <c r="H558" s="4"/>
      <c r="I558" s="5"/>
      <c r="J558" s="5"/>
      <c r="K558" s="5"/>
      <c r="L558" s="4"/>
      <c r="M558" s="4"/>
      <c r="N558" s="4"/>
      <c r="O558" s="4"/>
      <c r="P558" s="4"/>
      <c r="Q558" s="5"/>
      <c r="R558" s="5"/>
      <c r="S558" s="5"/>
      <c r="T558" s="5"/>
      <c r="U558" s="6"/>
      <c r="V558" s="5"/>
      <c r="W558" s="7"/>
      <c r="X558" s="8"/>
      <c r="Y558" s="8"/>
      <c r="Z558" s="2"/>
      <c r="AA558" s="2"/>
      <c r="AB558" s="2"/>
      <c r="AC558" s="2"/>
      <c r="AD558" s="2"/>
    </row>
    <row r="559" ht="12.0" customHeight="1">
      <c r="A559" s="2"/>
      <c r="B559" s="2"/>
      <c r="C559" s="2"/>
      <c r="D559" s="3"/>
      <c r="E559" s="3"/>
      <c r="F559" s="3"/>
      <c r="G559" s="2"/>
      <c r="H559" s="4"/>
      <c r="I559" s="5"/>
      <c r="J559" s="5"/>
      <c r="K559" s="5"/>
      <c r="L559" s="4"/>
      <c r="M559" s="4"/>
      <c r="N559" s="4"/>
      <c r="O559" s="4"/>
      <c r="P559" s="4"/>
      <c r="Q559" s="5"/>
      <c r="R559" s="5"/>
      <c r="S559" s="5"/>
      <c r="T559" s="5"/>
      <c r="U559" s="6"/>
      <c r="V559" s="5"/>
      <c r="W559" s="7"/>
      <c r="X559" s="8"/>
      <c r="Y559" s="8"/>
      <c r="Z559" s="2"/>
      <c r="AA559" s="2"/>
      <c r="AB559" s="2"/>
      <c r="AC559" s="2"/>
      <c r="AD559" s="2"/>
    </row>
    <row r="560" ht="12.0" customHeight="1">
      <c r="A560" s="2"/>
      <c r="B560" s="2"/>
      <c r="C560" s="2"/>
      <c r="D560" s="3"/>
      <c r="E560" s="3"/>
      <c r="F560" s="3"/>
      <c r="G560" s="2"/>
      <c r="H560" s="4"/>
      <c r="I560" s="5"/>
      <c r="J560" s="5"/>
      <c r="K560" s="5"/>
      <c r="L560" s="4"/>
      <c r="M560" s="4"/>
      <c r="N560" s="4"/>
      <c r="O560" s="4"/>
      <c r="P560" s="4"/>
      <c r="Q560" s="5"/>
      <c r="R560" s="5"/>
      <c r="S560" s="5"/>
      <c r="T560" s="5"/>
      <c r="U560" s="6"/>
      <c r="V560" s="5"/>
      <c r="W560" s="7"/>
      <c r="X560" s="8"/>
      <c r="Y560" s="8"/>
      <c r="Z560" s="2"/>
      <c r="AA560" s="2"/>
      <c r="AB560" s="2"/>
      <c r="AC560" s="2"/>
      <c r="AD560" s="2"/>
    </row>
    <row r="561" ht="12.0" customHeight="1">
      <c r="A561" s="2"/>
      <c r="B561" s="2"/>
      <c r="C561" s="2"/>
      <c r="D561" s="3"/>
      <c r="E561" s="3"/>
      <c r="F561" s="3"/>
      <c r="G561" s="2"/>
      <c r="H561" s="4"/>
      <c r="I561" s="5"/>
      <c r="J561" s="5"/>
      <c r="K561" s="5"/>
      <c r="L561" s="4"/>
      <c r="M561" s="4"/>
      <c r="N561" s="4"/>
      <c r="O561" s="4"/>
      <c r="P561" s="4"/>
      <c r="Q561" s="5"/>
      <c r="R561" s="5"/>
      <c r="S561" s="5"/>
      <c r="T561" s="5"/>
      <c r="U561" s="6"/>
      <c r="V561" s="5"/>
      <c r="W561" s="7"/>
      <c r="X561" s="8"/>
      <c r="Y561" s="8"/>
      <c r="Z561" s="2"/>
      <c r="AA561" s="2"/>
      <c r="AB561" s="2"/>
      <c r="AC561" s="2"/>
      <c r="AD561" s="2"/>
    </row>
    <row r="562" ht="12.0" customHeight="1">
      <c r="A562" s="2"/>
      <c r="B562" s="2"/>
      <c r="C562" s="2"/>
      <c r="D562" s="3"/>
      <c r="E562" s="3"/>
      <c r="F562" s="3"/>
      <c r="G562" s="2"/>
      <c r="H562" s="4"/>
      <c r="I562" s="5"/>
      <c r="J562" s="5"/>
      <c r="K562" s="5"/>
      <c r="L562" s="4"/>
      <c r="M562" s="4"/>
      <c r="N562" s="4"/>
      <c r="O562" s="4"/>
      <c r="P562" s="4"/>
      <c r="Q562" s="5"/>
      <c r="R562" s="5"/>
      <c r="S562" s="5"/>
      <c r="T562" s="5"/>
      <c r="U562" s="6"/>
      <c r="V562" s="5"/>
      <c r="W562" s="7"/>
      <c r="X562" s="8"/>
      <c r="Y562" s="8"/>
      <c r="Z562" s="2"/>
      <c r="AA562" s="2"/>
      <c r="AB562" s="2"/>
      <c r="AC562" s="2"/>
      <c r="AD562" s="2"/>
    </row>
    <row r="563" ht="12.0" customHeight="1">
      <c r="A563" s="2"/>
      <c r="B563" s="2"/>
      <c r="C563" s="2"/>
      <c r="D563" s="3"/>
      <c r="E563" s="3"/>
      <c r="F563" s="3"/>
      <c r="G563" s="2"/>
      <c r="H563" s="4"/>
      <c r="I563" s="5"/>
      <c r="J563" s="5"/>
      <c r="K563" s="5"/>
      <c r="L563" s="4"/>
      <c r="M563" s="4"/>
      <c r="N563" s="4"/>
      <c r="O563" s="4"/>
      <c r="P563" s="4"/>
      <c r="Q563" s="5"/>
      <c r="R563" s="5"/>
      <c r="S563" s="5"/>
      <c r="T563" s="5"/>
      <c r="U563" s="6"/>
      <c r="V563" s="5"/>
      <c r="W563" s="7"/>
      <c r="X563" s="8"/>
      <c r="Y563" s="8"/>
      <c r="Z563" s="2"/>
      <c r="AA563" s="2"/>
      <c r="AB563" s="2"/>
      <c r="AC563" s="2"/>
      <c r="AD563" s="2"/>
    </row>
    <row r="564" ht="12.0" customHeight="1">
      <c r="A564" s="2"/>
      <c r="B564" s="2"/>
      <c r="C564" s="2"/>
      <c r="D564" s="3"/>
      <c r="E564" s="3"/>
      <c r="F564" s="3"/>
      <c r="G564" s="2"/>
      <c r="H564" s="4"/>
      <c r="I564" s="5"/>
      <c r="J564" s="5"/>
      <c r="K564" s="5"/>
      <c r="L564" s="4"/>
      <c r="M564" s="4"/>
      <c r="N564" s="4"/>
      <c r="O564" s="4"/>
      <c r="P564" s="4"/>
      <c r="Q564" s="5"/>
      <c r="R564" s="5"/>
      <c r="S564" s="5"/>
      <c r="T564" s="5"/>
      <c r="U564" s="6"/>
      <c r="V564" s="5"/>
      <c r="W564" s="7"/>
      <c r="X564" s="8"/>
      <c r="Y564" s="8"/>
      <c r="Z564" s="2"/>
      <c r="AA564" s="2"/>
      <c r="AB564" s="2"/>
      <c r="AC564" s="2"/>
      <c r="AD564" s="2"/>
    </row>
    <row r="565" ht="12.0" customHeight="1">
      <c r="A565" s="2"/>
      <c r="B565" s="2"/>
      <c r="C565" s="2"/>
      <c r="D565" s="3"/>
      <c r="E565" s="3"/>
      <c r="F565" s="3"/>
      <c r="G565" s="2"/>
      <c r="H565" s="4"/>
      <c r="I565" s="5"/>
      <c r="J565" s="5"/>
      <c r="K565" s="5"/>
      <c r="L565" s="4"/>
      <c r="M565" s="4"/>
      <c r="N565" s="4"/>
      <c r="O565" s="4"/>
      <c r="P565" s="4"/>
      <c r="Q565" s="5"/>
      <c r="R565" s="5"/>
      <c r="S565" s="5"/>
      <c r="T565" s="5"/>
      <c r="U565" s="6"/>
      <c r="V565" s="5"/>
      <c r="W565" s="7"/>
      <c r="X565" s="8"/>
      <c r="Y565" s="8"/>
      <c r="Z565" s="2"/>
      <c r="AA565" s="2"/>
      <c r="AB565" s="2"/>
      <c r="AC565" s="2"/>
      <c r="AD565" s="2"/>
    </row>
    <row r="566" ht="12.0" customHeight="1">
      <c r="A566" s="2"/>
      <c r="B566" s="2"/>
      <c r="C566" s="2"/>
      <c r="D566" s="3"/>
      <c r="E566" s="3"/>
      <c r="F566" s="3"/>
      <c r="G566" s="2"/>
      <c r="H566" s="4"/>
      <c r="I566" s="5"/>
      <c r="J566" s="5"/>
      <c r="K566" s="5"/>
      <c r="L566" s="4"/>
      <c r="M566" s="4"/>
      <c r="N566" s="4"/>
      <c r="O566" s="4"/>
      <c r="P566" s="4"/>
      <c r="Q566" s="5"/>
      <c r="R566" s="5"/>
      <c r="S566" s="5"/>
      <c r="T566" s="5"/>
      <c r="U566" s="6"/>
      <c r="V566" s="5"/>
      <c r="W566" s="7"/>
      <c r="X566" s="8"/>
      <c r="Y566" s="8"/>
      <c r="Z566" s="2"/>
      <c r="AA566" s="2"/>
      <c r="AB566" s="2"/>
      <c r="AC566" s="2"/>
      <c r="AD566" s="2"/>
    </row>
    <row r="567" ht="12.0" customHeight="1">
      <c r="A567" s="2"/>
      <c r="B567" s="2"/>
      <c r="C567" s="2"/>
      <c r="D567" s="3"/>
      <c r="E567" s="3"/>
      <c r="F567" s="3"/>
      <c r="G567" s="2"/>
      <c r="H567" s="4"/>
      <c r="I567" s="5"/>
      <c r="J567" s="5"/>
      <c r="K567" s="5"/>
      <c r="L567" s="4"/>
      <c r="M567" s="4"/>
      <c r="N567" s="4"/>
      <c r="O567" s="4"/>
      <c r="P567" s="4"/>
      <c r="Q567" s="5"/>
      <c r="R567" s="5"/>
      <c r="S567" s="5"/>
      <c r="T567" s="5"/>
      <c r="U567" s="6"/>
      <c r="V567" s="5"/>
      <c r="W567" s="7"/>
      <c r="X567" s="8"/>
      <c r="Y567" s="8"/>
      <c r="Z567" s="2"/>
      <c r="AA567" s="2"/>
      <c r="AB567" s="2"/>
      <c r="AC567" s="2"/>
      <c r="AD567" s="2"/>
    </row>
    <row r="568" ht="12.0" customHeight="1">
      <c r="A568" s="2"/>
      <c r="B568" s="2"/>
      <c r="C568" s="2"/>
      <c r="D568" s="3"/>
      <c r="E568" s="3"/>
      <c r="F568" s="3"/>
      <c r="G568" s="2"/>
      <c r="H568" s="4"/>
      <c r="I568" s="5"/>
      <c r="J568" s="5"/>
      <c r="K568" s="5"/>
      <c r="L568" s="4"/>
      <c r="M568" s="4"/>
      <c r="N568" s="4"/>
      <c r="O568" s="4"/>
      <c r="P568" s="4"/>
      <c r="Q568" s="5"/>
      <c r="R568" s="5"/>
      <c r="S568" s="5"/>
      <c r="T568" s="5"/>
      <c r="U568" s="6"/>
      <c r="V568" s="5"/>
      <c r="W568" s="7"/>
      <c r="X568" s="8"/>
      <c r="Y568" s="8"/>
      <c r="Z568" s="2"/>
      <c r="AA568" s="2"/>
      <c r="AB568" s="2"/>
      <c r="AC568" s="2"/>
      <c r="AD568" s="2"/>
    </row>
    <row r="569" ht="12.0" customHeight="1">
      <c r="A569" s="2"/>
      <c r="B569" s="2"/>
      <c r="C569" s="2"/>
      <c r="D569" s="3"/>
      <c r="E569" s="3"/>
      <c r="F569" s="3"/>
      <c r="G569" s="2"/>
      <c r="H569" s="4"/>
      <c r="I569" s="5"/>
      <c r="J569" s="5"/>
      <c r="K569" s="5"/>
      <c r="L569" s="4"/>
      <c r="M569" s="4"/>
      <c r="N569" s="4"/>
      <c r="O569" s="4"/>
      <c r="P569" s="4"/>
      <c r="Q569" s="5"/>
      <c r="R569" s="5"/>
      <c r="S569" s="5"/>
      <c r="T569" s="5"/>
      <c r="U569" s="6"/>
      <c r="V569" s="5"/>
      <c r="W569" s="7"/>
      <c r="X569" s="8"/>
      <c r="Y569" s="8"/>
      <c r="Z569" s="2"/>
      <c r="AA569" s="2"/>
      <c r="AB569" s="2"/>
      <c r="AC569" s="2"/>
      <c r="AD569" s="2"/>
    </row>
    <row r="570" ht="12.0" customHeight="1">
      <c r="A570" s="2"/>
      <c r="B570" s="2"/>
      <c r="C570" s="2"/>
      <c r="D570" s="3"/>
      <c r="E570" s="3"/>
      <c r="F570" s="3"/>
      <c r="G570" s="2"/>
      <c r="H570" s="4"/>
      <c r="I570" s="5"/>
      <c r="J570" s="5"/>
      <c r="K570" s="5"/>
      <c r="L570" s="4"/>
      <c r="M570" s="4"/>
      <c r="N570" s="4"/>
      <c r="O570" s="4"/>
      <c r="P570" s="4"/>
      <c r="Q570" s="5"/>
      <c r="R570" s="5"/>
      <c r="S570" s="5"/>
      <c r="T570" s="5"/>
      <c r="U570" s="6"/>
      <c r="V570" s="5"/>
      <c r="W570" s="7"/>
      <c r="X570" s="8"/>
      <c r="Y570" s="8"/>
      <c r="Z570" s="2"/>
      <c r="AA570" s="2"/>
      <c r="AB570" s="2"/>
      <c r="AC570" s="2"/>
      <c r="AD570" s="2"/>
    </row>
    <row r="571" ht="12.0" customHeight="1">
      <c r="A571" s="2"/>
      <c r="B571" s="2"/>
      <c r="C571" s="2"/>
      <c r="D571" s="3"/>
      <c r="E571" s="3"/>
      <c r="F571" s="3"/>
      <c r="G571" s="2"/>
      <c r="H571" s="4"/>
      <c r="I571" s="5"/>
      <c r="J571" s="5"/>
      <c r="K571" s="5"/>
      <c r="L571" s="4"/>
      <c r="M571" s="4"/>
      <c r="N571" s="4"/>
      <c r="O571" s="4"/>
      <c r="P571" s="4"/>
      <c r="Q571" s="5"/>
      <c r="R571" s="5"/>
      <c r="S571" s="5"/>
      <c r="T571" s="5"/>
      <c r="U571" s="6"/>
      <c r="V571" s="5"/>
      <c r="W571" s="7"/>
      <c r="X571" s="8"/>
      <c r="Y571" s="8"/>
      <c r="Z571" s="2"/>
      <c r="AA571" s="2"/>
      <c r="AB571" s="2"/>
      <c r="AC571" s="2"/>
      <c r="AD571" s="2"/>
    </row>
    <row r="572" ht="12.0" customHeight="1">
      <c r="A572" s="2"/>
      <c r="B572" s="2"/>
      <c r="C572" s="2"/>
      <c r="D572" s="3"/>
      <c r="E572" s="3"/>
      <c r="F572" s="3"/>
      <c r="G572" s="2"/>
      <c r="H572" s="4"/>
      <c r="I572" s="5"/>
      <c r="J572" s="5"/>
      <c r="K572" s="5"/>
      <c r="L572" s="4"/>
      <c r="M572" s="4"/>
      <c r="N572" s="4"/>
      <c r="O572" s="4"/>
      <c r="P572" s="4"/>
      <c r="Q572" s="5"/>
      <c r="R572" s="5"/>
      <c r="S572" s="5"/>
      <c r="T572" s="5"/>
      <c r="U572" s="6"/>
      <c r="V572" s="5"/>
      <c r="W572" s="7"/>
      <c r="X572" s="8"/>
      <c r="Y572" s="8"/>
      <c r="Z572" s="2"/>
      <c r="AA572" s="2"/>
      <c r="AB572" s="2"/>
      <c r="AC572" s="2"/>
      <c r="AD572" s="2"/>
    </row>
    <row r="573" ht="12.0" customHeight="1">
      <c r="A573" s="2"/>
      <c r="B573" s="2"/>
      <c r="C573" s="2"/>
      <c r="D573" s="3"/>
      <c r="E573" s="3"/>
      <c r="F573" s="3"/>
      <c r="G573" s="2"/>
      <c r="H573" s="4"/>
      <c r="I573" s="5"/>
      <c r="J573" s="5"/>
      <c r="K573" s="5"/>
      <c r="L573" s="4"/>
      <c r="M573" s="4"/>
      <c r="N573" s="4"/>
      <c r="O573" s="4"/>
      <c r="P573" s="4"/>
      <c r="Q573" s="5"/>
      <c r="R573" s="5"/>
      <c r="S573" s="5"/>
      <c r="T573" s="5"/>
      <c r="U573" s="6"/>
      <c r="V573" s="5"/>
      <c r="W573" s="7"/>
      <c r="X573" s="8"/>
      <c r="Y573" s="8"/>
      <c r="Z573" s="2"/>
      <c r="AA573" s="2"/>
      <c r="AB573" s="2"/>
      <c r="AC573" s="2"/>
      <c r="AD573" s="2"/>
    </row>
    <row r="574" ht="12.0" customHeight="1">
      <c r="A574" s="2"/>
      <c r="B574" s="2"/>
      <c r="C574" s="2"/>
      <c r="D574" s="3"/>
      <c r="E574" s="3"/>
      <c r="F574" s="3"/>
      <c r="G574" s="2"/>
      <c r="H574" s="4"/>
      <c r="I574" s="5"/>
      <c r="J574" s="5"/>
      <c r="K574" s="5"/>
      <c r="L574" s="4"/>
      <c r="M574" s="4"/>
      <c r="N574" s="4"/>
      <c r="O574" s="4"/>
      <c r="P574" s="4"/>
      <c r="Q574" s="5"/>
      <c r="R574" s="5"/>
      <c r="S574" s="5"/>
      <c r="T574" s="5"/>
      <c r="U574" s="6"/>
      <c r="V574" s="5"/>
      <c r="W574" s="7"/>
      <c r="X574" s="8"/>
      <c r="Y574" s="8"/>
      <c r="Z574" s="2"/>
      <c r="AA574" s="2"/>
      <c r="AB574" s="2"/>
      <c r="AC574" s="2"/>
      <c r="AD574" s="2"/>
    </row>
    <row r="575" ht="12.0" customHeight="1">
      <c r="A575" s="2"/>
      <c r="B575" s="2"/>
      <c r="C575" s="2"/>
      <c r="D575" s="3"/>
      <c r="E575" s="3"/>
      <c r="F575" s="3"/>
      <c r="G575" s="2"/>
      <c r="H575" s="4"/>
      <c r="I575" s="5"/>
      <c r="J575" s="5"/>
      <c r="K575" s="5"/>
      <c r="L575" s="4"/>
      <c r="M575" s="4"/>
      <c r="N575" s="4"/>
      <c r="O575" s="4"/>
      <c r="P575" s="4"/>
      <c r="Q575" s="5"/>
      <c r="R575" s="5"/>
      <c r="S575" s="5"/>
      <c r="T575" s="5"/>
      <c r="U575" s="6"/>
      <c r="V575" s="5"/>
      <c r="W575" s="7"/>
      <c r="X575" s="8"/>
      <c r="Y575" s="8"/>
      <c r="Z575" s="2"/>
      <c r="AA575" s="2"/>
      <c r="AB575" s="2"/>
      <c r="AC575" s="2"/>
      <c r="AD575" s="2"/>
    </row>
    <row r="576" ht="12.0" customHeight="1">
      <c r="A576" s="2"/>
      <c r="B576" s="2"/>
      <c r="C576" s="2"/>
      <c r="D576" s="3"/>
      <c r="E576" s="3"/>
      <c r="F576" s="3"/>
      <c r="G576" s="2"/>
      <c r="H576" s="4"/>
      <c r="I576" s="5"/>
      <c r="J576" s="5"/>
      <c r="K576" s="5"/>
      <c r="L576" s="4"/>
      <c r="M576" s="4"/>
      <c r="N576" s="4"/>
      <c r="O576" s="4"/>
      <c r="P576" s="4"/>
      <c r="Q576" s="5"/>
      <c r="R576" s="5"/>
      <c r="S576" s="5"/>
      <c r="T576" s="5"/>
      <c r="U576" s="6"/>
      <c r="V576" s="5"/>
      <c r="W576" s="7"/>
      <c r="X576" s="8"/>
      <c r="Y576" s="8"/>
      <c r="Z576" s="2"/>
      <c r="AA576" s="2"/>
      <c r="AB576" s="2"/>
      <c r="AC576" s="2"/>
      <c r="AD576" s="2"/>
    </row>
    <row r="577" ht="12.0" customHeight="1">
      <c r="A577" s="2"/>
      <c r="B577" s="2"/>
      <c r="C577" s="2"/>
      <c r="D577" s="3"/>
      <c r="E577" s="3"/>
      <c r="F577" s="3"/>
      <c r="G577" s="2"/>
      <c r="H577" s="4"/>
      <c r="I577" s="5"/>
      <c r="J577" s="5"/>
      <c r="K577" s="5"/>
      <c r="L577" s="4"/>
      <c r="M577" s="4"/>
      <c r="N577" s="4"/>
      <c r="O577" s="4"/>
      <c r="P577" s="4"/>
      <c r="Q577" s="5"/>
      <c r="R577" s="5"/>
      <c r="S577" s="5"/>
      <c r="T577" s="5"/>
      <c r="U577" s="6"/>
      <c r="V577" s="5"/>
      <c r="W577" s="7"/>
      <c r="X577" s="8"/>
      <c r="Y577" s="8"/>
      <c r="Z577" s="2"/>
      <c r="AA577" s="2"/>
      <c r="AB577" s="2"/>
      <c r="AC577" s="2"/>
      <c r="AD577" s="2"/>
    </row>
    <row r="578" ht="12.0" customHeight="1">
      <c r="A578" s="2"/>
      <c r="B578" s="2"/>
      <c r="C578" s="2"/>
      <c r="D578" s="3"/>
      <c r="E578" s="3"/>
      <c r="F578" s="3"/>
      <c r="G578" s="2"/>
      <c r="H578" s="4"/>
      <c r="I578" s="5"/>
      <c r="J578" s="5"/>
      <c r="K578" s="5"/>
      <c r="L578" s="4"/>
      <c r="M578" s="4"/>
      <c r="N578" s="4"/>
      <c r="O578" s="4"/>
      <c r="P578" s="4"/>
      <c r="Q578" s="5"/>
      <c r="R578" s="5"/>
      <c r="S578" s="5"/>
      <c r="T578" s="5"/>
      <c r="U578" s="6"/>
      <c r="V578" s="5"/>
      <c r="W578" s="7"/>
      <c r="X578" s="8"/>
      <c r="Y578" s="8"/>
      <c r="Z578" s="2"/>
      <c r="AA578" s="2"/>
      <c r="AB578" s="2"/>
      <c r="AC578" s="2"/>
      <c r="AD578" s="2"/>
    </row>
    <row r="579" ht="12.0" customHeight="1">
      <c r="A579" s="2"/>
      <c r="B579" s="2"/>
      <c r="C579" s="2"/>
      <c r="D579" s="3"/>
      <c r="E579" s="3"/>
      <c r="F579" s="3"/>
      <c r="G579" s="2"/>
      <c r="H579" s="4"/>
      <c r="I579" s="5"/>
      <c r="J579" s="5"/>
      <c r="K579" s="5"/>
      <c r="L579" s="4"/>
      <c r="M579" s="4"/>
      <c r="N579" s="4"/>
      <c r="O579" s="4"/>
      <c r="P579" s="4"/>
      <c r="Q579" s="5"/>
      <c r="R579" s="5"/>
      <c r="S579" s="5"/>
      <c r="T579" s="5"/>
      <c r="U579" s="6"/>
      <c r="V579" s="5"/>
      <c r="W579" s="7"/>
      <c r="X579" s="8"/>
      <c r="Y579" s="8"/>
      <c r="Z579" s="2"/>
      <c r="AA579" s="2"/>
      <c r="AB579" s="2"/>
      <c r="AC579" s="2"/>
      <c r="AD579" s="2"/>
    </row>
    <row r="580" ht="12.0" customHeight="1">
      <c r="A580" s="2"/>
      <c r="B580" s="2"/>
      <c r="C580" s="2"/>
      <c r="D580" s="3"/>
      <c r="E580" s="3"/>
      <c r="F580" s="3"/>
      <c r="G580" s="2"/>
      <c r="H580" s="4"/>
      <c r="I580" s="5"/>
      <c r="J580" s="5"/>
      <c r="K580" s="5"/>
      <c r="L580" s="4"/>
      <c r="M580" s="4"/>
      <c r="N580" s="4"/>
      <c r="O580" s="4"/>
      <c r="P580" s="4"/>
      <c r="Q580" s="5"/>
      <c r="R580" s="5"/>
      <c r="S580" s="5"/>
      <c r="T580" s="5"/>
      <c r="U580" s="6"/>
      <c r="V580" s="5"/>
      <c r="W580" s="7"/>
      <c r="X580" s="8"/>
      <c r="Y580" s="8"/>
      <c r="Z580" s="2"/>
      <c r="AA580" s="2"/>
      <c r="AB580" s="2"/>
      <c r="AC580" s="2"/>
      <c r="AD580" s="2"/>
    </row>
    <row r="581" ht="12.0" customHeight="1">
      <c r="A581" s="2"/>
      <c r="B581" s="2"/>
      <c r="C581" s="2"/>
      <c r="D581" s="3"/>
      <c r="E581" s="3"/>
      <c r="F581" s="3"/>
      <c r="G581" s="2"/>
      <c r="H581" s="4"/>
      <c r="I581" s="5"/>
      <c r="J581" s="5"/>
      <c r="K581" s="5"/>
      <c r="L581" s="4"/>
      <c r="M581" s="4"/>
      <c r="N581" s="4"/>
      <c r="O581" s="4"/>
      <c r="P581" s="4"/>
      <c r="Q581" s="5"/>
      <c r="R581" s="5"/>
      <c r="S581" s="5"/>
      <c r="T581" s="5"/>
      <c r="U581" s="6"/>
      <c r="V581" s="5"/>
      <c r="W581" s="7"/>
      <c r="X581" s="8"/>
      <c r="Y581" s="8"/>
      <c r="Z581" s="2"/>
      <c r="AA581" s="2"/>
      <c r="AB581" s="2"/>
      <c r="AC581" s="2"/>
      <c r="AD581" s="2"/>
    </row>
    <row r="582" ht="12.0" customHeight="1">
      <c r="A582" s="2"/>
      <c r="B582" s="2"/>
      <c r="C582" s="2"/>
      <c r="D582" s="3"/>
      <c r="E582" s="3"/>
      <c r="F582" s="3"/>
      <c r="G582" s="2"/>
      <c r="H582" s="4"/>
      <c r="I582" s="5"/>
      <c r="J582" s="5"/>
      <c r="K582" s="5"/>
      <c r="L582" s="4"/>
      <c r="M582" s="4"/>
      <c r="N582" s="4"/>
      <c r="O582" s="4"/>
      <c r="P582" s="4"/>
      <c r="Q582" s="5"/>
      <c r="R582" s="5"/>
      <c r="S582" s="5"/>
      <c r="T582" s="5"/>
      <c r="U582" s="6"/>
      <c r="V582" s="5"/>
      <c r="W582" s="7"/>
      <c r="X582" s="8"/>
      <c r="Y582" s="8"/>
      <c r="Z582" s="2"/>
      <c r="AA582" s="2"/>
      <c r="AB582" s="2"/>
      <c r="AC582" s="2"/>
      <c r="AD582" s="2"/>
    </row>
    <row r="583" ht="12.0" customHeight="1">
      <c r="A583" s="2"/>
      <c r="B583" s="2"/>
      <c r="C583" s="2"/>
      <c r="D583" s="3"/>
      <c r="E583" s="3"/>
      <c r="F583" s="3"/>
      <c r="G583" s="2"/>
      <c r="H583" s="4"/>
      <c r="I583" s="5"/>
      <c r="J583" s="5"/>
      <c r="K583" s="5"/>
      <c r="L583" s="4"/>
      <c r="M583" s="4"/>
      <c r="N583" s="4"/>
      <c r="O583" s="4"/>
      <c r="P583" s="4"/>
      <c r="Q583" s="5"/>
      <c r="R583" s="5"/>
      <c r="S583" s="5"/>
      <c r="T583" s="5"/>
      <c r="U583" s="6"/>
      <c r="V583" s="5"/>
      <c r="W583" s="7"/>
      <c r="X583" s="8"/>
      <c r="Y583" s="8"/>
      <c r="Z583" s="2"/>
      <c r="AA583" s="2"/>
      <c r="AB583" s="2"/>
      <c r="AC583" s="2"/>
      <c r="AD583" s="2"/>
    </row>
    <row r="584" ht="12.0" customHeight="1">
      <c r="A584" s="2"/>
      <c r="B584" s="2"/>
      <c r="C584" s="2"/>
      <c r="D584" s="3"/>
      <c r="E584" s="3"/>
      <c r="F584" s="3"/>
      <c r="G584" s="2"/>
      <c r="H584" s="4"/>
      <c r="I584" s="5"/>
      <c r="J584" s="5"/>
      <c r="K584" s="5"/>
      <c r="L584" s="4"/>
      <c r="M584" s="4"/>
      <c r="N584" s="4"/>
      <c r="O584" s="4"/>
      <c r="P584" s="4"/>
      <c r="Q584" s="5"/>
      <c r="R584" s="5"/>
      <c r="S584" s="5"/>
      <c r="T584" s="5"/>
      <c r="U584" s="6"/>
      <c r="V584" s="5"/>
      <c r="W584" s="7"/>
      <c r="X584" s="8"/>
      <c r="Y584" s="8"/>
      <c r="Z584" s="2"/>
      <c r="AA584" s="2"/>
      <c r="AB584" s="2"/>
      <c r="AC584" s="2"/>
      <c r="AD584" s="2"/>
    </row>
    <row r="585" ht="12.0" customHeight="1">
      <c r="A585" s="2"/>
      <c r="B585" s="2"/>
      <c r="C585" s="2"/>
      <c r="D585" s="3"/>
      <c r="E585" s="3"/>
      <c r="F585" s="3"/>
      <c r="G585" s="2"/>
      <c r="H585" s="4"/>
      <c r="I585" s="5"/>
      <c r="J585" s="5"/>
      <c r="K585" s="5"/>
      <c r="L585" s="4"/>
      <c r="M585" s="4"/>
      <c r="N585" s="4"/>
      <c r="O585" s="4"/>
      <c r="P585" s="4"/>
      <c r="Q585" s="5"/>
      <c r="R585" s="5"/>
      <c r="S585" s="5"/>
      <c r="T585" s="5"/>
      <c r="U585" s="6"/>
      <c r="V585" s="5"/>
      <c r="W585" s="7"/>
      <c r="X585" s="8"/>
      <c r="Y585" s="8"/>
      <c r="Z585" s="2"/>
      <c r="AA585" s="2"/>
      <c r="AB585" s="2"/>
      <c r="AC585" s="2"/>
      <c r="AD585" s="2"/>
    </row>
    <row r="586" ht="12.0" customHeight="1">
      <c r="A586" s="2"/>
      <c r="B586" s="2"/>
      <c r="C586" s="2"/>
      <c r="D586" s="3"/>
      <c r="E586" s="3"/>
      <c r="F586" s="3"/>
      <c r="G586" s="2"/>
      <c r="H586" s="4"/>
      <c r="I586" s="5"/>
      <c r="J586" s="5"/>
      <c r="K586" s="5"/>
      <c r="L586" s="4"/>
      <c r="M586" s="4"/>
      <c r="N586" s="4"/>
      <c r="O586" s="4"/>
      <c r="P586" s="4"/>
      <c r="Q586" s="5"/>
      <c r="R586" s="5"/>
      <c r="S586" s="5"/>
      <c r="T586" s="5"/>
      <c r="U586" s="6"/>
      <c r="V586" s="5"/>
      <c r="W586" s="7"/>
      <c r="X586" s="8"/>
      <c r="Y586" s="8"/>
      <c r="Z586" s="2"/>
      <c r="AA586" s="2"/>
      <c r="AB586" s="2"/>
      <c r="AC586" s="2"/>
      <c r="AD586" s="2"/>
    </row>
    <row r="587" ht="12.0" customHeight="1">
      <c r="A587" s="2"/>
      <c r="B587" s="2"/>
      <c r="C587" s="2"/>
      <c r="D587" s="3"/>
      <c r="E587" s="3"/>
      <c r="F587" s="3"/>
      <c r="G587" s="2"/>
      <c r="H587" s="4"/>
      <c r="I587" s="5"/>
      <c r="J587" s="5"/>
      <c r="K587" s="5"/>
      <c r="L587" s="4"/>
      <c r="M587" s="4"/>
      <c r="N587" s="4"/>
      <c r="O587" s="4"/>
      <c r="P587" s="4"/>
      <c r="Q587" s="5"/>
      <c r="R587" s="5"/>
      <c r="S587" s="5"/>
      <c r="T587" s="5"/>
      <c r="U587" s="6"/>
      <c r="V587" s="5"/>
      <c r="W587" s="7"/>
      <c r="X587" s="8"/>
      <c r="Y587" s="8"/>
      <c r="Z587" s="2"/>
      <c r="AA587" s="2"/>
      <c r="AB587" s="2"/>
      <c r="AC587" s="2"/>
      <c r="AD587" s="2"/>
    </row>
    <row r="588" ht="12.0" customHeight="1">
      <c r="A588" s="2"/>
      <c r="B588" s="2"/>
      <c r="C588" s="2"/>
      <c r="D588" s="3"/>
      <c r="E588" s="3"/>
      <c r="F588" s="3"/>
      <c r="G588" s="2"/>
      <c r="H588" s="4"/>
      <c r="I588" s="5"/>
      <c r="J588" s="5"/>
      <c r="K588" s="5"/>
      <c r="L588" s="4"/>
      <c r="M588" s="4"/>
      <c r="N588" s="4"/>
      <c r="O588" s="4"/>
      <c r="P588" s="4"/>
      <c r="Q588" s="5"/>
      <c r="R588" s="5"/>
      <c r="S588" s="5"/>
      <c r="T588" s="5"/>
      <c r="U588" s="6"/>
      <c r="V588" s="5"/>
      <c r="W588" s="7"/>
      <c r="X588" s="8"/>
      <c r="Y588" s="8"/>
      <c r="Z588" s="2"/>
      <c r="AA588" s="2"/>
      <c r="AB588" s="2"/>
      <c r="AC588" s="2"/>
      <c r="AD588" s="2"/>
    </row>
    <row r="589" ht="12.0" customHeight="1">
      <c r="A589" s="2"/>
      <c r="B589" s="2"/>
      <c r="C589" s="2"/>
      <c r="D589" s="3"/>
      <c r="E589" s="3"/>
      <c r="F589" s="3"/>
      <c r="G589" s="2"/>
      <c r="H589" s="4"/>
      <c r="I589" s="5"/>
      <c r="J589" s="5"/>
      <c r="K589" s="5"/>
      <c r="L589" s="4"/>
      <c r="M589" s="4"/>
      <c r="N589" s="4"/>
      <c r="O589" s="4"/>
      <c r="P589" s="4"/>
      <c r="Q589" s="5"/>
      <c r="R589" s="5"/>
      <c r="S589" s="5"/>
      <c r="T589" s="5"/>
      <c r="U589" s="6"/>
      <c r="V589" s="5"/>
      <c r="W589" s="7"/>
      <c r="X589" s="8"/>
      <c r="Y589" s="8"/>
      <c r="Z589" s="2"/>
      <c r="AA589" s="2"/>
      <c r="AB589" s="2"/>
      <c r="AC589" s="2"/>
      <c r="AD589" s="2"/>
    </row>
    <row r="590" ht="12.0" customHeight="1">
      <c r="A590" s="2"/>
      <c r="B590" s="2"/>
      <c r="C590" s="2"/>
      <c r="D590" s="3"/>
      <c r="E590" s="3"/>
      <c r="F590" s="3"/>
      <c r="G590" s="2"/>
      <c r="H590" s="4"/>
      <c r="I590" s="5"/>
      <c r="J590" s="5"/>
      <c r="K590" s="5"/>
      <c r="L590" s="4"/>
      <c r="M590" s="4"/>
      <c r="N590" s="4"/>
      <c r="O590" s="4"/>
      <c r="P590" s="4"/>
      <c r="Q590" s="5"/>
      <c r="R590" s="5"/>
      <c r="S590" s="5"/>
      <c r="T590" s="5"/>
      <c r="U590" s="6"/>
      <c r="V590" s="5"/>
      <c r="W590" s="7"/>
      <c r="X590" s="8"/>
      <c r="Y590" s="8"/>
      <c r="Z590" s="2"/>
      <c r="AA590" s="2"/>
      <c r="AB590" s="2"/>
      <c r="AC590" s="2"/>
      <c r="AD590" s="2"/>
    </row>
    <row r="591" ht="12.0" customHeight="1">
      <c r="A591" s="2"/>
      <c r="B591" s="2"/>
      <c r="C591" s="2"/>
      <c r="D591" s="3"/>
      <c r="E591" s="3"/>
      <c r="F591" s="3"/>
      <c r="G591" s="2"/>
      <c r="H591" s="4"/>
      <c r="I591" s="5"/>
      <c r="J591" s="5"/>
      <c r="K591" s="5"/>
      <c r="L591" s="4"/>
      <c r="M591" s="4"/>
      <c r="N591" s="4"/>
      <c r="O591" s="4"/>
      <c r="P591" s="4"/>
      <c r="Q591" s="5"/>
      <c r="R591" s="5"/>
      <c r="S591" s="5"/>
      <c r="T591" s="5"/>
      <c r="U591" s="6"/>
      <c r="V591" s="5"/>
      <c r="W591" s="7"/>
      <c r="X591" s="8"/>
      <c r="Y591" s="8"/>
      <c r="Z591" s="2"/>
      <c r="AA591" s="2"/>
      <c r="AB591" s="2"/>
      <c r="AC591" s="2"/>
      <c r="AD591" s="2"/>
    </row>
    <row r="592" ht="12.0" customHeight="1">
      <c r="A592" s="2"/>
      <c r="B592" s="2"/>
      <c r="C592" s="2"/>
      <c r="D592" s="3"/>
      <c r="E592" s="3"/>
      <c r="F592" s="3"/>
      <c r="G592" s="2"/>
      <c r="H592" s="4"/>
      <c r="I592" s="5"/>
      <c r="J592" s="5"/>
      <c r="K592" s="5"/>
      <c r="L592" s="4"/>
      <c r="M592" s="4"/>
      <c r="N592" s="4"/>
      <c r="O592" s="4"/>
      <c r="P592" s="4"/>
      <c r="Q592" s="5"/>
      <c r="R592" s="5"/>
      <c r="S592" s="5"/>
      <c r="T592" s="5"/>
      <c r="U592" s="6"/>
      <c r="V592" s="5"/>
      <c r="W592" s="7"/>
      <c r="X592" s="8"/>
      <c r="Y592" s="8"/>
      <c r="Z592" s="2"/>
      <c r="AA592" s="2"/>
      <c r="AB592" s="2"/>
      <c r="AC592" s="2"/>
      <c r="AD592" s="2"/>
    </row>
    <row r="593" ht="12.0" customHeight="1">
      <c r="A593" s="2"/>
      <c r="B593" s="2"/>
      <c r="C593" s="2"/>
      <c r="D593" s="3"/>
      <c r="E593" s="3"/>
      <c r="F593" s="3"/>
      <c r="G593" s="2"/>
      <c r="H593" s="4"/>
      <c r="I593" s="5"/>
      <c r="J593" s="5"/>
      <c r="K593" s="5"/>
      <c r="L593" s="4"/>
      <c r="M593" s="4"/>
      <c r="N593" s="4"/>
      <c r="O593" s="4"/>
      <c r="P593" s="4"/>
      <c r="Q593" s="5"/>
      <c r="R593" s="5"/>
      <c r="S593" s="5"/>
      <c r="T593" s="5"/>
      <c r="U593" s="6"/>
      <c r="V593" s="5"/>
      <c r="W593" s="7"/>
      <c r="X593" s="8"/>
      <c r="Y593" s="8"/>
      <c r="Z593" s="2"/>
      <c r="AA593" s="2"/>
      <c r="AB593" s="2"/>
      <c r="AC593" s="2"/>
      <c r="AD593" s="2"/>
    </row>
    <row r="594" ht="12.0" customHeight="1">
      <c r="A594" s="2"/>
      <c r="B594" s="2"/>
      <c r="C594" s="2"/>
      <c r="D594" s="3"/>
      <c r="E594" s="3"/>
      <c r="F594" s="3"/>
      <c r="G594" s="2"/>
      <c r="H594" s="4"/>
      <c r="I594" s="5"/>
      <c r="J594" s="5"/>
      <c r="K594" s="5"/>
      <c r="L594" s="4"/>
      <c r="M594" s="4"/>
      <c r="N594" s="4"/>
      <c r="O594" s="4"/>
      <c r="P594" s="4"/>
      <c r="Q594" s="5"/>
      <c r="R594" s="5"/>
      <c r="S594" s="5"/>
      <c r="T594" s="5"/>
      <c r="U594" s="6"/>
      <c r="V594" s="5"/>
      <c r="W594" s="7"/>
      <c r="X594" s="8"/>
      <c r="Y594" s="8"/>
      <c r="Z594" s="2"/>
      <c r="AA594" s="2"/>
      <c r="AB594" s="2"/>
      <c r="AC594" s="2"/>
      <c r="AD594" s="2"/>
    </row>
    <row r="595" ht="12.0" customHeight="1">
      <c r="A595" s="2"/>
      <c r="B595" s="2"/>
      <c r="C595" s="2"/>
      <c r="D595" s="3"/>
      <c r="E595" s="3"/>
      <c r="F595" s="3"/>
      <c r="G595" s="2"/>
      <c r="H595" s="4"/>
      <c r="I595" s="5"/>
      <c r="J595" s="5"/>
      <c r="K595" s="5"/>
      <c r="L595" s="4"/>
      <c r="M595" s="4"/>
      <c r="N595" s="4"/>
      <c r="O595" s="4"/>
      <c r="P595" s="4"/>
      <c r="Q595" s="5"/>
      <c r="R595" s="5"/>
      <c r="S595" s="5"/>
      <c r="T595" s="5"/>
      <c r="U595" s="6"/>
      <c r="V595" s="5"/>
      <c r="W595" s="7"/>
      <c r="X595" s="8"/>
      <c r="Y595" s="8"/>
      <c r="Z595" s="2"/>
      <c r="AA595" s="2"/>
      <c r="AB595" s="2"/>
      <c r="AC595" s="2"/>
      <c r="AD595" s="2"/>
    </row>
    <row r="596" ht="12.0" customHeight="1">
      <c r="A596" s="2"/>
      <c r="B596" s="2"/>
      <c r="C596" s="2"/>
      <c r="D596" s="3"/>
      <c r="E596" s="3"/>
      <c r="F596" s="3"/>
      <c r="G596" s="2"/>
      <c r="H596" s="4"/>
      <c r="I596" s="5"/>
      <c r="J596" s="5"/>
      <c r="K596" s="5"/>
      <c r="L596" s="4"/>
      <c r="M596" s="4"/>
      <c r="N596" s="4"/>
      <c r="O596" s="4"/>
      <c r="P596" s="4"/>
      <c r="Q596" s="5"/>
      <c r="R596" s="5"/>
      <c r="S596" s="5"/>
      <c r="T596" s="5"/>
      <c r="U596" s="6"/>
      <c r="V596" s="5"/>
      <c r="W596" s="7"/>
      <c r="X596" s="8"/>
      <c r="Y596" s="8"/>
      <c r="Z596" s="2"/>
      <c r="AA596" s="2"/>
      <c r="AB596" s="2"/>
      <c r="AC596" s="2"/>
      <c r="AD596" s="2"/>
    </row>
    <row r="597" ht="12.0" customHeight="1">
      <c r="A597" s="2"/>
      <c r="B597" s="2"/>
      <c r="C597" s="2"/>
      <c r="D597" s="3"/>
      <c r="E597" s="3"/>
      <c r="F597" s="3"/>
      <c r="G597" s="2"/>
      <c r="H597" s="4"/>
      <c r="I597" s="5"/>
      <c r="J597" s="5"/>
      <c r="K597" s="5"/>
      <c r="L597" s="4"/>
      <c r="M597" s="4"/>
      <c r="N597" s="4"/>
      <c r="O597" s="4"/>
      <c r="P597" s="4"/>
      <c r="Q597" s="5"/>
      <c r="R597" s="5"/>
      <c r="S597" s="5"/>
      <c r="T597" s="5"/>
      <c r="U597" s="6"/>
      <c r="V597" s="5"/>
      <c r="W597" s="7"/>
      <c r="X597" s="8"/>
      <c r="Y597" s="8"/>
      <c r="Z597" s="2"/>
      <c r="AA597" s="2"/>
      <c r="AB597" s="2"/>
      <c r="AC597" s="2"/>
      <c r="AD597" s="2"/>
    </row>
    <row r="598" ht="12.0" customHeight="1">
      <c r="A598" s="2"/>
      <c r="B598" s="2"/>
      <c r="C598" s="2"/>
      <c r="D598" s="3"/>
      <c r="E598" s="3"/>
      <c r="F598" s="3"/>
      <c r="G598" s="2"/>
      <c r="H598" s="4"/>
      <c r="I598" s="5"/>
      <c r="J598" s="5"/>
      <c r="K598" s="5"/>
      <c r="L598" s="4"/>
      <c r="M598" s="4"/>
      <c r="N598" s="4"/>
      <c r="O598" s="4"/>
      <c r="P598" s="4"/>
      <c r="Q598" s="5"/>
      <c r="R598" s="5"/>
      <c r="S598" s="5"/>
      <c r="T598" s="5"/>
      <c r="U598" s="6"/>
      <c r="V598" s="5"/>
      <c r="W598" s="7"/>
      <c r="X598" s="8"/>
      <c r="Y598" s="8"/>
      <c r="Z598" s="2"/>
      <c r="AA598" s="2"/>
      <c r="AB598" s="2"/>
      <c r="AC598" s="2"/>
      <c r="AD598" s="2"/>
    </row>
    <row r="599" ht="12.0" customHeight="1">
      <c r="A599" s="2"/>
      <c r="B599" s="2"/>
      <c r="C599" s="2"/>
      <c r="D599" s="3"/>
      <c r="E599" s="3"/>
      <c r="F599" s="3"/>
      <c r="G599" s="2"/>
      <c r="H599" s="4"/>
      <c r="I599" s="5"/>
      <c r="J599" s="5"/>
      <c r="K599" s="5"/>
      <c r="L599" s="4"/>
      <c r="M599" s="4"/>
      <c r="N599" s="4"/>
      <c r="O599" s="4"/>
      <c r="P599" s="4"/>
      <c r="Q599" s="5"/>
      <c r="R599" s="5"/>
      <c r="S599" s="5"/>
      <c r="T599" s="5"/>
      <c r="U599" s="6"/>
      <c r="V599" s="5"/>
      <c r="W599" s="7"/>
      <c r="X599" s="8"/>
      <c r="Y599" s="8"/>
      <c r="Z599" s="2"/>
      <c r="AA599" s="2"/>
      <c r="AB599" s="2"/>
      <c r="AC599" s="2"/>
      <c r="AD599" s="2"/>
    </row>
    <row r="600" ht="12.0" customHeight="1">
      <c r="A600" s="2"/>
      <c r="B600" s="2"/>
      <c r="C600" s="2"/>
      <c r="D600" s="3"/>
      <c r="E600" s="3"/>
      <c r="F600" s="3"/>
      <c r="G600" s="2"/>
      <c r="H600" s="4"/>
      <c r="I600" s="5"/>
      <c r="J600" s="5"/>
      <c r="K600" s="5"/>
      <c r="L600" s="4"/>
      <c r="M600" s="4"/>
      <c r="N600" s="4"/>
      <c r="O600" s="4"/>
      <c r="P600" s="4"/>
      <c r="Q600" s="5"/>
      <c r="R600" s="5"/>
      <c r="S600" s="5"/>
      <c r="T600" s="5"/>
      <c r="U600" s="6"/>
      <c r="V600" s="5"/>
      <c r="W600" s="7"/>
      <c r="X600" s="8"/>
      <c r="Y600" s="8"/>
      <c r="Z600" s="2"/>
      <c r="AA600" s="2"/>
      <c r="AB600" s="2"/>
      <c r="AC600" s="2"/>
      <c r="AD600" s="2"/>
    </row>
    <row r="601" ht="12.0" customHeight="1">
      <c r="A601" s="2"/>
      <c r="B601" s="2"/>
      <c r="C601" s="2"/>
      <c r="D601" s="3"/>
      <c r="E601" s="3"/>
      <c r="F601" s="3"/>
      <c r="G601" s="2"/>
      <c r="H601" s="4"/>
      <c r="I601" s="5"/>
      <c r="J601" s="5"/>
      <c r="K601" s="5"/>
      <c r="L601" s="4"/>
      <c r="M601" s="4"/>
      <c r="N601" s="4"/>
      <c r="O601" s="4"/>
      <c r="P601" s="4"/>
      <c r="Q601" s="5"/>
      <c r="R601" s="5"/>
      <c r="S601" s="5"/>
      <c r="T601" s="5"/>
      <c r="U601" s="6"/>
      <c r="V601" s="5"/>
      <c r="W601" s="7"/>
      <c r="X601" s="8"/>
      <c r="Y601" s="8"/>
      <c r="Z601" s="2"/>
      <c r="AA601" s="2"/>
      <c r="AB601" s="2"/>
      <c r="AC601" s="2"/>
      <c r="AD601" s="2"/>
    </row>
    <row r="602" ht="12.0" customHeight="1">
      <c r="A602" s="2"/>
      <c r="B602" s="2"/>
      <c r="C602" s="2"/>
      <c r="D602" s="3"/>
      <c r="E602" s="3"/>
      <c r="F602" s="3"/>
      <c r="G602" s="2"/>
      <c r="H602" s="4"/>
      <c r="I602" s="5"/>
      <c r="J602" s="5"/>
      <c r="K602" s="5"/>
      <c r="L602" s="4"/>
      <c r="M602" s="4"/>
      <c r="N602" s="4"/>
      <c r="O602" s="4"/>
      <c r="P602" s="4"/>
      <c r="Q602" s="5"/>
      <c r="R602" s="5"/>
      <c r="S602" s="5"/>
      <c r="T602" s="5"/>
      <c r="U602" s="6"/>
      <c r="V602" s="5"/>
      <c r="W602" s="7"/>
      <c r="X602" s="8"/>
      <c r="Y602" s="8"/>
      <c r="Z602" s="2"/>
      <c r="AA602" s="2"/>
      <c r="AB602" s="2"/>
      <c r="AC602" s="2"/>
      <c r="AD602" s="2"/>
    </row>
    <row r="603" ht="12.0" customHeight="1">
      <c r="A603" s="2"/>
      <c r="B603" s="2"/>
      <c r="C603" s="2"/>
      <c r="D603" s="3"/>
      <c r="E603" s="3"/>
      <c r="F603" s="3"/>
      <c r="G603" s="2"/>
      <c r="H603" s="4"/>
      <c r="I603" s="5"/>
      <c r="J603" s="5"/>
      <c r="K603" s="5"/>
      <c r="L603" s="4"/>
      <c r="M603" s="4"/>
      <c r="N603" s="4"/>
      <c r="O603" s="4"/>
      <c r="P603" s="4"/>
      <c r="Q603" s="5"/>
      <c r="R603" s="5"/>
      <c r="S603" s="5"/>
      <c r="T603" s="5"/>
      <c r="U603" s="6"/>
      <c r="V603" s="5"/>
      <c r="W603" s="7"/>
      <c r="X603" s="8"/>
      <c r="Y603" s="8"/>
      <c r="Z603" s="2"/>
      <c r="AA603" s="2"/>
      <c r="AB603" s="2"/>
      <c r="AC603" s="2"/>
      <c r="AD603" s="2"/>
    </row>
    <row r="604" ht="12.0" customHeight="1">
      <c r="A604" s="2"/>
      <c r="B604" s="2"/>
      <c r="C604" s="2"/>
      <c r="D604" s="3"/>
      <c r="E604" s="3"/>
      <c r="F604" s="3"/>
      <c r="G604" s="2"/>
      <c r="H604" s="4"/>
      <c r="I604" s="5"/>
      <c r="J604" s="5"/>
      <c r="K604" s="5"/>
      <c r="L604" s="4"/>
      <c r="M604" s="4"/>
      <c r="N604" s="4"/>
      <c r="O604" s="4"/>
      <c r="P604" s="4"/>
      <c r="Q604" s="5"/>
      <c r="R604" s="5"/>
      <c r="S604" s="5"/>
      <c r="T604" s="5"/>
      <c r="U604" s="6"/>
      <c r="V604" s="5"/>
      <c r="W604" s="7"/>
      <c r="X604" s="8"/>
      <c r="Y604" s="8"/>
      <c r="Z604" s="2"/>
      <c r="AA604" s="2"/>
      <c r="AB604" s="2"/>
      <c r="AC604" s="2"/>
      <c r="AD604" s="2"/>
    </row>
    <row r="605" ht="12.0" customHeight="1">
      <c r="A605" s="2"/>
      <c r="B605" s="2"/>
      <c r="C605" s="2"/>
      <c r="D605" s="3"/>
      <c r="E605" s="3"/>
      <c r="F605" s="3"/>
      <c r="G605" s="2"/>
      <c r="H605" s="4"/>
      <c r="I605" s="5"/>
      <c r="J605" s="5"/>
      <c r="K605" s="5"/>
      <c r="L605" s="4"/>
      <c r="M605" s="4"/>
      <c r="N605" s="4"/>
      <c r="O605" s="4"/>
      <c r="P605" s="4"/>
      <c r="Q605" s="5"/>
      <c r="R605" s="5"/>
      <c r="S605" s="5"/>
      <c r="T605" s="5"/>
      <c r="U605" s="6"/>
      <c r="V605" s="5"/>
      <c r="W605" s="7"/>
      <c r="X605" s="8"/>
      <c r="Y605" s="8"/>
      <c r="Z605" s="2"/>
      <c r="AA605" s="2"/>
      <c r="AB605" s="2"/>
      <c r="AC605" s="2"/>
      <c r="AD605" s="2"/>
    </row>
    <row r="606" ht="12.0" customHeight="1">
      <c r="A606" s="2"/>
      <c r="B606" s="2"/>
      <c r="C606" s="2"/>
      <c r="D606" s="3"/>
      <c r="E606" s="3"/>
      <c r="F606" s="3"/>
      <c r="G606" s="2"/>
      <c r="H606" s="4"/>
      <c r="I606" s="5"/>
      <c r="J606" s="5"/>
      <c r="K606" s="5"/>
      <c r="L606" s="4"/>
      <c r="M606" s="4"/>
      <c r="N606" s="4"/>
      <c r="O606" s="4"/>
      <c r="P606" s="4"/>
      <c r="Q606" s="5"/>
      <c r="R606" s="5"/>
      <c r="S606" s="5"/>
      <c r="T606" s="5"/>
      <c r="U606" s="6"/>
      <c r="V606" s="5"/>
      <c r="W606" s="7"/>
      <c r="X606" s="8"/>
      <c r="Y606" s="8"/>
      <c r="Z606" s="2"/>
      <c r="AA606" s="2"/>
      <c r="AB606" s="2"/>
      <c r="AC606" s="2"/>
      <c r="AD606" s="2"/>
    </row>
    <row r="607" ht="12.0" customHeight="1">
      <c r="A607" s="2"/>
      <c r="B607" s="2"/>
      <c r="C607" s="2"/>
      <c r="D607" s="3"/>
      <c r="E607" s="3"/>
      <c r="F607" s="3"/>
      <c r="G607" s="2"/>
      <c r="H607" s="4"/>
      <c r="I607" s="5"/>
      <c r="J607" s="5"/>
      <c r="K607" s="5"/>
      <c r="L607" s="4"/>
      <c r="M607" s="4"/>
      <c r="N607" s="4"/>
      <c r="O607" s="4"/>
      <c r="P607" s="4"/>
      <c r="Q607" s="5"/>
      <c r="R607" s="5"/>
      <c r="S607" s="5"/>
      <c r="T607" s="5"/>
      <c r="U607" s="6"/>
      <c r="V607" s="5"/>
      <c r="W607" s="7"/>
      <c r="X607" s="8"/>
      <c r="Y607" s="8"/>
      <c r="Z607" s="2"/>
      <c r="AA607" s="2"/>
      <c r="AB607" s="2"/>
      <c r="AC607" s="2"/>
      <c r="AD607" s="2"/>
    </row>
    <row r="608" ht="12.0" customHeight="1">
      <c r="A608" s="2"/>
      <c r="B608" s="2"/>
      <c r="C608" s="2"/>
      <c r="D608" s="3"/>
      <c r="E608" s="3"/>
      <c r="F608" s="3"/>
      <c r="G608" s="2"/>
      <c r="H608" s="4"/>
      <c r="I608" s="5"/>
      <c r="J608" s="5"/>
      <c r="K608" s="5"/>
      <c r="L608" s="4"/>
      <c r="M608" s="4"/>
      <c r="N608" s="4"/>
      <c r="O608" s="4"/>
      <c r="P608" s="4"/>
      <c r="Q608" s="5"/>
      <c r="R608" s="5"/>
      <c r="S608" s="5"/>
      <c r="T608" s="5"/>
      <c r="U608" s="6"/>
      <c r="V608" s="5"/>
      <c r="W608" s="7"/>
      <c r="X608" s="8"/>
      <c r="Y608" s="8"/>
      <c r="Z608" s="2"/>
      <c r="AA608" s="2"/>
      <c r="AB608" s="2"/>
      <c r="AC608" s="2"/>
      <c r="AD608" s="2"/>
    </row>
    <row r="609" ht="12.0" customHeight="1">
      <c r="A609" s="2"/>
      <c r="B609" s="2"/>
      <c r="C609" s="2"/>
      <c r="D609" s="3"/>
      <c r="E609" s="3"/>
      <c r="F609" s="3"/>
      <c r="G609" s="2"/>
      <c r="H609" s="4"/>
      <c r="I609" s="5"/>
      <c r="J609" s="5"/>
      <c r="K609" s="5"/>
      <c r="L609" s="4"/>
      <c r="M609" s="4"/>
      <c r="N609" s="4"/>
      <c r="O609" s="4"/>
      <c r="P609" s="4"/>
      <c r="Q609" s="5"/>
      <c r="R609" s="5"/>
      <c r="S609" s="5"/>
      <c r="T609" s="5"/>
      <c r="U609" s="6"/>
      <c r="V609" s="5"/>
      <c r="W609" s="7"/>
      <c r="X609" s="8"/>
      <c r="Y609" s="8"/>
      <c r="Z609" s="2"/>
      <c r="AA609" s="2"/>
      <c r="AB609" s="2"/>
      <c r="AC609" s="2"/>
      <c r="AD609" s="2"/>
    </row>
    <row r="610" ht="12.0" customHeight="1">
      <c r="A610" s="2"/>
      <c r="B610" s="2"/>
      <c r="C610" s="2"/>
      <c r="D610" s="3"/>
      <c r="E610" s="3"/>
      <c r="F610" s="3"/>
      <c r="G610" s="2"/>
      <c r="H610" s="4"/>
      <c r="I610" s="5"/>
      <c r="J610" s="5"/>
      <c r="K610" s="5"/>
      <c r="L610" s="4"/>
      <c r="M610" s="4"/>
      <c r="N610" s="4"/>
      <c r="O610" s="4"/>
      <c r="P610" s="4"/>
      <c r="Q610" s="5"/>
      <c r="R610" s="5"/>
      <c r="S610" s="5"/>
      <c r="T610" s="5"/>
      <c r="U610" s="6"/>
      <c r="V610" s="5"/>
      <c r="W610" s="7"/>
      <c r="X610" s="8"/>
      <c r="Y610" s="8"/>
      <c r="Z610" s="2"/>
      <c r="AA610" s="2"/>
      <c r="AB610" s="2"/>
      <c r="AC610" s="2"/>
      <c r="AD610" s="2"/>
    </row>
    <row r="611" ht="12.0" customHeight="1">
      <c r="A611" s="2"/>
      <c r="B611" s="2"/>
      <c r="C611" s="2"/>
      <c r="D611" s="3"/>
      <c r="E611" s="3"/>
      <c r="F611" s="3"/>
      <c r="G611" s="2"/>
      <c r="H611" s="4"/>
      <c r="I611" s="5"/>
      <c r="J611" s="5"/>
      <c r="K611" s="5"/>
      <c r="L611" s="4"/>
      <c r="M611" s="4"/>
      <c r="N611" s="4"/>
      <c r="O611" s="4"/>
      <c r="P611" s="4"/>
      <c r="Q611" s="5"/>
      <c r="R611" s="5"/>
      <c r="S611" s="5"/>
      <c r="T611" s="5"/>
      <c r="U611" s="6"/>
      <c r="V611" s="5"/>
      <c r="W611" s="7"/>
      <c r="X611" s="8"/>
      <c r="Y611" s="8"/>
      <c r="Z611" s="2"/>
      <c r="AA611" s="2"/>
      <c r="AB611" s="2"/>
      <c r="AC611" s="2"/>
      <c r="AD611" s="2"/>
    </row>
    <row r="612" ht="12.0" customHeight="1">
      <c r="A612" s="2"/>
      <c r="B612" s="2"/>
      <c r="C612" s="2"/>
      <c r="D612" s="3"/>
      <c r="E612" s="3"/>
      <c r="F612" s="3"/>
      <c r="G612" s="2"/>
      <c r="H612" s="4"/>
      <c r="I612" s="5"/>
      <c r="J612" s="5"/>
      <c r="K612" s="5"/>
      <c r="L612" s="4"/>
      <c r="M612" s="4"/>
      <c r="N612" s="4"/>
      <c r="O612" s="4"/>
      <c r="P612" s="4"/>
      <c r="Q612" s="5"/>
      <c r="R612" s="5"/>
      <c r="S612" s="5"/>
      <c r="T612" s="5"/>
      <c r="U612" s="6"/>
      <c r="V612" s="5"/>
      <c r="W612" s="7"/>
      <c r="X612" s="8"/>
      <c r="Y612" s="8"/>
      <c r="Z612" s="2"/>
      <c r="AA612" s="2"/>
      <c r="AB612" s="2"/>
      <c r="AC612" s="2"/>
      <c r="AD612" s="2"/>
    </row>
    <row r="613" ht="12.0" customHeight="1">
      <c r="A613" s="2"/>
      <c r="B613" s="2"/>
      <c r="C613" s="2"/>
      <c r="D613" s="3"/>
      <c r="E613" s="3"/>
      <c r="F613" s="3"/>
      <c r="G613" s="2"/>
      <c r="H613" s="4"/>
      <c r="I613" s="5"/>
      <c r="J613" s="5"/>
      <c r="K613" s="5"/>
      <c r="L613" s="4"/>
      <c r="M613" s="4"/>
      <c r="N613" s="4"/>
      <c r="O613" s="4"/>
      <c r="P613" s="4"/>
      <c r="Q613" s="5"/>
      <c r="R613" s="5"/>
      <c r="S613" s="5"/>
      <c r="T613" s="5"/>
      <c r="U613" s="6"/>
      <c r="V613" s="5"/>
      <c r="W613" s="7"/>
      <c r="X613" s="8"/>
      <c r="Y613" s="8"/>
      <c r="Z613" s="2"/>
      <c r="AA613" s="2"/>
      <c r="AB613" s="2"/>
      <c r="AC613" s="2"/>
      <c r="AD613" s="2"/>
    </row>
    <row r="614" ht="12.0" customHeight="1">
      <c r="A614" s="2"/>
      <c r="B614" s="2"/>
      <c r="C614" s="2"/>
      <c r="D614" s="3"/>
      <c r="E614" s="3"/>
      <c r="F614" s="3"/>
      <c r="G614" s="2"/>
      <c r="H614" s="4"/>
      <c r="I614" s="5"/>
      <c r="J614" s="5"/>
      <c r="K614" s="5"/>
      <c r="L614" s="4"/>
      <c r="M614" s="4"/>
      <c r="N614" s="4"/>
      <c r="O614" s="4"/>
      <c r="P614" s="4"/>
      <c r="Q614" s="5"/>
      <c r="R614" s="5"/>
      <c r="S614" s="5"/>
      <c r="T614" s="5"/>
      <c r="U614" s="6"/>
      <c r="V614" s="5"/>
      <c r="W614" s="7"/>
      <c r="X614" s="8"/>
      <c r="Y614" s="8"/>
      <c r="Z614" s="2"/>
      <c r="AA614" s="2"/>
      <c r="AB614" s="2"/>
      <c r="AC614" s="2"/>
      <c r="AD614" s="2"/>
    </row>
    <row r="615" ht="12.0" customHeight="1">
      <c r="A615" s="2"/>
      <c r="B615" s="2"/>
      <c r="C615" s="2"/>
      <c r="D615" s="3"/>
      <c r="E615" s="3"/>
      <c r="F615" s="3"/>
      <c r="G615" s="2"/>
      <c r="H615" s="4"/>
      <c r="I615" s="5"/>
      <c r="J615" s="5"/>
      <c r="K615" s="5"/>
      <c r="L615" s="4"/>
      <c r="M615" s="4"/>
      <c r="N615" s="4"/>
      <c r="O615" s="4"/>
      <c r="P615" s="4"/>
      <c r="Q615" s="5"/>
      <c r="R615" s="5"/>
      <c r="S615" s="5"/>
      <c r="T615" s="5"/>
      <c r="U615" s="6"/>
      <c r="V615" s="5"/>
      <c r="W615" s="7"/>
      <c r="X615" s="8"/>
      <c r="Y615" s="8"/>
      <c r="Z615" s="2"/>
      <c r="AA615" s="2"/>
      <c r="AB615" s="2"/>
      <c r="AC615" s="2"/>
      <c r="AD615" s="2"/>
    </row>
    <row r="616" ht="12.0" customHeight="1">
      <c r="A616" s="2"/>
      <c r="B616" s="2"/>
      <c r="C616" s="2"/>
      <c r="D616" s="3"/>
      <c r="E616" s="3"/>
      <c r="F616" s="3"/>
      <c r="G616" s="2"/>
      <c r="H616" s="4"/>
      <c r="I616" s="5"/>
      <c r="J616" s="5"/>
      <c r="K616" s="5"/>
      <c r="L616" s="4"/>
      <c r="M616" s="4"/>
      <c r="N616" s="4"/>
      <c r="O616" s="4"/>
      <c r="P616" s="4"/>
      <c r="Q616" s="5"/>
      <c r="R616" s="5"/>
      <c r="S616" s="5"/>
      <c r="T616" s="5"/>
      <c r="U616" s="6"/>
      <c r="V616" s="5"/>
      <c r="W616" s="7"/>
      <c r="X616" s="8"/>
      <c r="Y616" s="8"/>
      <c r="Z616" s="2"/>
      <c r="AA616" s="2"/>
      <c r="AB616" s="2"/>
      <c r="AC616" s="2"/>
      <c r="AD616" s="2"/>
    </row>
    <row r="617" ht="12.0" customHeight="1">
      <c r="A617" s="2"/>
      <c r="B617" s="2"/>
      <c r="C617" s="2"/>
      <c r="D617" s="3"/>
      <c r="E617" s="3"/>
      <c r="F617" s="3"/>
      <c r="G617" s="2"/>
      <c r="H617" s="4"/>
      <c r="I617" s="5"/>
      <c r="J617" s="5"/>
      <c r="K617" s="5"/>
      <c r="L617" s="4"/>
      <c r="M617" s="4"/>
      <c r="N617" s="4"/>
      <c r="O617" s="4"/>
      <c r="P617" s="4"/>
      <c r="Q617" s="5"/>
      <c r="R617" s="5"/>
      <c r="S617" s="5"/>
      <c r="T617" s="5"/>
      <c r="U617" s="6"/>
      <c r="V617" s="5"/>
      <c r="W617" s="7"/>
      <c r="X617" s="8"/>
      <c r="Y617" s="8"/>
      <c r="Z617" s="2"/>
      <c r="AA617" s="2"/>
      <c r="AB617" s="2"/>
      <c r="AC617" s="2"/>
      <c r="AD617" s="2"/>
    </row>
    <row r="618" ht="12.0" customHeight="1">
      <c r="A618" s="2"/>
      <c r="B618" s="2"/>
      <c r="C618" s="2"/>
      <c r="D618" s="3"/>
      <c r="E618" s="3"/>
      <c r="F618" s="3"/>
      <c r="G618" s="2"/>
      <c r="H618" s="4"/>
      <c r="I618" s="5"/>
      <c r="J618" s="5"/>
      <c r="K618" s="5"/>
      <c r="L618" s="4"/>
      <c r="M618" s="4"/>
      <c r="N618" s="4"/>
      <c r="O618" s="4"/>
      <c r="P618" s="4"/>
      <c r="Q618" s="5"/>
      <c r="R618" s="5"/>
      <c r="S618" s="5"/>
      <c r="T618" s="5"/>
      <c r="U618" s="6"/>
      <c r="V618" s="5"/>
      <c r="W618" s="7"/>
      <c r="X618" s="8"/>
      <c r="Y618" s="8"/>
      <c r="Z618" s="2"/>
      <c r="AA618" s="2"/>
      <c r="AB618" s="2"/>
      <c r="AC618" s="2"/>
      <c r="AD618" s="2"/>
    </row>
    <row r="619" ht="12.0" customHeight="1">
      <c r="A619" s="2"/>
      <c r="B619" s="2"/>
      <c r="C619" s="2"/>
      <c r="D619" s="3"/>
      <c r="E619" s="3"/>
      <c r="F619" s="3"/>
      <c r="G619" s="2"/>
      <c r="H619" s="4"/>
      <c r="I619" s="5"/>
      <c r="J619" s="5"/>
      <c r="K619" s="5"/>
      <c r="L619" s="4"/>
      <c r="M619" s="4"/>
      <c r="N619" s="4"/>
      <c r="O619" s="4"/>
      <c r="P619" s="4"/>
      <c r="Q619" s="5"/>
      <c r="R619" s="5"/>
      <c r="S619" s="5"/>
      <c r="T619" s="5"/>
      <c r="U619" s="6"/>
      <c r="V619" s="5"/>
      <c r="W619" s="7"/>
      <c r="X619" s="8"/>
      <c r="Y619" s="8"/>
      <c r="Z619" s="2"/>
      <c r="AA619" s="2"/>
      <c r="AB619" s="2"/>
      <c r="AC619" s="2"/>
      <c r="AD619" s="2"/>
    </row>
    <row r="620" ht="12.0" customHeight="1">
      <c r="A620" s="2"/>
      <c r="B620" s="2"/>
      <c r="C620" s="2"/>
      <c r="D620" s="3"/>
      <c r="E620" s="3"/>
      <c r="F620" s="3"/>
      <c r="G620" s="2"/>
      <c r="H620" s="4"/>
      <c r="I620" s="5"/>
      <c r="J620" s="5"/>
      <c r="K620" s="5"/>
      <c r="L620" s="4"/>
      <c r="M620" s="4"/>
      <c r="N620" s="4"/>
      <c r="O620" s="4"/>
      <c r="P620" s="4"/>
      <c r="Q620" s="5"/>
      <c r="R620" s="5"/>
      <c r="S620" s="5"/>
      <c r="T620" s="5"/>
      <c r="U620" s="6"/>
      <c r="V620" s="5"/>
      <c r="W620" s="7"/>
      <c r="X620" s="8"/>
      <c r="Y620" s="8"/>
      <c r="Z620" s="2"/>
      <c r="AA620" s="2"/>
      <c r="AB620" s="2"/>
      <c r="AC620" s="2"/>
      <c r="AD620" s="2"/>
    </row>
    <row r="621" ht="12.0" customHeight="1">
      <c r="A621" s="2"/>
      <c r="B621" s="2"/>
      <c r="C621" s="2"/>
      <c r="D621" s="3"/>
      <c r="E621" s="3"/>
      <c r="F621" s="3"/>
      <c r="G621" s="2"/>
      <c r="H621" s="4"/>
      <c r="I621" s="5"/>
      <c r="J621" s="5"/>
      <c r="K621" s="5"/>
      <c r="L621" s="4"/>
      <c r="M621" s="4"/>
      <c r="N621" s="4"/>
      <c r="O621" s="4"/>
      <c r="P621" s="4"/>
      <c r="Q621" s="5"/>
      <c r="R621" s="5"/>
      <c r="S621" s="5"/>
      <c r="T621" s="5"/>
      <c r="U621" s="6"/>
      <c r="V621" s="5"/>
      <c r="W621" s="7"/>
      <c r="X621" s="8"/>
      <c r="Y621" s="8"/>
      <c r="Z621" s="2"/>
      <c r="AA621" s="2"/>
      <c r="AB621" s="2"/>
      <c r="AC621" s="2"/>
      <c r="AD621" s="2"/>
    </row>
    <row r="622" ht="12.0" customHeight="1">
      <c r="A622" s="2"/>
      <c r="B622" s="2"/>
      <c r="C622" s="2"/>
      <c r="D622" s="3"/>
      <c r="E622" s="3"/>
      <c r="F622" s="3"/>
      <c r="G622" s="2"/>
      <c r="H622" s="4"/>
      <c r="I622" s="5"/>
      <c r="J622" s="5"/>
      <c r="K622" s="5"/>
      <c r="L622" s="4"/>
      <c r="M622" s="4"/>
      <c r="N622" s="4"/>
      <c r="O622" s="4"/>
      <c r="P622" s="4"/>
      <c r="Q622" s="5"/>
      <c r="R622" s="5"/>
      <c r="S622" s="5"/>
      <c r="T622" s="5"/>
      <c r="U622" s="6"/>
      <c r="V622" s="5"/>
      <c r="W622" s="7"/>
      <c r="X622" s="8"/>
      <c r="Y622" s="8"/>
      <c r="Z622" s="2"/>
      <c r="AA622" s="2"/>
      <c r="AB622" s="2"/>
      <c r="AC622" s="2"/>
      <c r="AD622" s="2"/>
    </row>
    <row r="623" ht="12.0" customHeight="1">
      <c r="A623" s="2"/>
      <c r="B623" s="2"/>
      <c r="C623" s="2"/>
      <c r="D623" s="3"/>
      <c r="E623" s="3"/>
      <c r="F623" s="3"/>
      <c r="G623" s="2"/>
      <c r="H623" s="4"/>
      <c r="I623" s="5"/>
      <c r="J623" s="5"/>
      <c r="K623" s="5"/>
      <c r="L623" s="4"/>
      <c r="M623" s="4"/>
      <c r="N623" s="4"/>
      <c r="O623" s="4"/>
      <c r="P623" s="4"/>
      <c r="Q623" s="5"/>
      <c r="R623" s="5"/>
      <c r="S623" s="5"/>
      <c r="T623" s="5"/>
      <c r="U623" s="6"/>
      <c r="V623" s="5"/>
      <c r="W623" s="7"/>
      <c r="X623" s="8"/>
      <c r="Y623" s="8"/>
      <c r="Z623" s="2"/>
      <c r="AA623" s="2"/>
      <c r="AB623" s="2"/>
      <c r="AC623" s="2"/>
      <c r="AD623" s="2"/>
    </row>
    <row r="624" ht="12.0" customHeight="1">
      <c r="A624" s="2"/>
      <c r="B624" s="2"/>
      <c r="C624" s="2"/>
      <c r="D624" s="3"/>
      <c r="E624" s="3"/>
      <c r="F624" s="3"/>
      <c r="G624" s="2"/>
      <c r="H624" s="4"/>
      <c r="I624" s="5"/>
      <c r="J624" s="5"/>
      <c r="K624" s="5"/>
      <c r="L624" s="4"/>
      <c r="M624" s="4"/>
      <c r="N624" s="4"/>
      <c r="O624" s="4"/>
      <c r="P624" s="4"/>
      <c r="Q624" s="5"/>
      <c r="R624" s="5"/>
      <c r="S624" s="5"/>
      <c r="T624" s="5"/>
      <c r="U624" s="6"/>
      <c r="V624" s="5"/>
      <c r="W624" s="7"/>
      <c r="X624" s="8"/>
      <c r="Y624" s="8"/>
      <c r="Z624" s="2"/>
      <c r="AA624" s="2"/>
      <c r="AB624" s="2"/>
      <c r="AC624" s="2"/>
      <c r="AD624" s="2"/>
    </row>
    <row r="625" ht="12.0" customHeight="1">
      <c r="A625" s="2"/>
      <c r="B625" s="2"/>
      <c r="C625" s="2"/>
      <c r="D625" s="3"/>
      <c r="E625" s="3"/>
      <c r="F625" s="3"/>
      <c r="G625" s="2"/>
      <c r="H625" s="4"/>
      <c r="I625" s="5"/>
      <c r="J625" s="5"/>
      <c r="K625" s="5"/>
      <c r="L625" s="4"/>
      <c r="M625" s="4"/>
      <c r="N625" s="4"/>
      <c r="O625" s="4"/>
      <c r="P625" s="4"/>
      <c r="Q625" s="5"/>
      <c r="R625" s="5"/>
      <c r="S625" s="5"/>
      <c r="T625" s="5"/>
      <c r="U625" s="6"/>
      <c r="V625" s="5"/>
      <c r="W625" s="7"/>
      <c r="X625" s="8"/>
      <c r="Y625" s="8"/>
      <c r="Z625" s="2"/>
      <c r="AA625" s="2"/>
      <c r="AB625" s="2"/>
      <c r="AC625" s="2"/>
      <c r="AD625" s="2"/>
    </row>
    <row r="626" ht="12.0" customHeight="1">
      <c r="A626" s="2"/>
      <c r="B626" s="2"/>
      <c r="C626" s="2"/>
      <c r="D626" s="3"/>
      <c r="E626" s="3"/>
      <c r="F626" s="3"/>
      <c r="G626" s="2"/>
      <c r="H626" s="4"/>
      <c r="I626" s="5"/>
      <c r="J626" s="5"/>
      <c r="K626" s="5"/>
      <c r="L626" s="4"/>
      <c r="M626" s="4"/>
      <c r="N626" s="4"/>
      <c r="O626" s="4"/>
      <c r="P626" s="4"/>
      <c r="Q626" s="5"/>
      <c r="R626" s="5"/>
      <c r="S626" s="5"/>
      <c r="T626" s="5"/>
      <c r="U626" s="6"/>
      <c r="V626" s="5"/>
      <c r="W626" s="7"/>
      <c r="X626" s="8"/>
      <c r="Y626" s="8"/>
      <c r="Z626" s="2"/>
      <c r="AA626" s="2"/>
      <c r="AB626" s="2"/>
      <c r="AC626" s="2"/>
      <c r="AD626" s="2"/>
    </row>
    <row r="627" ht="12.0" customHeight="1">
      <c r="A627" s="2"/>
      <c r="B627" s="2"/>
      <c r="C627" s="2"/>
      <c r="D627" s="3"/>
      <c r="E627" s="3"/>
      <c r="F627" s="3"/>
      <c r="G627" s="2"/>
      <c r="H627" s="4"/>
      <c r="I627" s="5"/>
      <c r="J627" s="5"/>
      <c r="K627" s="5"/>
      <c r="L627" s="4"/>
      <c r="M627" s="4"/>
      <c r="N627" s="4"/>
      <c r="O627" s="4"/>
      <c r="P627" s="4"/>
      <c r="Q627" s="5"/>
      <c r="R627" s="5"/>
      <c r="S627" s="5"/>
      <c r="T627" s="5"/>
      <c r="U627" s="6"/>
      <c r="V627" s="5"/>
      <c r="W627" s="7"/>
      <c r="X627" s="8"/>
      <c r="Y627" s="8"/>
      <c r="Z627" s="2"/>
      <c r="AA627" s="2"/>
      <c r="AB627" s="2"/>
      <c r="AC627" s="2"/>
      <c r="AD627" s="2"/>
    </row>
    <row r="628" ht="12.0" customHeight="1">
      <c r="A628" s="2"/>
      <c r="B628" s="2"/>
      <c r="C628" s="2"/>
      <c r="D628" s="3"/>
      <c r="E628" s="3"/>
      <c r="F628" s="3"/>
      <c r="G628" s="2"/>
      <c r="H628" s="4"/>
      <c r="I628" s="5"/>
      <c r="J628" s="5"/>
      <c r="K628" s="5"/>
      <c r="L628" s="4"/>
      <c r="M628" s="4"/>
      <c r="N628" s="4"/>
      <c r="O628" s="4"/>
      <c r="P628" s="4"/>
      <c r="Q628" s="5"/>
      <c r="R628" s="5"/>
      <c r="S628" s="5"/>
      <c r="T628" s="5"/>
      <c r="U628" s="6"/>
      <c r="V628" s="5"/>
      <c r="W628" s="7"/>
      <c r="X628" s="8"/>
      <c r="Y628" s="8"/>
      <c r="Z628" s="2"/>
      <c r="AA628" s="2"/>
      <c r="AB628" s="2"/>
      <c r="AC628" s="2"/>
      <c r="AD628" s="2"/>
    </row>
    <row r="629" ht="12.0" customHeight="1">
      <c r="A629" s="2"/>
      <c r="B629" s="2"/>
      <c r="C629" s="2"/>
      <c r="D629" s="3"/>
      <c r="E629" s="3"/>
      <c r="F629" s="3"/>
      <c r="G629" s="2"/>
      <c r="H629" s="4"/>
      <c r="I629" s="5"/>
      <c r="J629" s="5"/>
      <c r="K629" s="5"/>
      <c r="L629" s="4"/>
      <c r="M629" s="4"/>
      <c r="N629" s="4"/>
      <c r="O629" s="4"/>
      <c r="P629" s="4"/>
      <c r="Q629" s="5"/>
      <c r="R629" s="5"/>
      <c r="S629" s="5"/>
      <c r="T629" s="5"/>
      <c r="U629" s="6"/>
      <c r="V629" s="5"/>
      <c r="W629" s="7"/>
      <c r="X629" s="8"/>
      <c r="Y629" s="8"/>
      <c r="Z629" s="2"/>
      <c r="AA629" s="2"/>
      <c r="AB629" s="2"/>
      <c r="AC629" s="2"/>
      <c r="AD629" s="2"/>
    </row>
    <row r="630" ht="12.0" customHeight="1">
      <c r="A630" s="2"/>
      <c r="B630" s="2"/>
      <c r="C630" s="2"/>
      <c r="D630" s="3"/>
      <c r="E630" s="3"/>
      <c r="F630" s="3"/>
      <c r="G630" s="2"/>
      <c r="H630" s="4"/>
      <c r="I630" s="5"/>
      <c r="J630" s="5"/>
      <c r="K630" s="5"/>
      <c r="L630" s="4"/>
      <c r="M630" s="4"/>
      <c r="N630" s="4"/>
      <c r="O630" s="4"/>
      <c r="P630" s="4"/>
      <c r="Q630" s="5"/>
      <c r="R630" s="5"/>
      <c r="S630" s="5"/>
      <c r="T630" s="5"/>
      <c r="U630" s="6"/>
      <c r="V630" s="5"/>
      <c r="W630" s="7"/>
      <c r="X630" s="8"/>
      <c r="Y630" s="8"/>
      <c r="Z630" s="2"/>
      <c r="AA630" s="2"/>
      <c r="AB630" s="2"/>
      <c r="AC630" s="2"/>
      <c r="AD630" s="2"/>
    </row>
    <row r="631" ht="12.0" customHeight="1">
      <c r="A631" s="2"/>
      <c r="B631" s="2"/>
      <c r="C631" s="2"/>
      <c r="D631" s="3"/>
      <c r="E631" s="3"/>
      <c r="F631" s="3"/>
      <c r="G631" s="2"/>
      <c r="H631" s="4"/>
      <c r="I631" s="5"/>
      <c r="J631" s="5"/>
      <c r="K631" s="5"/>
      <c r="L631" s="4"/>
      <c r="M631" s="4"/>
      <c r="N631" s="4"/>
      <c r="O631" s="4"/>
      <c r="P631" s="4"/>
      <c r="Q631" s="5"/>
      <c r="R631" s="5"/>
      <c r="S631" s="5"/>
      <c r="T631" s="5"/>
      <c r="U631" s="6"/>
      <c r="V631" s="5"/>
      <c r="W631" s="7"/>
      <c r="X631" s="8"/>
      <c r="Y631" s="8"/>
      <c r="Z631" s="2"/>
      <c r="AA631" s="2"/>
      <c r="AB631" s="2"/>
      <c r="AC631" s="2"/>
      <c r="AD631" s="2"/>
    </row>
    <row r="632" ht="12.0" customHeight="1">
      <c r="A632" s="2"/>
      <c r="B632" s="2"/>
      <c r="C632" s="2"/>
      <c r="D632" s="3"/>
      <c r="E632" s="3"/>
      <c r="F632" s="3"/>
      <c r="G632" s="2"/>
      <c r="H632" s="4"/>
      <c r="I632" s="5"/>
      <c r="J632" s="5"/>
      <c r="K632" s="5"/>
      <c r="L632" s="4"/>
      <c r="M632" s="4"/>
      <c r="N632" s="4"/>
      <c r="O632" s="4"/>
      <c r="P632" s="4"/>
      <c r="Q632" s="5"/>
      <c r="R632" s="5"/>
      <c r="S632" s="5"/>
      <c r="T632" s="5"/>
      <c r="U632" s="6"/>
      <c r="V632" s="5"/>
      <c r="W632" s="7"/>
      <c r="X632" s="8"/>
      <c r="Y632" s="8"/>
      <c r="Z632" s="2"/>
      <c r="AA632" s="2"/>
      <c r="AB632" s="2"/>
      <c r="AC632" s="2"/>
      <c r="AD632" s="2"/>
    </row>
    <row r="633" ht="12.0" customHeight="1">
      <c r="A633" s="2"/>
      <c r="B633" s="2"/>
      <c r="C633" s="2"/>
      <c r="D633" s="3"/>
      <c r="E633" s="3"/>
      <c r="F633" s="3"/>
      <c r="G633" s="2"/>
      <c r="H633" s="4"/>
      <c r="I633" s="5"/>
      <c r="J633" s="5"/>
      <c r="K633" s="5"/>
      <c r="L633" s="4"/>
      <c r="M633" s="4"/>
      <c r="N633" s="4"/>
      <c r="O633" s="4"/>
      <c r="P633" s="4"/>
      <c r="Q633" s="5"/>
      <c r="R633" s="5"/>
      <c r="S633" s="5"/>
      <c r="T633" s="5"/>
      <c r="U633" s="6"/>
      <c r="V633" s="5"/>
      <c r="W633" s="7"/>
      <c r="X633" s="8"/>
      <c r="Y633" s="8"/>
      <c r="Z633" s="2"/>
      <c r="AA633" s="2"/>
      <c r="AB633" s="2"/>
      <c r="AC633" s="2"/>
      <c r="AD633" s="2"/>
    </row>
    <row r="634" ht="12.0" customHeight="1">
      <c r="A634" s="2"/>
      <c r="B634" s="2"/>
      <c r="C634" s="2"/>
      <c r="D634" s="3"/>
      <c r="E634" s="3"/>
      <c r="F634" s="3"/>
      <c r="G634" s="2"/>
      <c r="H634" s="4"/>
      <c r="I634" s="5"/>
      <c r="J634" s="5"/>
      <c r="K634" s="5"/>
      <c r="L634" s="4"/>
      <c r="M634" s="4"/>
      <c r="N634" s="4"/>
      <c r="O634" s="4"/>
      <c r="P634" s="4"/>
      <c r="Q634" s="5"/>
      <c r="R634" s="5"/>
      <c r="S634" s="5"/>
      <c r="T634" s="5"/>
      <c r="U634" s="6"/>
      <c r="V634" s="5"/>
      <c r="W634" s="7"/>
      <c r="X634" s="8"/>
      <c r="Y634" s="8"/>
      <c r="Z634" s="2"/>
      <c r="AA634" s="2"/>
      <c r="AB634" s="2"/>
      <c r="AC634" s="2"/>
      <c r="AD634" s="2"/>
    </row>
    <row r="635" ht="12.0" customHeight="1">
      <c r="A635" s="2"/>
      <c r="B635" s="2"/>
      <c r="C635" s="2"/>
      <c r="D635" s="3"/>
      <c r="E635" s="3"/>
      <c r="F635" s="3"/>
      <c r="G635" s="2"/>
      <c r="H635" s="4"/>
      <c r="I635" s="5"/>
      <c r="J635" s="5"/>
      <c r="K635" s="5"/>
      <c r="L635" s="4"/>
      <c r="M635" s="4"/>
      <c r="N635" s="4"/>
      <c r="O635" s="4"/>
      <c r="P635" s="4"/>
      <c r="Q635" s="5"/>
      <c r="R635" s="5"/>
      <c r="S635" s="5"/>
      <c r="T635" s="5"/>
      <c r="U635" s="6"/>
      <c r="V635" s="5"/>
      <c r="W635" s="7"/>
      <c r="X635" s="8"/>
      <c r="Y635" s="8"/>
      <c r="Z635" s="2"/>
      <c r="AA635" s="2"/>
      <c r="AB635" s="2"/>
      <c r="AC635" s="2"/>
      <c r="AD635" s="2"/>
    </row>
    <row r="636" ht="12.0" customHeight="1">
      <c r="A636" s="2"/>
      <c r="B636" s="2"/>
      <c r="C636" s="2"/>
      <c r="D636" s="3"/>
      <c r="E636" s="3"/>
      <c r="F636" s="3"/>
      <c r="G636" s="2"/>
      <c r="H636" s="4"/>
      <c r="I636" s="5"/>
      <c r="J636" s="5"/>
      <c r="K636" s="5"/>
      <c r="L636" s="4"/>
      <c r="M636" s="4"/>
      <c r="N636" s="4"/>
      <c r="O636" s="4"/>
      <c r="P636" s="4"/>
      <c r="Q636" s="5"/>
      <c r="R636" s="5"/>
      <c r="S636" s="5"/>
      <c r="T636" s="5"/>
      <c r="U636" s="6"/>
      <c r="V636" s="5"/>
      <c r="W636" s="7"/>
      <c r="X636" s="8"/>
      <c r="Y636" s="8"/>
      <c r="Z636" s="2"/>
      <c r="AA636" s="2"/>
      <c r="AB636" s="2"/>
      <c r="AC636" s="2"/>
      <c r="AD636" s="2"/>
    </row>
    <row r="637" ht="12.0" customHeight="1">
      <c r="A637" s="2"/>
      <c r="B637" s="2"/>
      <c r="C637" s="2"/>
      <c r="D637" s="3"/>
      <c r="E637" s="3"/>
      <c r="F637" s="3"/>
      <c r="G637" s="2"/>
      <c r="H637" s="4"/>
      <c r="I637" s="5"/>
      <c r="J637" s="5"/>
      <c r="K637" s="5"/>
      <c r="L637" s="4"/>
      <c r="M637" s="4"/>
      <c r="N637" s="4"/>
      <c r="O637" s="4"/>
      <c r="P637" s="4"/>
      <c r="Q637" s="5"/>
      <c r="R637" s="5"/>
      <c r="S637" s="5"/>
      <c r="T637" s="5"/>
      <c r="U637" s="6"/>
      <c r="V637" s="5"/>
      <c r="W637" s="7"/>
      <c r="X637" s="8"/>
      <c r="Y637" s="8"/>
      <c r="Z637" s="2"/>
      <c r="AA637" s="2"/>
      <c r="AB637" s="2"/>
      <c r="AC637" s="2"/>
      <c r="AD637" s="2"/>
    </row>
    <row r="638" ht="12.0" customHeight="1">
      <c r="A638" s="2"/>
      <c r="B638" s="2"/>
      <c r="C638" s="2"/>
      <c r="D638" s="3"/>
      <c r="E638" s="3"/>
      <c r="F638" s="3"/>
      <c r="G638" s="2"/>
      <c r="H638" s="4"/>
      <c r="I638" s="5"/>
      <c r="J638" s="5"/>
      <c r="K638" s="5"/>
      <c r="L638" s="4"/>
      <c r="M638" s="4"/>
      <c r="N638" s="4"/>
      <c r="O638" s="4"/>
      <c r="P638" s="4"/>
      <c r="Q638" s="5"/>
      <c r="R638" s="5"/>
      <c r="S638" s="5"/>
      <c r="T638" s="5"/>
      <c r="U638" s="6"/>
      <c r="V638" s="5"/>
      <c r="W638" s="7"/>
      <c r="X638" s="8"/>
      <c r="Y638" s="8"/>
      <c r="Z638" s="2"/>
      <c r="AA638" s="2"/>
      <c r="AB638" s="2"/>
      <c r="AC638" s="2"/>
      <c r="AD638" s="2"/>
    </row>
    <row r="639" ht="12.0" customHeight="1">
      <c r="A639" s="2"/>
      <c r="B639" s="2"/>
      <c r="C639" s="2"/>
      <c r="D639" s="3"/>
      <c r="E639" s="3"/>
      <c r="F639" s="3"/>
      <c r="G639" s="2"/>
      <c r="H639" s="4"/>
      <c r="I639" s="5"/>
      <c r="J639" s="5"/>
      <c r="K639" s="5"/>
      <c r="L639" s="4"/>
      <c r="M639" s="4"/>
      <c r="N639" s="4"/>
      <c r="O639" s="4"/>
      <c r="P639" s="4"/>
      <c r="Q639" s="5"/>
      <c r="R639" s="5"/>
      <c r="S639" s="5"/>
      <c r="T639" s="5"/>
      <c r="U639" s="6"/>
      <c r="V639" s="5"/>
      <c r="W639" s="7"/>
      <c r="X639" s="8"/>
      <c r="Y639" s="8"/>
      <c r="Z639" s="2"/>
      <c r="AA639" s="2"/>
      <c r="AB639" s="2"/>
      <c r="AC639" s="2"/>
      <c r="AD639" s="2"/>
    </row>
    <row r="640" ht="12.0" customHeight="1">
      <c r="A640" s="2"/>
      <c r="B640" s="2"/>
      <c r="C640" s="2"/>
      <c r="D640" s="3"/>
      <c r="E640" s="3"/>
      <c r="F640" s="3"/>
      <c r="G640" s="2"/>
      <c r="H640" s="4"/>
      <c r="I640" s="5"/>
      <c r="J640" s="5"/>
      <c r="K640" s="5"/>
      <c r="L640" s="4"/>
      <c r="M640" s="4"/>
      <c r="N640" s="4"/>
      <c r="O640" s="4"/>
      <c r="P640" s="4"/>
      <c r="Q640" s="5"/>
      <c r="R640" s="5"/>
      <c r="S640" s="5"/>
      <c r="T640" s="5"/>
      <c r="U640" s="6"/>
      <c r="V640" s="5"/>
      <c r="W640" s="7"/>
      <c r="X640" s="8"/>
      <c r="Y640" s="8"/>
      <c r="Z640" s="2"/>
      <c r="AA640" s="2"/>
      <c r="AB640" s="2"/>
      <c r="AC640" s="2"/>
      <c r="AD640" s="2"/>
    </row>
    <row r="641" ht="12.0" customHeight="1">
      <c r="A641" s="2"/>
      <c r="B641" s="2"/>
      <c r="C641" s="2"/>
      <c r="D641" s="3"/>
      <c r="E641" s="3"/>
      <c r="F641" s="3"/>
      <c r="G641" s="2"/>
      <c r="H641" s="4"/>
      <c r="I641" s="5"/>
      <c r="J641" s="5"/>
      <c r="K641" s="5"/>
      <c r="L641" s="4"/>
      <c r="M641" s="4"/>
      <c r="N641" s="4"/>
      <c r="O641" s="4"/>
      <c r="P641" s="4"/>
      <c r="Q641" s="5"/>
      <c r="R641" s="5"/>
      <c r="S641" s="5"/>
      <c r="T641" s="5"/>
      <c r="U641" s="6"/>
      <c r="V641" s="5"/>
      <c r="W641" s="7"/>
      <c r="X641" s="8"/>
      <c r="Y641" s="8"/>
      <c r="Z641" s="2"/>
      <c r="AA641" s="2"/>
      <c r="AB641" s="2"/>
      <c r="AC641" s="2"/>
      <c r="AD641" s="2"/>
    </row>
    <row r="642" ht="12.0" customHeight="1">
      <c r="A642" s="2"/>
      <c r="B642" s="2"/>
      <c r="C642" s="2"/>
      <c r="D642" s="3"/>
      <c r="E642" s="3"/>
      <c r="F642" s="3"/>
      <c r="G642" s="2"/>
      <c r="H642" s="4"/>
      <c r="I642" s="5"/>
      <c r="J642" s="5"/>
      <c r="K642" s="5"/>
      <c r="L642" s="4"/>
      <c r="M642" s="4"/>
      <c r="N642" s="4"/>
      <c r="O642" s="4"/>
      <c r="P642" s="4"/>
      <c r="Q642" s="5"/>
      <c r="R642" s="5"/>
      <c r="S642" s="5"/>
      <c r="T642" s="5"/>
      <c r="U642" s="6"/>
      <c r="V642" s="5"/>
      <c r="W642" s="7"/>
      <c r="X642" s="8"/>
      <c r="Y642" s="8"/>
      <c r="Z642" s="2"/>
      <c r="AA642" s="2"/>
      <c r="AB642" s="2"/>
      <c r="AC642" s="2"/>
      <c r="AD642" s="2"/>
    </row>
    <row r="643" ht="12.0" customHeight="1">
      <c r="A643" s="2"/>
      <c r="B643" s="2"/>
      <c r="C643" s="2"/>
      <c r="D643" s="3"/>
      <c r="E643" s="3"/>
      <c r="F643" s="3"/>
      <c r="G643" s="2"/>
      <c r="H643" s="4"/>
      <c r="I643" s="5"/>
      <c r="J643" s="5"/>
      <c r="K643" s="5"/>
      <c r="L643" s="4"/>
      <c r="M643" s="4"/>
      <c r="N643" s="4"/>
      <c r="O643" s="4"/>
      <c r="P643" s="4"/>
      <c r="Q643" s="5"/>
      <c r="R643" s="5"/>
      <c r="S643" s="5"/>
      <c r="T643" s="5"/>
      <c r="U643" s="6"/>
      <c r="V643" s="5"/>
      <c r="W643" s="7"/>
      <c r="X643" s="8"/>
      <c r="Y643" s="8"/>
      <c r="Z643" s="2"/>
      <c r="AA643" s="2"/>
      <c r="AB643" s="2"/>
      <c r="AC643" s="2"/>
      <c r="AD643" s="2"/>
    </row>
    <row r="644" ht="12.0" customHeight="1">
      <c r="A644" s="2"/>
      <c r="B644" s="2"/>
      <c r="C644" s="2"/>
      <c r="D644" s="3"/>
      <c r="E644" s="3"/>
      <c r="F644" s="3"/>
      <c r="G644" s="2"/>
      <c r="H644" s="4"/>
      <c r="I644" s="5"/>
      <c r="J644" s="5"/>
      <c r="K644" s="5"/>
      <c r="L644" s="4"/>
      <c r="M644" s="4"/>
      <c r="N644" s="4"/>
      <c r="O644" s="4"/>
      <c r="P644" s="4"/>
      <c r="Q644" s="5"/>
      <c r="R644" s="5"/>
      <c r="S644" s="5"/>
      <c r="T644" s="5"/>
      <c r="U644" s="6"/>
      <c r="V644" s="5"/>
      <c r="W644" s="7"/>
      <c r="X644" s="8"/>
      <c r="Y644" s="8"/>
      <c r="Z644" s="2"/>
      <c r="AA644" s="2"/>
      <c r="AB644" s="2"/>
      <c r="AC644" s="2"/>
      <c r="AD644" s="2"/>
    </row>
    <row r="645" ht="12.0" customHeight="1">
      <c r="A645" s="2"/>
      <c r="B645" s="2"/>
      <c r="C645" s="2"/>
      <c r="D645" s="3"/>
      <c r="E645" s="3"/>
      <c r="F645" s="3"/>
      <c r="G645" s="2"/>
      <c r="H645" s="4"/>
      <c r="I645" s="5"/>
      <c r="J645" s="5"/>
      <c r="K645" s="5"/>
      <c r="L645" s="4"/>
      <c r="M645" s="4"/>
      <c r="N645" s="4"/>
      <c r="O645" s="4"/>
      <c r="P645" s="4"/>
      <c r="Q645" s="5"/>
      <c r="R645" s="5"/>
      <c r="S645" s="5"/>
      <c r="T645" s="5"/>
      <c r="U645" s="6"/>
      <c r="V645" s="5"/>
      <c r="W645" s="7"/>
      <c r="X645" s="8"/>
      <c r="Y645" s="8"/>
      <c r="Z645" s="2"/>
      <c r="AA645" s="2"/>
      <c r="AB645" s="2"/>
      <c r="AC645" s="2"/>
      <c r="AD645" s="2"/>
    </row>
    <row r="646" ht="12.0" customHeight="1">
      <c r="A646" s="2"/>
      <c r="B646" s="2"/>
      <c r="C646" s="2"/>
      <c r="D646" s="3"/>
      <c r="E646" s="3"/>
      <c r="F646" s="3"/>
      <c r="G646" s="2"/>
      <c r="H646" s="4"/>
      <c r="I646" s="5"/>
      <c r="J646" s="5"/>
      <c r="K646" s="5"/>
      <c r="L646" s="4"/>
      <c r="M646" s="4"/>
      <c r="N646" s="4"/>
      <c r="O646" s="4"/>
      <c r="P646" s="4"/>
      <c r="Q646" s="5"/>
      <c r="R646" s="5"/>
      <c r="S646" s="5"/>
      <c r="T646" s="5"/>
      <c r="U646" s="6"/>
      <c r="V646" s="5"/>
      <c r="W646" s="7"/>
      <c r="X646" s="8"/>
      <c r="Y646" s="8"/>
      <c r="Z646" s="2"/>
      <c r="AA646" s="2"/>
      <c r="AB646" s="2"/>
      <c r="AC646" s="2"/>
      <c r="AD646" s="2"/>
    </row>
    <row r="647" ht="12.0" customHeight="1">
      <c r="A647" s="2"/>
      <c r="B647" s="2"/>
      <c r="C647" s="2"/>
      <c r="D647" s="3"/>
      <c r="E647" s="3"/>
      <c r="F647" s="3"/>
      <c r="G647" s="2"/>
      <c r="H647" s="4"/>
      <c r="I647" s="5"/>
      <c r="J647" s="5"/>
      <c r="K647" s="5"/>
      <c r="L647" s="4"/>
      <c r="M647" s="4"/>
      <c r="N647" s="4"/>
      <c r="O647" s="4"/>
      <c r="P647" s="4"/>
      <c r="Q647" s="5"/>
      <c r="R647" s="5"/>
      <c r="S647" s="5"/>
      <c r="T647" s="5"/>
      <c r="U647" s="6"/>
      <c r="V647" s="5"/>
      <c r="W647" s="7"/>
      <c r="X647" s="8"/>
      <c r="Y647" s="8"/>
      <c r="Z647" s="2"/>
      <c r="AA647" s="2"/>
      <c r="AB647" s="2"/>
      <c r="AC647" s="2"/>
      <c r="AD647" s="2"/>
    </row>
    <row r="648" ht="12.0" customHeight="1">
      <c r="A648" s="2"/>
      <c r="B648" s="2"/>
      <c r="C648" s="2"/>
      <c r="D648" s="3"/>
      <c r="E648" s="3"/>
      <c r="F648" s="3"/>
      <c r="G648" s="2"/>
      <c r="H648" s="4"/>
      <c r="I648" s="5"/>
      <c r="J648" s="5"/>
      <c r="K648" s="5"/>
      <c r="L648" s="4"/>
      <c r="M648" s="4"/>
      <c r="N648" s="4"/>
      <c r="O648" s="4"/>
      <c r="P648" s="4"/>
      <c r="Q648" s="5"/>
      <c r="R648" s="5"/>
      <c r="S648" s="5"/>
      <c r="T648" s="5"/>
      <c r="U648" s="6"/>
      <c r="V648" s="5"/>
      <c r="W648" s="7"/>
      <c r="X648" s="8"/>
      <c r="Y648" s="8"/>
      <c r="Z648" s="2"/>
      <c r="AA648" s="2"/>
      <c r="AB648" s="2"/>
      <c r="AC648" s="2"/>
      <c r="AD648" s="2"/>
    </row>
    <row r="649" ht="12.0" customHeight="1">
      <c r="A649" s="2"/>
      <c r="B649" s="2"/>
      <c r="C649" s="2"/>
      <c r="D649" s="3"/>
      <c r="E649" s="3"/>
      <c r="F649" s="3"/>
      <c r="G649" s="2"/>
      <c r="H649" s="4"/>
      <c r="I649" s="5"/>
      <c r="J649" s="5"/>
      <c r="K649" s="5"/>
      <c r="L649" s="4"/>
      <c r="M649" s="4"/>
      <c r="N649" s="4"/>
      <c r="O649" s="4"/>
      <c r="P649" s="4"/>
      <c r="Q649" s="5"/>
      <c r="R649" s="5"/>
      <c r="S649" s="5"/>
      <c r="T649" s="5"/>
      <c r="U649" s="6"/>
      <c r="V649" s="5"/>
      <c r="W649" s="7"/>
      <c r="X649" s="8"/>
      <c r="Y649" s="8"/>
      <c r="Z649" s="2"/>
      <c r="AA649" s="2"/>
      <c r="AB649" s="2"/>
      <c r="AC649" s="2"/>
      <c r="AD649" s="2"/>
    </row>
    <row r="650" ht="12.0" customHeight="1">
      <c r="A650" s="2"/>
      <c r="B650" s="2"/>
      <c r="C650" s="2"/>
      <c r="D650" s="3"/>
      <c r="E650" s="3"/>
      <c r="F650" s="3"/>
      <c r="G650" s="2"/>
      <c r="H650" s="4"/>
      <c r="I650" s="5"/>
      <c r="J650" s="5"/>
      <c r="K650" s="5"/>
      <c r="L650" s="4"/>
      <c r="M650" s="4"/>
      <c r="N650" s="4"/>
      <c r="O650" s="4"/>
      <c r="P650" s="4"/>
      <c r="Q650" s="5"/>
      <c r="R650" s="5"/>
      <c r="S650" s="5"/>
      <c r="T650" s="5"/>
      <c r="U650" s="6"/>
      <c r="V650" s="5"/>
      <c r="W650" s="7"/>
      <c r="X650" s="8"/>
      <c r="Y650" s="8"/>
      <c r="Z650" s="2"/>
      <c r="AA650" s="2"/>
      <c r="AB650" s="2"/>
      <c r="AC650" s="2"/>
      <c r="AD650" s="2"/>
    </row>
    <row r="651" ht="12.0" customHeight="1">
      <c r="A651" s="2"/>
      <c r="B651" s="2"/>
      <c r="C651" s="2"/>
      <c r="D651" s="3"/>
      <c r="E651" s="3"/>
      <c r="F651" s="3"/>
      <c r="G651" s="2"/>
      <c r="H651" s="4"/>
      <c r="I651" s="5"/>
      <c r="J651" s="5"/>
      <c r="K651" s="5"/>
      <c r="L651" s="4"/>
      <c r="M651" s="4"/>
      <c r="N651" s="4"/>
      <c r="O651" s="4"/>
      <c r="P651" s="4"/>
      <c r="Q651" s="5"/>
      <c r="R651" s="5"/>
      <c r="S651" s="5"/>
      <c r="T651" s="5"/>
      <c r="U651" s="6"/>
      <c r="V651" s="5"/>
      <c r="W651" s="7"/>
      <c r="X651" s="8"/>
      <c r="Y651" s="8"/>
      <c r="Z651" s="2"/>
      <c r="AA651" s="2"/>
      <c r="AB651" s="2"/>
      <c r="AC651" s="2"/>
      <c r="AD651" s="2"/>
    </row>
    <row r="652" ht="12.0" customHeight="1">
      <c r="A652" s="2"/>
      <c r="B652" s="2"/>
      <c r="C652" s="2"/>
      <c r="D652" s="3"/>
      <c r="E652" s="3"/>
      <c r="F652" s="3"/>
      <c r="G652" s="2"/>
      <c r="H652" s="4"/>
      <c r="I652" s="5"/>
      <c r="J652" s="5"/>
      <c r="K652" s="5"/>
      <c r="L652" s="4"/>
      <c r="M652" s="4"/>
      <c r="N652" s="4"/>
      <c r="O652" s="4"/>
      <c r="P652" s="4"/>
      <c r="Q652" s="5"/>
      <c r="R652" s="5"/>
      <c r="S652" s="5"/>
      <c r="T652" s="5"/>
      <c r="U652" s="6"/>
      <c r="V652" s="5"/>
      <c r="W652" s="7"/>
      <c r="X652" s="8"/>
      <c r="Y652" s="8"/>
      <c r="Z652" s="2"/>
      <c r="AA652" s="2"/>
      <c r="AB652" s="2"/>
      <c r="AC652" s="2"/>
      <c r="AD652" s="2"/>
    </row>
    <row r="653" ht="12.0" customHeight="1">
      <c r="A653" s="2"/>
      <c r="B653" s="2"/>
      <c r="C653" s="2"/>
      <c r="D653" s="3"/>
      <c r="E653" s="3"/>
      <c r="F653" s="3"/>
      <c r="G653" s="2"/>
      <c r="H653" s="4"/>
      <c r="I653" s="5"/>
      <c r="J653" s="5"/>
      <c r="K653" s="5"/>
      <c r="L653" s="4"/>
      <c r="M653" s="4"/>
      <c r="N653" s="4"/>
      <c r="O653" s="4"/>
      <c r="P653" s="4"/>
      <c r="Q653" s="5"/>
      <c r="R653" s="5"/>
      <c r="S653" s="5"/>
      <c r="T653" s="5"/>
      <c r="U653" s="6"/>
      <c r="V653" s="5"/>
      <c r="W653" s="7"/>
      <c r="X653" s="8"/>
      <c r="Y653" s="8"/>
      <c r="Z653" s="2"/>
      <c r="AA653" s="2"/>
      <c r="AB653" s="2"/>
      <c r="AC653" s="2"/>
      <c r="AD653" s="2"/>
    </row>
    <row r="654" ht="12.0" customHeight="1">
      <c r="A654" s="2"/>
      <c r="B654" s="2"/>
      <c r="C654" s="2"/>
      <c r="D654" s="3"/>
      <c r="E654" s="3"/>
      <c r="F654" s="3"/>
      <c r="G654" s="2"/>
      <c r="H654" s="4"/>
      <c r="I654" s="5"/>
      <c r="J654" s="5"/>
      <c r="K654" s="5"/>
      <c r="L654" s="4"/>
      <c r="M654" s="4"/>
      <c r="N654" s="4"/>
      <c r="O654" s="4"/>
      <c r="P654" s="4"/>
      <c r="Q654" s="5"/>
      <c r="R654" s="5"/>
      <c r="S654" s="5"/>
      <c r="T654" s="5"/>
      <c r="U654" s="6"/>
      <c r="V654" s="5"/>
      <c r="W654" s="7"/>
      <c r="X654" s="8"/>
      <c r="Y654" s="8"/>
      <c r="Z654" s="2"/>
      <c r="AA654" s="2"/>
      <c r="AB654" s="2"/>
      <c r="AC654" s="2"/>
      <c r="AD654" s="2"/>
    </row>
    <row r="655" ht="12.0" customHeight="1">
      <c r="A655" s="2"/>
      <c r="B655" s="2"/>
      <c r="C655" s="2"/>
      <c r="D655" s="3"/>
      <c r="E655" s="3"/>
      <c r="F655" s="3"/>
      <c r="G655" s="2"/>
      <c r="H655" s="4"/>
      <c r="I655" s="5"/>
      <c r="J655" s="5"/>
      <c r="K655" s="5"/>
      <c r="L655" s="4"/>
      <c r="M655" s="4"/>
      <c r="N655" s="4"/>
      <c r="O655" s="4"/>
      <c r="P655" s="4"/>
      <c r="Q655" s="5"/>
      <c r="R655" s="5"/>
      <c r="S655" s="5"/>
      <c r="T655" s="5"/>
      <c r="U655" s="6"/>
      <c r="V655" s="5"/>
      <c r="W655" s="7"/>
      <c r="X655" s="8"/>
      <c r="Y655" s="8"/>
      <c r="Z655" s="2"/>
      <c r="AA655" s="2"/>
      <c r="AB655" s="2"/>
      <c r="AC655" s="2"/>
      <c r="AD655" s="2"/>
    </row>
    <row r="656" ht="12.0" customHeight="1">
      <c r="A656" s="2"/>
      <c r="B656" s="2"/>
      <c r="C656" s="2"/>
      <c r="D656" s="3"/>
      <c r="E656" s="3"/>
      <c r="F656" s="3"/>
      <c r="G656" s="2"/>
      <c r="H656" s="4"/>
      <c r="I656" s="5"/>
      <c r="J656" s="5"/>
      <c r="K656" s="5"/>
      <c r="L656" s="4"/>
      <c r="M656" s="4"/>
      <c r="N656" s="4"/>
      <c r="O656" s="4"/>
      <c r="P656" s="4"/>
      <c r="Q656" s="5"/>
      <c r="R656" s="5"/>
      <c r="S656" s="5"/>
      <c r="T656" s="5"/>
      <c r="U656" s="6"/>
      <c r="V656" s="5"/>
      <c r="W656" s="7"/>
      <c r="X656" s="8"/>
      <c r="Y656" s="8"/>
      <c r="Z656" s="2"/>
      <c r="AA656" s="2"/>
      <c r="AB656" s="2"/>
      <c r="AC656" s="2"/>
      <c r="AD656" s="2"/>
    </row>
    <row r="657" ht="12.0" customHeight="1">
      <c r="A657" s="2"/>
      <c r="B657" s="2"/>
      <c r="C657" s="2"/>
      <c r="D657" s="3"/>
      <c r="E657" s="3"/>
      <c r="F657" s="3"/>
      <c r="G657" s="2"/>
      <c r="H657" s="4"/>
      <c r="I657" s="5"/>
      <c r="J657" s="5"/>
      <c r="K657" s="5"/>
      <c r="L657" s="4"/>
      <c r="M657" s="4"/>
      <c r="N657" s="4"/>
      <c r="O657" s="4"/>
      <c r="P657" s="4"/>
      <c r="Q657" s="5"/>
      <c r="R657" s="5"/>
      <c r="S657" s="5"/>
      <c r="T657" s="5"/>
      <c r="U657" s="6"/>
      <c r="V657" s="5"/>
      <c r="W657" s="7"/>
      <c r="X657" s="8"/>
      <c r="Y657" s="8"/>
      <c r="Z657" s="2"/>
      <c r="AA657" s="2"/>
      <c r="AB657" s="2"/>
      <c r="AC657" s="2"/>
      <c r="AD657" s="2"/>
    </row>
    <row r="658" ht="12.0" customHeight="1">
      <c r="A658" s="2"/>
      <c r="B658" s="2"/>
      <c r="C658" s="2"/>
      <c r="D658" s="3"/>
      <c r="E658" s="3"/>
      <c r="F658" s="3"/>
      <c r="G658" s="2"/>
      <c r="H658" s="4"/>
      <c r="I658" s="5"/>
      <c r="J658" s="5"/>
      <c r="K658" s="5"/>
      <c r="L658" s="4"/>
      <c r="M658" s="4"/>
      <c r="N658" s="4"/>
      <c r="O658" s="4"/>
      <c r="P658" s="4"/>
      <c r="Q658" s="5"/>
      <c r="R658" s="5"/>
      <c r="S658" s="5"/>
      <c r="T658" s="5"/>
      <c r="U658" s="6"/>
      <c r="V658" s="5"/>
      <c r="W658" s="7"/>
      <c r="X658" s="8"/>
      <c r="Y658" s="8"/>
      <c r="Z658" s="2"/>
      <c r="AA658" s="2"/>
      <c r="AB658" s="2"/>
      <c r="AC658" s="2"/>
      <c r="AD658" s="2"/>
    </row>
    <row r="659" ht="12.0" customHeight="1">
      <c r="A659" s="2"/>
      <c r="B659" s="2"/>
      <c r="C659" s="2"/>
      <c r="D659" s="3"/>
      <c r="E659" s="3"/>
      <c r="F659" s="3"/>
      <c r="G659" s="2"/>
      <c r="H659" s="4"/>
      <c r="I659" s="5"/>
      <c r="J659" s="5"/>
      <c r="K659" s="5"/>
      <c r="L659" s="4"/>
      <c r="M659" s="4"/>
      <c r="N659" s="4"/>
      <c r="O659" s="4"/>
      <c r="P659" s="4"/>
      <c r="Q659" s="5"/>
      <c r="R659" s="5"/>
      <c r="S659" s="5"/>
      <c r="T659" s="5"/>
      <c r="U659" s="6"/>
      <c r="V659" s="5"/>
      <c r="W659" s="7"/>
      <c r="X659" s="8"/>
      <c r="Y659" s="8"/>
      <c r="Z659" s="2"/>
      <c r="AA659" s="2"/>
      <c r="AB659" s="2"/>
      <c r="AC659" s="2"/>
      <c r="AD659" s="2"/>
    </row>
    <row r="660" ht="12.0" customHeight="1">
      <c r="A660" s="2"/>
      <c r="B660" s="2"/>
      <c r="C660" s="2"/>
      <c r="D660" s="3"/>
      <c r="E660" s="3"/>
      <c r="F660" s="3"/>
      <c r="G660" s="2"/>
      <c r="H660" s="4"/>
      <c r="I660" s="5"/>
      <c r="J660" s="5"/>
      <c r="K660" s="5"/>
      <c r="L660" s="4"/>
      <c r="M660" s="4"/>
      <c r="N660" s="4"/>
      <c r="O660" s="4"/>
      <c r="P660" s="4"/>
      <c r="Q660" s="5"/>
      <c r="R660" s="5"/>
      <c r="S660" s="5"/>
      <c r="T660" s="5"/>
      <c r="U660" s="6"/>
      <c r="V660" s="5"/>
      <c r="W660" s="7"/>
      <c r="X660" s="8"/>
      <c r="Y660" s="8"/>
      <c r="Z660" s="2"/>
      <c r="AA660" s="2"/>
      <c r="AB660" s="2"/>
      <c r="AC660" s="2"/>
      <c r="AD660" s="2"/>
    </row>
    <row r="661" ht="12.0" customHeight="1">
      <c r="A661" s="2"/>
      <c r="B661" s="2"/>
      <c r="C661" s="2"/>
      <c r="D661" s="3"/>
      <c r="E661" s="3"/>
      <c r="F661" s="3"/>
      <c r="G661" s="2"/>
      <c r="H661" s="4"/>
      <c r="I661" s="5"/>
      <c r="J661" s="5"/>
      <c r="K661" s="5"/>
      <c r="L661" s="4"/>
      <c r="M661" s="4"/>
      <c r="N661" s="4"/>
      <c r="O661" s="4"/>
      <c r="P661" s="4"/>
      <c r="Q661" s="5"/>
      <c r="R661" s="5"/>
      <c r="S661" s="5"/>
      <c r="T661" s="5"/>
      <c r="U661" s="6"/>
      <c r="V661" s="5"/>
      <c r="W661" s="7"/>
      <c r="X661" s="8"/>
      <c r="Y661" s="8"/>
      <c r="Z661" s="2"/>
      <c r="AA661" s="2"/>
      <c r="AB661" s="2"/>
      <c r="AC661" s="2"/>
      <c r="AD661" s="2"/>
    </row>
    <row r="662" ht="12.0" customHeight="1">
      <c r="A662" s="2"/>
      <c r="B662" s="2"/>
      <c r="C662" s="2"/>
      <c r="D662" s="3"/>
      <c r="E662" s="3"/>
      <c r="F662" s="3"/>
      <c r="G662" s="2"/>
      <c r="H662" s="4"/>
      <c r="I662" s="5"/>
      <c r="J662" s="5"/>
      <c r="K662" s="5"/>
      <c r="L662" s="4"/>
      <c r="M662" s="4"/>
      <c r="N662" s="4"/>
      <c r="O662" s="4"/>
      <c r="P662" s="4"/>
      <c r="Q662" s="5"/>
      <c r="R662" s="5"/>
      <c r="S662" s="5"/>
      <c r="T662" s="5"/>
      <c r="U662" s="6"/>
      <c r="V662" s="5"/>
      <c r="W662" s="7"/>
      <c r="X662" s="8"/>
      <c r="Y662" s="8"/>
      <c r="Z662" s="2"/>
      <c r="AA662" s="2"/>
      <c r="AB662" s="2"/>
      <c r="AC662" s="2"/>
      <c r="AD662" s="2"/>
    </row>
    <row r="663" ht="12.0" customHeight="1">
      <c r="A663" s="2"/>
      <c r="B663" s="2"/>
      <c r="C663" s="2"/>
      <c r="D663" s="3"/>
      <c r="E663" s="3"/>
      <c r="F663" s="3"/>
      <c r="G663" s="2"/>
      <c r="H663" s="4"/>
      <c r="I663" s="5"/>
      <c r="J663" s="5"/>
      <c r="K663" s="5"/>
      <c r="L663" s="4"/>
      <c r="M663" s="4"/>
      <c r="N663" s="4"/>
      <c r="O663" s="4"/>
      <c r="P663" s="4"/>
      <c r="Q663" s="5"/>
      <c r="R663" s="5"/>
      <c r="S663" s="5"/>
      <c r="T663" s="5"/>
      <c r="U663" s="6"/>
      <c r="V663" s="5"/>
      <c r="W663" s="7"/>
      <c r="X663" s="8"/>
      <c r="Y663" s="8"/>
      <c r="Z663" s="2"/>
      <c r="AA663" s="2"/>
      <c r="AB663" s="2"/>
      <c r="AC663" s="2"/>
      <c r="AD663" s="2"/>
    </row>
    <row r="664" ht="12.0" customHeight="1">
      <c r="A664" s="2"/>
      <c r="B664" s="2"/>
      <c r="C664" s="2"/>
      <c r="D664" s="3"/>
      <c r="E664" s="3"/>
      <c r="F664" s="3"/>
      <c r="G664" s="2"/>
      <c r="H664" s="4"/>
      <c r="I664" s="5"/>
      <c r="J664" s="5"/>
      <c r="K664" s="5"/>
      <c r="L664" s="4"/>
      <c r="M664" s="4"/>
      <c r="N664" s="4"/>
      <c r="O664" s="4"/>
      <c r="P664" s="4"/>
      <c r="Q664" s="5"/>
      <c r="R664" s="5"/>
      <c r="S664" s="5"/>
      <c r="T664" s="5"/>
      <c r="U664" s="6"/>
      <c r="V664" s="5"/>
      <c r="W664" s="7"/>
      <c r="X664" s="8"/>
      <c r="Y664" s="8"/>
      <c r="Z664" s="2"/>
      <c r="AA664" s="2"/>
      <c r="AB664" s="2"/>
      <c r="AC664" s="2"/>
      <c r="AD664" s="2"/>
    </row>
    <row r="665" ht="12.0" customHeight="1">
      <c r="A665" s="2"/>
      <c r="B665" s="2"/>
      <c r="C665" s="2"/>
      <c r="D665" s="3"/>
      <c r="E665" s="3"/>
      <c r="F665" s="3"/>
      <c r="G665" s="2"/>
      <c r="H665" s="4"/>
      <c r="I665" s="5"/>
      <c r="J665" s="5"/>
      <c r="K665" s="5"/>
      <c r="L665" s="4"/>
      <c r="M665" s="4"/>
      <c r="N665" s="4"/>
      <c r="O665" s="4"/>
      <c r="P665" s="4"/>
      <c r="Q665" s="5"/>
      <c r="R665" s="5"/>
      <c r="S665" s="5"/>
      <c r="T665" s="5"/>
      <c r="U665" s="6"/>
      <c r="V665" s="5"/>
      <c r="W665" s="7"/>
      <c r="X665" s="8"/>
      <c r="Y665" s="8"/>
      <c r="Z665" s="2"/>
      <c r="AA665" s="2"/>
      <c r="AB665" s="2"/>
      <c r="AC665" s="2"/>
      <c r="AD665" s="2"/>
    </row>
    <row r="666" ht="12.0" customHeight="1">
      <c r="A666" s="2"/>
      <c r="B666" s="2"/>
      <c r="C666" s="2"/>
      <c r="D666" s="3"/>
      <c r="E666" s="3"/>
      <c r="F666" s="3"/>
      <c r="G666" s="2"/>
      <c r="H666" s="4"/>
      <c r="I666" s="5"/>
      <c r="J666" s="5"/>
      <c r="K666" s="5"/>
      <c r="L666" s="4"/>
      <c r="M666" s="4"/>
      <c r="N666" s="4"/>
      <c r="O666" s="4"/>
      <c r="P666" s="4"/>
      <c r="Q666" s="5"/>
      <c r="R666" s="5"/>
      <c r="S666" s="5"/>
      <c r="T666" s="5"/>
      <c r="U666" s="6"/>
      <c r="V666" s="5"/>
      <c r="W666" s="7"/>
      <c r="X666" s="8"/>
      <c r="Y666" s="8"/>
      <c r="Z666" s="2"/>
      <c r="AA666" s="2"/>
      <c r="AB666" s="2"/>
      <c r="AC666" s="2"/>
      <c r="AD666" s="2"/>
    </row>
    <row r="667" ht="12.0" customHeight="1">
      <c r="A667" s="2"/>
      <c r="B667" s="2"/>
      <c r="C667" s="2"/>
      <c r="D667" s="3"/>
      <c r="E667" s="3"/>
      <c r="F667" s="3"/>
      <c r="G667" s="2"/>
      <c r="H667" s="4"/>
      <c r="I667" s="5"/>
      <c r="J667" s="5"/>
      <c r="K667" s="5"/>
      <c r="L667" s="4"/>
      <c r="M667" s="4"/>
      <c r="N667" s="4"/>
      <c r="O667" s="4"/>
      <c r="P667" s="4"/>
      <c r="Q667" s="5"/>
      <c r="R667" s="5"/>
      <c r="S667" s="5"/>
      <c r="T667" s="5"/>
      <c r="U667" s="6"/>
      <c r="V667" s="5"/>
      <c r="W667" s="7"/>
      <c r="X667" s="8"/>
      <c r="Y667" s="8"/>
      <c r="Z667" s="2"/>
      <c r="AA667" s="2"/>
      <c r="AB667" s="2"/>
      <c r="AC667" s="2"/>
      <c r="AD667" s="2"/>
    </row>
    <row r="668" ht="12.0" customHeight="1">
      <c r="A668" s="2"/>
      <c r="B668" s="2"/>
      <c r="C668" s="2"/>
      <c r="D668" s="3"/>
      <c r="E668" s="3"/>
      <c r="F668" s="3"/>
      <c r="G668" s="2"/>
      <c r="H668" s="4"/>
      <c r="I668" s="5"/>
      <c r="J668" s="5"/>
      <c r="K668" s="5"/>
      <c r="L668" s="4"/>
      <c r="M668" s="4"/>
      <c r="N668" s="4"/>
      <c r="O668" s="4"/>
      <c r="P668" s="4"/>
      <c r="Q668" s="5"/>
      <c r="R668" s="5"/>
      <c r="S668" s="5"/>
      <c r="T668" s="5"/>
      <c r="U668" s="6"/>
      <c r="V668" s="5"/>
      <c r="W668" s="7"/>
      <c r="X668" s="8"/>
      <c r="Y668" s="8"/>
      <c r="Z668" s="2"/>
      <c r="AA668" s="2"/>
      <c r="AB668" s="2"/>
      <c r="AC668" s="2"/>
      <c r="AD668" s="2"/>
    </row>
    <row r="669" ht="12.0" customHeight="1">
      <c r="A669" s="2"/>
      <c r="B669" s="2"/>
      <c r="C669" s="2"/>
      <c r="D669" s="3"/>
      <c r="E669" s="3"/>
      <c r="F669" s="3"/>
      <c r="G669" s="2"/>
      <c r="H669" s="4"/>
      <c r="I669" s="5"/>
      <c r="J669" s="5"/>
      <c r="K669" s="5"/>
      <c r="L669" s="4"/>
      <c r="M669" s="4"/>
      <c r="N669" s="4"/>
      <c r="O669" s="4"/>
      <c r="P669" s="4"/>
      <c r="Q669" s="5"/>
      <c r="R669" s="5"/>
      <c r="S669" s="5"/>
      <c r="T669" s="5"/>
      <c r="U669" s="6"/>
      <c r="V669" s="5"/>
      <c r="W669" s="7"/>
      <c r="X669" s="8"/>
      <c r="Y669" s="8"/>
      <c r="Z669" s="2"/>
      <c r="AA669" s="2"/>
      <c r="AB669" s="2"/>
      <c r="AC669" s="2"/>
      <c r="AD669" s="2"/>
    </row>
    <row r="670" ht="12.0" customHeight="1">
      <c r="A670" s="2"/>
      <c r="B670" s="2"/>
      <c r="C670" s="2"/>
      <c r="D670" s="3"/>
      <c r="E670" s="3"/>
      <c r="F670" s="3"/>
      <c r="G670" s="2"/>
      <c r="H670" s="4"/>
      <c r="I670" s="5"/>
      <c r="J670" s="5"/>
      <c r="K670" s="5"/>
      <c r="L670" s="4"/>
      <c r="M670" s="4"/>
      <c r="N670" s="4"/>
      <c r="O670" s="4"/>
      <c r="P670" s="4"/>
      <c r="Q670" s="5"/>
      <c r="R670" s="5"/>
      <c r="S670" s="5"/>
      <c r="T670" s="5"/>
      <c r="U670" s="6"/>
      <c r="V670" s="5"/>
      <c r="W670" s="7"/>
      <c r="X670" s="8"/>
      <c r="Y670" s="8"/>
      <c r="Z670" s="2"/>
      <c r="AA670" s="2"/>
      <c r="AB670" s="2"/>
      <c r="AC670" s="2"/>
      <c r="AD670" s="2"/>
    </row>
    <row r="671" ht="12.0" customHeight="1">
      <c r="A671" s="2"/>
      <c r="B671" s="2"/>
      <c r="C671" s="2"/>
      <c r="D671" s="3"/>
      <c r="E671" s="3"/>
      <c r="F671" s="3"/>
      <c r="G671" s="2"/>
      <c r="H671" s="4"/>
      <c r="I671" s="5"/>
      <c r="J671" s="5"/>
      <c r="K671" s="5"/>
      <c r="L671" s="4"/>
      <c r="M671" s="4"/>
      <c r="N671" s="4"/>
      <c r="O671" s="4"/>
      <c r="P671" s="4"/>
      <c r="Q671" s="5"/>
      <c r="R671" s="5"/>
      <c r="S671" s="5"/>
      <c r="T671" s="5"/>
      <c r="U671" s="6"/>
      <c r="V671" s="5"/>
      <c r="W671" s="7"/>
      <c r="X671" s="8"/>
      <c r="Y671" s="8"/>
      <c r="Z671" s="2"/>
      <c r="AA671" s="2"/>
      <c r="AB671" s="2"/>
      <c r="AC671" s="2"/>
      <c r="AD671" s="2"/>
    </row>
    <row r="672" ht="12.0" customHeight="1">
      <c r="A672" s="2"/>
      <c r="B672" s="2"/>
      <c r="C672" s="2"/>
      <c r="D672" s="3"/>
      <c r="E672" s="3"/>
      <c r="F672" s="3"/>
      <c r="G672" s="2"/>
      <c r="H672" s="4"/>
      <c r="I672" s="5"/>
      <c r="J672" s="5"/>
      <c r="K672" s="5"/>
      <c r="L672" s="4"/>
      <c r="M672" s="4"/>
      <c r="N672" s="4"/>
      <c r="O672" s="4"/>
      <c r="P672" s="4"/>
      <c r="Q672" s="5"/>
      <c r="R672" s="5"/>
      <c r="S672" s="5"/>
      <c r="T672" s="5"/>
      <c r="U672" s="6"/>
      <c r="V672" s="5"/>
      <c r="W672" s="7"/>
      <c r="X672" s="8"/>
      <c r="Y672" s="8"/>
      <c r="Z672" s="2"/>
      <c r="AA672" s="2"/>
      <c r="AB672" s="2"/>
      <c r="AC672" s="2"/>
      <c r="AD672" s="2"/>
    </row>
    <row r="673" ht="12.0" customHeight="1">
      <c r="A673" s="2"/>
      <c r="B673" s="2"/>
      <c r="C673" s="2"/>
      <c r="D673" s="3"/>
      <c r="E673" s="3"/>
      <c r="F673" s="3"/>
      <c r="G673" s="2"/>
      <c r="H673" s="4"/>
      <c r="I673" s="5"/>
      <c r="J673" s="5"/>
      <c r="K673" s="5"/>
      <c r="L673" s="4"/>
      <c r="M673" s="4"/>
      <c r="N673" s="4"/>
      <c r="O673" s="4"/>
      <c r="P673" s="4"/>
      <c r="Q673" s="5"/>
      <c r="R673" s="5"/>
      <c r="S673" s="5"/>
      <c r="T673" s="5"/>
      <c r="U673" s="6"/>
      <c r="V673" s="5"/>
      <c r="W673" s="7"/>
      <c r="X673" s="8"/>
      <c r="Y673" s="8"/>
      <c r="Z673" s="2"/>
      <c r="AA673" s="2"/>
      <c r="AB673" s="2"/>
      <c r="AC673" s="2"/>
      <c r="AD673" s="2"/>
    </row>
    <row r="674" ht="12.0" customHeight="1">
      <c r="A674" s="2"/>
      <c r="B674" s="2"/>
      <c r="C674" s="2"/>
      <c r="D674" s="3"/>
      <c r="E674" s="3"/>
      <c r="F674" s="3"/>
      <c r="G674" s="2"/>
      <c r="H674" s="4"/>
      <c r="I674" s="5"/>
      <c r="J674" s="5"/>
      <c r="K674" s="5"/>
      <c r="L674" s="4"/>
      <c r="M674" s="4"/>
      <c r="N674" s="4"/>
      <c r="O674" s="4"/>
      <c r="P674" s="4"/>
      <c r="Q674" s="5"/>
      <c r="R674" s="5"/>
      <c r="S674" s="5"/>
      <c r="T674" s="5"/>
      <c r="U674" s="6"/>
      <c r="V674" s="5"/>
      <c r="W674" s="7"/>
      <c r="X674" s="8"/>
      <c r="Y674" s="8"/>
      <c r="Z674" s="2"/>
      <c r="AA674" s="2"/>
      <c r="AB674" s="2"/>
      <c r="AC674" s="2"/>
      <c r="AD674" s="2"/>
    </row>
    <row r="675" ht="12.0" customHeight="1">
      <c r="A675" s="2"/>
      <c r="B675" s="2"/>
      <c r="C675" s="2"/>
      <c r="D675" s="3"/>
      <c r="E675" s="3"/>
      <c r="F675" s="3"/>
      <c r="G675" s="2"/>
      <c r="H675" s="4"/>
      <c r="I675" s="5"/>
      <c r="J675" s="5"/>
      <c r="K675" s="5"/>
      <c r="L675" s="4"/>
      <c r="M675" s="4"/>
      <c r="N675" s="4"/>
      <c r="O675" s="4"/>
      <c r="P675" s="4"/>
      <c r="Q675" s="5"/>
      <c r="R675" s="5"/>
      <c r="S675" s="5"/>
      <c r="T675" s="5"/>
      <c r="U675" s="6"/>
      <c r="V675" s="5"/>
      <c r="W675" s="7"/>
      <c r="X675" s="8"/>
      <c r="Y675" s="8"/>
      <c r="Z675" s="2"/>
      <c r="AA675" s="2"/>
      <c r="AB675" s="2"/>
      <c r="AC675" s="2"/>
      <c r="AD675" s="2"/>
    </row>
    <row r="676" ht="12.0" customHeight="1">
      <c r="A676" s="2"/>
      <c r="B676" s="2"/>
      <c r="C676" s="2"/>
      <c r="D676" s="3"/>
      <c r="E676" s="3"/>
      <c r="F676" s="3"/>
      <c r="G676" s="2"/>
      <c r="H676" s="4"/>
      <c r="I676" s="5"/>
      <c r="J676" s="5"/>
      <c r="K676" s="5"/>
      <c r="L676" s="4"/>
      <c r="M676" s="4"/>
      <c r="N676" s="4"/>
      <c r="O676" s="4"/>
      <c r="P676" s="4"/>
      <c r="Q676" s="5"/>
      <c r="R676" s="5"/>
      <c r="S676" s="5"/>
      <c r="T676" s="5"/>
      <c r="U676" s="6"/>
      <c r="V676" s="5"/>
      <c r="W676" s="7"/>
      <c r="X676" s="8"/>
      <c r="Y676" s="8"/>
      <c r="Z676" s="2"/>
      <c r="AA676" s="2"/>
      <c r="AB676" s="2"/>
      <c r="AC676" s="2"/>
      <c r="AD676" s="2"/>
    </row>
    <row r="677" ht="12.0" customHeight="1">
      <c r="A677" s="2"/>
      <c r="B677" s="2"/>
      <c r="C677" s="2"/>
      <c r="D677" s="3"/>
      <c r="E677" s="3"/>
      <c r="F677" s="3"/>
      <c r="G677" s="2"/>
      <c r="H677" s="4"/>
      <c r="I677" s="5"/>
      <c r="J677" s="5"/>
      <c r="K677" s="5"/>
      <c r="L677" s="4"/>
      <c r="M677" s="4"/>
      <c r="N677" s="4"/>
      <c r="O677" s="4"/>
      <c r="P677" s="4"/>
      <c r="Q677" s="5"/>
      <c r="R677" s="5"/>
      <c r="S677" s="5"/>
      <c r="T677" s="5"/>
      <c r="U677" s="6"/>
      <c r="V677" s="5"/>
      <c r="W677" s="7"/>
      <c r="X677" s="8"/>
      <c r="Y677" s="8"/>
      <c r="Z677" s="2"/>
      <c r="AA677" s="2"/>
      <c r="AB677" s="2"/>
      <c r="AC677" s="2"/>
      <c r="AD677" s="2"/>
    </row>
    <row r="678" ht="12.0" customHeight="1">
      <c r="A678" s="2"/>
      <c r="B678" s="2"/>
      <c r="C678" s="2"/>
      <c r="D678" s="3"/>
      <c r="E678" s="3"/>
      <c r="F678" s="3"/>
      <c r="G678" s="2"/>
      <c r="H678" s="4"/>
      <c r="I678" s="5"/>
      <c r="J678" s="5"/>
      <c r="K678" s="5"/>
      <c r="L678" s="4"/>
      <c r="M678" s="4"/>
      <c r="N678" s="4"/>
      <c r="O678" s="4"/>
      <c r="P678" s="4"/>
      <c r="Q678" s="5"/>
      <c r="R678" s="5"/>
      <c r="S678" s="5"/>
      <c r="T678" s="5"/>
      <c r="U678" s="6"/>
      <c r="V678" s="5"/>
      <c r="W678" s="7"/>
      <c r="X678" s="8"/>
      <c r="Y678" s="8"/>
      <c r="Z678" s="2"/>
      <c r="AA678" s="2"/>
      <c r="AB678" s="2"/>
      <c r="AC678" s="2"/>
      <c r="AD678" s="2"/>
    </row>
    <row r="679" ht="12.0" customHeight="1">
      <c r="A679" s="2"/>
      <c r="B679" s="2"/>
      <c r="C679" s="2"/>
      <c r="D679" s="3"/>
      <c r="E679" s="3"/>
      <c r="F679" s="3"/>
      <c r="G679" s="2"/>
      <c r="H679" s="4"/>
      <c r="I679" s="5"/>
      <c r="J679" s="5"/>
      <c r="K679" s="5"/>
      <c r="L679" s="4"/>
      <c r="M679" s="4"/>
      <c r="N679" s="4"/>
      <c r="O679" s="4"/>
      <c r="P679" s="4"/>
      <c r="Q679" s="5"/>
      <c r="R679" s="5"/>
      <c r="S679" s="5"/>
      <c r="T679" s="5"/>
      <c r="U679" s="6"/>
      <c r="V679" s="5"/>
      <c r="W679" s="7"/>
      <c r="X679" s="8"/>
      <c r="Y679" s="8"/>
      <c r="Z679" s="2"/>
      <c r="AA679" s="2"/>
      <c r="AB679" s="2"/>
      <c r="AC679" s="2"/>
      <c r="AD679" s="2"/>
    </row>
    <row r="680" ht="12.0" customHeight="1">
      <c r="A680" s="2"/>
      <c r="B680" s="2"/>
      <c r="C680" s="2"/>
      <c r="D680" s="3"/>
      <c r="E680" s="3"/>
      <c r="F680" s="3"/>
      <c r="G680" s="2"/>
      <c r="H680" s="4"/>
      <c r="I680" s="5"/>
      <c r="J680" s="5"/>
      <c r="K680" s="5"/>
      <c r="L680" s="4"/>
      <c r="M680" s="4"/>
      <c r="N680" s="4"/>
      <c r="O680" s="4"/>
      <c r="P680" s="4"/>
      <c r="Q680" s="5"/>
      <c r="R680" s="5"/>
      <c r="S680" s="5"/>
      <c r="T680" s="5"/>
      <c r="U680" s="6"/>
      <c r="V680" s="5"/>
      <c r="W680" s="7"/>
      <c r="X680" s="8"/>
      <c r="Y680" s="8"/>
      <c r="Z680" s="2"/>
      <c r="AA680" s="2"/>
      <c r="AB680" s="2"/>
      <c r="AC680" s="2"/>
      <c r="AD680" s="2"/>
    </row>
    <row r="681" ht="12.0" customHeight="1">
      <c r="A681" s="2"/>
      <c r="B681" s="2"/>
      <c r="C681" s="2"/>
      <c r="D681" s="3"/>
      <c r="E681" s="3"/>
      <c r="F681" s="3"/>
      <c r="G681" s="2"/>
      <c r="H681" s="4"/>
      <c r="I681" s="5"/>
      <c r="J681" s="5"/>
      <c r="K681" s="5"/>
      <c r="L681" s="4"/>
      <c r="M681" s="4"/>
      <c r="N681" s="4"/>
      <c r="O681" s="4"/>
      <c r="P681" s="4"/>
      <c r="Q681" s="5"/>
      <c r="R681" s="5"/>
      <c r="S681" s="5"/>
      <c r="T681" s="5"/>
      <c r="U681" s="6"/>
      <c r="V681" s="5"/>
      <c r="W681" s="7"/>
      <c r="X681" s="8"/>
      <c r="Y681" s="8"/>
      <c r="Z681" s="2"/>
      <c r="AA681" s="2"/>
      <c r="AB681" s="2"/>
      <c r="AC681" s="2"/>
      <c r="AD681" s="2"/>
    </row>
    <row r="682" ht="12.0" customHeight="1">
      <c r="A682" s="2"/>
      <c r="B682" s="2"/>
      <c r="C682" s="2"/>
      <c r="D682" s="3"/>
      <c r="E682" s="3"/>
      <c r="F682" s="3"/>
      <c r="G682" s="2"/>
      <c r="H682" s="4"/>
      <c r="I682" s="5"/>
      <c r="J682" s="5"/>
      <c r="K682" s="5"/>
      <c r="L682" s="4"/>
      <c r="M682" s="4"/>
      <c r="N682" s="4"/>
      <c r="O682" s="4"/>
      <c r="P682" s="4"/>
      <c r="Q682" s="5"/>
      <c r="R682" s="5"/>
      <c r="S682" s="5"/>
      <c r="T682" s="5"/>
      <c r="U682" s="6"/>
      <c r="V682" s="5"/>
      <c r="W682" s="7"/>
      <c r="X682" s="8"/>
      <c r="Y682" s="8"/>
      <c r="Z682" s="2"/>
      <c r="AA682" s="2"/>
      <c r="AB682" s="2"/>
      <c r="AC682" s="2"/>
      <c r="AD682" s="2"/>
    </row>
    <row r="683" ht="12.0" customHeight="1">
      <c r="A683" s="2"/>
      <c r="B683" s="2"/>
      <c r="C683" s="2"/>
      <c r="D683" s="3"/>
      <c r="E683" s="3"/>
      <c r="F683" s="3"/>
      <c r="G683" s="2"/>
      <c r="H683" s="4"/>
      <c r="I683" s="5"/>
      <c r="J683" s="5"/>
      <c r="K683" s="5"/>
      <c r="L683" s="4"/>
      <c r="M683" s="4"/>
      <c r="N683" s="4"/>
      <c r="O683" s="4"/>
      <c r="P683" s="4"/>
      <c r="Q683" s="5"/>
      <c r="R683" s="5"/>
      <c r="S683" s="5"/>
      <c r="T683" s="5"/>
      <c r="U683" s="6"/>
      <c r="V683" s="5"/>
      <c r="W683" s="7"/>
      <c r="X683" s="8"/>
      <c r="Y683" s="8"/>
      <c r="Z683" s="2"/>
      <c r="AA683" s="2"/>
      <c r="AB683" s="2"/>
      <c r="AC683" s="2"/>
      <c r="AD683" s="2"/>
    </row>
    <row r="684" ht="12.0" customHeight="1">
      <c r="A684" s="2"/>
      <c r="B684" s="2"/>
      <c r="C684" s="2"/>
      <c r="D684" s="3"/>
      <c r="E684" s="3"/>
      <c r="F684" s="3"/>
      <c r="G684" s="2"/>
      <c r="H684" s="4"/>
      <c r="I684" s="5"/>
      <c r="J684" s="5"/>
      <c r="K684" s="5"/>
      <c r="L684" s="4"/>
      <c r="M684" s="4"/>
      <c r="N684" s="4"/>
      <c r="O684" s="4"/>
      <c r="P684" s="4"/>
      <c r="Q684" s="5"/>
      <c r="R684" s="5"/>
      <c r="S684" s="5"/>
      <c r="T684" s="5"/>
      <c r="U684" s="6"/>
      <c r="V684" s="5"/>
      <c r="W684" s="7"/>
      <c r="X684" s="8"/>
      <c r="Y684" s="8"/>
      <c r="Z684" s="2"/>
      <c r="AA684" s="2"/>
      <c r="AB684" s="2"/>
      <c r="AC684" s="2"/>
      <c r="AD684" s="2"/>
    </row>
    <row r="685" ht="12.0" customHeight="1">
      <c r="A685" s="2"/>
      <c r="B685" s="2"/>
      <c r="C685" s="2"/>
      <c r="D685" s="3"/>
      <c r="E685" s="3"/>
      <c r="F685" s="3"/>
      <c r="G685" s="2"/>
      <c r="H685" s="4"/>
      <c r="I685" s="5"/>
      <c r="J685" s="5"/>
      <c r="K685" s="5"/>
      <c r="L685" s="4"/>
      <c r="M685" s="4"/>
      <c r="N685" s="4"/>
      <c r="O685" s="4"/>
      <c r="P685" s="4"/>
      <c r="Q685" s="5"/>
      <c r="R685" s="5"/>
      <c r="S685" s="5"/>
      <c r="T685" s="5"/>
      <c r="U685" s="6"/>
      <c r="V685" s="5"/>
      <c r="W685" s="7"/>
      <c r="X685" s="8"/>
      <c r="Y685" s="8"/>
      <c r="Z685" s="2"/>
      <c r="AA685" s="2"/>
      <c r="AB685" s="2"/>
      <c r="AC685" s="2"/>
      <c r="AD685" s="2"/>
    </row>
    <row r="686" ht="12.0" customHeight="1">
      <c r="A686" s="2"/>
      <c r="B686" s="2"/>
      <c r="C686" s="2"/>
      <c r="D686" s="3"/>
      <c r="E686" s="3"/>
      <c r="F686" s="3"/>
      <c r="G686" s="2"/>
      <c r="H686" s="4"/>
      <c r="I686" s="5"/>
      <c r="J686" s="5"/>
      <c r="K686" s="5"/>
      <c r="L686" s="4"/>
      <c r="M686" s="4"/>
      <c r="N686" s="4"/>
      <c r="O686" s="4"/>
      <c r="P686" s="4"/>
      <c r="Q686" s="5"/>
      <c r="R686" s="5"/>
      <c r="S686" s="5"/>
      <c r="T686" s="5"/>
      <c r="U686" s="6"/>
      <c r="V686" s="5"/>
      <c r="W686" s="7"/>
      <c r="X686" s="8"/>
      <c r="Y686" s="8"/>
      <c r="Z686" s="2"/>
      <c r="AA686" s="2"/>
      <c r="AB686" s="2"/>
      <c r="AC686" s="2"/>
      <c r="AD686" s="2"/>
    </row>
    <row r="687" ht="12.0" customHeight="1">
      <c r="A687" s="2"/>
      <c r="B687" s="2"/>
      <c r="C687" s="2"/>
      <c r="D687" s="3"/>
      <c r="E687" s="3"/>
      <c r="F687" s="3"/>
      <c r="G687" s="2"/>
      <c r="H687" s="4"/>
      <c r="I687" s="5"/>
      <c r="J687" s="5"/>
      <c r="K687" s="5"/>
      <c r="L687" s="4"/>
      <c r="M687" s="4"/>
      <c r="N687" s="4"/>
      <c r="O687" s="4"/>
      <c r="P687" s="4"/>
      <c r="Q687" s="5"/>
      <c r="R687" s="5"/>
      <c r="S687" s="5"/>
      <c r="T687" s="5"/>
      <c r="U687" s="6"/>
      <c r="V687" s="5"/>
      <c r="W687" s="7"/>
      <c r="X687" s="8"/>
      <c r="Y687" s="8"/>
      <c r="Z687" s="2"/>
      <c r="AA687" s="2"/>
      <c r="AB687" s="2"/>
      <c r="AC687" s="2"/>
      <c r="AD687" s="2"/>
    </row>
    <row r="688" ht="12.0" customHeight="1">
      <c r="A688" s="2"/>
      <c r="B688" s="2"/>
      <c r="C688" s="2"/>
      <c r="D688" s="3"/>
      <c r="E688" s="3"/>
      <c r="F688" s="3"/>
      <c r="G688" s="2"/>
      <c r="H688" s="4"/>
      <c r="I688" s="5"/>
      <c r="J688" s="5"/>
      <c r="K688" s="5"/>
      <c r="L688" s="4"/>
      <c r="M688" s="4"/>
      <c r="N688" s="4"/>
      <c r="O688" s="4"/>
      <c r="P688" s="4"/>
      <c r="Q688" s="5"/>
      <c r="R688" s="5"/>
      <c r="S688" s="5"/>
      <c r="T688" s="5"/>
      <c r="U688" s="6"/>
      <c r="V688" s="5"/>
      <c r="W688" s="7"/>
      <c r="X688" s="8"/>
      <c r="Y688" s="8"/>
      <c r="Z688" s="2"/>
      <c r="AA688" s="2"/>
      <c r="AB688" s="2"/>
      <c r="AC688" s="2"/>
      <c r="AD688" s="2"/>
    </row>
    <row r="689" ht="12.0" customHeight="1">
      <c r="A689" s="2"/>
      <c r="B689" s="2"/>
      <c r="C689" s="2"/>
      <c r="D689" s="3"/>
      <c r="E689" s="3"/>
      <c r="F689" s="3"/>
      <c r="G689" s="2"/>
      <c r="H689" s="4"/>
      <c r="I689" s="5"/>
      <c r="J689" s="5"/>
      <c r="K689" s="5"/>
      <c r="L689" s="4"/>
      <c r="M689" s="4"/>
      <c r="N689" s="4"/>
      <c r="O689" s="4"/>
      <c r="P689" s="4"/>
      <c r="Q689" s="5"/>
      <c r="R689" s="5"/>
      <c r="S689" s="5"/>
      <c r="T689" s="5"/>
      <c r="U689" s="6"/>
      <c r="V689" s="5"/>
      <c r="W689" s="7"/>
      <c r="X689" s="8"/>
      <c r="Y689" s="8"/>
      <c r="Z689" s="2"/>
      <c r="AA689" s="2"/>
      <c r="AB689" s="2"/>
      <c r="AC689" s="2"/>
      <c r="AD689" s="2"/>
    </row>
    <row r="690" ht="12.0" customHeight="1">
      <c r="A690" s="2"/>
      <c r="B690" s="2"/>
      <c r="C690" s="2"/>
      <c r="D690" s="3"/>
      <c r="E690" s="3"/>
      <c r="F690" s="3"/>
      <c r="G690" s="2"/>
      <c r="H690" s="4"/>
      <c r="I690" s="5"/>
      <c r="J690" s="5"/>
      <c r="K690" s="5"/>
      <c r="L690" s="4"/>
      <c r="M690" s="4"/>
      <c r="N690" s="4"/>
      <c r="O690" s="4"/>
      <c r="P690" s="4"/>
      <c r="Q690" s="5"/>
      <c r="R690" s="5"/>
      <c r="S690" s="5"/>
      <c r="T690" s="5"/>
      <c r="U690" s="6"/>
      <c r="V690" s="5"/>
      <c r="W690" s="7"/>
      <c r="X690" s="8"/>
      <c r="Y690" s="8"/>
      <c r="Z690" s="2"/>
      <c r="AA690" s="2"/>
      <c r="AB690" s="2"/>
      <c r="AC690" s="2"/>
      <c r="AD690" s="2"/>
    </row>
    <row r="691" ht="12.0" customHeight="1">
      <c r="A691" s="2"/>
      <c r="B691" s="2"/>
      <c r="C691" s="2"/>
      <c r="D691" s="3"/>
      <c r="E691" s="3"/>
      <c r="F691" s="3"/>
      <c r="G691" s="2"/>
      <c r="H691" s="4"/>
      <c r="I691" s="5"/>
      <c r="J691" s="5"/>
      <c r="K691" s="5"/>
      <c r="L691" s="4"/>
      <c r="M691" s="4"/>
      <c r="N691" s="4"/>
      <c r="O691" s="4"/>
      <c r="P691" s="4"/>
      <c r="Q691" s="5"/>
      <c r="R691" s="5"/>
      <c r="S691" s="5"/>
      <c r="T691" s="5"/>
      <c r="U691" s="6"/>
      <c r="V691" s="5"/>
      <c r="W691" s="7"/>
      <c r="X691" s="8"/>
      <c r="Y691" s="8"/>
      <c r="Z691" s="2"/>
      <c r="AA691" s="2"/>
      <c r="AB691" s="2"/>
      <c r="AC691" s="2"/>
      <c r="AD691" s="2"/>
    </row>
    <row r="692" ht="12.0" customHeight="1">
      <c r="A692" s="2"/>
      <c r="B692" s="2"/>
      <c r="C692" s="2"/>
      <c r="D692" s="3"/>
      <c r="E692" s="3"/>
      <c r="F692" s="3"/>
      <c r="G692" s="2"/>
      <c r="H692" s="4"/>
      <c r="I692" s="5"/>
      <c r="J692" s="5"/>
      <c r="K692" s="5"/>
      <c r="L692" s="4"/>
      <c r="M692" s="4"/>
      <c r="N692" s="4"/>
      <c r="O692" s="4"/>
      <c r="P692" s="4"/>
      <c r="Q692" s="5"/>
      <c r="R692" s="5"/>
      <c r="S692" s="5"/>
      <c r="T692" s="5"/>
      <c r="U692" s="6"/>
      <c r="V692" s="5"/>
      <c r="W692" s="7"/>
      <c r="X692" s="8"/>
      <c r="Y692" s="8"/>
      <c r="Z692" s="2"/>
      <c r="AA692" s="2"/>
      <c r="AB692" s="2"/>
      <c r="AC692" s="2"/>
      <c r="AD692" s="2"/>
    </row>
    <row r="693" ht="12.0" customHeight="1">
      <c r="A693" s="2"/>
      <c r="B693" s="2"/>
      <c r="C693" s="2"/>
      <c r="D693" s="3"/>
      <c r="E693" s="3"/>
      <c r="F693" s="3"/>
      <c r="G693" s="2"/>
      <c r="H693" s="4"/>
      <c r="I693" s="5"/>
      <c r="J693" s="5"/>
      <c r="K693" s="5"/>
      <c r="L693" s="4"/>
      <c r="M693" s="4"/>
      <c r="N693" s="4"/>
      <c r="O693" s="4"/>
      <c r="P693" s="4"/>
      <c r="Q693" s="5"/>
      <c r="R693" s="5"/>
      <c r="S693" s="5"/>
      <c r="T693" s="5"/>
      <c r="U693" s="6"/>
      <c r="V693" s="5"/>
      <c r="W693" s="7"/>
      <c r="X693" s="8"/>
      <c r="Y693" s="8"/>
      <c r="Z693" s="2"/>
      <c r="AA693" s="2"/>
      <c r="AB693" s="2"/>
      <c r="AC693" s="2"/>
      <c r="AD693" s="2"/>
    </row>
    <row r="694" ht="12.0" customHeight="1">
      <c r="A694" s="2"/>
      <c r="B694" s="2"/>
      <c r="C694" s="2"/>
      <c r="D694" s="3"/>
      <c r="E694" s="3"/>
      <c r="F694" s="3"/>
      <c r="G694" s="2"/>
      <c r="H694" s="4"/>
      <c r="I694" s="5"/>
      <c r="J694" s="5"/>
      <c r="K694" s="5"/>
      <c r="L694" s="4"/>
      <c r="M694" s="4"/>
      <c r="N694" s="4"/>
      <c r="O694" s="4"/>
      <c r="P694" s="4"/>
      <c r="Q694" s="5"/>
      <c r="R694" s="5"/>
      <c r="S694" s="5"/>
      <c r="T694" s="5"/>
      <c r="U694" s="6"/>
      <c r="V694" s="5"/>
      <c r="W694" s="7"/>
      <c r="X694" s="8"/>
      <c r="Y694" s="8"/>
      <c r="Z694" s="2"/>
      <c r="AA694" s="2"/>
      <c r="AB694" s="2"/>
      <c r="AC694" s="2"/>
      <c r="AD694" s="2"/>
    </row>
    <row r="695" ht="12.0" customHeight="1">
      <c r="A695" s="2"/>
      <c r="B695" s="2"/>
      <c r="C695" s="2"/>
      <c r="D695" s="3"/>
      <c r="E695" s="3"/>
      <c r="F695" s="3"/>
      <c r="G695" s="2"/>
      <c r="H695" s="4"/>
      <c r="I695" s="5"/>
      <c r="J695" s="5"/>
      <c r="K695" s="5"/>
      <c r="L695" s="4"/>
      <c r="M695" s="4"/>
      <c r="N695" s="4"/>
      <c r="O695" s="4"/>
      <c r="P695" s="4"/>
      <c r="Q695" s="5"/>
      <c r="R695" s="5"/>
      <c r="S695" s="5"/>
      <c r="T695" s="5"/>
      <c r="U695" s="6"/>
      <c r="V695" s="5"/>
      <c r="W695" s="7"/>
      <c r="X695" s="8"/>
      <c r="Y695" s="8"/>
      <c r="Z695" s="2"/>
      <c r="AA695" s="2"/>
      <c r="AB695" s="2"/>
      <c r="AC695" s="2"/>
      <c r="AD695" s="2"/>
    </row>
    <row r="696" ht="12.0" customHeight="1">
      <c r="A696" s="2"/>
      <c r="B696" s="2"/>
      <c r="C696" s="2"/>
      <c r="D696" s="3"/>
      <c r="E696" s="3"/>
      <c r="F696" s="3"/>
      <c r="G696" s="2"/>
      <c r="H696" s="4"/>
      <c r="I696" s="5"/>
      <c r="J696" s="5"/>
      <c r="K696" s="5"/>
      <c r="L696" s="4"/>
      <c r="M696" s="4"/>
      <c r="N696" s="4"/>
      <c r="O696" s="4"/>
      <c r="P696" s="4"/>
      <c r="Q696" s="5"/>
      <c r="R696" s="5"/>
      <c r="S696" s="5"/>
      <c r="T696" s="5"/>
      <c r="U696" s="6"/>
      <c r="V696" s="5"/>
      <c r="W696" s="7"/>
      <c r="X696" s="8"/>
      <c r="Y696" s="8"/>
      <c r="Z696" s="2"/>
      <c r="AA696" s="2"/>
      <c r="AB696" s="2"/>
      <c r="AC696" s="2"/>
      <c r="AD696" s="2"/>
    </row>
    <row r="697" ht="12.0" customHeight="1">
      <c r="A697" s="2"/>
      <c r="B697" s="2"/>
      <c r="C697" s="2"/>
      <c r="D697" s="3"/>
      <c r="E697" s="3"/>
      <c r="F697" s="3"/>
      <c r="G697" s="2"/>
      <c r="H697" s="4"/>
      <c r="I697" s="5"/>
      <c r="J697" s="5"/>
      <c r="K697" s="5"/>
      <c r="L697" s="4"/>
      <c r="M697" s="4"/>
      <c r="N697" s="4"/>
      <c r="O697" s="4"/>
      <c r="P697" s="4"/>
      <c r="Q697" s="5"/>
      <c r="R697" s="5"/>
      <c r="S697" s="5"/>
      <c r="T697" s="5"/>
      <c r="U697" s="6"/>
      <c r="V697" s="5"/>
      <c r="W697" s="7"/>
      <c r="X697" s="8"/>
      <c r="Y697" s="8"/>
      <c r="Z697" s="2"/>
      <c r="AA697" s="2"/>
      <c r="AB697" s="2"/>
      <c r="AC697" s="2"/>
      <c r="AD697" s="2"/>
    </row>
    <row r="698" ht="12.0" customHeight="1">
      <c r="A698" s="2"/>
      <c r="B698" s="2"/>
      <c r="C698" s="2"/>
      <c r="D698" s="3"/>
      <c r="E698" s="3"/>
      <c r="F698" s="3"/>
      <c r="G698" s="2"/>
      <c r="H698" s="4"/>
      <c r="I698" s="5"/>
      <c r="J698" s="5"/>
      <c r="K698" s="5"/>
      <c r="L698" s="4"/>
      <c r="M698" s="4"/>
      <c r="N698" s="4"/>
      <c r="O698" s="4"/>
      <c r="P698" s="4"/>
      <c r="Q698" s="5"/>
      <c r="R698" s="5"/>
      <c r="S698" s="5"/>
      <c r="T698" s="5"/>
      <c r="U698" s="6"/>
      <c r="V698" s="5"/>
      <c r="W698" s="7"/>
      <c r="X698" s="8"/>
      <c r="Y698" s="8"/>
      <c r="Z698" s="2"/>
      <c r="AA698" s="2"/>
      <c r="AB698" s="2"/>
      <c r="AC698" s="2"/>
      <c r="AD698" s="2"/>
    </row>
    <row r="699" ht="12.0" customHeight="1">
      <c r="A699" s="2"/>
      <c r="B699" s="2"/>
      <c r="C699" s="2"/>
      <c r="D699" s="3"/>
      <c r="E699" s="3"/>
      <c r="F699" s="3"/>
      <c r="G699" s="2"/>
      <c r="H699" s="4"/>
      <c r="I699" s="5"/>
      <c r="J699" s="5"/>
      <c r="K699" s="5"/>
      <c r="L699" s="4"/>
      <c r="M699" s="4"/>
      <c r="N699" s="4"/>
      <c r="O699" s="4"/>
      <c r="P699" s="4"/>
      <c r="Q699" s="5"/>
      <c r="R699" s="5"/>
      <c r="S699" s="5"/>
      <c r="T699" s="5"/>
      <c r="U699" s="6"/>
      <c r="V699" s="5"/>
      <c r="W699" s="7"/>
      <c r="X699" s="8"/>
      <c r="Y699" s="8"/>
      <c r="Z699" s="2"/>
      <c r="AA699" s="2"/>
      <c r="AB699" s="2"/>
      <c r="AC699" s="2"/>
      <c r="AD699" s="2"/>
    </row>
    <row r="700" ht="12.0" customHeight="1">
      <c r="A700" s="2"/>
      <c r="B700" s="2"/>
      <c r="C700" s="2"/>
      <c r="D700" s="3"/>
      <c r="E700" s="3"/>
      <c r="F700" s="3"/>
      <c r="G700" s="2"/>
      <c r="H700" s="4"/>
      <c r="I700" s="5"/>
      <c r="J700" s="5"/>
      <c r="K700" s="5"/>
      <c r="L700" s="4"/>
      <c r="M700" s="4"/>
      <c r="N700" s="4"/>
      <c r="O700" s="4"/>
      <c r="P700" s="4"/>
      <c r="Q700" s="5"/>
      <c r="R700" s="5"/>
      <c r="S700" s="5"/>
      <c r="T700" s="5"/>
      <c r="U700" s="6"/>
      <c r="V700" s="5"/>
      <c r="W700" s="7"/>
      <c r="X700" s="8"/>
      <c r="Y700" s="8"/>
      <c r="Z700" s="2"/>
      <c r="AA700" s="2"/>
      <c r="AB700" s="2"/>
      <c r="AC700" s="2"/>
      <c r="AD700" s="2"/>
    </row>
    <row r="701" ht="12.0" customHeight="1">
      <c r="A701" s="2"/>
      <c r="B701" s="2"/>
      <c r="C701" s="2"/>
      <c r="D701" s="3"/>
      <c r="E701" s="3"/>
      <c r="F701" s="3"/>
      <c r="G701" s="2"/>
      <c r="H701" s="4"/>
      <c r="I701" s="5"/>
      <c r="J701" s="5"/>
      <c r="K701" s="5"/>
      <c r="L701" s="4"/>
      <c r="M701" s="4"/>
      <c r="N701" s="4"/>
      <c r="O701" s="4"/>
      <c r="P701" s="4"/>
      <c r="Q701" s="5"/>
      <c r="R701" s="5"/>
      <c r="S701" s="5"/>
      <c r="T701" s="5"/>
      <c r="U701" s="6"/>
      <c r="V701" s="5"/>
      <c r="W701" s="7"/>
      <c r="X701" s="8"/>
      <c r="Y701" s="8"/>
      <c r="Z701" s="2"/>
      <c r="AA701" s="2"/>
      <c r="AB701" s="2"/>
      <c r="AC701" s="2"/>
      <c r="AD701" s="2"/>
    </row>
    <row r="702" ht="12.0" customHeight="1">
      <c r="A702" s="2"/>
      <c r="B702" s="2"/>
      <c r="C702" s="2"/>
      <c r="D702" s="3"/>
      <c r="E702" s="3"/>
      <c r="F702" s="3"/>
      <c r="G702" s="2"/>
      <c r="H702" s="4"/>
      <c r="I702" s="5"/>
      <c r="J702" s="5"/>
      <c r="K702" s="5"/>
      <c r="L702" s="4"/>
      <c r="M702" s="4"/>
      <c r="N702" s="4"/>
      <c r="O702" s="4"/>
      <c r="P702" s="4"/>
      <c r="Q702" s="5"/>
      <c r="R702" s="5"/>
      <c r="S702" s="5"/>
      <c r="T702" s="5"/>
      <c r="U702" s="6"/>
      <c r="V702" s="5"/>
      <c r="W702" s="7"/>
      <c r="X702" s="8"/>
      <c r="Y702" s="8"/>
      <c r="Z702" s="2"/>
      <c r="AA702" s="2"/>
      <c r="AB702" s="2"/>
      <c r="AC702" s="2"/>
      <c r="AD702" s="2"/>
    </row>
    <row r="703" ht="12.0" customHeight="1">
      <c r="A703" s="2"/>
      <c r="B703" s="2"/>
      <c r="C703" s="2"/>
      <c r="D703" s="3"/>
      <c r="E703" s="3"/>
      <c r="F703" s="3"/>
      <c r="G703" s="2"/>
      <c r="H703" s="4"/>
      <c r="I703" s="5"/>
      <c r="J703" s="5"/>
      <c r="K703" s="5"/>
      <c r="L703" s="4"/>
      <c r="M703" s="4"/>
      <c r="N703" s="4"/>
      <c r="O703" s="4"/>
      <c r="P703" s="4"/>
      <c r="Q703" s="5"/>
      <c r="R703" s="5"/>
      <c r="S703" s="5"/>
      <c r="T703" s="5"/>
      <c r="U703" s="6"/>
      <c r="V703" s="5"/>
      <c r="W703" s="7"/>
      <c r="X703" s="8"/>
      <c r="Y703" s="8"/>
      <c r="Z703" s="2"/>
      <c r="AA703" s="2"/>
      <c r="AB703" s="2"/>
      <c r="AC703" s="2"/>
      <c r="AD703" s="2"/>
    </row>
    <row r="704" ht="12.0" customHeight="1">
      <c r="A704" s="2"/>
      <c r="B704" s="2"/>
      <c r="C704" s="2"/>
      <c r="D704" s="3"/>
      <c r="E704" s="3"/>
      <c r="F704" s="3"/>
      <c r="G704" s="2"/>
      <c r="H704" s="4"/>
      <c r="I704" s="5"/>
      <c r="J704" s="5"/>
      <c r="K704" s="5"/>
      <c r="L704" s="4"/>
      <c r="M704" s="4"/>
      <c r="N704" s="4"/>
      <c r="O704" s="4"/>
      <c r="P704" s="4"/>
      <c r="Q704" s="5"/>
      <c r="R704" s="5"/>
      <c r="S704" s="5"/>
      <c r="T704" s="5"/>
      <c r="U704" s="6"/>
      <c r="V704" s="5"/>
      <c r="W704" s="7"/>
      <c r="X704" s="8"/>
      <c r="Y704" s="8"/>
      <c r="Z704" s="2"/>
      <c r="AA704" s="2"/>
      <c r="AB704" s="2"/>
      <c r="AC704" s="2"/>
      <c r="AD704" s="2"/>
    </row>
    <row r="705" ht="12.0" customHeight="1">
      <c r="A705" s="2"/>
      <c r="B705" s="2"/>
      <c r="C705" s="2"/>
      <c r="D705" s="3"/>
      <c r="E705" s="3"/>
      <c r="F705" s="3"/>
      <c r="G705" s="2"/>
      <c r="H705" s="4"/>
      <c r="I705" s="5"/>
      <c r="J705" s="5"/>
      <c r="K705" s="5"/>
      <c r="L705" s="4"/>
      <c r="M705" s="4"/>
      <c r="N705" s="4"/>
      <c r="O705" s="4"/>
      <c r="P705" s="4"/>
      <c r="Q705" s="5"/>
      <c r="R705" s="5"/>
      <c r="S705" s="5"/>
      <c r="T705" s="5"/>
      <c r="U705" s="6"/>
      <c r="V705" s="5"/>
      <c r="W705" s="7"/>
      <c r="X705" s="8"/>
      <c r="Y705" s="8"/>
      <c r="Z705" s="2"/>
      <c r="AA705" s="2"/>
      <c r="AB705" s="2"/>
      <c r="AC705" s="2"/>
      <c r="AD705" s="2"/>
    </row>
    <row r="706" ht="12.0" customHeight="1">
      <c r="A706" s="2"/>
      <c r="B706" s="2"/>
      <c r="C706" s="2"/>
      <c r="D706" s="3"/>
      <c r="E706" s="3"/>
      <c r="F706" s="3"/>
      <c r="G706" s="2"/>
      <c r="H706" s="4"/>
      <c r="I706" s="5"/>
      <c r="J706" s="5"/>
      <c r="K706" s="5"/>
      <c r="L706" s="4"/>
      <c r="M706" s="4"/>
      <c r="N706" s="4"/>
      <c r="O706" s="4"/>
      <c r="P706" s="4"/>
      <c r="Q706" s="5"/>
      <c r="R706" s="5"/>
      <c r="S706" s="5"/>
      <c r="T706" s="5"/>
      <c r="U706" s="6"/>
      <c r="V706" s="5"/>
      <c r="W706" s="7"/>
      <c r="X706" s="8"/>
      <c r="Y706" s="8"/>
      <c r="Z706" s="2"/>
      <c r="AA706" s="2"/>
      <c r="AB706" s="2"/>
      <c r="AC706" s="2"/>
      <c r="AD706" s="2"/>
    </row>
    <row r="707" ht="12.0" customHeight="1">
      <c r="A707" s="2"/>
      <c r="B707" s="2"/>
      <c r="C707" s="2"/>
      <c r="D707" s="3"/>
      <c r="E707" s="3"/>
      <c r="F707" s="3"/>
      <c r="G707" s="2"/>
      <c r="H707" s="4"/>
      <c r="I707" s="5"/>
      <c r="J707" s="5"/>
      <c r="K707" s="5"/>
      <c r="L707" s="4"/>
      <c r="M707" s="4"/>
      <c r="N707" s="4"/>
      <c r="O707" s="4"/>
      <c r="P707" s="4"/>
      <c r="Q707" s="5"/>
      <c r="R707" s="5"/>
      <c r="S707" s="5"/>
      <c r="T707" s="5"/>
      <c r="U707" s="6"/>
      <c r="V707" s="5"/>
      <c r="W707" s="7"/>
      <c r="X707" s="8"/>
      <c r="Y707" s="8"/>
      <c r="Z707" s="2"/>
      <c r="AA707" s="2"/>
      <c r="AB707" s="2"/>
      <c r="AC707" s="2"/>
      <c r="AD707" s="2"/>
    </row>
    <row r="708" ht="12.0" customHeight="1">
      <c r="A708" s="2"/>
      <c r="B708" s="2"/>
      <c r="C708" s="2"/>
      <c r="D708" s="3"/>
      <c r="E708" s="3"/>
      <c r="F708" s="3"/>
      <c r="G708" s="2"/>
      <c r="H708" s="4"/>
      <c r="I708" s="5"/>
      <c r="J708" s="5"/>
      <c r="K708" s="5"/>
      <c r="L708" s="4"/>
      <c r="M708" s="4"/>
      <c r="N708" s="4"/>
      <c r="O708" s="4"/>
      <c r="P708" s="4"/>
      <c r="Q708" s="5"/>
      <c r="R708" s="5"/>
      <c r="S708" s="5"/>
      <c r="T708" s="5"/>
      <c r="U708" s="6"/>
      <c r="V708" s="5"/>
      <c r="W708" s="7"/>
      <c r="X708" s="8"/>
      <c r="Y708" s="8"/>
      <c r="Z708" s="2"/>
      <c r="AA708" s="2"/>
      <c r="AB708" s="2"/>
      <c r="AC708" s="2"/>
      <c r="AD708" s="2"/>
    </row>
    <row r="709" ht="12.0" customHeight="1">
      <c r="A709" s="2"/>
      <c r="B709" s="2"/>
      <c r="C709" s="2"/>
      <c r="D709" s="3"/>
      <c r="E709" s="3"/>
      <c r="F709" s="3"/>
      <c r="G709" s="2"/>
      <c r="H709" s="4"/>
      <c r="I709" s="5"/>
      <c r="J709" s="5"/>
      <c r="K709" s="5"/>
      <c r="L709" s="4"/>
      <c r="M709" s="4"/>
      <c r="N709" s="4"/>
      <c r="O709" s="4"/>
      <c r="P709" s="4"/>
      <c r="Q709" s="5"/>
      <c r="R709" s="5"/>
      <c r="S709" s="5"/>
      <c r="T709" s="5"/>
      <c r="U709" s="6"/>
      <c r="V709" s="5"/>
      <c r="W709" s="7"/>
      <c r="X709" s="8"/>
      <c r="Y709" s="8"/>
      <c r="Z709" s="2"/>
      <c r="AA709" s="2"/>
      <c r="AB709" s="2"/>
      <c r="AC709" s="2"/>
      <c r="AD709" s="2"/>
    </row>
    <row r="710" ht="12.0" customHeight="1">
      <c r="A710" s="2"/>
      <c r="B710" s="2"/>
      <c r="C710" s="2"/>
      <c r="D710" s="3"/>
      <c r="E710" s="3"/>
      <c r="F710" s="3"/>
      <c r="G710" s="2"/>
      <c r="H710" s="4"/>
      <c r="I710" s="5"/>
      <c r="J710" s="5"/>
      <c r="K710" s="5"/>
      <c r="L710" s="4"/>
      <c r="M710" s="4"/>
      <c r="N710" s="4"/>
      <c r="O710" s="4"/>
      <c r="P710" s="4"/>
      <c r="Q710" s="5"/>
      <c r="R710" s="5"/>
      <c r="S710" s="5"/>
      <c r="T710" s="5"/>
      <c r="U710" s="6"/>
      <c r="V710" s="5"/>
      <c r="W710" s="7"/>
      <c r="X710" s="8"/>
      <c r="Y710" s="8"/>
      <c r="Z710" s="2"/>
      <c r="AA710" s="2"/>
      <c r="AB710" s="2"/>
      <c r="AC710" s="2"/>
      <c r="AD710" s="2"/>
    </row>
    <row r="711" ht="12.0" customHeight="1">
      <c r="A711" s="2"/>
      <c r="B711" s="2"/>
      <c r="C711" s="2"/>
      <c r="D711" s="3"/>
      <c r="E711" s="3"/>
      <c r="F711" s="3"/>
      <c r="G711" s="2"/>
      <c r="H711" s="4"/>
      <c r="I711" s="5"/>
      <c r="J711" s="5"/>
      <c r="K711" s="5"/>
      <c r="L711" s="4"/>
      <c r="M711" s="4"/>
      <c r="N711" s="4"/>
      <c r="O711" s="4"/>
      <c r="P711" s="4"/>
      <c r="Q711" s="5"/>
      <c r="R711" s="5"/>
      <c r="S711" s="5"/>
      <c r="T711" s="5"/>
      <c r="U711" s="6"/>
      <c r="V711" s="5"/>
      <c r="W711" s="7"/>
      <c r="X711" s="8"/>
      <c r="Y711" s="8"/>
      <c r="Z711" s="2"/>
      <c r="AA711" s="2"/>
      <c r="AB711" s="2"/>
      <c r="AC711" s="2"/>
      <c r="AD711" s="2"/>
    </row>
    <row r="712" ht="12.0" customHeight="1">
      <c r="A712" s="2"/>
      <c r="B712" s="2"/>
      <c r="C712" s="2"/>
      <c r="D712" s="3"/>
      <c r="E712" s="3"/>
      <c r="F712" s="3"/>
      <c r="G712" s="2"/>
      <c r="H712" s="4"/>
      <c r="I712" s="5"/>
      <c r="J712" s="5"/>
      <c r="K712" s="5"/>
      <c r="L712" s="4"/>
      <c r="M712" s="4"/>
      <c r="N712" s="4"/>
      <c r="O712" s="4"/>
      <c r="P712" s="4"/>
      <c r="Q712" s="5"/>
      <c r="R712" s="5"/>
      <c r="S712" s="5"/>
      <c r="T712" s="5"/>
      <c r="U712" s="6"/>
      <c r="V712" s="5"/>
      <c r="W712" s="7"/>
      <c r="X712" s="8"/>
      <c r="Y712" s="8"/>
      <c r="Z712" s="2"/>
      <c r="AA712" s="2"/>
      <c r="AB712" s="2"/>
      <c r="AC712" s="2"/>
      <c r="AD712" s="2"/>
    </row>
    <row r="713" ht="12.0" customHeight="1">
      <c r="A713" s="2"/>
      <c r="B713" s="2"/>
      <c r="C713" s="2"/>
      <c r="D713" s="3"/>
      <c r="E713" s="3"/>
      <c r="F713" s="3"/>
      <c r="G713" s="2"/>
      <c r="H713" s="4"/>
      <c r="I713" s="5"/>
      <c r="J713" s="5"/>
      <c r="K713" s="5"/>
      <c r="L713" s="4"/>
      <c r="M713" s="4"/>
      <c r="N713" s="4"/>
      <c r="O713" s="4"/>
      <c r="P713" s="4"/>
      <c r="Q713" s="5"/>
      <c r="R713" s="5"/>
      <c r="S713" s="5"/>
      <c r="T713" s="5"/>
      <c r="U713" s="6"/>
      <c r="V713" s="5"/>
      <c r="W713" s="7"/>
      <c r="X713" s="8"/>
      <c r="Y713" s="8"/>
      <c r="Z713" s="2"/>
      <c r="AA713" s="2"/>
      <c r="AB713" s="2"/>
      <c r="AC713" s="2"/>
      <c r="AD713" s="2"/>
    </row>
    <row r="714" ht="12.0" customHeight="1">
      <c r="A714" s="2"/>
      <c r="B714" s="2"/>
      <c r="C714" s="2"/>
      <c r="D714" s="3"/>
      <c r="E714" s="3"/>
      <c r="F714" s="3"/>
      <c r="G714" s="2"/>
      <c r="H714" s="4"/>
      <c r="I714" s="5"/>
      <c r="J714" s="5"/>
      <c r="K714" s="5"/>
      <c r="L714" s="4"/>
      <c r="M714" s="4"/>
      <c r="N714" s="4"/>
      <c r="O714" s="4"/>
      <c r="P714" s="4"/>
      <c r="Q714" s="5"/>
      <c r="R714" s="5"/>
      <c r="S714" s="5"/>
      <c r="T714" s="5"/>
      <c r="U714" s="6"/>
      <c r="V714" s="5"/>
      <c r="W714" s="7"/>
      <c r="X714" s="8"/>
      <c r="Y714" s="8"/>
      <c r="Z714" s="2"/>
      <c r="AA714" s="2"/>
      <c r="AB714" s="2"/>
      <c r="AC714" s="2"/>
      <c r="AD714" s="2"/>
    </row>
    <row r="715" ht="12.0" customHeight="1">
      <c r="A715" s="2"/>
      <c r="B715" s="2"/>
      <c r="C715" s="2"/>
      <c r="D715" s="3"/>
      <c r="E715" s="3"/>
      <c r="F715" s="3"/>
      <c r="G715" s="2"/>
      <c r="H715" s="4"/>
      <c r="I715" s="5"/>
      <c r="J715" s="5"/>
      <c r="K715" s="5"/>
      <c r="L715" s="4"/>
      <c r="M715" s="4"/>
      <c r="N715" s="4"/>
      <c r="O715" s="4"/>
      <c r="P715" s="4"/>
      <c r="Q715" s="5"/>
      <c r="R715" s="5"/>
      <c r="S715" s="5"/>
      <c r="T715" s="5"/>
      <c r="U715" s="6"/>
      <c r="V715" s="5"/>
      <c r="W715" s="7"/>
      <c r="X715" s="8"/>
      <c r="Y715" s="8"/>
      <c r="Z715" s="2"/>
      <c r="AA715" s="2"/>
      <c r="AB715" s="2"/>
      <c r="AC715" s="2"/>
      <c r="AD715" s="2"/>
    </row>
    <row r="716" ht="12.0" customHeight="1">
      <c r="A716" s="2"/>
      <c r="B716" s="2"/>
      <c r="C716" s="2"/>
      <c r="D716" s="3"/>
      <c r="E716" s="3"/>
      <c r="F716" s="3"/>
      <c r="G716" s="2"/>
      <c r="H716" s="4"/>
      <c r="I716" s="5"/>
      <c r="J716" s="5"/>
      <c r="K716" s="5"/>
      <c r="L716" s="4"/>
      <c r="M716" s="4"/>
      <c r="N716" s="4"/>
      <c r="O716" s="4"/>
      <c r="P716" s="4"/>
      <c r="Q716" s="5"/>
      <c r="R716" s="5"/>
      <c r="S716" s="5"/>
      <c r="T716" s="5"/>
      <c r="U716" s="6"/>
      <c r="V716" s="5"/>
      <c r="W716" s="7"/>
      <c r="X716" s="8"/>
      <c r="Y716" s="8"/>
      <c r="Z716" s="2"/>
      <c r="AA716" s="2"/>
      <c r="AB716" s="2"/>
      <c r="AC716" s="2"/>
      <c r="AD716" s="2"/>
    </row>
    <row r="717" ht="12.0" customHeight="1">
      <c r="A717" s="2"/>
      <c r="B717" s="2"/>
      <c r="C717" s="2"/>
      <c r="D717" s="3"/>
      <c r="E717" s="3"/>
      <c r="F717" s="3"/>
      <c r="G717" s="2"/>
      <c r="H717" s="4"/>
      <c r="I717" s="5"/>
      <c r="J717" s="5"/>
      <c r="K717" s="5"/>
      <c r="L717" s="4"/>
      <c r="M717" s="4"/>
      <c r="N717" s="4"/>
      <c r="O717" s="4"/>
      <c r="P717" s="4"/>
      <c r="Q717" s="5"/>
      <c r="R717" s="5"/>
      <c r="S717" s="5"/>
      <c r="T717" s="5"/>
      <c r="U717" s="6"/>
      <c r="V717" s="5"/>
      <c r="W717" s="7"/>
      <c r="X717" s="8"/>
      <c r="Y717" s="8"/>
      <c r="Z717" s="2"/>
      <c r="AA717" s="2"/>
      <c r="AB717" s="2"/>
      <c r="AC717" s="2"/>
      <c r="AD717" s="2"/>
    </row>
    <row r="718" ht="12.0" customHeight="1">
      <c r="A718" s="2"/>
      <c r="B718" s="2"/>
      <c r="C718" s="2"/>
      <c r="D718" s="3"/>
      <c r="E718" s="3"/>
      <c r="F718" s="3"/>
      <c r="G718" s="2"/>
      <c r="H718" s="4"/>
      <c r="I718" s="5"/>
      <c r="J718" s="5"/>
      <c r="K718" s="5"/>
      <c r="L718" s="4"/>
      <c r="M718" s="4"/>
      <c r="N718" s="4"/>
      <c r="O718" s="4"/>
      <c r="P718" s="4"/>
      <c r="Q718" s="5"/>
      <c r="R718" s="5"/>
      <c r="S718" s="5"/>
      <c r="T718" s="5"/>
      <c r="U718" s="6"/>
      <c r="V718" s="5"/>
      <c r="W718" s="7"/>
      <c r="X718" s="8"/>
      <c r="Y718" s="8"/>
      <c r="Z718" s="2"/>
      <c r="AA718" s="2"/>
      <c r="AB718" s="2"/>
      <c r="AC718" s="2"/>
      <c r="AD718" s="2"/>
    </row>
    <row r="719" ht="12.0" customHeight="1">
      <c r="A719" s="2"/>
      <c r="B719" s="2"/>
      <c r="C719" s="2"/>
      <c r="D719" s="3"/>
      <c r="E719" s="3"/>
      <c r="F719" s="3"/>
      <c r="G719" s="2"/>
      <c r="H719" s="4"/>
      <c r="I719" s="5"/>
      <c r="J719" s="5"/>
      <c r="K719" s="5"/>
      <c r="L719" s="4"/>
      <c r="M719" s="4"/>
      <c r="N719" s="4"/>
      <c r="O719" s="4"/>
      <c r="P719" s="4"/>
      <c r="Q719" s="5"/>
      <c r="R719" s="5"/>
      <c r="S719" s="5"/>
      <c r="T719" s="5"/>
      <c r="U719" s="6"/>
      <c r="V719" s="5"/>
      <c r="W719" s="7"/>
      <c r="X719" s="8"/>
      <c r="Y719" s="8"/>
      <c r="Z719" s="2"/>
      <c r="AA719" s="2"/>
      <c r="AB719" s="2"/>
      <c r="AC719" s="2"/>
      <c r="AD719" s="2"/>
    </row>
    <row r="720" ht="12.0" customHeight="1">
      <c r="A720" s="2"/>
      <c r="B720" s="2"/>
      <c r="C720" s="2"/>
      <c r="D720" s="3"/>
      <c r="E720" s="3"/>
      <c r="F720" s="3"/>
      <c r="G720" s="2"/>
      <c r="H720" s="4"/>
      <c r="I720" s="5"/>
      <c r="J720" s="5"/>
      <c r="K720" s="5"/>
      <c r="L720" s="4"/>
      <c r="M720" s="4"/>
      <c r="N720" s="4"/>
      <c r="O720" s="4"/>
      <c r="P720" s="4"/>
      <c r="Q720" s="5"/>
      <c r="R720" s="5"/>
      <c r="S720" s="5"/>
      <c r="T720" s="5"/>
      <c r="U720" s="6"/>
      <c r="V720" s="5"/>
      <c r="W720" s="7"/>
      <c r="X720" s="8"/>
      <c r="Y720" s="8"/>
      <c r="Z720" s="2"/>
      <c r="AA720" s="2"/>
      <c r="AB720" s="2"/>
      <c r="AC720" s="2"/>
      <c r="AD720" s="2"/>
    </row>
    <row r="721" ht="12.0" customHeight="1">
      <c r="A721" s="2"/>
      <c r="B721" s="2"/>
      <c r="C721" s="2"/>
      <c r="D721" s="3"/>
      <c r="E721" s="3"/>
      <c r="F721" s="3"/>
      <c r="G721" s="2"/>
      <c r="H721" s="4"/>
      <c r="I721" s="5"/>
      <c r="J721" s="5"/>
      <c r="K721" s="5"/>
      <c r="L721" s="4"/>
      <c r="M721" s="4"/>
      <c r="N721" s="4"/>
      <c r="O721" s="4"/>
      <c r="P721" s="4"/>
      <c r="Q721" s="5"/>
      <c r="R721" s="5"/>
      <c r="S721" s="5"/>
      <c r="T721" s="5"/>
      <c r="U721" s="6"/>
      <c r="V721" s="5"/>
      <c r="W721" s="7"/>
      <c r="X721" s="8"/>
      <c r="Y721" s="8"/>
      <c r="Z721" s="2"/>
      <c r="AA721" s="2"/>
      <c r="AB721" s="2"/>
      <c r="AC721" s="2"/>
      <c r="AD721" s="2"/>
    </row>
    <row r="722" ht="12.0" customHeight="1">
      <c r="A722" s="2"/>
      <c r="B722" s="2"/>
      <c r="C722" s="2"/>
      <c r="D722" s="3"/>
      <c r="E722" s="3"/>
      <c r="F722" s="3"/>
      <c r="G722" s="2"/>
      <c r="H722" s="4"/>
      <c r="I722" s="5"/>
      <c r="J722" s="5"/>
      <c r="K722" s="5"/>
      <c r="L722" s="4"/>
      <c r="M722" s="4"/>
      <c r="N722" s="4"/>
      <c r="O722" s="4"/>
      <c r="P722" s="4"/>
      <c r="Q722" s="5"/>
      <c r="R722" s="5"/>
      <c r="S722" s="5"/>
      <c r="T722" s="5"/>
      <c r="U722" s="6"/>
      <c r="V722" s="5"/>
      <c r="W722" s="7"/>
      <c r="X722" s="8"/>
      <c r="Y722" s="8"/>
      <c r="Z722" s="2"/>
      <c r="AA722" s="2"/>
      <c r="AB722" s="2"/>
      <c r="AC722" s="2"/>
      <c r="AD722" s="2"/>
    </row>
    <row r="723" ht="12.0" customHeight="1">
      <c r="A723" s="2"/>
      <c r="B723" s="2"/>
      <c r="C723" s="2"/>
      <c r="D723" s="3"/>
      <c r="E723" s="3"/>
      <c r="F723" s="3"/>
      <c r="G723" s="2"/>
      <c r="H723" s="4"/>
      <c r="I723" s="5"/>
      <c r="J723" s="5"/>
      <c r="K723" s="5"/>
      <c r="L723" s="4"/>
      <c r="M723" s="4"/>
      <c r="N723" s="4"/>
      <c r="O723" s="4"/>
      <c r="P723" s="4"/>
      <c r="Q723" s="5"/>
      <c r="R723" s="5"/>
      <c r="S723" s="5"/>
      <c r="T723" s="5"/>
      <c r="U723" s="6"/>
      <c r="V723" s="5"/>
      <c r="W723" s="7"/>
      <c r="X723" s="8"/>
      <c r="Y723" s="8"/>
      <c r="Z723" s="2"/>
      <c r="AA723" s="2"/>
      <c r="AB723" s="2"/>
      <c r="AC723" s="2"/>
      <c r="AD723" s="2"/>
    </row>
    <row r="724" ht="12.0" customHeight="1">
      <c r="A724" s="2"/>
      <c r="B724" s="2"/>
      <c r="C724" s="2"/>
      <c r="D724" s="3"/>
      <c r="E724" s="3"/>
      <c r="F724" s="3"/>
      <c r="G724" s="2"/>
      <c r="H724" s="4"/>
      <c r="I724" s="5"/>
      <c r="J724" s="5"/>
      <c r="K724" s="5"/>
      <c r="L724" s="4"/>
      <c r="M724" s="4"/>
      <c r="N724" s="4"/>
      <c r="O724" s="4"/>
      <c r="P724" s="4"/>
      <c r="Q724" s="5"/>
      <c r="R724" s="5"/>
      <c r="S724" s="5"/>
      <c r="T724" s="5"/>
      <c r="U724" s="6"/>
      <c r="V724" s="5"/>
      <c r="W724" s="7"/>
      <c r="X724" s="8"/>
      <c r="Y724" s="8"/>
      <c r="Z724" s="2"/>
      <c r="AA724" s="2"/>
      <c r="AB724" s="2"/>
      <c r="AC724" s="2"/>
      <c r="AD724" s="2"/>
    </row>
    <row r="725" ht="12.0" customHeight="1">
      <c r="A725" s="2"/>
      <c r="B725" s="2"/>
      <c r="C725" s="2"/>
      <c r="D725" s="3"/>
      <c r="E725" s="3"/>
      <c r="F725" s="3"/>
      <c r="G725" s="2"/>
      <c r="H725" s="4"/>
      <c r="I725" s="5"/>
      <c r="J725" s="5"/>
      <c r="K725" s="5"/>
      <c r="L725" s="4"/>
      <c r="M725" s="4"/>
      <c r="N725" s="4"/>
      <c r="O725" s="4"/>
      <c r="P725" s="4"/>
      <c r="Q725" s="5"/>
      <c r="R725" s="5"/>
      <c r="S725" s="5"/>
      <c r="T725" s="5"/>
      <c r="U725" s="6"/>
      <c r="V725" s="5"/>
      <c r="W725" s="7"/>
      <c r="X725" s="8"/>
      <c r="Y725" s="8"/>
      <c r="Z725" s="2"/>
      <c r="AA725" s="2"/>
      <c r="AB725" s="2"/>
      <c r="AC725" s="2"/>
      <c r="AD725" s="2"/>
    </row>
    <row r="726" ht="12.0" customHeight="1">
      <c r="A726" s="2"/>
      <c r="B726" s="2"/>
      <c r="C726" s="2"/>
      <c r="D726" s="3"/>
      <c r="E726" s="3"/>
      <c r="F726" s="3"/>
      <c r="G726" s="2"/>
      <c r="H726" s="4"/>
      <c r="I726" s="5"/>
      <c r="J726" s="5"/>
      <c r="K726" s="5"/>
      <c r="L726" s="4"/>
      <c r="M726" s="4"/>
      <c r="N726" s="4"/>
      <c r="O726" s="4"/>
      <c r="P726" s="4"/>
      <c r="Q726" s="5"/>
      <c r="R726" s="5"/>
      <c r="S726" s="5"/>
      <c r="T726" s="5"/>
      <c r="U726" s="6"/>
      <c r="V726" s="5"/>
      <c r="W726" s="7"/>
      <c r="X726" s="8"/>
      <c r="Y726" s="8"/>
      <c r="Z726" s="2"/>
      <c r="AA726" s="2"/>
      <c r="AB726" s="2"/>
      <c r="AC726" s="2"/>
      <c r="AD726" s="2"/>
    </row>
    <row r="727" ht="12.0" customHeight="1">
      <c r="A727" s="2"/>
      <c r="B727" s="2"/>
      <c r="C727" s="2"/>
      <c r="D727" s="3"/>
      <c r="E727" s="3"/>
      <c r="F727" s="3"/>
      <c r="G727" s="2"/>
      <c r="H727" s="4"/>
      <c r="I727" s="5"/>
      <c r="J727" s="5"/>
      <c r="K727" s="5"/>
      <c r="L727" s="4"/>
      <c r="M727" s="4"/>
      <c r="N727" s="4"/>
      <c r="O727" s="4"/>
      <c r="P727" s="4"/>
      <c r="Q727" s="5"/>
      <c r="R727" s="5"/>
      <c r="S727" s="5"/>
      <c r="T727" s="5"/>
      <c r="U727" s="6"/>
      <c r="V727" s="5"/>
      <c r="W727" s="7"/>
      <c r="X727" s="8"/>
      <c r="Y727" s="8"/>
      <c r="Z727" s="2"/>
      <c r="AA727" s="2"/>
      <c r="AB727" s="2"/>
      <c r="AC727" s="2"/>
      <c r="AD727" s="2"/>
    </row>
    <row r="728" ht="12.0" customHeight="1">
      <c r="A728" s="2"/>
      <c r="B728" s="2"/>
      <c r="C728" s="2"/>
      <c r="D728" s="3"/>
      <c r="E728" s="3"/>
      <c r="F728" s="3"/>
      <c r="G728" s="2"/>
      <c r="H728" s="4"/>
      <c r="I728" s="5"/>
      <c r="J728" s="5"/>
      <c r="K728" s="5"/>
      <c r="L728" s="4"/>
      <c r="M728" s="4"/>
      <c r="N728" s="4"/>
      <c r="O728" s="4"/>
      <c r="P728" s="4"/>
      <c r="Q728" s="5"/>
      <c r="R728" s="5"/>
      <c r="S728" s="5"/>
      <c r="T728" s="5"/>
      <c r="U728" s="6"/>
      <c r="V728" s="5"/>
      <c r="W728" s="7"/>
      <c r="X728" s="8"/>
      <c r="Y728" s="8"/>
      <c r="Z728" s="2"/>
      <c r="AA728" s="2"/>
      <c r="AB728" s="2"/>
      <c r="AC728" s="2"/>
      <c r="AD728" s="2"/>
    </row>
    <row r="729" ht="12.0" customHeight="1">
      <c r="A729" s="2"/>
      <c r="B729" s="2"/>
      <c r="C729" s="2"/>
      <c r="D729" s="3"/>
      <c r="E729" s="3"/>
      <c r="F729" s="3"/>
      <c r="G729" s="2"/>
      <c r="H729" s="4"/>
      <c r="I729" s="5"/>
      <c r="J729" s="5"/>
      <c r="K729" s="5"/>
      <c r="L729" s="4"/>
      <c r="M729" s="4"/>
      <c r="N729" s="4"/>
      <c r="O729" s="4"/>
      <c r="P729" s="4"/>
      <c r="Q729" s="5"/>
      <c r="R729" s="5"/>
      <c r="S729" s="5"/>
      <c r="T729" s="5"/>
      <c r="U729" s="6"/>
      <c r="V729" s="5"/>
      <c r="W729" s="7"/>
      <c r="X729" s="8"/>
      <c r="Y729" s="8"/>
      <c r="Z729" s="2"/>
      <c r="AA729" s="2"/>
      <c r="AB729" s="2"/>
      <c r="AC729" s="2"/>
      <c r="AD729" s="2"/>
    </row>
    <row r="730" ht="12.0" customHeight="1">
      <c r="A730" s="2"/>
      <c r="B730" s="2"/>
      <c r="C730" s="2"/>
      <c r="D730" s="3"/>
      <c r="E730" s="3"/>
      <c r="F730" s="3"/>
      <c r="G730" s="2"/>
      <c r="H730" s="4"/>
      <c r="I730" s="5"/>
      <c r="J730" s="5"/>
      <c r="K730" s="5"/>
      <c r="L730" s="4"/>
      <c r="M730" s="4"/>
      <c r="N730" s="4"/>
      <c r="O730" s="4"/>
      <c r="P730" s="4"/>
      <c r="Q730" s="5"/>
      <c r="R730" s="5"/>
      <c r="S730" s="5"/>
      <c r="T730" s="5"/>
      <c r="U730" s="6"/>
      <c r="V730" s="5"/>
      <c r="W730" s="7"/>
      <c r="X730" s="8"/>
      <c r="Y730" s="8"/>
      <c r="Z730" s="2"/>
      <c r="AA730" s="2"/>
      <c r="AB730" s="2"/>
      <c r="AC730" s="2"/>
      <c r="AD730" s="2"/>
    </row>
    <row r="731" ht="12.0" customHeight="1">
      <c r="A731" s="2"/>
      <c r="B731" s="2"/>
      <c r="C731" s="2"/>
      <c r="D731" s="3"/>
      <c r="E731" s="3"/>
      <c r="F731" s="3"/>
      <c r="G731" s="2"/>
      <c r="H731" s="4"/>
      <c r="I731" s="5"/>
      <c r="J731" s="5"/>
      <c r="K731" s="5"/>
      <c r="L731" s="4"/>
      <c r="M731" s="4"/>
      <c r="N731" s="4"/>
      <c r="O731" s="4"/>
      <c r="P731" s="4"/>
      <c r="Q731" s="5"/>
      <c r="R731" s="5"/>
      <c r="S731" s="5"/>
      <c r="T731" s="5"/>
      <c r="U731" s="6"/>
      <c r="V731" s="5"/>
      <c r="W731" s="7"/>
      <c r="X731" s="8"/>
      <c r="Y731" s="8"/>
      <c r="Z731" s="2"/>
      <c r="AA731" s="2"/>
      <c r="AB731" s="2"/>
      <c r="AC731" s="2"/>
      <c r="AD731" s="2"/>
    </row>
    <row r="732" ht="12.0" customHeight="1">
      <c r="A732" s="2"/>
      <c r="B732" s="2"/>
      <c r="C732" s="2"/>
      <c r="D732" s="3"/>
      <c r="E732" s="3"/>
      <c r="F732" s="3"/>
      <c r="G732" s="2"/>
      <c r="H732" s="4"/>
      <c r="I732" s="5"/>
      <c r="J732" s="5"/>
      <c r="K732" s="5"/>
      <c r="L732" s="4"/>
      <c r="M732" s="4"/>
      <c r="N732" s="4"/>
      <c r="O732" s="4"/>
      <c r="P732" s="4"/>
      <c r="Q732" s="5"/>
      <c r="R732" s="5"/>
      <c r="S732" s="5"/>
      <c r="T732" s="5"/>
      <c r="U732" s="6"/>
      <c r="V732" s="5"/>
      <c r="W732" s="7"/>
      <c r="X732" s="8"/>
      <c r="Y732" s="8"/>
      <c r="Z732" s="2"/>
      <c r="AA732" s="2"/>
      <c r="AB732" s="2"/>
      <c r="AC732" s="2"/>
      <c r="AD732" s="2"/>
    </row>
    <row r="733" ht="12.0" customHeight="1">
      <c r="A733" s="2"/>
      <c r="B733" s="2"/>
      <c r="C733" s="2"/>
      <c r="D733" s="3"/>
      <c r="E733" s="3"/>
      <c r="F733" s="3"/>
      <c r="G733" s="2"/>
      <c r="H733" s="4"/>
      <c r="I733" s="5"/>
      <c r="J733" s="5"/>
      <c r="K733" s="5"/>
      <c r="L733" s="4"/>
      <c r="M733" s="4"/>
      <c r="N733" s="4"/>
      <c r="O733" s="4"/>
      <c r="P733" s="4"/>
      <c r="Q733" s="5"/>
      <c r="R733" s="5"/>
      <c r="S733" s="5"/>
      <c r="T733" s="5"/>
      <c r="U733" s="6"/>
      <c r="V733" s="5"/>
      <c r="W733" s="7"/>
      <c r="X733" s="8"/>
      <c r="Y733" s="8"/>
      <c r="Z733" s="2"/>
      <c r="AA733" s="2"/>
      <c r="AB733" s="2"/>
      <c r="AC733" s="2"/>
      <c r="AD733" s="2"/>
    </row>
    <row r="734" ht="12.0" customHeight="1">
      <c r="A734" s="2"/>
      <c r="B734" s="2"/>
      <c r="C734" s="2"/>
      <c r="D734" s="3"/>
      <c r="E734" s="3"/>
      <c r="F734" s="3"/>
      <c r="G734" s="2"/>
      <c r="H734" s="4"/>
      <c r="I734" s="5"/>
      <c r="J734" s="5"/>
      <c r="K734" s="5"/>
      <c r="L734" s="4"/>
      <c r="M734" s="4"/>
      <c r="N734" s="4"/>
      <c r="O734" s="4"/>
      <c r="P734" s="4"/>
      <c r="Q734" s="5"/>
      <c r="R734" s="5"/>
      <c r="S734" s="5"/>
      <c r="T734" s="5"/>
      <c r="U734" s="6"/>
      <c r="V734" s="5"/>
      <c r="W734" s="7"/>
      <c r="X734" s="8"/>
      <c r="Y734" s="8"/>
      <c r="Z734" s="2"/>
      <c r="AA734" s="2"/>
      <c r="AB734" s="2"/>
      <c r="AC734" s="2"/>
      <c r="AD734" s="2"/>
    </row>
    <row r="735" ht="12.0" customHeight="1">
      <c r="A735" s="2"/>
      <c r="B735" s="2"/>
      <c r="C735" s="2"/>
      <c r="D735" s="3"/>
      <c r="E735" s="3"/>
      <c r="F735" s="3"/>
      <c r="G735" s="2"/>
      <c r="H735" s="4"/>
      <c r="I735" s="5"/>
      <c r="J735" s="5"/>
      <c r="K735" s="5"/>
      <c r="L735" s="4"/>
      <c r="M735" s="4"/>
      <c r="N735" s="4"/>
      <c r="O735" s="4"/>
      <c r="P735" s="4"/>
      <c r="Q735" s="5"/>
      <c r="R735" s="5"/>
      <c r="S735" s="5"/>
      <c r="T735" s="5"/>
      <c r="U735" s="6"/>
      <c r="V735" s="5"/>
      <c r="W735" s="7"/>
      <c r="X735" s="8"/>
      <c r="Y735" s="8"/>
      <c r="Z735" s="2"/>
      <c r="AA735" s="2"/>
      <c r="AB735" s="2"/>
      <c r="AC735" s="2"/>
      <c r="AD735" s="2"/>
    </row>
    <row r="736" ht="12.0" customHeight="1">
      <c r="A736" s="2"/>
      <c r="B736" s="2"/>
      <c r="C736" s="2"/>
      <c r="D736" s="3"/>
      <c r="E736" s="3"/>
      <c r="F736" s="3"/>
      <c r="G736" s="2"/>
      <c r="H736" s="4"/>
      <c r="I736" s="5"/>
      <c r="J736" s="5"/>
      <c r="K736" s="5"/>
      <c r="L736" s="4"/>
      <c r="M736" s="4"/>
      <c r="N736" s="4"/>
      <c r="O736" s="4"/>
      <c r="P736" s="4"/>
      <c r="Q736" s="5"/>
      <c r="R736" s="5"/>
      <c r="S736" s="5"/>
      <c r="T736" s="5"/>
      <c r="U736" s="6"/>
      <c r="V736" s="5"/>
      <c r="W736" s="7"/>
      <c r="X736" s="8"/>
      <c r="Y736" s="8"/>
      <c r="Z736" s="2"/>
      <c r="AA736" s="2"/>
      <c r="AB736" s="2"/>
      <c r="AC736" s="2"/>
      <c r="AD736" s="2"/>
    </row>
    <row r="737" ht="12.0" customHeight="1">
      <c r="A737" s="2"/>
      <c r="B737" s="2"/>
      <c r="C737" s="2"/>
      <c r="D737" s="3"/>
      <c r="E737" s="3"/>
      <c r="F737" s="3"/>
      <c r="G737" s="2"/>
      <c r="H737" s="4"/>
      <c r="I737" s="5"/>
      <c r="J737" s="5"/>
      <c r="K737" s="5"/>
      <c r="L737" s="4"/>
      <c r="M737" s="4"/>
      <c r="N737" s="4"/>
      <c r="O737" s="4"/>
      <c r="P737" s="4"/>
      <c r="Q737" s="5"/>
      <c r="R737" s="5"/>
      <c r="S737" s="5"/>
      <c r="T737" s="5"/>
      <c r="U737" s="6"/>
      <c r="V737" s="5"/>
      <c r="W737" s="7"/>
      <c r="X737" s="8"/>
      <c r="Y737" s="8"/>
      <c r="Z737" s="2"/>
      <c r="AA737" s="2"/>
      <c r="AB737" s="2"/>
      <c r="AC737" s="2"/>
      <c r="AD737" s="2"/>
    </row>
    <row r="738" ht="12.0" customHeight="1">
      <c r="A738" s="2"/>
      <c r="B738" s="2"/>
      <c r="C738" s="2"/>
      <c r="D738" s="3"/>
      <c r="E738" s="3"/>
      <c r="F738" s="3"/>
      <c r="G738" s="2"/>
      <c r="H738" s="4"/>
      <c r="I738" s="5"/>
      <c r="J738" s="5"/>
      <c r="K738" s="5"/>
      <c r="L738" s="4"/>
      <c r="M738" s="4"/>
      <c r="N738" s="4"/>
      <c r="O738" s="4"/>
      <c r="P738" s="4"/>
      <c r="Q738" s="5"/>
      <c r="R738" s="5"/>
      <c r="S738" s="5"/>
      <c r="T738" s="5"/>
      <c r="U738" s="6"/>
      <c r="V738" s="5"/>
      <c r="W738" s="7"/>
      <c r="X738" s="8"/>
      <c r="Y738" s="8"/>
      <c r="Z738" s="2"/>
      <c r="AA738" s="2"/>
      <c r="AB738" s="2"/>
      <c r="AC738" s="2"/>
      <c r="AD738" s="2"/>
    </row>
    <row r="739" ht="12.0" customHeight="1">
      <c r="A739" s="2"/>
      <c r="B739" s="2"/>
      <c r="C739" s="2"/>
      <c r="D739" s="3"/>
      <c r="E739" s="3"/>
      <c r="F739" s="3"/>
      <c r="G739" s="2"/>
      <c r="H739" s="4"/>
      <c r="I739" s="5"/>
      <c r="J739" s="5"/>
      <c r="K739" s="5"/>
      <c r="L739" s="4"/>
      <c r="M739" s="4"/>
      <c r="N739" s="4"/>
      <c r="O739" s="4"/>
      <c r="P739" s="4"/>
      <c r="Q739" s="5"/>
      <c r="R739" s="5"/>
      <c r="S739" s="5"/>
      <c r="T739" s="5"/>
      <c r="U739" s="6"/>
      <c r="V739" s="5"/>
      <c r="W739" s="7"/>
      <c r="X739" s="8"/>
      <c r="Y739" s="8"/>
      <c r="Z739" s="2"/>
      <c r="AA739" s="2"/>
      <c r="AB739" s="2"/>
      <c r="AC739" s="2"/>
      <c r="AD739" s="2"/>
    </row>
    <row r="740" ht="12.0" customHeight="1">
      <c r="A740" s="2"/>
      <c r="B740" s="2"/>
      <c r="C740" s="2"/>
      <c r="D740" s="3"/>
      <c r="E740" s="3"/>
      <c r="F740" s="3"/>
      <c r="G740" s="2"/>
      <c r="H740" s="4"/>
      <c r="I740" s="5"/>
      <c r="J740" s="5"/>
      <c r="K740" s="5"/>
      <c r="L740" s="4"/>
      <c r="M740" s="4"/>
      <c r="N740" s="4"/>
      <c r="O740" s="4"/>
      <c r="P740" s="4"/>
      <c r="Q740" s="5"/>
      <c r="R740" s="5"/>
      <c r="S740" s="5"/>
      <c r="T740" s="5"/>
      <c r="U740" s="6"/>
      <c r="V740" s="5"/>
      <c r="W740" s="7"/>
      <c r="X740" s="8"/>
      <c r="Y740" s="8"/>
      <c r="Z740" s="2"/>
      <c r="AA740" s="2"/>
      <c r="AB740" s="2"/>
      <c r="AC740" s="2"/>
      <c r="AD740" s="2"/>
    </row>
    <row r="741" ht="12.0" customHeight="1">
      <c r="A741" s="2"/>
      <c r="B741" s="2"/>
      <c r="C741" s="2"/>
      <c r="D741" s="3"/>
      <c r="E741" s="3"/>
      <c r="F741" s="3"/>
      <c r="G741" s="2"/>
      <c r="H741" s="4"/>
      <c r="I741" s="5"/>
      <c r="J741" s="5"/>
      <c r="K741" s="5"/>
      <c r="L741" s="4"/>
      <c r="M741" s="4"/>
      <c r="N741" s="4"/>
      <c r="O741" s="4"/>
      <c r="P741" s="4"/>
      <c r="Q741" s="5"/>
      <c r="R741" s="5"/>
      <c r="S741" s="5"/>
      <c r="T741" s="5"/>
      <c r="U741" s="6"/>
      <c r="V741" s="5"/>
      <c r="W741" s="7"/>
      <c r="X741" s="8"/>
      <c r="Y741" s="8"/>
      <c r="Z741" s="2"/>
      <c r="AA741" s="2"/>
      <c r="AB741" s="2"/>
      <c r="AC741" s="2"/>
      <c r="AD741" s="2"/>
    </row>
    <row r="742" ht="12.0" customHeight="1">
      <c r="A742" s="2"/>
      <c r="B742" s="2"/>
      <c r="C742" s="2"/>
      <c r="D742" s="3"/>
      <c r="E742" s="3"/>
      <c r="F742" s="3"/>
      <c r="G742" s="2"/>
      <c r="H742" s="4"/>
      <c r="I742" s="5"/>
      <c r="J742" s="5"/>
      <c r="K742" s="5"/>
      <c r="L742" s="4"/>
      <c r="M742" s="4"/>
      <c r="N742" s="4"/>
      <c r="O742" s="4"/>
      <c r="P742" s="4"/>
      <c r="Q742" s="5"/>
      <c r="R742" s="5"/>
      <c r="S742" s="5"/>
      <c r="T742" s="5"/>
      <c r="U742" s="6"/>
      <c r="V742" s="5"/>
      <c r="W742" s="7"/>
      <c r="X742" s="8"/>
      <c r="Y742" s="8"/>
      <c r="Z742" s="2"/>
      <c r="AA742" s="2"/>
      <c r="AB742" s="2"/>
      <c r="AC742" s="2"/>
      <c r="AD742" s="2"/>
    </row>
    <row r="743" ht="12.0" customHeight="1">
      <c r="A743" s="2"/>
      <c r="B743" s="2"/>
      <c r="C743" s="2"/>
      <c r="D743" s="3"/>
      <c r="E743" s="3"/>
      <c r="F743" s="3"/>
      <c r="G743" s="2"/>
      <c r="H743" s="4"/>
      <c r="I743" s="5"/>
      <c r="J743" s="5"/>
      <c r="K743" s="5"/>
      <c r="L743" s="4"/>
      <c r="M743" s="4"/>
      <c r="N743" s="4"/>
      <c r="O743" s="4"/>
      <c r="P743" s="4"/>
      <c r="Q743" s="5"/>
      <c r="R743" s="5"/>
      <c r="S743" s="5"/>
      <c r="T743" s="5"/>
      <c r="U743" s="6"/>
      <c r="V743" s="5"/>
      <c r="W743" s="7"/>
      <c r="X743" s="8"/>
      <c r="Y743" s="8"/>
      <c r="Z743" s="2"/>
      <c r="AA743" s="2"/>
      <c r="AB743" s="2"/>
      <c r="AC743" s="2"/>
      <c r="AD743" s="2"/>
    </row>
    <row r="744" ht="12.0" customHeight="1">
      <c r="A744" s="2"/>
      <c r="B744" s="2"/>
      <c r="C744" s="2"/>
      <c r="D744" s="3"/>
      <c r="E744" s="3"/>
      <c r="F744" s="3"/>
      <c r="G744" s="2"/>
      <c r="H744" s="4"/>
      <c r="I744" s="5"/>
      <c r="J744" s="5"/>
      <c r="K744" s="5"/>
      <c r="L744" s="4"/>
      <c r="M744" s="4"/>
      <c r="N744" s="4"/>
      <c r="O744" s="4"/>
      <c r="P744" s="4"/>
      <c r="Q744" s="5"/>
      <c r="R744" s="5"/>
      <c r="S744" s="5"/>
      <c r="T744" s="5"/>
      <c r="U744" s="6"/>
      <c r="V744" s="5"/>
      <c r="W744" s="7"/>
      <c r="X744" s="8"/>
      <c r="Y744" s="8"/>
      <c r="Z744" s="2"/>
      <c r="AA744" s="2"/>
      <c r="AB744" s="2"/>
      <c r="AC744" s="2"/>
      <c r="AD744" s="2"/>
    </row>
    <row r="745" ht="12.0" customHeight="1">
      <c r="A745" s="2"/>
      <c r="B745" s="2"/>
      <c r="C745" s="2"/>
      <c r="D745" s="3"/>
      <c r="E745" s="3"/>
      <c r="F745" s="3"/>
      <c r="G745" s="2"/>
      <c r="H745" s="4"/>
      <c r="I745" s="5"/>
      <c r="J745" s="5"/>
      <c r="K745" s="5"/>
      <c r="L745" s="4"/>
      <c r="M745" s="4"/>
      <c r="N745" s="4"/>
      <c r="O745" s="4"/>
      <c r="P745" s="4"/>
      <c r="Q745" s="5"/>
      <c r="R745" s="5"/>
      <c r="S745" s="5"/>
      <c r="T745" s="5"/>
      <c r="U745" s="6"/>
      <c r="V745" s="5"/>
      <c r="W745" s="7"/>
      <c r="X745" s="8"/>
      <c r="Y745" s="8"/>
      <c r="Z745" s="2"/>
      <c r="AA745" s="2"/>
      <c r="AB745" s="2"/>
      <c r="AC745" s="2"/>
      <c r="AD745" s="2"/>
    </row>
    <row r="746" ht="12.0" customHeight="1">
      <c r="A746" s="2"/>
      <c r="B746" s="2"/>
      <c r="C746" s="2"/>
      <c r="D746" s="3"/>
      <c r="E746" s="3"/>
      <c r="F746" s="3"/>
      <c r="G746" s="2"/>
      <c r="H746" s="4"/>
      <c r="I746" s="5"/>
      <c r="J746" s="5"/>
      <c r="K746" s="5"/>
      <c r="L746" s="4"/>
      <c r="M746" s="4"/>
      <c r="N746" s="4"/>
      <c r="O746" s="4"/>
      <c r="P746" s="4"/>
      <c r="Q746" s="5"/>
      <c r="R746" s="5"/>
      <c r="S746" s="5"/>
      <c r="T746" s="5"/>
      <c r="U746" s="6"/>
      <c r="V746" s="5"/>
      <c r="W746" s="7"/>
      <c r="X746" s="8"/>
      <c r="Y746" s="8"/>
      <c r="Z746" s="2"/>
      <c r="AA746" s="2"/>
      <c r="AB746" s="2"/>
      <c r="AC746" s="2"/>
      <c r="AD746" s="2"/>
    </row>
    <row r="747" ht="12.0" customHeight="1">
      <c r="A747" s="2"/>
      <c r="B747" s="2"/>
      <c r="C747" s="2"/>
      <c r="D747" s="3"/>
      <c r="E747" s="3"/>
      <c r="F747" s="3"/>
      <c r="G747" s="2"/>
      <c r="H747" s="4"/>
      <c r="I747" s="5"/>
      <c r="J747" s="5"/>
      <c r="K747" s="5"/>
      <c r="L747" s="4"/>
      <c r="M747" s="4"/>
      <c r="N747" s="4"/>
      <c r="O747" s="4"/>
      <c r="P747" s="4"/>
      <c r="Q747" s="5"/>
      <c r="R747" s="5"/>
      <c r="S747" s="5"/>
      <c r="T747" s="5"/>
      <c r="U747" s="6"/>
      <c r="V747" s="5"/>
      <c r="W747" s="7"/>
      <c r="X747" s="8"/>
      <c r="Y747" s="8"/>
      <c r="Z747" s="2"/>
      <c r="AA747" s="2"/>
      <c r="AB747" s="2"/>
      <c r="AC747" s="2"/>
      <c r="AD747" s="2"/>
    </row>
    <row r="748" ht="12.0" customHeight="1">
      <c r="A748" s="2"/>
      <c r="B748" s="2"/>
      <c r="C748" s="2"/>
      <c r="D748" s="3"/>
      <c r="E748" s="3"/>
      <c r="F748" s="3"/>
      <c r="G748" s="2"/>
      <c r="H748" s="4"/>
      <c r="I748" s="5"/>
      <c r="J748" s="5"/>
      <c r="K748" s="5"/>
      <c r="L748" s="4"/>
      <c r="M748" s="4"/>
      <c r="N748" s="4"/>
      <c r="O748" s="4"/>
      <c r="P748" s="4"/>
      <c r="Q748" s="5"/>
      <c r="R748" s="5"/>
      <c r="S748" s="5"/>
      <c r="T748" s="5"/>
      <c r="U748" s="6"/>
      <c r="V748" s="5"/>
      <c r="W748" s="7"/>
      <c r="X748" s="8"/>
      <c r="Y748" s="8"/>
      <c r="Z748" s="2"/>
      <c r="AA748" s="2"/>
      <c r="AB748" s="2"/>
      <c r="AC748" s="2"/>
      <c r="AD748" s="2"/>
    </row>
    <row r="749" ht="12.0" customHeight="1">
      <c r="A749" s="2"/>
      <c r="B749" s="2"/>
      <c r="C749" s="2"/>
      <c r="D749" s="3"/>
      <c r="E749" s="3"/>
      <c r="F749" s="3"/>
      <c r="G749" s="2"/>
      <c r="H749" s="4"/>
      <c r="I749" s="5"/>
      <c r="J749" s="5"/>
      <c r="K749" s="5"/>
      <c r="L749" s="4"/>
      <c r="M749" s="4"/>
      <c r="N749" s="4"/>
      <c r="O749" s="4"/>
      <c r="P749" s="4"/>
      <c r="Q749" s="5"/>
      <c r="R749" s="5"/>
      <c r="S749" s="5"/>
      <c r="T749" s="5"/>
      <c r="U749" s="6"/>
      <c r="V749" s="5"/>
      <c r="W749" s="7"/>
      <c r="X749" s="8"/>
      <c r="Y749" s="8"/>
      <c r="Z749" s="2"/>
      <c r="AA749" s="2"/>
      <c r="AB749" s="2"/>
      <c r="AC749" s="2"/>
      <c r="AD749" s="2"/>
    </row>
    <row r="750" ht="12.0" customHeight="1">
      <c r="A750" s="2"/>
      <c r="B750" s="2"/>
      <c r="C750" s="2"/>
      <c r="D750" s="3"/>
      <c r="E750" s="3"/>
      <c r="F750" s="3"/>
      <c r="G750" s="2"/>
      <c r="H750" s="4"/>
      <c r="I750" s="5"/>
      <c r="J750" s="5"/>
      <c r="K750" s="5"/>
      <c r="L750" s="4"/>
      <c r="M750" s="4"/>
      <c r="N750" s="4"/>
      <c r="O750" s="4"/>
      <c r="P750" s="4"/>
      <c r="Q750" s="5"/>
      <c r="R750" s="5"/>
      <c r="S750" s="5"/>
      <c r="T750" s="5"/>
      <c r="U750" s="6"/>
      <c r="V750" s="5"/>
      <c r="W750" s="7"/>
      <c r="X750" s="8"/>
      <c r="Y750" s="8"/>
      <c r="Z750" s="2"/>
      <c r="AA750" s="2"/>
      <c r="AB750" s="2"/>
      <c r="AC750" s="2"/>
      <c r="AD750" s="2"/>
    </row>
    <row r="751" ht="12.0" customHeight="1">
      <c r="A751" s="2"/>
      <c r="B751" s="2"/>
      <c r="C751" s="2"/>
      <c r="D751" s="3"/>
      <c r="E751" s="3"/>
      <c r="F751" s="3"/>
      <c r="G751" s="2"/>
      <c r="H751" s="4"/>
      <c r="I751" s="5"/>
      <c r="J751" s="5"/>
      <c r="K751" s="5"/>
      <c r="L751" s="4"/>
      <c r="M751" s="4"/>
      <c r="N751" s="4"/>
      <c r="O751" s="4"/>
      <c r="P751" s="4"/>
      <c r="Q751" s="5"/>
      <c r="R751" s="5"/>
      <c r="S751" s="5"/>
      <c r="T751" s="5"/>
      <c r="U751" s="6"/>
      <c r="V751" s="5"/>
      <c r="W751" s="7"/>
      <c r="X751" s="8"/>
      <c r="Y751" s="8"/>
      <c r="Z751" s="2"/>
      <c r="AA751" s="2"/>
      <c r="AB751" s="2"/>
      <c r="AC751" s="2"/>
      <c r="AD751" s="2"/>
    </row>
    <row r="752" ht="12.0" customHeight="1">
      <c r="A752" s="2"/>
      <c r="B752" s="2"/>
      <c r="C752" s="2"/>
      <c r="D752" s="3"/>
      <c r="E752" s="3"/>
      <c r="F752" s="3"/>
      <c r="G752" s="2"/>
      <c r="H752" s="4"/>
      <c r="I752" s="5"/>
      <c r="J752" s="5"/>
      <c r="K752" s="5"/>
      <c r="L752" s="4"/>
      <c r="M752" s="4"/>
      <c r="N752" s="4"/>
      <c r="O752" s="4"/>
      <c r="P752" s="4"/>
      <c r="Q752" s="5"/>
      <c r="R752" s="5"/>
      <c r="S752" s="5"/>
      <c r="T752" s="5"/>
      <c r="U752" s="6"/>
      <c r="V752" s="5"/>
      <c r="W752" s="7"/>
      <c r="X752" s="8"/>
      <c r="Y752" s="8"/>
      <c r="Z752" s="2"/>
      <c r="AA752" s="2"/>
      <c r="AB752" s="2"/>
      <c r="AC752" s="2"/>
      <c r="AD752" s="2"/>
    </row>
    <row r="753" ht="12.0" customHeight="1">
      <c r="A753" s="2"/>
      <c r="B753" s="2"/>
      <c r="C753" s="2"/>
      <c r="D753" s="3"/>
      <c r="E753" s="3"/>
      <c r="F753" s="3"/>
      <c r="G753" s="2"/>
      <c r="H753" s="4"/>
      <c r="I753" s="5"/>
      <c r="J753" s="5"/>
      <c r="K753" s="5"/>
      <c r="L753" s="4"/>
      <c r="M753" s="4"/>
      <c r="N753" s="4"/>
      <c r="O753" s="4"/>
      <c r="P753" s="4"/>
      <c r="Q753" s="5"/>
      <c r="R753" s="5"/>
      <c r="S753" s="5"/>
      <c r="T753" s="5"/>
      <c r="U753" s="6"/>
      <c r="V753" s="5"/>
      <c r="W753" s="7"/>
      <c r="X753" s="8"/>
      <c r="Y753" s="8"/>
      <c r="Z753" s="2"/>
      <c r="AA753" s="2"/>
      <c r="AB753" s="2"/>
      <c r="AC753" s="2"/>
      <c r="AD753" s="2"/>
    </row>
    <row r="754" ht="12.0" customHeight="1">
      <c r="A754" s="2"/>
      <c r="B754" s="2"/>
      <c r="C754" s="2"/>
      <c r="D754" s="3"/>
      <c r="E754" s="3"/>
      <c r="F754" s="3"/>
      <c r="G754" s="2"/>
      <c r="H754" s="4"/>
      <c r="I754" s="5"/>
      <c r="J754" s="5"/>
      <c r="K754" s="5"/>
      <c r="L754" s="4"/>
      <c r="M754" s="4"/>
      <c r="N754" s="4"/>
      <c r="O754" s="4"/>
      <c r="P754" s="4"/>
      <c r="Q754" s="5"/>
      <c r="R754" s="5"/>
      <c r="S754" s="5"/>
      <c r="T754" s="5"/>
      <c r="U754" s="6"/>
      <c r="V754" s="5"/>
      <c r="W754" s="7"/>
      <c r="X754" s="8"/>
      <c r="Y754" s="8"/>
      <c r="Z754" s="2"/>
      <c r="AA754" s="2"/>
      <c r="AB754" s="2"/>
      <c r="AC754" s="2"/>
      <c r="AD754" s="2"/>
    </row>
    <row r="755" ht="12.0" customHeight="1">
      <c r="A755" s="2"/>
      <c r="B755" s="2"/>
      <c r="C755" s="2"/>
      <c r="D755" s="3"/>
      <c r="E755" s="3"/>
      <c r="F755" s="3"/>
      <c r="G755" s="2"/>
      <c r="H755" s="4"/>
      <c r="I755" s="5"/>
      <c r="J755" s="5"/>
      <c r="K755" s="5"/>
      <c r="L755" s="4"/>
      <c r="M755" s="4"/>
      <c r="N755" s="4"/>
      <c r="O755" s="4"/>
      <c r="P755" s="4"/>
      <c r="Q755" s="5"/>
      <c r="R755" s="5"/>
      <c r="S755" s="5"/>
      <c r="T755" s="5"/>
      <c r="U755" s="6"/>
      <c r="V755" s="5"/>
      <c r="W755" s="7"/>
      <c r="X755" s="8"/>
      <c r="Y755" s="8"/>
      <c r="Z755" s="2"/>
      <c r="AA755" s="2"/>
      <c r="AB755" s="2"/>
      <c r="AC755" s="2"/>
      <c r="AD755" s="2"/>
    </row>
    <row r="756" ht="12.0" customHeight="1">
      <c r="A756" s="2"/>
      <c r="B756" s="2"/>
      <c r="C756" s="2"/>
      <c r="D756" s="3"/>
      <c r="E756" s="3"/>
      <c r="F756" s="3"/>
      <c r="G756" s="2"/>
      <c r="H756" s="4"/>
      <c r="I756" s="5"/>
      <c r="J756" s="5"/>
      <c r="K756" s="5"/>
      <c r="L756" s="4"/>
      <c r="M756" s="4"/>
      <c r="N756" s="4"/>
      <c r="O756" s="4"/>
      <c r="P756" s="4"/>
      <c r="Q756" s="5"/>
      <c r="R756" s="5"/>
      <c r="S756" s="5"/>
      <c r="T756" s="5"/>
      <c r="U756" s="6"/>
      <c r="V756" s="5"/>
      <c r="W756" s="7"/>
      <c r="X756" s="8"/>
      <c r="Y756" s="8"/>
      <c r="Z756" s="2"/>
      <c r="AA756" s="2"/>
      <c r="AB756" s="2"/>
      <c r="AC756" s="2"/>
      <c r="AD756" s="2"/>
    </row>
    <row r="757" ht="12.0" customHeight="1">
      <c r="A757" s="2"/>
      <c r="B757" s="2"/>
      <c r="C757" s="2"/>
      <c r="D757" s="3"/>
      <c r="E757" s="3"/>
      <c r="F757" s="3"/>
      <c r="G757" s="2"/>
      <c r="H757" s="4"/>
      <c r="I757" s="5"/>
      <c r="J757" s="5"/>
      <c r="K757" s="5"/>
      <c r="L757" s="4"/>
      <c r="M757" s="4"/>
      <c r="N757" s="4"/>
      <c r="O757" s="4"/>
      <c r="P757" s="4"/>
      <c r="Q757" s="5"/>
      <c r="R757" s="5"/>
      <c r="S757" s="5"/>
      <c r="T757" s="5"/>
      <c r="U757" s="6"/>
      <c r="V757" s="5"/>
      <c r="W757" s="7"/>
      <c r="X757" s="8"/>
      <c r="Y757" s="8"/>
      <c r="Z757" s="2"/>
      <c r="AA757" s="2"/>
      <c r="AB757" s="2"/>
      <c r="AC757" s="2"/>
      <c r="AD757" s="2"/>
    </row>
    <row r="758" ht="12.0" customHeight="1">
      <c r="A758" s="2"/>
      <c r="B758" s="2"/>
      <c r="C758" s="2"/>
      <c r="D758" s="3"/>
      <c r="E758" s="3"/>
      <c r="F758" s="3"/>
      <c r="G758" s="2"/>
      <c r="H758" s="4"/>
      <c r="I758" s="5"/>
      <c r="J758" s="5"/>
      <c r="K758" s="5"/>
      <c r="L758" s="4"/>
      <c r="M758" s="4"/>
      <c r="N758" s="4"/>
      <c r="O758" s="4"/>
      <c r="P758" s="4"/>
      <c r="Q758" s="5"/>
      <c r="R758" s="5"/>
      <c r="S758" s="5"/>
      <c r="T758" s="5"/>
      <c r="U758" s="6"/>
      <c r="V758" s="5"/>
      <c r="W758" s="7"/>
      <c r="X758" s="8"/>
      <c r="Y758" s="8"/>
      <c r="Z758" s="2"/>
      <c r="AA758" s="2"/>
      <c r="AB758" s="2"/>
      <c r="AC758" s="2"/>
      <c r="AD758" s="2"/>
    </row>
    <row r="759" ht="12.0" customHeight="1">
      <c r="A759" s="2"/>
      <c r="B759" s="2"/>
      <c r="C759" s="2"/>
      <c r="D759" s="3"/>
      <c r="E759" s="3"/>
      <c r="F759" s="3"/>
      <c r="G759" s="2"/>
      <c r="H759" s="4"/>
      <c r="I759" s="5"/>
      <c r="J759" s="5"/>
      <c r="K759" s="5"/>
      <c r="L759" s="4"/>
      <c r="M759" s="4"/>
      <c r="N759" s="4"/>
      <c r="O759" s="4"/>
      <c r="P759" s="4"/>
      <c r="Q759" s="5"/>
      <c r="R759" s="5"/>
      <c r="S759" s="5"/>
      <c r="T759" s="5"/>
      <c r="U759" s="6"/>
      <c r="V759" s="5"/>
      <c r="W759" s="7"/>
      <c r="X759" s="8"/>
      <c r="Y759" s="8"/>
      <c r="Z759" s="2"/>
      <c r="AA759" s="2"/>
      <c r="AB759" s="2"/>
      <c r="AC759" s="2"/>
      <c r="AD759" s="2"/>
    </row>
    <row r="760" ht="12.0" customHeight="1">
      <c r="A760" s="2"/>
      <c r="B760" s="2"/>
      <c r="C760" s="2"/>
      <c r="D760" s="3"/>
      <c r="E760" s="3"/>
      <c r="F760" s="3"/>
      <c r="G760" s="2"/>
      <c r="H760" s="4"/>
      <c r="I760" s="5"/>
      <c r="J760" s="5"/>
      <c r="K760" s="5"/>
      <c r="L760" s="4"/>
      <c r="M760" s="4"/>
      <c r="N760" s="4"/>
      <c r="O760" s="4"/>
      <c r="P760" s="4"/>
      <c r="Q760" s="5"/>
      <c r="R760" s="5"/>
      <c r="S760" s="5"/>
      <c r="T760" s="5"/>
      <c r="U760" s="6"/>
      <c r="V760" s="5"/>
      <c r="W760" s="7"/>
      <c r="X760" s="8"/>
      <c r="Y760" s="8"/>
      <c r="Z760" s="2"/>
      <c r="AA760" s="2"/>
      <c r="AB760" s="2"/>
      <c r="AC760" s="2"/>
      <c r="AD760" s="2"/>
    </row>
    <row r="761" ht="12.0" customHeight="1">
      <c r="A761" s="2"/>
      <c r="B761" s="2"/>
      <c r="C761" s="2"/>
      <c r="D761" s="3"/>
      <c r="E761" s="3"/>
      <c r="F761" s="3"/>
      <c r="G761" s="2"/>
      <c r="H761" s="4"/>
      <c r="I761" s="5"/>
      <c r="J761" s="5"/>
      <c r="K761" s="5"/>
      <c r="L761" s="4"/>
      <c r="M761" s="4"/>
      <c r="N761" s="4"/>
      <c r="O761" s="4"/>
      <c r="P761" s="4"/>
      <c r="Q761" s="5"/>
      <c r="R761" s="5"/>
      <c r="S761" s="5"/>
      <c r="T761" s="5"/>
      <c r="U761" s="6"/>
      <c r="V761" s="5"/>
      <c r="W761" s="7"/>
      <c r="X761" s="8"/>
      <c r="Y761" s="8"/>
      <c r="Z761" s="2"/>
      <c r="AA761" s="2"/>
      <c r="AB761" s="2"/>
      <c r="AC761" s="2"/>
      <c r="AD761" s="2"/>
    </row>
    <row r="762" ht="12.0" customHeight="1">
      <c r="A762" s="2"/>
      <c r="B762" s="2"/>
      <c r="C762" s="2"/>
      <c r="D762" s="3"/>
      <c r="E762" s="3"/>
      <c r="F762" s="3"/>
      <c r="G762" s="2"/>
      <c r="H762" s="4"/>
      <c r="I762" s="5"/>
      <c r="J762" s="5"/>
      <c r="K762" s="5"/>
      <c r="L762" s="4"/>
      <c r="M762" s="4"/>
      <c r="N762" s="4"/>
      <c r="O762" s="4"/>
      <c r="P762" s="4"/>
      <c r="Q762" s="5"/>
      <c r="R762" s="5"/>
      <c r="S762" s="5"/>
      <c r="T762" s="5"/>
      <c r="U762" s="6"/>
      <c r="V762" s="5"/>
      <c r="W762" s="7"/>
      <c r="X762" s="8"/>
      <c r="Y762" s="8"/>
      <c r="Z762" s="2"/>
      <c r="AA762" s="2"/>
      <c r="AB762" s="2"/>
      <c r="AC762" s="2"/>
      <c r="AD762" s="2"/>
    </row>
    <row r="763" ht="12.0" customHeight="1">
      <c r="A763" s="2"/>
      <c r="B763" s="2"/>
      <c r="C763" s="2"/>
      <c r="D763" s="3"/>
      <c r="E763" s="3"/>
      <c r="F763" s="3"/>
      <c r="G763" s="2"/>
      <c r="H763" s="4"/>
      <c r="I763" s="5"/>
      <c r="J763" s="5"/>
      <c r="K763" s="5"/>
      <c r="L763" s="4"/>
      <c r="M763" s="4"/>
      <c r="N763" s="4"/>
      <c r="O763" s="4"/>
      <c r="P763" s="4"/>
      <c r="Q763" s="5"/>
      <c r="R763" s="5"/>
      <c r="S763" s="5"/>
      <c r="T763" s="5"/>
      <c r="U763" s="6"/>
      <c r="V763" s="5"/>
      <c r="W763" s="7"/>
      <c r="X763" s="8"/>
      <c r="Y763" s="8"/>
      <c r="Z763" s="2"/>
      <c r="AA763" s="2"/>
      <c r="AB763" s="2"/>
      <c r="AC763" s="2"/>
      <c r="AD763" s="2"/>
    </row>
    <row r="764" ht="12.0" customHeight="1">
      <c r="A764" s="2"/>
      <c r="B764" s="2"/>
      <c r="C764" s="2"/>
      <c r="D764" s="3"/>
      <c r="E764" s="3"/>
      <c r="F764" s="3"/>
      <c r="G764" s="2"/>
      <c r="H764" s="4"/>
      <c r="I764" s="5"/>
      <c r="J764" s="5"/>
      <c r="K764" s="5"/>
      <c r="L764" s="4"/>
      <c r="M764" s="4"/>
      <c r="N764" s="4"/>
      <c r="O764" s="4"/>
      <c r="P764" s="4"/>
      <c r="Q764" s="5"/>
      <c r="R764" s="5"/>
      <c r="S764" s="5"/>
      <c r="T764" s="5"/>
      <c r="U764" s="6"/>
      <c r="V764" s="5"/>
      <c r="W764" s="7"/>
      <c r="X764" s="8"/>
      <c r="Y764" s="8"/>
      <c r="Z764" s="2"/>
      <c r="AA764" s="2"/>
      <c r="AB764" s="2"/>
      <c r="AC764" s="2"/>
      <c r="AD764" s="2"/>
    </row>
    <row r="765" ht="12.0" customHeight="1">
      <c r="A765" s="2"/>
      <c r="B765" s="2"/>
      <c r="C765" s="2"/>
      <c r="D765" s="3"/>
      <c r="E765" s="3"/>
      <c r="F765" s="3"/>
      <c r="G765" s="2"/>
      <c r="H765" s="4"/>
      <c r="I765" s="5"/>
      <c r="J765" s="5"/>
      <c r="K765" s="5"/>
      <c r="L765" s="4"/>
      <c r="M765" s="4"/>
      <c r="N765" s="4"/>
      <c r="O765" s="4"/>
      <c r="P765" s="4"/>
      <c r="Q765" s="5"/>
      <c r="R765" s="5"/>
      <c r="S765" s="5"/>
      <c r="T765" s="5"/>
      <c r="U765" s="6"/>
      <c r="V765" s="5"/>
      <c r="W765" s="7"/>
      <c r="X765" s="8"/>
      <c r="Y765" s="8"/>
      <c r="Z765" s="2"/>
      <c r="AA765" s="2"/>
      <c r="AB765" s="2"/>
      <c r="AC765" s="2"/>
      <c r="AD765" s="2"/>
    </row>
    <row r="766" ht="12.0" customHeight="1">
      <c r="A766" s="2"/>
      <c r="B766" s="2"/>
      <c r="C766" s="2"/>
      <c r="D766" s="3"/>
      <c r="E766" s="3"/>
      <c r="F766" s="3"/>
      <c r="G766" s="2"/>
      <c r="H766" s="4"/>
      <c r="I766" s="5"/>
      <c r="J766" s="5"/>
      <c r="K766" s="5"/>
      <c r="L766" s="4"/>
      <c r="M766" s="4"/>
      <c r="N766" s="4"/>
      <c r="O766" s="4"/>
      <c r="P766" s="4"/>
      <c r="Q766" s="5"/>
      <c r="R766" s="5"/>
      <c r="S766" s="5"/>
      <c r="T766" s="5"/>
      <c r="U766" s="6"/>
      <c r="V766" s="5"/>
      <c r="W766" s="7"/>
      <c r="X766" s="8"/>
      <c r="Y766" s="8"/>
      <c r="Z766" s="2"/>
      <c r="AA766" s="2"/>
      <c r="AB766" s="2"/>
      <c r="AC766" s="2"/>
      <c r="AD766" s="2"/>
    </row>
    <row r="767" ht="12.0" customHeight="1">
      <c r="A767" s="2"/>
      <c r="B767" s="2"/>
      <c r="C767" s="2"/>
      <c r="D767" s="3"/>
      <c r="E767" s="3"/>
      <c r="F767" s="3"/>
      <c r="G767" s="2"/>
      <c r="H767" s="4"/>
      <c r="I767" s="5"/>
      <c r="J767" s="5"/>
      <c r="K767" s="5"/>
      <c r="L767" s="4"/>
      <c r="M767" s="4"/>
      <c r="N767" s="4"/>
      <c r="O767" s="4"/>
      <c r="P767" s="4"/>
      <c r="Q767" s="5"/>
      <c r="R767" s="5"/>
      <c r="S767" s="5"/>
      <c r="T767" s="5"/>
      <c r="U767" s="6"/>
      <c r="V767" s="5"/>
      <c r="W767" s="7"/>
      <c r="X767" s="8"/>
      <c r="Y767" s="8"/>
      <c r="Z767" s="2"/>
      <c r="AA767" s="2"/>
      <c r="AB767" s="2"/>
      <c r="AC767" s="2"/>
      <c r="AD767" s="2"/>
    </row>
    <row r="768" ht="12.0" customHeight="1">
      <c r="A768" s="2"/>
      <c r="B768" s="2"/>
      <c r="C768" s="2"/>
      <c r="D768" s="3"/>
      <c r="E768" s="3"/>
      <c r="F768" s="3"/>
      <c r="G768" s="2"/>
      <c r="H768" s="4"/>
      <c r="I768" s="5"/>
      <c r="J768" s="5"/>
      <c r="K768" s="5"/>
      <c r="L768" s="4"/>
      <c r="M768" s="4"/>
      <c r="N768" s="4"/>
      <c r="O768" s="4"/>
      <c r="P768" s="4"/>
      <c r="Q768" s="5"/>
      <c r="R768" s="5"/>
      <c r="S768" s="5"/>
      <c r="T768" s="5"/>
      <c r="U768" s="6"/>
      <c r="V768" s="5"/>
      <c r="W768" s="7"/>
      <c r="X768" s="8"/>
      <c r="Y768" s="8"/>
      <c r="Z768" s="2"/>
      <c r="AA768" s="2"/>
      <c r="AB768" s="2"/>
      <c r="AC768" s="2"/>
      <c r="AD768" s="2"/>
    </row>
    <row r="769" ht="12.0" customHeight="1">
      <c r="A769" s="2"/>
      <c r="B769" s="2"/>
      <c r="C769" s="2"/>
      <c r="D769" s="3"/>
      <c r="E769" s="3"/>
      <c r="F769" s="3"/>
      <c r="G769" s="2"/>
      <c r="H769" s="4"/>
      <c r="I769" s="5"/>
      <c r="J769" s="5"/>
      <c r="K769" s="5"/>
      <c r="L769" s="4"/>
      <c r="M769" s="4"/>
      <c r="N769" s="4"/>
      <c r="O769" s="4"/>
      <c r="P769" s="4"/>
      <c r="Q769" s="5"/>
      <c r="R769" s="5"/>
      <c r="S769" s="5"/>
      <c r="T769" s="5"/>
      <c r="U769" s="6"/>
      <c r="V769" s="5"/>
      <c r="W769" s="7"/>
      <c r="X769" s="8"/>
      <c r="Y769" s="8"/>
      <c r="Z769" s="2"/>
      <c r="AA769" s="2"/>
      <c r="AB769" s="2"/>
      <c r="AC769" s="2"/>
      <c r="AD769" s="2"/>
    </row>
    <row r="770" ht="12.0" customHeight="1">
      <c r="A770" s="2"/>
      <c r="B770" s="2"/>
      <c r="C770" s="2"/>
      <c r="D770" s="3"/>
      <c r="E770" s="3"/>
      <c r="F770" s="3"/>
      <c r="G770" s="2"/>
      <c r="H770" s="4"/>
      <c r="I770" s="5"/>
      <c r="J770" s="5"/>
      <c r="K770" s="5"/>
      <c r="L770" s="4"/>
      <c r="M770" s="4"/>
      <c r="N770" s="4"/>
      <c r="O770" s="4"/>
      <c r="P770" s="4"/>
      <c r="Q770" s="5"/>
      <c r="R770" s="5"/>
      <c r="S770" s="5"/>
      <c r="T770" s="5"/>
      <c r="U770" s="6"/>
      <c r="V770" s="5"/>
      <c r="W770" s="7"/>
      <c r="X770" s="8"/>
      <c r="Y770" s="8"/>
      <c r="Z770" s="2"/>
      <c r="AA770" s="2"/>
      <c r="AB770" s="2"/>
      <c r="AC770" s="2"/>
      <c r="AD770" s="2"/>
    </row>
    <row r="771" ht="12.0" customHeight="1">
      <c r="A771" s="2"/>
      <c r="B771" s="2"/>
      <c r="C771" s="2"/>
      <c r="D771" s="3"/>
      <c r="E771" s="3"/>
      <c r="F771" s="3"/>
      <c r="G771" s="2"/>
      <c r="H771" s="4"/>
      <c r="I771" s="5"/>
      <c r="J771" s="5"/>
      <c r="K771" s="5"/>
      <c r="L771" s="4"/>
      <c r="M771" s="4"/>
      <c r="N771" s="4"/>
      <c r="O771" s="4"/>
      <c r="P771" s="4"/>
      <c r="Q771" s="5"/>
      <c r="R771" s="5"/>
      <c r="S771" s="5"/>
      <c r="T771" s="5"/>
      <c r="U771" s="6"/>
      <c r="V771" s="5"/>
      <c r="W771" s="7"/>
      <c r="X771" s="8"/>
      <c r="Y771" s="8"/>
      <c r="Z771" s="2"/>
      <c r="AA771" s="2"/>
      <c r="AB771" s="2"/>
      <c r="AC771" s="2"/>
      <c r="AD771" s="2"/>
    </row>
    <row r="772" ht="12.0" customHeight="1">
      <c r="A772" s="2"/>
      <c r="B772" s="2"/>
      <c r="C772" s="2"/>
      <c r="D772" s="3"/>
      <c r="E772" s="3"/>
      <c r="F772" s="3"/>
      <c r="G772" s="2"/>
      <c r="H772" s="4"/>
      <c r="I772" s="5"/>
      <c r="J772" s="5"/>
      <c r="K772" s="5"/>
      <c r="L772" s="4"/>
      <c r="M772" s="4"/>
      <c r="N772" s="4"/>
      <c r="O772" s="4"/>
      <c r="P772" s="4"/>
      <c r="Q772" s="5"/>
      <c r="R772" s="5"/>
      <c r="S772" s="5"/>
      <c r="T772" s="5"/>
      <c r="U772" s="6"/>
      <c r="V772" s="5"/>
      <c r="W772" s="7"/>
      <c r="X772" s="8"/>
      <c r="Y772" s="8"/>
      <c r="Z772" s="2"/>
      <c r="AA772" s="2"/>
      <c r="AB772" s="2"/>
      <c r="AC772" s="2"/>
      <c r="AD772" s="2"/>
    </row>
    <row r="773" ht="12.0" customHeight="1">
      <c r="A773" s="2"/>
      <c r="B773" s="2"/>
      <c r="C773" s="2"/>
      <c r="D773" s="3"/>
      <c r="E773" s="3"/>
      <c r="F773" s="3"/>
      <c r="G773" s="2"/>
      <c r="H773" s="4"/>
      <c r="I773" s="5"/>
      <c r="J773" s="5"/>
      <c r="K773" s="5"/>
      <c r="L773" s="4"/>
      <c r="M773" s="4"/>
      <c r="N773" s="4"/>
      <c r="O773" s="4"/>
      <c r="P773" s="4"/>
      <c r="Q773" s="5"/>
      <c r="R773" s="5"/>
      <c r="S773" s="5"/>
      <c r="T773" s="5"/>
      <c r="U773" s="6"/>
      <c r="V773" s="5"/>
      <c r="W773" s="7"/>
      <c r="X773" s="8"/>
      <c r="Y773" s="8"/>
      <c r="Z773" s="2"/>
      <c r="AA773" s="2"/>
      <c r="AB773" s="2"/>
      <c r="AC773" s="2"/>
      <c r="AD773" s="2"/>
    </row>
    <row r="774" ht="12.0" customHeight="1">
      <c r="A774" s="2"/>
      <c r="B774" s="2"/>
      <c r="C774" s="2"/>
      <c r="D774" s="3"/>
      <c r="E774" s="3"/>
      <c r="F774" s="3"/>
      <c r="G774" s="2"/>
      <c r="H774" s="4"/>
      <c r="I774" s="5"/>
      <c r="J774" s="5"/>
      <c r="K774" s="5"/>
      <c r="L774" s="4"/>
      <c r="M774" s="4"/>
      <c r="N774" s="4"/>
      <c r="O774" s="4"/>
      <c r="P774" s="4"/>
      <c r="Q774" s="5"/>
      <c r="R774" s="5"/>
      <c r="S774" s="5"/>
      <c r="T774" s="5"/>
      <c r="U774" s="6"/>
      <c r="V774" s="5"/>
      <c r="W774" s="7"/>
      <c r="X774" s="8"/>
      <c r="Y774" s="8"/>
      <c r="Z774" s="2"/>
      <c r="AA774" s="2"/>
      <c r="AB774" s="2"/>
      <c r="AC774" s="2"/>
      <c r="AD774" s="2"/>
    </row>
    <row r="775" ht="12.0" customHeight="1">
      <c r="A775" s="2"/>
      <c r="B775" s="2"/>
      <c r="C775" s="2"/>
      <c r="D775" s="3"/>
      <c r="E775" s="3"/>
      <c r="F775" s="3"/>
      <c r="G775" s="2"/>
      <c r="H775" s="4"/>
      <c r="I775" s="5"/>
      <c r="J775" s="5"/>
      <c r="K775" s="5"/>
      <c r="L775" s="4"/>
      <c r="M775" s="4"/>
      <c r="N775" s="4"/>
      <c r="O775" s="4"/>
      <c r="P775" s="4"/>
      <c r="Q775" s="5"/>
      <c r="R775" s="5"/>
      <c r="S775" s="5"/>
      <c r="T775" s="5"/>
      <c r="U775" s="6"/>
      <c r="V775" s="5"/>
      <c r="W775" s="7"/>
      <c r="X775" s="8"/>
      <c r="Y775" s="8"/>
      <c r="Z775" s="2"/>
      <c r="AA775" s="2"/>
      <c r="AB775" s="2"/>
      <c r="AC775" s="2"/>
      <c r="AD775" s="2"/>
    </row>
    <row r="776" ht="12.0" customHeight="1">
      <c r="A776" s="2"/>
      <c r="B776" s="2"/>
      <c r="C776" s="2"/>
      <c r="D776" s="3"/>
      <c r="E776" s="3"/>
      <c r="F776" s="3"/>
      <c r="G776" s="2"/>
      <c r="H776" s="4"/>
      <c r="I776" s="5"/>
      <c r="J776" s="5"/>
      <c r="K776" s="5"/>
      <c r="L776" s="4"/>
      <c r="M776" s="4"/>
      <c r="N776" s="4"/>
      <c r="O776" s="4"/>
      <c r="P776" s="4"/>
      <c r="Q776" s="5"/>
      <c r="R776" s="5"/>
      <c r="S776" s="5"/>
      <c r="T776" s="5"/>
      <c r="U776" s="6"/>
      <c r="V776" s="5"/>
      <c r="W776" s="7"/>
      <c r="X776" s="8"/>
      <c r="Y776" s="8"/>
      <c r="Z776" s="2"/>
      <c r="AA776" s="2"/>
      <c r="AB776" s="2"/>
      <c r="AC776" s="2"/>
      <c r="AD776" s="2"/>
    </row>
    <row r="777" ht="12.0" customHeight="1">
      <c r="A777" s="2"/>
      <c r="B777" s="2"/>
      <c r="C777" s="2"/>
      <c r="D777" s="3"/>
      <c r="E777" s="3"/>
      <c r="F777" s="3"/>
      <c r="G777" s="2"/>
      <c r="H777" s="4"/>
      <c r="I777" s="5"/>
      <c r="J777" s="5"/>
      <c r="K777" s="5"/>
      <c r="L777" s="4"/>
      <c r="M777" s="4"/>
      <c r="N777" s="4"/>
      <c r="O777" s="4"/>
      <c r="P777" s="4"/>
      <c r="Q777" s="5"/>
      <c r="R777" s="5"/>
      <c r="S777" s="5"/>
      <c r="T777" s="5"/>
      <c r="U777" s="6"/>
      <c r="V777" s="5"/>
      <c r="W777" s="7"/>
      <c r="X777" s="8"/>
      <c r="Y777" s="8"/>
      <c r="Z777" s="2"/>
      <c r="AA777" s="2"/>
      <c r="AB777" s="2"/>
      <c r="AC777" s="2"/>
      <c r="AD777" s="2"/>
    </row>
    <row r="778" ht="12.0" customHeight="1">
      <c r="A778" s="2"/>
      <c r="B778" s="2"/>
      <c r="C778" s="2"/>
      <c r="D778" s="3"/>
      <c r="E778" s="3"/>
      <c r="F778" s="3"/>
      <c r="G778" s="2"/>
      <c r="H778" s="4"/>
      <c r="I778" s="5"/>
      <c r="J778" s="5"/>
      <c r="K778" s="5"/>
      <c r="L778" s="4"/>
      <c r="M778" s="4"/>
      <c r="N778" s="4"/>
      <c r="O778" s="4"/>
      <c r="P778" s="4"/>
      <c r="Q778" s="5"/>
      <c r="R778" s="5"/>
      <c r="S778" s="5"/>
      <c r="T778" s="5"/>
      <c r="U778" s="6"/>
      <c r="V778" s="5"/>
      <c r="W778" s="7"/>
      <c r="X778" s="8"/>
      <c r="Y778" s="8"/>
      <c r="Z778" s="2"/>
      <c r="AA778" s="2"/>
      <c r="AB778" s="2"/>
      <c r="AC778" s="2"/>
      <c r="AD778" s="2"/>
    </row>
    <row r="779" ht="12.0" customHeight="1">
      <c r="A779" s="2"/>
      <c r="B779" s="2"/>
      <c r="C779" s="2"/>
      <c r="D779" s="3"/>
      <c r="E779" s="3"/>
      <c r="F779" s="3"/>
      <c r="G779" s="2"/>
      <c r="H779" s="4"/>
      <c r="I779" s="5"/>
      <c r="J779" s="5"/>
      <c r="K779" s="5"/>
      <c r="L779" s="4"/>
      <c r="M779" s="4"/>
      <c r="N779" s="4"/>
      <c r="O779" s="4"/>
      <c r="P779" s="4"/>
      <c r="Q779" s="5"/>
      <c r="R779" s="5"/>
      <c r="S779" s="5"/>
      <c r="T779" s="5"/>
      <c r="U779" s="6"/>
      <c r="V779" s="5"/>
      <c r="W779" s="7"/>
      <c r="X779" s="8"/>
      <c r="Y779" s="8"/>
      <c r="Z779" s="2"/>
      <c r="AA779" s="2"/>
      <c r="AB779" s="2"/>
      <c r="AC779" s="2"/>
      <c r="AD779" s="2"/>
    </row>
    <row r="780" ht="12.0" customHeight="1">
      <c r="A780" s="2"/>
      <c r="B780" s="2"/>
      <c r="C780" s="2"/>
      <c r="D780" s="3"/>
      <c r="E780" s="3"/>
      <c r="F780" s="3"/>
      <c r="G780" s="2"/>
      <c r="H780" s="4"/>
      <c r="I780" s="5"/>
      <c r="J780" s="5"/>
      <c r="K780" s="5"/>
      <c r="L780" s="4"/>
      <c r="M780" s="4"/>
      <c r="N780" s="4"/>
      <c r="O780" s="4"/>
      <c r="P780" s="4"/>
      <c r="Q780" s="5"/>
      <c r="R780" s="5"/>
      <c r="S780" s="5"/>
      <c r="T780" s="5"/>
      <c r="U780" s="6"/>
      <c r="V780" s="5"/>
      <c r="W780" s="7"/>
      <c r="X780" s="8"/>
      <c r="Y780" s="8"/>
      <c r="Z780" s="2"/>
      <c r="AA780" s="2"/>
      <c r="AB780" s="2"/>
      <c r="AC780" s="2"/>
      <c r="AD780" s="2"/>
    </row>
    <row r="781" ht="12.0" customHeight="1">
      <c r="A781" s="2"/>
      <c r="B781" s="2"/>
      <c r="C781" s="2"/>
      <c r="D781" s="3"/>
      <c r="E781" s="3"/>
      <c r="F781" s="3"/>
      <c r="G781" s="2"/>
      <c r="H781" s="4"/>
      <c r="I781" s="5"/>
      <c r="J781" s="5"/>
      <c r="K781" s="5"/>
      <c r="L781" s="4"/>
      <c r="M781" s="4"/>
      <c r="N781" s="4"/>
      <c r="O781" s="4"/>
      <c r="P781" s="4"/>
      <c r="Q781" s="5"/>
      <c r="R781" s="5"/>
      <c r="S781" s="5"/>
      <c r="T781" s="5"/>
      <c r="U781" s="6"/>
      <c r="V781" s="5"/>
      <c r="W781" s="7"/>
      <c r="X781" s="8"/>
      <c r="Y781" s="8"/>
      <c r="Z781" s="2"/>
      <c r="AA781" s="2"/>
      <c r="AB781" s="2"/>
      <c r="AC781" s="2"/>
      <c r="AD781" s="2"/>
    </row>
    <row r="782" ht="12.0" customHeight="1">
      <c r="A782" s="2"/>
      <c r="B782" s="2"/>
      <c r="C782" s="2"/>
      <c r="D782" s="3"/>
      <c r="E782" s="3"/>
      <c r="F782" s="3"/>
      <c r="G782" s="2"/>
      <c r="H782" s="4"/>
      <c r="I782" s="5"/>
      <c r="J782" s="5"/>
      <c r="K782" s="5"/>
      <c r="L782" s="4"/>
      <c r="M782" s="4"/>
      <c r="N782" s="4"/>
      <c r="O782" s="4"/>
      <c r="P782" s="4"/>
      <c r="Q782" s="5"/>
      <c r="R782" s="5"/>
      <c r="S782" s="5"/>
      <c r="T782" s="5"/>
      <c r="U782" s="6"/>
      <c r="V782" s="5"/>
      <c r="W782" s="7"/>
      <c r="X782" s="8"/>
      <c r="Y782" s="8"/>
      <c r="Z782" s="2"/>
      <c r="AA782" s="2"/>
      <c r="AB782" s="2"/>
      <c r="AC782" s="2"/>
      <c r="AD782" s="2"/>
    </row>
    <row r="783" ht="12.0" customHeight="1">
      <c r="A783" s="2"/>
      <c r="B783" s="2"/>
      <c r="C783" s="2"/>
      <c r="D783" s="3"/>
      <c r="E783" s="3"/>
      <c r="F783" s="3"/>
      <c r="G783" s="2"/>
      <c r="H783" s="4"/>
      <c r="I783" s="5"/>
      <c r="J783" s="5"/>
      <c r="K783" s="5"/>
      <c r="L783" s="4"/>
      <c r="M783" s="4"/>
      <c r="N783" s="4"/>
      <c r="O783" s="4"/>
      <c r="P783" s="4"/>
      <c r="Q783" s="5"/>
      <c r="R783" s="5"/>
      <c r="S783" s="5"/>
      <c r="T783" s="5"/>
      <c r="U783" s="6"/>
      <c r="V783" s="5"/>
      <c r="W783" s="7"/>
      <c r="X783" s="8"/>
      <c r="Y783" s="8"/>
      <c r="Z783" s="2"/>
      <c r="AA783" s="2"/>
      <c r="AB783" s="2"/>
      <c r="AC783" s="2"/>
      <c r="AD783" s="2"/>
    </row>
    <row r="784" ht="12.0" customHeight="1">
      <c r="A784" s="2"/>
      <c r="B784" s="2"/>
      <c r="C784" s="2"/>
      <c r="D784" s="3"/>
      <c r="E784" s="3"/>
      <c r="F784" s="3"/>
      <c r="G784" s="2"/>
      <c r="H784" s="4"/>
      <c r="I784" s="5"/>
      <c r="J784" s="5"/>
      <c r="K784" s="5"/>
      <c r="L784" s="4"/>
      <c r="M784" s="4"/>
      <c r="N784" s="4"/>
      <c r="O784" s="4"/>
      <c r="P784" s="4"/>
      <c r="Q784" s="5"/>
      <c r="R784" s="5"/>
      <c r="S784" s="5"/>
      <c r="T784" s="5"/>
      <c r="U784" s="6"/>
      <c r="V784" s="5"/>
      <c r="W784" s="7"/>
      <c r="X784" s="8"/>
      <c r="Y784" s="8"/>
      <c r="Z784" s="2"/>
      <c r="AA784" s="2"/>
      <c r="AB784" s="2"/>
      <c r="AC784" s="2"/>
      <c r="AD784" s="2"/>
    </row>
    <row r="785" ht="12.0" customHeight="1">
      <c r="A785" s="2"/>
      <c r="B785" s="2"/>
      <c r="C785" s="2"/>
      <c r="D785" s="3"/>
      <c r="E785" s="3"/>
      <c r="F785" s="3"/>
      <c r="G785" s="2"/>
      <c r="H785" s="4"/>
      <c r="I785" s="5"/>
      <c r="J785" s="5"/>
      <c r="K785" s="5"/>
      <c r="L785" s="4"/>
      <c r="M785" s="4"/>
      <c r="N785" s="4"/>
      <c r="O785" s="4"/>
      <c r="P785" s="4"/>
      <c r="Q785" s="5"/>
      <c r="R785" s="5"/>
      <c r="S785" s="5"/>
      <c r="T785" s="5"/>
      <c r="U785" s="6"/>
      <c r="V785" s="5"/>
      <c r="W785" s="7"/>
      <c r="X785" s="8"/>
      <c r="Y785" s="8"/>
      <c r="Z785" s="2"/>
      <c r="AA785" s="2"/>
      <c r="AB785" s="2"/>
      <c r="AC785" s="2"/>
      <c r="AD785" s="2"/>
    </row>
    <row r="786" ht="12.0" customHeight="1">
      <c r="A786" s="2"/>
      <c r="B786" s="2"/>
      <c r="C786" s="2"/>
      <c r="D786" s="3"/>
      <c r="E786" s="3"/>
      <c r="F786" s="3"/>
      <c r="G786" s="2"/>
      <c r="H786" s="4"/>
      <c r="I786" s="5"/>
      <c r="J786" s="5"/>
      <c r="K786" s="5"/>
      <c r="L786" s="4"/>
      <c r="M786" s="4"/>
      <c r="N786" s="4"/>
      <c r="O786" s="4"/>
      <c r="P786" s="4"/>
      <c r="Q786" s="5"/>
      <c r="R786" s="5"/>
      <c r="S786" s="5"/>
      <c r="T786" s="5"/>
      <c r="U786" s="6"/>
      <c r="V786" s="5"/>
      <c r="W786" s="7"/>
      <c r="X786" s="8"/>
      <c r="Y786" s="8"/>
      <c r="Z786" s="2"/>
      <c r="AA786" s="2"/>
      <c r="AB786" s="2"/>
      <c r="AC786" s="2"/>
      <c r="AD786" s="2"/>
    </row>
    <row r="787" ht="12.0" customHeight="1">
      <c r="A787" s="2"/>
      <c r="B787" s="2"/>
      <c r="C787" s="2"/>
      <c r="D787" s="3"/>
      <c r="E787" s="3"/>
      <c r="F787" s="3"/>
      <c r="G787" s="2"/>
      <c r="H787" s="4"/>
      <c r="I787" s="5"/>
      <c r="J787" s="5"/>
      <c r="K787" s="5"/>
      <c r="L787" s="4"/>
      <c r="M787" s="4"/>
      <c r="N787" s="4"/>
      <c r="O787" s="4"/>
      <c r="P787" s="4"/>
      <c r="Q787" s="5"/>
      <c r="R787" s="5"/>
      <c r="S787" s="5"/>
      <c r="T787" s="5"/>
      <c r="U787" s="6"/>
      <c r="V787" s="5"/>
      <c r="W787" s="7"/>
      <c r="X787" s="8"/>
      <c r="Y787" s="8"/>
      <c r="Z787" s="2"/>
      <c r="AA787" s="2"/>
      <c r="AB787" s="2"/>
      <c r="AC787" s="2"/>
      <c r="AD787" s="2"/>
    </row>
    <row r="788" ht="12.0" customHeight="1">
      <c r="A788" s="2"/>
      <c r="B788" s="2"/>
      <c r="C788" s="2"/>
      <c r="D788" s="3"/>
      <c r="E788" s="3"/>
      <c r="F788" s="3"/>
      <c r="G788" s="2"/>
      <c r="H788" s="4"/>
      <c r="I788" s="5"/>
      <c r="J788" s="5"/>
      <c r="K788" s="5"/>
      <c r="L788" s="4"/>
      <c r="M788" s="4"/>
      <c r="N788" s="4"/>
      <c r="O788" s="4"/>
      <c r="P788" s="4"/>
      <c r="Q788" s="5"/>
      <c r="R788" s="5"/>
      <c r="S788" s="5"/>
      <c r="T788" s="5"/>
      <c r="U788" s="6"/>
      <c r="V788" s="5"/>
      <c r="W788" s="7"/>
      <c r="X788" s="8"/>
      <c r="Y788" s="8"/>
      <c r="Z788" s="2"/>
      <c r="AA788" s="2"/>
      <c r="AB788" s="2"/>
      <c r="AC788" s="2"/>
      <c r="AD788" s="2"/>
    </row>
    <row r="789" ht="12.0" customHeight="1">
      <c r="A789" s="2"/>
      <c r="B789" s="2"/>
      <c r="C789" s="2"/>
      <c r="D789" s="3"/>
      <c r="E789" s="3"/>
      <c r="F789" s="3"/>
      <c r="G789" s="2"/>
      <c r="H789" s="4"/>
      <c r="I789" s="5"/>
      <c r="J789" s="5"/>
      <c r="K789" s="5"/>
      <c r="L789" s="4"/>
      <c r="M789" s="4"/>
      <c r="N789" s="4"/>
      <c r="O789" s="4"/>
      <c r="P789" s="4"/>
      <c r="Q789" s="5"/>
      <c r="R789" s="5"/>
      <c r="S789" s="5"/>
      <c r="T789" s="5"/>
      <c r="U789" s="6"/>
      <c r="V789" s="5"/>
      <c r="W789" s="7"/>
      <c r="X789" s="8"/>
      <c r="Y789" s="8"/>
      <c r="Z789" s="2"/>
      <c r="AA789" s="2"/>
      <c r="AB789" s="2"/>
      <c r="AC789" s="2"/>
      <c r="AD789" s="2"/>
    </row>
    <row r="790" ht="12.0" customHeight="1">
      <c r="A790" s="2"/>
      <c r="B790" s="2"/>
      <c r="C790" s="2"/>
      <c r="D790" s="3"/>
      <c r="E790" s="3"/>
      <c r="F790" s="3"/>
      <c r="G790" s="2"/>
      <c r="H790" s="4"/>
      <c r="I790" s="5"/>
      <c r="J790" s="5"/>
      <c r="K790" s="5"/>
      <c r="L790" s="4"/>
      <c r="M790" s="4"/>
      <c r="N790" s="4"/>
      <c r="O790" s="4"/>
      <c r="P790" s="4"/>
      <c r="Q790" s="5"/>
      <c r="R790" s="5"/>
      <c r="S790" s="5"/>
      <c r="T790" s="5"/>
      <c r="U790" s="6"/>
      <c r="V790" s="5"/>
      <c r="W790" s="7"/>
      <c r="X790" s="8"/>
      <c r="Y790" s="8"/>
      <c r="Z790" s="2"/>
      <c r="AA790" s="2"/>
      <c r="AB790" s="2"/>
      <c r="AC790" s="2"/>
      <c r="AD790" s="2"/>
    </row>
    <row r="791" ht="12.0" customHeight="1">
      <c r="A791" s="2"/>
      <c r="B791" s="2"/>
      <c r="C791" s="2"/>
      <c r="D791" s="3"/>
      <c r="E791" s="3"/>
      <c r="F791" s="3"/>
      <c r="G791" s="2"/>
      <c r="H791" s="4"/>
      <c r="I791" s="5"/>
      <c r="J791" s="5"/>
      <c r="K791" s="5"/>
      <c r="L791" s="4"/>
      <c r="M791" s="4"/>
      <c r="N791" s="4"/>
      <c r="O791" s="4"/>
      <c r="P791" s="4"/>
      <c r="Q791" s="5"/>
      <c r="R791" s="5"/>
      <c r="S791" s="5"/>
      <c r="T791" s="5"/>
      <c r="U791" s="6"/>
      <c r="V791" s="5"/>
      <c r="W791" s="7"/>
      <c r="X791" s="8"/>
      <c r="Y791" s="8"/>
      <c r="Z791" s="2"/>
      <c r="AA791" s="2"/>
      <c r="AB791" s="2"/>
      <c r="AC791" s="2"/>
      <c r="AD791" s="2"/>
    </row>
    <row r="792" ht="12.0" customHeight="1">
      <c r="A792" s="2"/>
      <c r="B792" s="2"/>
      <c r="C792" s="2"/>
      <c r="D792" s="3"/>
      <c r="E792" s="3"/>
      <c r="F792" s="3"/>
      <c r="G792" s="2"/>
      <c r="H792" s="4"/>
      <c r="I792" s="5"/>
      <c r="J792" s="5"/>
      <c r="K792" s="5"/>
      <c r="L792" s="4"/>
      <c r="M792" s="4"/>
      <c r="N792" s="4"/>
      <c r="O792" s="4"/>
      <c r="P792" s="4"/>
      <c r="Q792" s="5"/>
      <c r="R792" s="5"/>
      <c r="S792" s="5"/>
      <c r="T792" s="5"/>
      <c r="U792" s="6"/>
      <c r="V792" s="5"/>
      <c r="W792" s="7"/>
      <c r="X792" s="8"/>
      <c r="Y792" s="8"/>
      <c r="Z792" s="2"/>
      <c r="AA792" s="2"/>
      <c r="AB792" s="2"/>
      <c r="AC792" s="2"/>
      <c r="AD792" s="2"/>
    </row>
    <row r="793" ht="12.0" customHeight="1">
      <c r="A793" s="2"/>
      <c r="B793" s="2"/>
      <c r="C793" s="2"/>
      <c r="D793" s="3"/>
      <c r="E793" s="3"/>
      <c r="F793" s="3"/>
      <c r="G793" s="2"/>
      <c r="H793" s="4"/>
      <c r="I793" s="5"/>
      <c r="J793" s="5"/>
      <c r="K793" s="5"/>
      <c r="L793" s="4"/>
      <c r="M793" s="4"/>
      <c r="N793" s="4"/>
      <c r="O793" s="4"/>
      <c r="P793" s="4"/>
      <c r="Q793" s="5"/>
      <c r="R793" s="5"/>
      <c r="S793" s="5"/>
      <c r="T793" s="5"/>
      <c r="U793" s="6"/>
      <c r="V793" s="5"/>
      <c r="W793" s="7"/>
      <c r="X793" s="8"/>
      <c r="Y793" s="8"/>
      <c r="Z793" s="2"/>
      <c r="AA793" s="2"/>
      <c r="AB793" s="2"/>
      <c r="AC793" s="2"/>
      <c r="AD793" s="2"/>
    </row>
    <row r="794" ht="12.0" customHeight="1">
      <c r="A794" s="2"/>
      <c r="B794" s="2"/>
      <c r="C794" s="2"/>
      <c r="D794" s="3"/>
      <c r="E794" s="3"/>
      <c r="F794" s="3"/>
      <c r="G794" s="2"/>
      <c r="H794" s="4"/>
      <c r="I794" s="5"/>
      <c r="J794" s="5"/>
      <c r="K794" s="5"/>
      <c r="L794" s="4"/>
      <c r="M794" s="4"/>
      <c r="N794" s="4"/>
      <c r="O794" s="4"/>
      <c r="P794" s="4"/>
      <c r="Q794" s="5"/>
      <c r="R794" s="5"/>
      <c r="S794" s="5"/>
      <c r="T794" s="5"/>
      <c r="U794" s="6"/>
      <c r="V794" s="5"/>
      <c r="W794" s="7"/>
      <c r="X794" s="8"/>
      <c r="Y794" s="8"/>
      <c r="Z794" s="2"/>
      <c r="AA794" s="2"/>
      <c r="AB794" s="2"/>
      <c r="AC794" s="2"/>
      <c r="AD794" s="2"/>
    </row>
    <row r="795" ht="12.0" customHeight="1">
      <c r="A795" s="2"/>
      <c r="B795" s="2"/>
      <c r="C795" s="2"/>
      <c r="D795" s="3"/>
      <c r="E795" s="3"/>
      <c r="F795" s="3"/>
      <c r="G795" s="2"/>
      <c r="H795" s="4"/>
      <c r="I795" s="5"/>
      <c r="J795" s="5"/>
      <c r="K795" s="5"/>
      <c r="L795" s="4"/>
      <c r="M795" s="4"/>
      <c r="N795" s="4"/>
      <c r="O795" s="4"/>
      <c r="P795" s="4"/>
      <c r="Q795" s="5"/>
      <c r="R795" s="5"/>
      <c r="S795" s="5"/>
      <c r="T795" s="5"/>
      <c r="U795" s="6"/>
      <c r="V795" s="5"/>
      <c r="W795" s="7"/>
      <c r="X795" s="8"/>
      <c r="Y795" s="8"/>
      <c r="Z795" s="2"/>
      <c r="AA795" s="2"/>
      <c r="AB795" s="2"/>
      <c r="AC795" s="2"/>
      <c r="AD795" s="2"/>
    </row>
    <row r="796" ht="12.0" customHeight="1">
      <c r="A796" s="2"/>
      <c r="B796" s="2"/>
      <c r="C796" s="2"/>
      <c r="D796" s="3"/>
      <c r="E796" s="3"/>
      <c r="F796" s="3"/>
      <c r="G796" s="2"/>
      <c r="H796" s="4"/>
      <c r="I796" s="5"/>
      <c r="J796" s="5"/>
      <c r="K796" s="5"/>
      <c r="L796" s="4"/>
      <c r="M796" s="4"/>
      <c r="N796" s="4"/>
      <c r="O796" s="4"/>
      <c r="P796" s="4"/>
      <c r="Q796" s="5"/>
      <c r="R796" s="5"/>
      <c r="S796" s="5"/>
      <c r="T796" s="5"/>
      <c r="U796" s="6"/>
      <c r="V796" s="5"/>
      <c r="W796" s="7"/>
      <c r="X796" s="8"/>
      <c r="Y796" s="8"/>
      <c r="Z796" s="2"/>
      <c r="AA796" s="2"/>
      <c r="AB796" s="2"/>
      <c r="AC796" s="2"/>
      <c r="AD796" s="2"/>
    </row>
    <row r="797" ht="12.0" customHeight="1">
      <c r="A797" s="2"/>
      <c r="B797" s="2"/>
      <c r="C797" s="2"/>
      <c r="D797" s="3"/>
      <c r="E797" s="3"/>
      <c r="F797" s="3"/>
      <c r="G797" s="2"/>
      <c r="H797" s="4"/>
      <c r="I797" s="5"/>
      <c r="J797" s="5"/>
      <c r="K797" s="5"/>
      <c r="L797" s="4"/>
      <c r="M797" s="4"/>
      <c r="N797" s="4"/>
      <c r="O797" s="4"/>
      <c r="P797" s="4"/>
      <c r="Q797" s="5"/>
      <c r="R797" s="5"/>
      <c r="S797" s="5"/>
      <c r="T797" s="5"/>
      <c r="U797" s="6"/>
      <c r="V797" s="5"/>
      <c r="W797" s="7"/>
      <c r="X797" s="8"/>
      <c r="Y797" s="8"/>
      <c r="Z797" s="2"/>
      <c r="AA797" s="2"/>
      <c r="AB797" s="2"/>
      <c r="AC797" s="2"/>
      <c r="AD797" s="2"/>
    </row>
    <row r="798" ht="12.0" customHeight="1">
      <c r="A798" s="2"/>
      <c r="B798" s="2"/>
      <c r="C798" s="2"/>
      <c r="D798" s="3"/>
      <c r="E798" s="3"/>
      <c r="F798" s="3"/>
      <c r="G798" s="2"/>
      <c r="H798" s="4"/>
      <c r="I798" s="5"/>
      <c r="J798" s="5"/>
      <c r="K798" s="5"/>
      <c r="L798" s="4"/>
      <c r="M798" s="4"/>
      <c r="N798" s="4"/>
      <c r="O798" s="4"/>
      <c r="P798" s="4"/>
      <c r="Q798" s="5"/>
      <c r="R798" s="5"/>
      <c r="S798" s="5"/>
      <c r="T798" s="5"/>
      <c r="U798" s="6"/>
      <c r="V798" s="5"/>
      <c r="W798" s="7"/>
      <c r="X798" s="8"/>
      <c r="Y798" s="8"/>
      <c r="Z798" s="2"/>
      <c r="AA798" s="2"/>
      <c r="AB798" s="2"/>
      <c r="AC798" s="2"/>
      <c r="AD798" s="2"/>
    </row>
    <row r="799" ht="12.0" customHeight="1">
      <c r="A799" s="2"/>
      <c r="B799" s="2"/>
      <c r="C799" s="2"/>
      <c r="D799" s="3"/>
      <c r="E799" s="3"/>
      <c r="F799" s="3"/>
      <c r="G799" s="2"/>
      <c r="H799" s="4"/>
      <c r="I799" s="5"/>
      <c r="J799" s="5"/>
      <c r="K799" s="5"/>
      <c r="L799" s="4"/>
      <c r="M799" s="4"/>
      <c r="N799" s="4"/>
      <c r="O799" s="4"/>
      <c r="P799" s="4"/>
      <c r="Q799" s="5"/>
      <c r="R799" s="5"/>
      <c r="S799" s="5"/>
      <c r="T799" s="5"/>
      <c r="U799" s="6"/>
      <c r="V799" s="5"/>
      <c r="W799" s="7"/>
      <c r="X799" s="8"/>
      <c r="Y799" s="8"/>
      <c r="Z799" s="2"/>
      <c r="AA799" s="2"/>
      <c r="AB799" s="2"/>
      <c r="AC799" s="2"/>
      <c r="AD799" s="2"/>
    </row>
    <row r="800" ht="12.0" customHeight="1">
      <c r="A800" s="2"/>
      <c r="B800" s="2"/>
      <c r="C800" s="2"/>
      <c r="D800" s="3"/>
      <c r="E800" s="3"/>
      <c r="F800" s="3"/>
      <c r="G800" s="2"/>
      <c r="H800" s="4"/>
      <c r="I800" s="5"/>
      <c r="J800" s="5"/>
      <c r="K800" s="5"/>
      <c r="L800" s="4"/>
      <c r="M800" s="4"/>
      <c r="N800" s="4"/>
      <c r="O800" s="4"/>
      <c r="P800" s="4"/>
      <c r="Q800" s="5"/>
      <c r="R800" s="5"/>
      <c r="S800" s="5"/>
      <c r="T800" s="5"/>
      <c r="U800" s="6"/>
      <c r="V800" s="5"/>
      <c r="W800" s="7"/>
      <c r="X800" s="8"/>
      <c r="Y800" s="8"/>
      <c r="Z800" s="2"/>
      <c r="AA800" s="2"/>
      <c r="AB800" s="2"/>
      <c r="AC800" s="2"/>
      <c r="AD800" s="2"/>
    </row>
    <row r="801" ht="12.0" customHeight="1">
      <c r="A801" s="2"/>
      <c r="B801" s="2"/>
      <c r="C801" s="2"/>
      <c r="D801" s="3"/>
      <c r="E801" s="3"/>
      <c r="F801" s="3"/>
      <c r="G801" s="2"/>
      <c r="H801" s="4"/>
      <c r="I801" s="5"/>
      <c r="J801" s="5"/>
      <c r="K801" s="5"/>
      <c r="L801" s="4"/>
      <c r="M801" s="4"/>
      <c r="N801" s="4"/>
      <c r="O801" s="4"/>
      <c r="P801" s="4"/>
      <c r="Q801" s="5"/>
      <c r="R801" s="5"/>
      <c r="S801" s="5"/>
      <c r="T801" s="5"/>
      <c r="U801" s="6"/>
      <c r="V801" s="5"/>
      <c r="W801" s="7"/>
      <c r="X801" s="8"/>
      <c r="Y801" s="8"/>
      <c r="Z801" s="2"/>
      <c r="AA801" s="2"/>
      <c r="AB801" s="2"/>
      <c r="AC801" s="2"/>
      <c r="AD801" s="2"/>
    </row>
    <row r="802" ht="12.0" customHeight="1">
      <c r="A802" s="2"/>
      <c r="B802" s="2"/>
      <c r="C802" s="2"/>
      <c r="D802" s="3"/>
      <c r="E802" s="3"/>
      <c r="F802" s="3"/>
      <c r="G802" s="2"/>
      <c r="H802" s="4"/>
      <c r="I802" s="5"/>
      <c r="J802" s="5"/>
      <c r="K802" s="5"/>
      <c r="L802" s="4"/>
      <c r="M802" s="4"/>
      <c r="N802" s="4"/>
      <c r="O802" s="4"/>
      <c r="P802" s="4"/>
      <c r="Q802" s="5"/>
      <c r="R802" s="5"/>
      <c r="S802" s="5"/>
      <c r="T802" s="5"/>
      <c r="U802" s="6"/>
      <c r="V802" s="5"/>
      <c r="W802" s="7"/>
      <c r="X802" s="8"/>
      <c r="Y802" s="8"/>
      <c r="Z802" s="2"/>
      <c r="AA802" s="2"/>
      <c r="AB802" s="2"/>
      <c r="AC802" s="2"/>
      <c r="AD802" s="2"/>
    </row>
    <row r="803" ht="12.0" customHeight="1">
      <c r="A803" s="2"/>
      <c r="B803" s="2"/>
      <c r="C803" s="2"/>
      <c r="D803" s="3"/>
      <c r="E803" s="3"/>
      <c r="F803" s="3"/>
      <c r="G803" s="2"/>
      <c r="H803" s="4"/>
      <c r="I803" s="5"/>
      <c r="J803" s="5"/>
      <c r="K803" s="5"/>
      <c r="L803" s="4"/>
      <c r="M803" s="4"/>
      <c r="N803" s="4"/>
      <c r="O803" s="4"/>
      <c r="P803" s="4"/>
      <c r="Q803" s="5"/>
      <c r="R803" s="5"/>
      <c r="S803" s="5"/>
      <c r="T803" s="5"/>
      <c r="U803" s="6"/>
      <c r="V803" s="5"/>
      <c r="W803" s="7"/>
      <c r="X803" s="8"/>
      <c r="Y803" s="8"/>
      <c r="Z803" s="2"/>
      <c r="AA803" s="2"/>
      <c r="AB803" s="2"/>
      <c r="AC803" s="2"/>
      <c r="AD803" s="2"/>
    </row>
    <row r="804" ht="12.0" customHeight="1">
      <c r="A804" s="2"/>
      <c r="B804" s="2"/>
      <c r="C804" s="2"/>
      <c r="D804" s="3"/>
      <c r="E804" s="3"/>
      <c r="F804" s="3"/>
      <c r="G804" s="2"/>
      <c r="H804" s="4"/>
      <c r="I804" s="5"/>
      <c r="J804" s="5"/>
      <c r="K804" s="5"/>
      <c r="L804" s="4"/>
      <c r="M804" s="4"/>
      <c r="N804" s="4"/>
      <c r="O804" s="4"/>
      <c r="P804" s="4"/>
      <c r="Q804" s="5"/>
      <c r="R804" s="5"/>
      <c r="S804" s="5"/>
      <c r="T804" s="5"/>
      <c r="U804" s="6"/>
      <c r="V804" s="5"/>
      <c r="W804" s="7"/>
      <c r="X804" s="8"/>
      <c r="Y804" s="8"/>
      <c r="Z804" s="2"/>
      <c r="AA804" s="2"/>
      <c r="AB804" s="2"/>
      <c r="AC804" s="2"/>
      <c r="AD804" s="2"/>
    </row>
    <row r="805" ht="12.0" customHeight="1">
      <c r="A805" s="2"/>
      <c r="B805" s="2"/>
      <c r="C805" s="2"/>
      <c r="D805" s="3"/>
      <c r="E805" s="3"/>
      <c r="F805" s="3"/>
      <c r="G805" s="2"/>
      <c r="H805" s="4"/>
      <c r="I805" s="5"/>
      <c r="J805" s="5"/>
      <c r="K805" s="5"/>
      <c r="L805" s="4"/>
      <c r="M805" s="4"/>
      <c r="N805" s="4"/>
      <c r="O805" s="4"/>
      <c r="P805" s="4"/>
      <c r="Q805" s="5"/>
      <c r="R805" s="5"/>
      <c r="S805" s="5"/>
      <c r="T805" s="5"/>
      <c r="U805" s="6"/>
      <c r="V805" s="5"/>
      <c r="W805" s="7"/>
      <c r="X805" s="8"/>
      <c r="Y805" s="8"/>
      <c r="Z805" s="2"/>
      <c r="AA805" s="2"/>
      <c r="AB805" s="2"/>
      <c r="AC805" s="2"/>
      <c r="AD805" s="2"/>
    </row>
    <row r="806" ht="12.0" customHeight="1">
      <c r="A806" s="2"/>
      <c r="B806" s="2"/>
      <c r="C806" s="2"/>
      <c r="D806" s="3"/>
      <c r="E806" s="3"/>
      <c r="F806" s="3"/>
      <c r="G806" s="2"/>
      <c r="H806" s="4"/>
      <c r="I806" s="5"/>
      <c r="J806" s="5"/>
      <c r="K806" s="5"/>
      <c r="L806" s="4"/>
      <c r="M806" s="4"/>
      <c r="N806" s="4"/>
      <c r="O806" s="4"/>
      <c r="P806" s="4"/>
      <c r="Q806" s="5"/>
      <c r="R806" s="5"/>
      <c r="S806" s="5"/>
      <c r="T806" s="5"/>
      <c r="U806" s="6"/>
      <c r="V806" s="5"/>
      <c r="W806" s="7"/>
      <c r="X806" s="8"/>
      <c r="Y806" s="8"/>
      <c r="Z806" s="2"/>
      <c r="AA806" s="2"/>
      <c r="AB806" s="2"/>
      <c r="AC806" s="2"/>
      <c r="AD806" s="2"/>
    </row>
    <row r="807" ht="12.0" customHeight="1">
      <c r="A807" s="2"/>
      <c r="B807" s="2"/>
      <c r="C807" s="2"/>
      <c r="D807" s="3"/>
      <c r="E807" s="3"/>
      <c r="F807" s="3"/>
      <c r="G807" s="2"/>
      <c r="H807" s="4"/>
      <c r="I807" s="5"/>
      <c r="J807" s="5"/>
      <c r="K807" s="5"/>
      <c r="L807" s="4"/>
      <c r="M807" s="4"/>
      <c r="N807" s="4"/>
      <c r="O807" s="4"/>
      <c r="P807" s="4"/>
      <c r="Q807" s="5"/>
      <c r="R807" s="5"/>
      <c r="S807" s="5"/>
      <c r="T807" s="5"/>
      <c r="U807" s="6"/>
      <c r="V807" s="5"/>
      <c r="W807" s="7"/>
      <c r="X807" s="8"/>
      <c r="Y807" s="8"/>
      <c r="Z807" s="2"/>
      <c r="AA807" s="2"/>
      <c r="AB807" s="2"/>
      <c r="AC807" s="2"/>
      <c r="AD807" s="2"/>
    </row>
    <row r="808" ht="12.0" customHeight="1">
      <c r="A808" s="2"/>
      <c r="B808" s="2"/>
      <c r="C808" s="2"/>
      <c r="D808" s="3"/>
      <c r="E808" s="3"/>
      <c r="F808" s="3"/>
      <c r="G808" s="2"/>
      <c r="H808" s="4"/>
      <c r="I808" s="5"/>
      <c r="J808" s="5"/>
      <c r="K808" s="5"/>
      <c r="L808" s="4"/>
      <c r="M808" s="4"/>
      <c r="N808" s="4"/>
      <c r="O808" s="4"/>
      <c r="P808" s="4"/>
      <c r="Q808" s="5"/>
      <c r="R808" s="5"/>
      <c r="S808" s="5"/>
      <c r="T808" s="5"/>
      <c r="U808" s="6"/>
      <c r="V808" s="5"/>
      <c r="W808" s="7"/>
      <c r="X808" s="8"/>
      <c r="Y808" s="8"/>
      <c r="Z808" s="2"/>
      <c r="AA808" s="2"/>
      <c r="AB808" s="2"/>
      <c r="AC808" s="2"/>
      <c r="AD808" s="2"/>
    </row>
    <row r="809" ht="12.0" customHeight="1">
      <c r="A809" s="2"/>
      <c r="B809" s="2"/>
      <c r="C809" s="2"/>
      <c r="D809" s="3"/>
      <c r="E809" s="3"/>
      <c r="F809" s="3"/>
      <c r="G809" s="2"/>
      <c r="H809" s="4"/>
      <c r="I809" s="5"/>
      <c r="J809" s="5"/>
      <c r="K809" s="5"/>
      <c r="L809" s="4"/>
      <c r="M809" s="4"/>
      <c r="N809" s="4"/>
      <c r="O809" s="4"/>
      <c r="P809" s="4"/>
      <c r="Q809" s="5"/>
      <c r="R809" s="5"/>
      <c r="S809" s="5"/>
      <c r="T809" s="5"/>
      <c r="U809" s="6"/>
      <c r="V809" s="5"/>
      <c r="W809" s="7"/>
      <c r="X809" s="8"/>
      <c r="Y809" s="8"/>
      <c r="Z809" s="2"/>
      <c r="AA809" s="2"/>
      <c r="AB809" s="2"/>
      <c r="AC809" s="2"/>
      <c r="AD809" s="2"/>
    </row>
    <row r="810" ht="12.0" customHeight="1">
      <c r="A810" s="2"/>
      <c r="B810" s="2"/>
      <c r="C810" s="2"/>
      <c r="D810" s="3"/>
      <c r="E810" s="3"/>
      <c r="F810" s="3"/>
      <c r="G810" s="2"/>
      <c r="H810" s="4"/>
      <c r="I810" s="5"/>
      <c r="J810" s="5"/>
      <c r="K810" s="5"/>
      <c r="L810" s="4"/>
      <c r="M810" s="4"/>
      <c r="N810" s="4"/>
      <c r="O810" s="4"/>
      <c r="P810" s="4"/>
      <c r="Q810" s="5"/>
      <c r="R810" s="5"/>
      <c r="S810" s="5"/>
      <c r="T810" s="5"/>
      <c r="U810" s="6"/>
      <c r="V810" s="5"/>
      <c r="W810" s="7"/>
      <c r="X810" s="8"/>
      <c r="Y810" s="8"/>
      <c r="Z810" s="2"/>
      <c r="AA810" s="2"/>
      <c r="AB810" s="2"/>
      <c r="AC810" s="2"/>
      <c r="AD810" s="2"/>
    </row>
    <row r="811" ht="12.0" customHeight="1">
      <c r="A811" s="2"/>
      <c r="B811" s="2"/>
      <c r="C811" s="2"/>
      <c r="D811" s="3"/>
      <c r="E811" s="3"/>
      <c r="F811" s="3"/>
      <c r="G811" s="2"/>
      <c r="H811" s="4"/>
      <c r="I811" s="5"/>
      <c r="J811" s="5"/>
      <c r="K811" s="5"/>
      <c r="L811" s="4"/>
      <c r="M811" s="4"/>
      <c r="N811" s="4"/>
      <c r="O811" s="4"/>
      <c r="P811" s="4"/>
      <c r="Q811" s="5"/>
      <c r="R811" s="5"/>
      <c r="S811" s="5"/>
      <c r="T811" s="5"/>
      <c r="U811" s="6"/>
      <c r="V811" s="5"/>
      <c r="W811" s="7"/>
      <c r="X811" s="8"/>
      <c r="Y811" s="8"/>
      <c r="Z811" s="2"/>
      <c r="AA811" s="2"/>
      <c r="AB811" s="2"/>
      <c r="AC811" s="2"/>
      <c r="AD811" s="2"/>
    </row>
    <row r="812" ht="12.0" customHeight="1">
      <c r="A812" s="2"/>
      <c r="B812" s="2"/>
      <c r="C812" s="2"/>
      <c r="D812" s="3"/>
      <c r="E812" s="3"/>
      <c r="F812" s="3"/>
      <c r="G812" s="2"/>
      <c r="H812" s="4"/>
      <c r="I812" s="5"/>
      <c r="J812" s="5"/>
      <c r="K812" s="5"/>
      <c r="L812" s="4"/>
      <c r="M812" s="4"/>
      <c r="N812" s="4"/>
      <c r="O812" s="4"/>
      <c r="P812" s="4"/>
      <c r="Q812" s="5"/>
      <c r="R812" s="5"/>
      <c r="S812" s="5"/>
      <c r="T812" s="5"/>
      <c r="U812" s="6"/>
      <c r="V812" s="5"/>
      <c r="W812" s="7"/>
      <c r="X812" s="8"/>
      <c r="Y812" s="8"/>
      <c r="Z812" s="2"/>
      <c r="AA812" s="2"/>
      <c r="AB812" s="2"/>
      <c r="AC812" s="2"/>
      <c r="AD812" s="2"/>
    </row>
    <row r="813" ht="12.0" customHeight="1">
      <c r="A813" s="2"/>
      <c r="B813" s="2"/>
      <c r="C813" s="2"/>
      <c r="D813" s="3"/>
      <c r="E813" s="3"/>
      <c r="F813" s="3"/>
      <c r="G813" s="2"/>
      <c r="H813" s="4"/>
      <c r="I813" s="5"/>
      <c r="J813" s="5"/>
      <c r="K813" s="5"/>
      <c r="L813" s="4"/>
      <c r="M813" s="4"/>
      <c r="N813" s="4"/>
      <c r="O813" s="4"/>
      <c r="P813" s="4"/>
      <c r="Q813" s="5"/>
      <c r="R813" s="5"/>
      <c r="S813" s="5"/>
      <c r="T813" s="5"/>
      <c r="U813" s="6"/>
      <c r="V813" s="5"/>
      <c r="W813" s="7"/>
      <c r="X813" s="8"/>
      <c r="Y813" s="8"/>
      <c r="Z813" s="2"/>
      <c r="AA813" s="2"/>
      <c r="AB813" s="2"/>
      <c r="AC813" s="2"/>
      <c r="AD813" s="2"/>
    </row>
    <row r="814" ht="12.0" customHeight="1">
      <c r="A814" s="2"/>
      <c r="B814" s="2"/>
      <c r="C814" s="2"/>
      <c r="D814" s="3"/>
      <c r="E814" s="3"/>
      <c r="F814" s="3"/>
      <c r="G814" s="2"/>
      <c r="H814" s="4"/>
      <c r="I814" s="5"/>
      <c r="J814" s="5"/>
      <c r="K814" s="5"/>
      <c r="L814" s="4"/>
      <c r="M814" s="4"/>
      <c r="N814" s="4"/>
      <c r="O814" s="4"/>
      <c r="P814" s="4"/>
      <c r="Q814" s="5"/>
      <c r="R814" s="5"/>
      <c r="S814" s="5"/>
      <c r="T814" s="5"/>
      <c r="U814" s="6"/>
      <c r="V814" s="5"/>
      <c r="W814" s="7"/>
      <c r="X814" s="8"/>
      <c r="Y814" s="8"/>
      <c r="Z814" s="2"/>
      <c r="AA814" s="2"/>
      <c r="AB814" s="2"/>
      <c r="AC814" s="2"/>
      <c r="AD814" s="2"/>
    </row>
    <row r="815" ht="12.0" customHeight="1">
      <c r="A815" s="2"/>
      <c r="B815" s="2"/>
      <c r="C815" s="2"/>
      <c r="D815" s="3"/>
      <c r="E815" s="3"/>
      <c r="F815" s="3"/>
      <c r="G815" s="2"/>
      <c r="H815" s="4"/>
      <c r="I815" s="5"/>
      <c r="J815" s="5"/>
      <c r="K815" s="5"/>
      <c r="L815" s="4"/>
      <c r="M815" s="4"/>
      <c r="N815" s="4"/>
      <c r="O815" s="4"/>
      <c r="P815" s="4"/>
      <c r="Q815" s="5"/>
      <c r="R815" s="5"/>
      <c r="S815" s="5"/>
      <c r="T815" s="5"/>
      <c r="U815" s="6"/>
      <c r="V815" s="5"/>
      <c r="W815" s="7"/>
      <c r="X815" s="8"/>
      <c r="Y815" s="8"/>
      <c r="Z815" s="2"/>
      <c r="AA815" s="2"/>
      <c r="AB815" s="2"/>
      <c r="AC815" s="2"/>
      <c r="AD815" s="2"/>
    </row>
    <row r="816" ht="12.0" customHeight="1">
      <c r="A816" s="2"/>
      <c r="B816" s="2"/>
      <c r="C816" s="2"/>
      <c r="D816" s="3"/>
      <c r="E816" s="3"/>
      <c r="F816" s="3"/>
      <c r="G816" s="2"/>
      <c r="H816" s="4"/>
      <c r="I816" s="5"/>
      <c r="J816" s="5"/>
      <c r="K816" s="5"/>
      <c r="L816" s="4"/>
      <c r="M816" s="4"/>
      <c r="N816" s="4"/>
      <c r="O816" s="4"/>
      <c r="P816" s="4"/>
      <c r="Q816" s="5"/>
      <c r="R816" s="5"/>
      <c r="S816" s="5"/>
      <c r="T816" s="5"/>
      <c r="U816" s="6"/>
      <c r="V816" s="5"/>
      <c r="W816" s="7"/>
      <c r="X816" s="8"/>
      <c r="Y816" s="8"/>
      <c r="Z816" s="2"/>
      <c r="AA816" s="2"/>
      <c r="AB816" s="2"/>
      <c r="AC816" s="2"/>
      <c r="AD816" s="2"/>
    </row>
    <row r="817" ht="12.0" customHeight="1">
      <c r="A817" s="2"/>
      <c r="B817" s="2"/>
      <c r="C817" s="2"/>
      <c r="D817" s="3"/>
      <c r="E817" s="3"/>
      <c r="F817" s="3"/>
      <c r="G817" s="2"/>
      <c r="H817" s="4"/>
      <c r="I817" s="5"/>
      <c r="J817" s="5"/>
      <c r="K817" s="5"/>
      <c r="L817" s="4"/>
      <c r="M817" s="4"/>
      <c r="N817" s="4"/>
      <c r="O817" s="4"/>
      <c r="P817" s="4"/>
      <c r="Q817" s="5"/>
      <c r="R817" s="5"/>
      <c r="S817" s="5"/>
      <c r="T817" s="5"/>
      <c r="U817" s="6"/>
      <c r="V817" s="5"/>
      <c r="W817" s="7"/>
      <c r="X817" s="8"/>
      <c r="Y817" s="8"/>
      <c r="Z817" s="2"/>
      <c r="AA817" s="2"/>
      <c r="AB817" s="2"/>
      <c r="AC817" s="2"/>
      <c r="AD817" s="2"/>
    </row>
    <row r="818" ht="12.0" customHeight="1">
      <c r="A818" s="2"/>
      <c r="B818" s="2"/>
      <c r="C818" s="2"/>
      <c r="D818" s="3"/>
      <c r="E818" s="3"/>
      <c r="F818" s="3"/>
      <c r="G818" s="2"/>
      <c r="H818" s="4"/>
      <c r="I818" s="5"/>
      <c r="J818" s="5"/>
      <c r="K818" s="5"/>
      <c r="L818" s="4"/>
      <c r="M818" s="4"/>
      <c r="N818" s="4"/>
      <c r="O818" s="4"/>
      <c r="P818" s="4"/>
      <c r="Q818" s="5"/>
      <c r="R818" s="5"/>
      <c r="S818" s="5"/>
      <c r="T818" s="5"/>
      <c r="U818" s="6"/>
      <c r="V818" s="5"/>
      <c r="W818" s="7"/>
      <c r="X818" s="8"/>
      <c r="Y818" s="8"/>
      <c r="Z818" s="2"/>
      <c r="AA818" s="2"/>
      <c r="AB818" s="2"/>
      <c r="AC818" s="2"/>
      <c r="AD818" s="2"/>
    </row>
    <row r="819" ht="12.0" customHeight="1">
      <c r="A819" s="2"/>
      <c r="B819" s="2"/>
      <c r="C819" s="2"/>
      <c r="D819" s="3"/>
      <c r="E819" s="3"/>
      <c r="F819" s="3"/>
      <c r="G819" s="2"/>
      <c r="H819" s="4"/>
      <c r="I819" s="5"/>
      <c r="J819" s="5"/>
      <c r="K819" s="5"/>
      <c r="L819" s="4"/>
      <c r="M819" s="4"/>
      <c r="N819" s="4"/>
      <c r="O819" s="4"/>
      <c r="P819" s="4"/>
      <c r="Q819" s="5"/>
      <c r="R819" s="5"/>
      <c r="S819" s="5"/>
      <c r="T819" s="5"/>
      <c r="U819" s="6"/>
      <c r="V819" s="5"/>
      <c r="W819" s="7"/>
      <c r="X819" s="8"/>
      <c r="Y819" s="8"/>
      <c r="Z819" s="2"/>
      <c r="AA819" s="2"/>
      <c r="AB819" s="2"/>
      <c r="AC819" s="2"/>
      <c r="AD819" s="2"/>
    </row>
    <row r="820" ht="12.0" customHeight="1">
      <c r="A820" s="2"/>
      <c r="B820" s="2"/>
      <c r="C820" s="2"/>
      <c r="D820" s="3"/>
      <c r="E820" s="3"/>
      <c r="F820" s="3"/>
      <c r="G820" s="2"/>
      <c r="H820" s="4"/>
      <c r="I820" s="5"/>
      <c r="J820" s="5"/>
      <c r="K820" s="5"/>
      <c r="L820" s="4"/>
      <c r="M820" s="4"/>
      <c r="N820" s="4"/>
      <c r="O820" s="4"/>
      <c r="P820" s="4"/>
      <c r="Q820" s="5"/>
      <c r="R820" s="5"/>
      <c r="S820" s="5"/>
      <c r="T820" s="5"/>
      <c r="U820" s="6"/>
      <c r="V820" s="5"/>
      <c r="W820" s="7"/>
      <c r="X820" s="8"/>
      <c r="Y820" s="8"/>
      <c r="Z820" s="2"/>
      <c r="AA820" s="2"/>
      <c r="AB820" s="2"/>
      <c r="AC820" s="2"/>
      <c r="AD820" s="2"/>
    </row>
    <row r="821" ht="12.0" customHeight="1">
      <c r="A821" s="2"/>
      <c r="B821" s="2"/>
      <c r="C821" s="2"/>
      <c r="D821" s="3"/>
      <c r="E821" s="3"/>
      <c r="F821" s="3"/>
      <c r="G821" s="2"/>
      <c r="H821" s="4"/>
      <c r="I821" s="5"/>
      <c r="J821" s="5"/>
      <c r="K821" s="5"/>
      <c r="L821" s="4"/>
      <c r="M821" s="4"/>
      <c r="N821" s="4"/>
      <c r="O821" s="4"/>
      <c r="P821" s="4"/>
      <c r="Q821" s="5"/>
      <c r="R821" s="5"/>
      <c r="S821" s="5"/>
      <c r="T821" s="5"/>
      <c r="U821" s="6"/>
      <c r="V821" s="5"/>
      <c r="W821" s="7"/>
      <c r="X821" s="8"/>
      <c r="Y821" s="8"/>
      <c r="Z821" s="2"/>
      <c r="AA821" s="2"/>
      <c r="AB821" s="2"/>
      <c r="AC821" s="2"/>
      <c r="AD821" s="2"/>
    </row>
    <row r="822" ht="12.0" customHeight="1">
      <c r="A822" s="2"/>
      <c r="B822" s="2"/>
      <c r="C822" s="2"/>
      <c r="D822" s="3"/>
      <c r="E822" s="3"/>
      <c r="F822" s="3"/>
      <c r="G822" s="2"/>
      <c r="H822" s="4"/>
      <c r="I822" s="5"/>
      <c r="J822" s="5"/>
      <c r="K822" s="5"/>
      <c r="L822" s="4"/>
      <c r="M822" s="4"/>
      <c r="N822" s="4"/>
      <c r="O822" s="4"/>
      <c r="P822" s="4"/>
      <c r="Q822" s="5"/>
      <c r="R822" s="5"/>
      <c r="S822" s="5"/>
      <c r="T822" s="5"/>
      <c r="U822" s="6"/>
      <c r="V822" s="5"/>
      <c r="W822" s="7"/>
      <c r="X822" s="8"/>
      <c r="Y822" s="8"/>
      <c r="Z822" s="2"/>
      <c r="AA822" s="2"/>
      <c r="AB822" s="2"/>
      <c r="AC822" s="2"/>
      <c r="AD822" s="2"/>
    </row>
    <row r="823" ht="12.0" customHeight="1">
      <c r="A823" s="2"/>
      <c r="B823" s="2"/>
      <c r="C823" s="2"/>
      <c r="D823" s="3"/>
      <c r="E823" s="3"/>
      <c r="F823" s="3"/>
      <c r="G823" s="2"/>
      <c r="H823" s="4"/>
      <c r="I823" s="5"/>
      <c r="J823" s="5"/>
      <c r="K823" s="5"/>
      <c r="L823" s="4"/>
      <c r="M823" s="4"/>
      <c r="N823" s="4"/>
      <c r="O823" s="4"/>
      <c r="P823" s="4"/>
      <c r="Q823" s="5"/>
      <c r="R823" s="5"/>
      <c r="S823" s="5"/>
      <c r="T823" s="5"/>
      <c r="U823" s="6"/>
      <c r="V823" s="5"/>
      <c r="W823" s="7"/>
      <c r="X823" s="8"/>
      <c r="Y823" s="8"/>
      <c r="Z823" s="2"/>
      <c r="AA823" s="2"/>
      <c r="AB823" s="2"/>
      <c r="AC823" s="2"/>
      <c r="AD823" s="2"/>
    </row>
    <row r="824" ht="12.0" customHeight="1">
      <c r="A824" s="2"/>
      <c r="B824" s="2"/>
      <c r="C824" s="2"/>
      <c r="D824" s="3"/>
      <c r="E824" s="3"/>
      <c r="F824" s="3"/>
      <c r="G824" s="2"/>
      <c r="H824" s="4"/>
      <c r="I824" s="5"/>
      <c r="J824" s="5"/>
      <c r="K824" s="5"/>
      <c r="L824" s="4"/>
      <c r="M824" s="4"/>
      <c r="N824" s="4"/>
      <c r="O824" s="4"/>
      <c r="P824" s="4"/>
      <c r="Q824" s="5"/>
      <c r="R824" s="5"/>
      <c r="S824" s="5"/>
      <c r="T824" s="5"/>
      <c r="U824" s="6"/>
      <c r="V824" s="5"/>
      <c r="W824" s="7"/>
      <c r="X824" s="8"/>
      <c r="Y824" s="8"/>
      <c r="Z824" s="2"/>
      <c r="AA824" s="2"/>
      <c r="AB824" s="2"/>
      <c r="AC824" s="2"/>
      <c r="AD824" s="2"/>
    </row>
    <row r="825" ht="12.0" customHeight="1">
      <c r="A825" s="2"/>
      <c r="B825" s="2"/>
      <c r="C825" s="2"/>
      <c r="D825" s="3"/>
      <c r="E825" s="3"/>
      <c r="F825" s="3"/>
      <c r="G825" s="2"/>
      <c r="H825" s="4"/>
      <c r="I825" s="5"/>
      <c r="J825" s="5"/>
      <c r="K825" s="5"/>
      <c r="L825" s="4"/>
      <c r="M825" s="4"/>
      <c r="N825" s="4"/>
      <c r="O825" s="4"/>
      <c r="P825" s="4"/>
      <c r="Q825" s="5"/>
      <c r="R825" s="5"/>
      <c r="S825" s="5"/>
      <c r="T825" s="5"/>
      <c r="U825" s="6"/>
      <c r="V825" s="5"/>
      <c r="W825" s="7"/>
      <c r="X825" s="8"/>
      <c r="Y825" s="8"/>
      <c r="Z825" s="2"/>
      <c r="AA825" s="2"/>
      <c r="AB825" s="2"/>
      <c r="AC825" s="2"/>
      <c r="AD825" s="2"/>
    </row>
    <row r="826" ht="12.0" customHeight="1">
      <c r="A826" s="2"/>
      <c r="B826" s="2"/>
      <c r="C826" s="2"/>
      <c r="D826" s="3"/>
      <c r="E826" s="3"/>
      <c r="F826" s="3"/>
      <c r="G826" s="2"/>
      <c r="H826" s="4"/>
      <c r="I826" s="5"/>
      <c r="J826" s="5"/>
      <c r="K826" s="5"/>
      <c r="L826" s="4"/>
      <c r="M826" s="4"/>
      <c r="N826" s="4"/>
      <c r="O826" s="4"/>
      <c r="P826" s="4"/>
      <c r="Q826" s="5"/>
      <c r="R826" s="5"/>
      <c r="S826" s="5"/>
      <c r="T826" s="5"/>
      <c r="U826" s="6"/>
      <c r="V826" s="5"/>
      <c r="W826" s="7"/>
      <c r="X826" s="8"/>
      <c r="Y826" s="8"/>
      <c r="Z826" s="2"/>
      <c r="AA826" s="2"/>
      <c r="AB826" s="2"/>
      <c r="AC826" s="2"/>
      <c r="AD826" s="2"/>
    </row>
    <row r="827" ht="12.0" customHeight="1">
      <c r="A827" s="2"/>
      <c r="B827" s="2"/>
      <c r="C827" s="2"/>
      <c r="D827" s="3"/>
      <c r="E827" s="3"/>
      <c r="F827" s="3"/>
      <c r="G827" s="2"/>
      <c r="H827" s="4"/>
      <c r="I827" s="5"/>
      <c r="J827" s="5"/>
      <c r="K827" s="5"/>
      <c r="L827" s="4"/>
      <c r="M827" s="4"/>
      <c r="N827" s="4"/>
      <c r="O827" s="4"/>
      <c r="P827" s="4"/>
      <c r="Q827" s="5"/>
      <c r="R827" s="5"/>
      <c r="S827" s="5"/>
      <c r="T827" s="5"/>
      <c r="U827" s="6"/>
      <c r="V827" s="5"/>
      <c r="W827" s="7"/>
      <c r="X827" s="8"/>
      <c r="Y827" s="8"/>
      <c r="Z827" s="2"/>
      <c r="AA827" s="2"/>
      <c r="AB827" s="2"/>
      <c r="AC827" s="2"/>
      <c r="AD827" s="2"/>
    </row>
    <row r="828" ht="12.0" customHeight="1">
      <c r="A828" s="2"/>
      <c r="B828" s="2"/>
      <c r="C828" s="2"/>
      <c r="D828" s="3"/>
      <c r="E828" s="3"/>
      <c r="F828" s="3"/>
      <c r="G828" s="2"/>
      <c r="H828" s="4"/>
      <c r="I828" s="5"/>
      <c r="J828" s="5"/>
      <c r="K828" s="5"/>
      <c r="L828" s="4"/>
      <c r="M828" s="4"/>
      <c r="N828" s="4"/>
      <c r="O828" s="4"/>
      <c r="P828" s="4"/>
      <c r="Q828" s="5"/>
      <c r="R828" s="5"/>
      <c r="S828" s="5"/>
      <c r="T828" s="5"/>
      <c r="U828" s="6"/>
      <c r="V828" s="5"/>
      <c r="W828" s="7"/>
      <c r="X828" s="8"/>
      <c r="Y828" s="8"/>
      <c r="Z828" s="2"/>
      <c r="AA828" s="2"/>
      <c r="AB828" s="2"/>
      <c r="AC828" s="2"/>
      <c r="AD828" s="2"/>
    </row>
    <row r="829" ht="12.0" customHeight="1">
      <c r="A829" s="2"/>
      <c r="B829" s="2"/>
      <c r="C829" s="2"/>
      <c r="D829" s="3"/>
      <c r="E829" s="3"/>
      <c r="F829" s="3"/>
      <c r="G829" s="2"/>
      <c r="H829" s="4"/>
      <c r="I829" s="5"/>
      <c r="J829" s="5"/>
      <c r="K829" s="5"/>
      <c r="L829" s="4"/>
      <c r="M829" s="4"/>
      <c r="N829" s="4"/>
      <c r="O829" s="4"/>
      <c r="P829" s="4"/>
      <c r="Q829" s="5"/>
      <c r="R829" s="5"/>
      <c r="S829" s="5"/>
      <c r="T829" s="5"/>
      <c r="U829" s="6"/>
      <c r="V829" s="5"/>
      <c r="W829" s="7"/>
      <c r="X829" s="8"/>
      <c r="Y829" s="8"/>
      <c r="Z829" s="2"/>
      <c r="AA829" s="2"/>
      <c r="AB829" s="2"/>
      <c r="AC829" s="2"/>
      <c r="AD829" s="2"/>
    </row>
    <row r="830" ht="12.0" customHeight="1">
      <c r="A830" s="2"/>
      <c r="B830" s="2"/>
      <c r="C830" s="2"/>
      <c r="D830" s="3"/>
      <c r="E830" s="3"/>
      <c r="F830" s="3"/>
      <c r="G830" s="2"/>
      <c r="H830" s="4"/>
      <c r="I830" s="5"/>
      <c r="J830" s="5"/>
      <c r="K830" s="5"/>
      <c r="L830" s="4"/>
      <c r="M830" s="4"/>
      <c r="N830" s="4"/>
      <c r="O830" s="4"/>
      <c r="P830" s="4"/>
      <c r="Q830" s="5"/>
      <c r="R830" s="5"/>
      <c r="S830" s="5"/>
      <c r="T830" s="5"/>
      <c r="U830" s="6"/>
      <c r="V830" s="5"/>
      <c r="W830" s="7"/>
      <c r="X830" s="8"/>
      <c r="Y830" s="8"/>
      <c r="Z830" s="2"/>
      <c r="AA830" s="2"/>
      <c r="AB830" s="2"/>
      <c r="AC830" s="2"/>
      <c r="AD830" s="2"/>
    </row>
    <row r="831" ht="12.0" customHeight="1">
      <c r="A831" s="2"/>
      <c r="B831" s="2"/>
      <c r="C831" s="2"/>
      <c r="D831" s="3"/>
      <c r="E831" s="3"/>
      <c r="F831" s="3"/>
      <c r="G831" s="2"/>
      <c r="H831" s="4"/>
      <c r="I831" s="5"/>
      <c r="J831" s="5"/>
      <c r="K831" s="5"/>
      <c r="L831" s="4"/>
      <c r="M831" s="4"/>
      <c r="N831" s="4"/>
      <c r="O831" s="4"/>
      <c r="P831" s="4"/>
      <c r="Q831" s="5"/>
      <c r="R831" s="5"/>
      <c r="S831" s="5"/>
      <c r="T831" s="5"/>
      <c r="U831" s="6"/>
      <c r="V831" s="5"/>
      <c r="W831" s="7"/>
      <c r="X831" s="8"/>
      <c r="Y831" s="8"/>
      <c r="Z831" s="2"/>
      <c r="AA831" s="2"/>
      <c r="AB831" s="2"/>
      <c r="AC831" s="2"/>
      <c r="AD831" s="2"/>
    </row>
    <row r="832" ht="12.0" customHeight="1">
      <c r="A832" s="2"/>
      <c r="B832" s="2"/>
      <c r="C832" s="2"/>
      <c r="D832" s="3"/>
      <c r="E832" s="3"/>
      <c r="F832" s="3"/>
      <c r="G832" s="2"/>
      <c r="H832" s="4"/>
      <c r="I832" s="5"/>
      <c r="J832" s="5"/>
      <c r="K832" s="5"/>
      <c r="L832" s="4"/>
      <c r="M832" s="4"/>
      <c r="N832" s="4"/>
      <c r="O832" s="4"/>
      <c r="P832" s="4"/>
      <c r="Q832" s="5"/>
      <c r="R832" s="5"/>
      <c r="S832" s="5"/>
      <c r="T832" s="5"/>
      <c r="U832" s="6"/>
      <c r="V832" s="5"/>
      <c r="W832" s="7"/>
      <c r="X832" s="8"/>
      <c r="Y832" s="8"/>
      <c r="Z832" s="2"/>
      <c r="AA832" s="2"/>
      <c r="AB832" s="2"/>
      <c r="AC832" s="2"/>
      <c r="AD832" s="2"/>
    </row>
    <row r="833" ht="12.0" customHeight="1">
      <c r="A833" s="2"/>
      <c r="B833" s="2"/>
      <c r="C833" s="2"/>
      <c r="D833" s="3"/>
      <c r="E833" s="3"/>
      <c r="F833" s="3"/>
      <c r="G833" s="2"/>
      <c r="H833" s="4"/>
      <c r="I833" s="5"/>
      <c r="J833" s="5"/>
      <c r="K833" s="5"/>
      <c r="L833" s="4"/>
      <c r="M833" s="4"/>
      <c r="N833" s="4"/>
      <c r="O833" s="4"/>
      <c r="P833" s="4"/>
      <c r="Q833" s="5"/>
      <c r="R833" s="5"/>
      <c r="S833" s="5"/>
      <c r="T833" s="5"/>
      <c r="U833" s="6"/>
      <c r="V833" s="5"/>
      <c r="W833" s="7"/>
      <c r="X833" s="8"/>
      <c r="Y833" s="8"/>
      <c r="Z833" s="2"/>
      <c r="AA833" s="2"/>
      <c r="AB833" s="2"/>
      <c r="AC833" s="2"/>
      <c r="AD833" s="2"/>
    </row>
    <row r="834" ht="12.0" customHeight="1">
      <c r="A834" s="2"/>
      <c r="B834" s="2"/>
      <c r="C834" s="2"/>
      <c r="D834" s="3"/>
      <c r="E834" s="3"/>
      <c r="F834" s="3"/>
      <c r="G834" s="2"/>
      <c r="H834" s="4"/>
      <c r="I834" s="5"/>
      <c r="J834" s="5"/>
      <c r="K834" s="5"/>
      <c r="L834" s="4"/>
      <c r="M834" s="4"/>
      <c r="N834" s="4"/>
      <c r="O834" s="4"/>
      <c r="P834" s="4"/>
      <c r="Q834" s="5"/>
      <c r="R834" s="5"/>
      <c r="S834" s="5"/>
      <c r="T834" s="5"/>
      <c r="U834" s="6"/>
      <c r="V834" s="5"/>
      <c r="W834" s="7"/>
      <c r="X834" s="8"/>
      <c r="Y834" s="8"/>
      <c r="Z834" s="2"/>
      <c r="AA834" s="2"/>
      <c r="AB834" s="2"/>
      <c r="AC834" s="2"/>
      <c r="AD834" s="2"/>
    </row>
    <row r="835" ht="12.0" customHeight="1">
      <c r="A835" s="2"/>
      <c r="B835" s="2"/>
      <c r="C835" s="2"/>
      <c r="D835" s="3"/>
      <c r="E835" s="3"/>
      <c r="F835" s="3"/>
      <c r="G835" s="2"/>
      <c r="H835" s="4"/>
      <c r="I835" s="5"/>
      <c r="J835" s="5"/>
      <c r="K835" s="5"/>
      <c r="L835" s="4"/>
      <c r="M835" s="4"/>
      <c r="N835" s="4"/>
      <c r="O835" s="4"/>
      <c r="P835" s="4"/>
      <c r="Q835" s="5"/>
      <c r="R835" s="5"/>
      <c r="S835" s="5"/>
      <c r="T835" s="5"/>
      <c r="U835" s="6"/>
      <c r="V835" s="5"/>
      <c r="W835" s="7"/>
      <c r="X835" s="8"/>
      <c r="Y835" s="8"/>
      <c r="Z835" s="2"/>
      <c r="AA835" s="2"/>
      <c r="AB835" s="2"/>
      <c r="AC835" s="2"/>
      <c r="AD835" s="2"/>
    </row>
    <row r="836" ht="12.0" customHeight="1">
      <c r="A836" s="2"/>
      <c r="B836" s="2"/>
      <c r="C836" s="2"/>
      <c r="D836" s="3"/>
      <c r="E836" s="3"/>
      <c r="F836" s="3"/>
      <c r="G836" s="2"/>
      <c r="H836" s="4"/>
      <c r="I836" s="5"/>
      <c r="J836" s="5"/>
      <c r="K836" s="5"/>
      <c r="L836" s="4"/>
      <c r="M836" s="4"/>
      <c r="N836" s="4"/>
      <c r="O836" s="4"/>
      <c r="P836" s="4"/>
      <c r="Q836" s="5"/>
      <c r="R836" s="5"/>
      <c r="S836" s="5"/>
      <c r="T836" s="5"/>
      <c r="U836" s="6"/>
      <c r="V836" s="5"/>
      <c r="W836" s="7"/>
      <c r="X836" s="8"/>
      <c r="Y836" s="8"/>
      <c r="Z836" s="2"/>
      <c r="AA836" s="2"/>
      <c r="AB836" s="2"/>
      <c r="AC836" s="2"/>
      <c r="AD836" s="2"/>
    </row>
    <row r="837" ht="12.0" customHeight="1">
      <c r="A837" s="2"/>
      <c r="B837" s="2"/>
      <c r="C837" s="2"/>
      <c r="D837" s="3"/>
      <c r="E837" s="3"/>
      <c r="F837" s="3"/>
      <c r="G837" s="2"/>
      <c r="H837" s="4"/>
      <c r="I837" s="5"/>
      <c r="J837" s="5"/>
      <c r="K837" s="5"/>
      <c r="L837" s="4"/>
      <c r="M837" s="4"/>
      <c r="N837" s="4"/>
      <c r="O837" s="4"/>
      <c r="P837" s="4"/>
      <c r="Q837" s="5"/>
      <c r="R837" s="5"/>
      <c r="S837" s="5"/>
      <c r="T837" s="5"/>
      <c r="U837" s="6"/>
      <c r="V837" s="5"/>
      <c r="W837" s="7"/>
      <c r="X837" s="8"/>
      <c r="Y837" s="8"/>
      <c r="Z837" s="2"/>
      <c r="AA837" s="2"/>
      <c r="AB837" s="2"/>
      <c r="AC837" s="2"/>
      <c r="AD837" s="2"/>
    </row>
    <row r="838" ht="12.0" customHeight="1">
      <c r="A838" s="2"/>
      <c r="B838" s="2"/>
      <c r="C838" s="2"/>
      <c r="D838" s="3"/>
      <c r="E838" s="3"/>
      <c r="F838" s="3"/>
      <c r="G838" s="2"/>
      <c r="H838" s="4"/>
      <c r="I838" s="5"/>
      <c r="J838" s="5"/>
      <c r="K838" s="5"/>
      <c r="L838" s="4"/>
      <c r="M838" s="4"/>
      <c r="N838" s="4"/>
      <c r="O838" s="4"/>
      <c r="P838" s="4"/>
      <c r="Q838" s="5"/>
      <c r="R838" s="5"/>
      <c r="S838" s="5"/>
      <c r="T838" s="5"/>
      <c r="U838" s="6"/>
      <c r="V838" s="5"/>
      <c r="W838" s="7"/>
      <c r="X838" s="8"/>
      <c r="Y838" s="8"/>
      <c r="Z838" s="2"/>
      <c r="AA838" s="2"/>
      <c r="AB838" s="2"/>
      <c r="AC838" s="2"/>
      <c r="AD838" s="2"/>
    </row>
    <row r="839" ht="12.0" customHeight="1">
      <c r="A839" s="2"/>
      <c r="B839" s="2"/>
      <c r="C839" s="2"/>
      <c r="D839" s="3"/>
      <c r="E839" s="3"/>
      <c r="F839" s="3"/>
      <c r="G839" s="2"/>
      <c r="H839" s="4"/>
      <c r="I839" s="5"/>
      <c r="J839" s="5"/>
      <c r="K839" s="5"/>
      <c r="L839" s="4"/>
      <c r="M839" s="4"/>
      <c r="N839" s="4"/>
      <c r="O839" s="4"/>
      <c r="P839" s="4"/>
      <c r="Q839" s="5"/>
      <c r="R839" s="5"/>
      <c r="S839" s="5"/>
      <c r="T839" s="5"/>
      <c r="U839" s="6"/>
      <c r="V839" s="5"/>
      <c r="W839" s="7"/>
      <c r="X839" s="8"/>
      <c r="Y839" s="8"/>
      <c r="Z839" s="2"/>
      <c r="AA839" s="2"/>
      <c r="AB839" s="2"/>
      <c r="AC839" s="2"/>
      <c r="AD839" s="2"/>
    </row>
    <row r="840" ht="12.0" customHeight="1">
      <c r="A840" s="2"/>
      <c r="B840" s="2"/>
      <c r="C840" s="2"/>
      <c r="D840" s="3"/>
      <c r="E840" s="3"/>
      <c r="F840" s="3"/>
      <c r="G840" s="2"/>
      <c r="H840" s="4"/>
      <c r="I840" s="5"/>
      <c r="J840" s="5"/>
      <c r="K840" s="5"/>
      <c r="L840" s="4"/>
      <c r="M840" s="4"/>
      <c r="N840" s="4"/>
      <c r="O840" s="4"/>
      <c r="P840" s="4"/>
      <c r="Q840" s="5"/>
      <c r="R840" s="5"/>
      <c r="S840" s="5"/>
      <c r="T840" s="5"/>
      <c r="U840" s="6"/>
      <c r="V840" s="5"/>
      <c r="W840" s="7"/>
      <c r="X840" s="8"/>
      <c r="Y840" s="8"/>
      <c r="Z840" s="2"/>
      <c r="AA840" s="2"/>
      <c r="AB840" s="2"/>
      <c r="AC840" s="2"/>
      <c r="AD840" s="2"/>
    </row>
    <row r="841" ht="12.0" customHeight="1">
      <c r="A841" s="2"/>
      <c r="B841" s="2"/>
      <c r="C841" s="2"/>
      <c r="D841" s="3"/>
      <c r="E841" s="3"/>
      <c r="F841" s="3"/>
      <c r="G841" s="2"/>
      <c r="H841" s="4"/>
      <c r="I841" s="5"/>
      <c r="J841" s="5"/>
      <c r="K841" s="5"/>
      <c r="L841" s="4"/>
      <c r="M841" s="4"/>
      <c r="N841" s="4"/>
      <c r="O841" s="4"/>
      <c r="P841" s="4"/>
      <c r="Q841" s="5"/>
      <c r="R841" s="5"/>
      <c r="S841" s="5"/>
      <c r="T841" s="5"/>
      <c r="U841" s="6"/>
      <c r="V841" s="5"/>
      <c r="W841" s="7"/>
      <c r="X841" s="8"/>
      <c r="Y841" s="8"/>
      <c r="Z841" s="2"/>
      <c r="AA841" s="2"/>
      <c r="AB841" s="2"/>
      <c r="AC841" s="2"/>
      <c r="AD841" s="2"/>
    </row>
    <row r="842" ht="12.0" customHeight="1">
      <c r="A842" s="2"/>
      <c r="B842" s="2"/>
      <c r="C842" s="2"/>
      <c r="D842" s="3"/>
      <c r="E842" s="3"/>
      <c r="F842" s="3"/>
      <c r="G842" s="2"/>
      <c r="H842" s="4"/>
      <c r="I842" s="5"/>
      <c r="J842" s="5"/>
      <c r="K842" s="5"/>
      <c r="L842" s="4"/>
      <c r="M842" s="4"/>
      <c r="N842" s="4"/>
      <c r="O842" s="4"/>
      <c r="P842" s="4"/>
      <c r="Q842" s="5"/>
      <c r="R842" s="5"/>
      <c r="S842" s="5"/>
      <c r="T842" s="5"/>
      <c r="U842" s="6"/>
      <c r="V842" s="5"/>
      <c r="W842" s="7"/>
      <c r="X842" s="8"/>
      <c r="Y842" s="8"/>
      <c r="Z842" s="2"/>
      <c r="AA842" s="2"/>
      <c r="AB842" s="2"/>
      <c r="AC842" s="2"/>
      <c r="AD842" s="2"/>
    </row>
    <row r="843" ht="12.0" customHeight="1">
      <c r="A843" s="2"/>
      <c r="B843" s="2"/>
      <c r="C843" s="2"/>
      <c r="D843" s="3"/>
      <c r="E843" s="3"/>
      <c r="F843" s="3"/>
      <c r="G843" s="2"/>
      <c r="H843" s="4"/>
      <c r="I843" s="5"/>
      <c r="J843" s="5"/>
      <c r="K843" s="5"/>
      <c r="L843" s="4"/>
      <c r="M843" s="4"/>
      <c r="N843" s="4"/>
      <c r="O843" s="4"/>
      <c r="P843" s="4"/>
      <c r="Q843" s="5"/>
      <c r="R843" s="5"/>
      <c r="S843" s="5"/>
      <c r="T843" s="5"/>
      <c r="U843" s="6"/>
      <c r="V843" s="5"/>
      <c r="W843" s="7"/>
      <c r="X843" s="8"/>
      <c r="Y843" s="8"/>
      <c r="Z843" s="2"/>
      <c r="AA843" s="2"/>
      <c r="AB843" s="2"/>
      <c r="AC843" s="2"/>
      <c r="AD843" s="2"/>
    </row>
    <row r="844" ht="12.0" customHeight="1">
      <c r="A844" s="2"/>
      <c r="B844" s="2"/>
      <c r="C844" s="2"/>
      <c r="D844" s="3"/>
      <c r="E844" s="3"/>
      <c r="F844" s="3"/>
      <c r="G844" s="2"/>
      <c r="H844" s="4"/>
      <c r="I844" s="5"/>
      <c r="J844" s="5"/>
      <c r="K844" s="5"/>
      <c r="L844" s="4"/>
      <c r="M844" s="4"/>
      <c r="N844" s="4"/>
      <c r="O844" s="4"/>
      <c r="P844" s="4"/>
      <c r="Q844" s="5"/>
      <c r="R844" s="5"/>
      <c r="S844" s="5"/>
      <c r="T844" s="5"/>
      <c r="U844" s="6"/>
      <c r="V844" s="5"/>
      <c r="W844" s="7"/>
      <c r="X844" s="8"/>
      <c r="Y844" s="8"/>
      <c r="Z844" s="2"/>
      <c r="AA844" s="2"/>
      <c r="AB844" s="2"/>
      <c r="AC844" s="2"/>
      <c r="AD844" s="2"/>
    </row>
    <row r="845" ht="12.0" customHeight="1">
      <c r="A845" s="2"/>
      <c r="B845" s="2"/>
      <c r="C845" s="2"/>
      <c r="D845" s="3"/>
      <c r="E845" s="3"/>
      <c r="F845" s="3"/>
      <c r="G845" s="2"/>
      <c r="H845" s="4"/>
      <c r="I845" s="5"/>
      <c r="J845" s="5"/>
      <c r="K845" s="5"/>
      <c r="L845" s="4"/>
      <c r="M845" s="4"/>
      <c r="N845" s="4"/>
      <c r="O845" s="4"/>
      <c r="P845" s="4"/>
      <c r="Q845" s="5"/>
      <c r="R845" s="5"/>
      <c r="S845" s="5"/>
      <c r="T845" s="5"/>
      <c r="U845" s="6"/>
      <c r="V845" s="5"/>
      <c r="W845" s="7"/>
      <c r="X845" s="8"/>
      <c r="Y845" s="8"/>
      <c r="Z845" s="2"/>
      <c r="AA845" s="2"/>
      <c r="AB845" s="2"/>
      <c r="AC845" s="2"/>
      <c r="AD845" s="2"/>
    </row>
    <row r="846" ht="12.0" customHeight="1">
      <c r="A846" s="2"/>
      <c r="B846" s="2"/>
      <c r="C846" s="2"/>
      <c r="D846" s="3"/>
      <c r="E846" s="3"/>
      <c r="F846" s="3"/>
      <c r="G846" s="2"/>
      <c r="H846" s="4"/>
      <c r="I846" s="5"/>
      <c r="J846" s="5"/>
      <c r="K846" s="5"/>
      <c r="L846" s="4"/>
      <c r="M846" s="4"/>
      <c r="N846" s="4"/>
      <c r="O846" s="4"/>
      <c r="P846" s="4"/>
      <c r="Q846" s="5"/>
      <c r="R846" s="5"/>
      <c r="S846" s="5"/>
      <c r="T846" s="5"/>
      <c r="U846" s="6"/>
      <c r="V846" s="5"/>
      <c r="W846" s="7"/>
      <c r="X846" s="8"/>
      <c r="Y846" s="8"/>
      <c r="Z846" s="2"/>
      <c r="AA846" s="2"/>
      <c r="AB846" s="2"/>
      <c r="AC846" s="2"/>
      <c r="AD846" s="2"/>
    </row>
    <row r="847" ht="12.0" customHeight="1">
      <c r="A847" s="2"/>
      <c r="B847" s="2"/>
      <c r="C847" s="2"/>
      <c r="D847" s="3"/>
      <c r="E847" s="3"/>
      <c r="F847" s="3"/>
      <c r="G847" s="2"/>
      <c r="H847" s="4"/>
      <c r="I847" s="5"/>
      <c r="J847" s="5"/>
      <c r="K847" s="5"/>
      <c r="L847" s="4"/>
      <c r="M847" s="4"/>
      <c r="N847" s="4"/>
      <c r="O847" s="4"/>
      <c r="P847" s="4"/>
      <c r="Q847" s="5"/>
      <c r="R847" s="5"/>
      <c r="S847" s="5"/>
      <c r="T847" s="5"/>
      <c r="U847" s="6"/>
      <c r="V847" s="5"/>
      <c r="W847" s="7"/>
      <c r="X847" s="8"/>
      <c r="Y847" s="8"/>
      <c r="Z847" s="2"/>
      <c r="AA847" s="2"/>
      <c r="AB847" s="2"/>
      <c r="AC847" s="2"/>
      <c r="AD847" s="2"/>
    </row>
    <row r="848" ht="12.0" customHeight="1">
      <c r="A848" s="2"/>
      <c r="B848" s="2"/>
      <c r="C848" s="2"/>
      <c r="D848" s="3"/>
      <c r="E848" s="3"/>
      <c r="F848" s="3"/>
      <c r="G848" s="2"/>
      <c r="H848" s="4"/>
      <c r="I848" s="5"/>
      <c r="J848" s="5"/>
      <c r="K848" s="5"/>
      <c r="L848" s="4"/>
      <c r="M848" s="4"/>
      <c r="N848" s="4"/>
      <c r="O848" s="4"/>
      <c r="P848" s="4"/>
      <c r="Q848" s="5"/>
      <c r="R848" s="5"/>
      <c r="S848" s="5"/>
      <c r="T848" s="5"/>
      <c r="U848" s="6"/>
      <c r="V848" s="5"/>
      <c r="W848" s="7"/>
      <c r="X848" s="8"/>
      <c r="Y848" s="8"/>
      <c r="Z848" s="2"/>
      <c r="AA848" s="2"/>
      <c r="AB848" s="2"/>
      <c r="AC848" s="2"/>
      <c r="AD848" s="2"/>
    </row>
    <row r="849" ht="12.0" customHeight="1">
      <c r="A849" s="2"/>
      <c r="B849" s="2"/>
      <c r="C849" s="2"/>
      <c r="D849" s="3"/>
      <c r="E849" s="3"/>
      <c r="F849" s="3"/>
      <c r="G849" s="2"/>
      <c r="H849" s="4"/>
      <c r="I849" s="5"/>
      <c r="J849" s="5"/>
      <c r="K849" s="5"/>
      <c r="L849" s="4"/>
      <c r="M849" s="4"/>
      <c r="N849" s="4"/>
      <c r="O849" s="4"/>
      <c r="P849" s="4"/>
      <c r="Q849" s="5"/>
      <c r="R849" s="5"/>
      <c r="S849" s="5"/>
      <c r="T849" s="5"/>
      <c r="U849" s="6"/>
      <c r="V849" s="5"/>
      <c r="W849" s="7"/>
      <c r="X849" s="8"/>
      <c r="Y849" s="8"/>
      <c r="Z849" s="2"/>
      <c r="AA849" s="2"/>
      <c r="AB849" s="2"/>
      <c r="AC849" s="2"/>
      <c r="AD849" s="2"/>
    </row>
    <row r="850" ht="12.0" customHeight="1">
      <c r="A850" s="2"/>
      <c r="B850" s="2"/>
      <c r="C850" s="2"/>
      <c r="D850" s="3"/>
      <c r="E850" s="3"/>
      <c r="F850" s="3"/>
      <c r="G850" s="2"/>
      <c r="H850" s="4"/>
      <c r="I850" s="5"/>
      <c r="J850" s="5"/>
      <c r="K850" s="5"/>
      <c r="L850" s="4"/>
      <c r="M850" s="4"/>
      <c r="N850" s="4"/>
      <c r="O850" s="4"/>
      <c r="P850" s="4"/>
      <c r="Q850" s="5"/>
      <c r="R850" s="5"/>
      <c r="S850" s="5"/>
      <c r="T850" s="5"/>
      <c r="U850" s="6"/>
      <c r="V850" s="5"/>
      <c r="W850" s="7"/>
      <c r="X850" s="8"/>
      <c r="Y850" s="8"/>
      <c r="Z850" s="2"/>
      <c r="AA850" s="2"/>
      <c r="AB850" s="2"/>
      <c r="AC850" s="2"/>
      <c r="AD850" s="2"/>
    </row>
    <row r="851" ht="12.0" customHeight="1">
      <c r="A851" s="2"/>
      <c r="B851" s="2"/>
      <c r="C851" s="2"/>
      <c r="D851" s="3"/>
      <c r="E851" s="3"/>
      <c r="F851" s="3"/>
      <c r="G851" s="2"/>
      <c r="H851" s="4"/>
      <c r="I851" s="5"/>
      <c r="J851" s="5"/>
      <c r="K851" s="5"/>
      <c r="L851" s="4"/>
      <c r="M851" s="4"/>
      <c r="N851" s="4"/>
      <c r="O851" s="4"/>
      <c r="P851" s="4"/>
      <c r="Q851" s="5"/>
      <c r="R851" s="5"/>
      <c r="S851" s="5"/>
      <c r="T851" s="5"/>
      <c r="U851" s="6"/>
      <c r="V851" s="5"/>
      <c r="W851" s="7"/>
      <c r="X851" s="8"/>
      <c r="Y851" s="8"/>
      <c r="Z851" s="2"/>
      <c r="AA851" s="2"/>
      <c r="AB851" s="2"/>
      <c r="AC851" s="2"/>
      <c r="AD851" s="2"/>
    </row>
    <row r="852" ht="12.0" customHeight="1">
      <c r="A852" s="2"/>
      <c r="B852" s="2"/>
      <c r="C852" s="2"/>
      <c r="D852" s="3"/>
      <c r="E852" s="3"/>
      <c r="F852" s="3"/>
      <c r="G852" s="2"/>
      <c r="H852" s="4"/>
      <c r="I852" s="5"/>
      <c r="J852" s="5"/>
      <c r="K852" s="5"/>
      <c r="L852" s="4"/>
      <c r="M852" s="4"/>
      <c r="N852" s="4"/>
      <c r="O852" s="4"/>
      <c r="P852" s="4"/>
      <c r="Q852" s="5"/>
      <c r="R852" s="5"/>
      <c r="S852" s="5"/>
      <c r="T852" s="5"/>
      <c r="U852" s="6"/>
      <c r="V852" s="5"/>
      <c r="W852" s="7"/>
      <c r="X852" s="8"/>
      <c r="Y852" s="8"/>
      <c r="Z852" s="2"/>
      <c r="AA852" s="2"/>
      <c r="AB852" s="2"/>
      <c r="AC852" s="2"/>
      <c r="AD852" s="2"/>
    </row>
    <row r="853" ht="12.0" customHeight="1">
      <c r="A853" s="2"/>
      <c r="B853" s="2"/>
      <c r="C853" s="2"/>
      <c r="D853" s="3"/>
      <c r="E853" s="3"/>
      <c r="F853" s="3"/>
      <c r="G853" s="2"/>
      <c r="H853" s="4"/>
      <c r="I853" s="5"/>
      <c r="J853" s="5"/>
      <c r="K853" s="5"/>
      <c r="L853" s="4"/>
      <c r="M853" s="4"/>
      <c r="N853" s="4"/>
      <c r="O853" s="4"/>
      <c r="P853" s="4"/>
      <c r="Q853" s="5"/>
      <c r="R853" s="5"/>
      <c r="S853" s="5"/>
      <c r="T853" s="5"/>
      <c r="U853" s="6"/>
      <c r="V853" s="5"/>
      <c r="W853" s="7"/>
      <c r="X853" s="8"/>
      <c r="Y853" s="8"/>
      <c r="Z853" s="2"/>
      <c r="AA853" s="2"/>
      <c r="AB853" s="2"/>
      <c r="AC853" s="2"/>
      <c r="AD853" s="2"/>
    </row>
    <row r="854" ht="12.0" customHeight="1">
      <c r="A854" s="2"/>
      <c r="B854" s="2"/>
      <c r="C854" s="2"/>
      <c r="D854" s="3"/>
      <c r="E854" s="3"/>
      <c r="F854" s="3"/>
      <c r="G854" s="2"/>
      <c r="H854" s="4"/>
      <c r="I854" s="5"/>
      <c r="J854" s="5"/>
      <c r="K854" s="5"/>
      <c r="L854" s="4"/>
      <c r="M854" s="4"/>
      <c r="N854" s="4"/>
      <c r="O854" s="4"/>
      <c r="P854" s="4"/>
      <c r="Q854" s="5"/>
      <c r="R854" s="5"/>
      <c r="S854" s="5"/>
      <c r="T854" s="5"/>
      <c r="U854" s="6"/>
      <c r="V854" s="5"/>
      <c r="W854" s="7"/>
      <c r="X854" s="8"/>
      <c r="Y854" s="8"/>
      <c r="Z854" s="2"/>
      <c r="AA854" s="2"/>
      <c r="AB854" s="2"/>
      <c r="AC854" s="2"/>
      <c r="AD854" s="2"/>
    </row>
    <row r="855" ht="12.0" customHeight="1">
      <c r="A855" s="2"/>
      <c r="B855" s="2"/>
      <c r="C855" s="2"/>
      <c r="D855" s="3"/>
      <c r="E855" s="3"/>
      <c r="F855" s="3"/>
      <c r="G855" s="2"/>
      <c r="H855" s="4"/>
      <c r="I855" s="5"/>
      <c r="J855" s="5"/>
      <c r="K855" s="5"/>
      <c r="L855" s="4"/>
      <c r="M855" s="4"/>
      <c r="N855" s="4"/>
      <c r="O855" s="4"/>
      <c r="P855" s="4"/>
      <c r="Q855" s="5"/>
      <c r="R855" s="5"/>
      <c r="S855" s="5"/>
      <c r="T855" s="5"/>
      <c r="U855" s="6"/>
      <c r="V855" s="5"/>
      <c r="W855" s="7"/>
      <c r="X855" s="8"/>
      <c r="Y855" s="8"/>
      <c r="Z855" s="2"/>
      <c r="AA855" s="2"/>
      <c r="AB855" s="2"/>
      <c r="AC855" s="2"/>
      <c r="AD855" s="2"/>
    </row>
    <row r="856" ht="12.0" customHeight="1">
      <c r="A856" s="2"/>
      <c r="B856" s="2"/>
      <c r="C856" s="2"/>
      <c r="D856" s="3"/>
      <c r="E856" s="3"/>
      <c r="F856" s="3"/>
      <c r="G856" s="2"/>
      <c r="H856" s="4"/>
      <c r="I856" s="5"/>
      <c r="J856" s="5"/>
      <c r="K856" s="5"/>
      <c r="L856" s="4"/>
      <c r="M856" s="4"/>
      <c r="N856" s="4"/>
      <c r="O856" s="4"/>
      <c r="P856" s="4"/>
      <c r="Q856" s="5"/>
      <c r="R856" s="5"/>
      <c r="S856" s="5"/>
      <c r="T856" s="5"/>
      <c r="U856" s="6"/>
      <c r="V856" s="5"/>
      <c r="W856" s="7"/>
      <c r="X856" s="8"/>
      <c r="Y856" s="8"/>
      <c r="Z856" s="2"/>
      <c r="AA856" s="2"/>
      <c r="AB856" s="2"/>
      <c r="AC856" s="2"/>
      <c r="AD856" s="2"/>
    </row>
    <row r="857" ht="12.0" customHeight="1">
      <c r="A857" s="2"/>
      <c r="B857" s="2"/>
      <c r="C857" s="2"/>
      <c r="D857" s="3"/>
      <c r="E857" s="3"/>
      <c r="F857" s="3"/>
      <c r="G857" s="2"/>
      <c r="H857" s="4"/>
      <c r="I857" s="5"/>
      <c r="J857" s="5"/>
      <c r="K857" s="5"/>
      <c r="L857" s="4"/>
      <c r="M857" s="4"/>
      <c r="N857" s="4"/>
      <c r="O857" s="4"/>
      <c r="P857" s="4"/>
      <c r="Q857" s="5"/>
      <c r="R857" s="5"/>
      <c r="S857" s="5"/>
      <c r="T857" s="5"/>
      <c r="U857" s="6"/>
      <c r="V857" s="5"/>
      <c r="W857" s="7"/>
      <c r="X857" s="8"/>
      <c r="Y857" s="8"/>
      <c r="Z857" s="2"/>
      <c r="AA857" s="2"/>
      <c r="AB857" s="2"/>
      <c r="AC857" s="2"/>
      <c r="AD857" s="2"/>
    </row>
    <row r="858" ht="12.0" customHeight="1">
      <c r="A858" s="2"/>
      <c r="B858" s="2"/>
      <c r="C858" s="2"/>
      <c r="D858" s="3"/>
      <c r="E858" s="3"/>
      <c r="F858" s="3"/>
      <c r="G858" s="2"/>
      <c r="H858" s="4"/>
      <c r="I858" s="5"/>
      <c r="J858" s="5"/>
      <c r="K858" s="5"/>
      <c r="L858" s="4"/>
      <c r="M858" s="4"/>
      <c r="N858" s="4"/>
      <c r="O858" s="4"/>
      <c r="P858" s="4"/>
      <c r="Q858" s="5"/>
      <c r="R858" s="5"/>
      <c r="S858" s="5"/>
      <c r="T858" s="5"/>
      <c r="U858" s="6"/>
      <c r="V858" s="5"/>
      <c r="W858" s="7"/>
      <c r="X858" s="8"/>
      <c r="Y858" s="8"/>
      <c r="Z858" s="2"/>
      <c r="AA858" s="2"/>
      <c r="AB858" s="2"/>
      <c r="AC858" s="2"/>
      <c r="AD858" s="2"/>
    </row>
    <row r="859" ht="12.0" customHeight="1">
      <c r="A859" s="2"/>
      <c r="B859" s="2"/>
      <c r="C859" s="2"/>
      <c r="D859" s="3"/>
      <c r="E859" s="3"/>
      <c r="F859" s="3"/>
      <c r="G859" s="2"/>
      <c r="H859" s="4"/>
      <c r="I859" s="5"/>
      <c r="J859" s="5"/>
      <c r="K859" s="5"/>
      <c r="L859" s="4"/>
      <c r="M859" s="4"/>
      <c r="N859" s="4"/>
      <c r="O859" s="4"/>
      <c r="P859" s="4"/>
      <c r="Q859" s="5"/>
      <c r="R859" s="5"/>
      <c r="S859" s="5"/>
      <c r="T859" s="5"/>
      <c r="U859" s="6"/>
      <c r="V859" s="5"/>
      <c r="W859" s="7"/>
      <c r="X859" s="8"/>
      <c r="Y859" s="8"/>
      <c r="Z859" s="2"/>
      <c r="AA859" s="2"/>
      <c r="AB859" s="2"/>
      <c r="AC859" s="2"/>
      <c r="AD859" s="2"/>
    </row>
    <row r="860" ht="12.0" customHeight="1">
      <c r="A860" s="2"/>
      <c r="B860" s="2"/>
      <c r="C860" s="2"/>
      <c r="D860" s="3"/>
      <c r="E860" s="3"/>
      <c r="F860" s="3"/>
      <c r="G860" s="2"/>
      <c r="H860" s="4"/>
      <c r="I860" s="5"/>
      <c r="J860" s="5"/>
      <c r="K860" s="5"/>
      <c r="L860" s="4"/>
      <c r="M860" s="4"/>
      <c r="N860" s="4"/>
      <c r="O860" s="4"/>
      <c r="P860" s="4"/>
      <c r="Q860" s="5"/>
      <c r="R860" s="5"/>
      <c r="S860" s="5"/>
      <c r="T860" s="5"/>
      <c r="U860" s="6"/>
      <c r="V860" s="5"/>
      <c r="W860" s="7"/>
      <c r="X860" s="8"/>
      <c r="Y860" s="8"/>
      <c r="Z860" s="2"/>
      <c r="AA860" s="2"/>
      <c r="AB860" s="2"/>
      <c r="AC860" s="2"/>
      <c r="AD860" s="2"/>
    </row>
    <row r="861" ht="12.0" customHeight="1">
      <c r="A861" s="2"/>
      <c r="B861" s="2"/>
      <c r="C861" s="2"/>
      <c r="D861" s="3"/>
      <c r="E861" s="3"/>
      <c r="F861" s="3"/>
      <c r="G861" s="2"/>
      <c r="H861" s="4"/>
      <c r="I861" s="5"/>
      <c r="J861" s="5"/>
      <c r="K861" s="5"/>
      <c r="L861" s="4"/>
      <c r="M861" s="4"/>
      <c r="N861" s="4"/>
      <c r="O861" s="4"/>
      <c r="P861" s="4"/>
      <c r="Q861" s="5"/>
      <c r="R861" s="5"/>
      <c r="S861" s="5"/>
      <c r="T861" s="5"/>
      <c r="U861" s="6"/>
      <c r="V861" s="5"/>
      <c r="W861" s="7"/>
      <c r="X861" s="8"/>
      <c r="Y861" s="8"/>
      <c r="Z861" s="2"/>
      <c r="AA861" s="2"/>
      <c r="AB861" s="2"/>
      <c r="AC861" s="2"/>
      <c r="AD861" s="2"/>
    </row>
    <row r="862" ht="12.0" customHeight="1">
      <c r="A862" s="2"/>
      <c r="B862" s="2"/>
      <c r="C862" s="2"/>
      <c r="D862" s="3"/>
      <c r="E862" s="3"/>
      <c r="F862" s="3"/>
      <c r="G862" s="2"/>
      <c r="H862" s="4"/>
      <c r="I862" s="5"/>
      <c r="J862" s="5"/>
      <c r="K862" s="5"/>
      <c r="L862" s="4"/>
      <c r="M862" s="4"/>
      <c r="N862" s="4"/>
      <c r="O862" s="4"/>
      <c r="P862" s="4"/>
      <c r="Q862" s="5"/>
      <c r="R862" s="5"/>
      <c r="S862" s="5"/>
      <c r="T862" s="5"/>
      <c r="U862" s="6"/>
      <c r="V862" s="5"/>
      <c r="W862" s="7"/>
      <c r="X862" s="8"/>
      <c r="Y862" s="8"/>
      <c r="Z862" s="2"/>
      <c r="AA862" s="2"/>
      <c r="AB862" s="2"/>
      <c r="AC862" s="2"/>
      <c r="AD862" s="2"/>
    </row>
    <row r="863" ht="12.0" customHeight="1">
      <c r="A863" s="2"/>
      <c r="B863" s="2"/>
      <c r="C863" s="2"/>
      <c r="D863" s="3"/>
      <c r="E863" s="3"/>
      <c r="F863" s="3"/>
      <c r="G863" s="2"/>
      <c r="H863" s="4"/>
      <c r="I863" s="5"/>
      <c r="J863" s="5"/>
      <c r="K863" s="5"/>
      <c r="L863" s="4"/>
      <c r="M863" s="4"/>
      <c r="N863" s="4"/>
      <c r="O863" s="4"/>
      <c r="P863" s="4"/>
      <c r="Q863" s="5"/>
      <c r="R863" s="5"/>
      <c r="S863" s="5"/>
      <c r="T863" s="5"/>
      <c r="U863" s="6"/>
      <c r="V863" s="5"/>
      <c r="W863" s="7"/>
      <c r="X863" s="8"/>
      <c r="Y863" s="8"/>
      <c r="Z863" s="2"/>
      <c r="AA863" s="2"/>
      <c r="AB863" s="2"/>
      <c r="AC863" s="2"/>
      <c r="AD863" s="2"/>
    </row>
    <row r="864" ht="12.0" customHeight="1">
      <c r="A864" s="2"/>
      <c r="B864" s="2"/>
      <c r="C864" s="2"/>
      <c r="D864" s="3"/>
      <c r="E864" s="3"/>
      <c r="F864" s="3"/>
      <c r="G864" s="2"/>
      <c r="H864" s="4"/>
      <c r="I864" s="5"/>
      <c r="J864" s="5"/>
      <c r="K864" s="5"/>
      <c r="L864" s="4"/>
      <c r="M864" s="4"/>
      <c r="N864" s="4"/>
      <c r="O864" s="4"/>
      <c r="P864" s="4"/>
      <c r="Q864" s="5"/>
      <c r="R864" s="5"/>
      <c r="S864" s="5"/>
      <c r="T864" s="5"/>
      <c r="U864" s="6"/>
      <c r="V864" s="5"/>
      <c r="W864" s="7"/>
      <c r="X864" s="8"/>
      <c r="Y864" s="8"/>
      <c r="Z864" s="2"/>
      <c r="AA864" s="2"/>
      <c r="AB864" s="2"/>
      <c r="AC864" s="2"/>
      <c r="AD864" s="2"/>
    </row>
    <row r="865" ht="12.0" customHeight="1">
      <c r="A865" s="2"/>
      <c r="B865" s="2"/>
      <c r="C865" s="2"/>
      <c r="D865" s="3"/>
      <c r="E865" s="3"/>
      <c r="F865" s="3"/>
      <c r="G865" s="2"/>
      <c r="H865" s="4"/>
      <c r="I865" s="5"/>
      <c r="J865" s="5"/>
      <c r="K865" s="5"/>
      <c r="L865" s="4"/>
      <c r="M865" s="4"/>
      <c r="N865" s="4"/>
      <c r="O865" s="4"/>
      <c r="P865" s="4"/>
      <c r="Q865" s="5"/>
      <c r="R865" s="5"/>
      <c r="S865" s="5"/>
      <c r="T865" s="5"/>
      <c r="U865" s="6"/>
      <c r="V865" s="5"/>
      <c r="W865" s="7"/>
      <c r="X865" s="8"/>
      <c r="Y865" s="8"/>
      <c r="Z865" s="2"/>
      <c r="AA865" s="2"/>
      <c r="AB865" s="2"/>
      <c r="AC865" s="2"/>
      <c r="AD865" s="2"/>
    </row>
    <row r="866" ht="12.0" customHeight="1">
      <c r="A866" s="2"/>
      <c r="B866" s="2"/>
      <c r="C866" s="2"/>
      <c r="D866" s="3"/>
      <c r="E866" s="3"/>
      <c r="F866" s="3"/>
      <c r="G866" s="2"/>
      <c r="H866" s="4"/>
      <c r="I866" s="5"/>
      <c r="J866" s="5"/>
      <c r="K866" s="5"/>
      <c r="L866" s="4"/>
      <c r="M866" s="4"/>
      <c r="N866" s="4"/>
      <c r="O866" s="4"/>
      <c r="P866" s="4"/>
      <c r="Q866" s="5"/>
      <c r="R866" s="5"/>
      <c r="S866" s="5"/>
      <c r="T866" s="5"/>
      <c r="U866" s="6"/>
      <c r="V866" s="5"/>
      <c r="W866" s="7"/>
      <c r="X866" s="8"/>
      <c r="Y866" s="8"/>
      <c r="Z866" s="2"/>
      <c r="AA866" s="2"/>
      <c r="AB866" s="2"/>
      <c r="AC866" s="2"/>
      <c r="AD866" s="2"/>
    </row>
    <row r="867" ht="12.0" customHeight="1">
      <c r="A867" s="2"/>
      <c r="B867" s="2"/>
      <c r="C867" s="2"/>
      <c r="D867" s="3"/>
      <c r="E867" s="3"/>
      <c r="F867" s="3"/>
      <c r="G867" s="2"/>
      <c r="H867" s="4"/>
      <c r="I867" s="5"/>
      <c r="J867" s="5"/>
      <c r="K867" s="5"/>
      <c r="L867" s="4"/>
      <c r="M867" s="4"/>
      <c r="N867" s="4"/>
      <c r="O867" s="4"/>
      <c r="P867" s="4"/>
      <c r="Q867" s="5"/>
      <c r="R867" s="5"/>
      <c r="S867" s="5"/>
      <c r="T867" s="5"/>
      <c r="U867" s="6"/>
      <c r="V867" s="5"/>
      <c r="W867" s="7"/>
      <c r="X867" s="8"/>
      <c r="Y867" s="8"/>
      <c r="Z867" s="2"/>
      <c r="AA867" s="2"/>
      <c r="AB867" s="2"/>
      <c r="AC867" s="2"/>
      <c r="AD867" s="2"/>
    </row>
    <row r="868" ht="12.0" customHeight="1">
      <c r="A868" s="2"/>
      <c r="B868" s="2"/>
      <c r="C868" s="2"/>
      <c r="D868" s="3"/>
      <c r="E868" s="3"/>
      <c r="F868" s="3"/>
      <c r="G868" s="2"/>
      <c r="H868" s="4"/>
      <c r="I868" s="5"/>
      <c r="J868" s="5"/>
      <c r="K868" s="5"/>
      <c r="L868" s="4"/>
      <c r="M868" s="4"/>
      <c r="N868" s="4"/>
      <c r="O868" s="4"/>
      <c r="P868" s="4"/>
      <c r="Q868" s="5"/>
      <c r="R868" s="5"/>
      <c r="S868" s="5"/>
      <c r="T868" s="5"/>
      <c r="U868" s="6"/>
      <c r="V868" s="5"/>
      <c r="W868" s="7"/>
      <c r="X868" s="8"/>
      <c r="Y868" s="8"/>
      <c r="Z868" s="2"/>
      <c r="AA868" s="2"/>
      <c r="AB868" s="2"/>
      <c r="AC868" s="2"/>
      <c r="AD868" s="2"/>
    </row>
    <row r="869" ht="12.0" customHeight="1">
      <c r="A869" s="2"/>
      <c r="B869" s="2"/>
      <c r="C869" s="2"/>
      <c r="D869" s="3"/>
      <c r="E869" s="3"/>
      <c r="F869" s="3"/>
      <c r="G869" s="2"/>
      <c r="H869" s="4"/>
      <c r="I869" s="5"/>
      <c r="J869" s="5"/>
      <c r="K869" s="5"/>
      <c r="L869" s="4"/>
      <c r="M869" s="4"/>
      <c r="N869" s="4"/>
      <c r="O869" s="4"/>
      <c r="P869" s="4"/>
      <c r="Q869" s="5"/>
      <c r="R869" s="5"/>
      <c r="S869" s="5"/>
      <c r="T869" s="5"/>
      <c r="U869" s="6"/>
      <c r="V869" s="5"/>
      <c r="W869" s="7"/>
      <c r="X869" s="8"/>
      <c r="Y869" s="8"/>
      <c r="Z869" s="2"/>
      <c r="AA869" s="2"/>
      <c r="AB869" s="2"/>
      <c r="AC869" s="2"/>
      <c r="AD869" s="2"/>
    </row>
    <row r="870" ht="12.0" customHeight="1">
      <c r="A870" s="2"/>
      <c r="B870" s="2"/>
      <c r="C870" s="2"/>
      <c r="D870" s="3"/>
      <c r="E870" s="3"/>
      <c r="F870" s="3"/>
      <c r="G870" s="2"/>
      <c r="H870" s="4"/>
      <c r="I870" s="5"/>
      <c r="J870" s="5"/>
      <c r="K870" s="5"/>
      <c r="L870" s="4"/>
      <c r="M870" s="4"/>
      <c r="N870" s="4"/>
      <c r="O870" s="4"/>
      <c r="P870" s="4"/>
      <c r="Q870" s="5"/>
      <c r="R870" s="5"/>
      <c r="S870" s="5"/>
      <c r="T870" s="5"/>
      <c r="U870" s="6"/>
      <c r="V870" s="5"/>
      <c r="W870" s="7"/>
      <c r="X870" s="8"/>
      <c r="Y870" s="8"/>
      <c r="Z870" s="2"/>
      <c r="AA870" s="2"/>
      <c r="AB870" s="2"/>
      <c r="AC870" s="2"/>
      <c r="AD870" s="2"/>
    </row>
    <row r="871" ht="12.0" customHeight="1">
      <c r="A871" s="2"/>
      <c r="B871" s="2"/>
      <c r="C871" s="2"/>
      <c r="D871" s="3"/>
      <c r="E871" s="3"/>
      <c r="F871" s="3"/>
      <c r="G871" s="2"/>
      <c r="H871" s="4"/>
      <c r="I871" s="5"/>
      <c r="J871" s="5"/>
      <c r="K871" s="5"/>
      <c r="L871" s="4"/>
      <c r="M871" s="4"/>
      <c r="N871" s="4"/>
      <c r="O871" s="4"/>
      <c r="P871" s="4"/>
      <c r="Q871" s="5"/>
      <c r="R871" s="5"/>
      <c r="S871" s="5"/>
      <c r="T871" s="5"/>
      <c r="U871" s="6"/>
      <c r="V871" s="5"/>
      <c r="W871" s="7"/>
      <c r="X871" s="8"/>
      <c r="Y871" s="8"/>
      <c r="Z871" s="2"/>
      <c r="AA871" s="2"/>
      <c r="AB871" s="2"/>
      <c r="AC871" s="2"/>
      <c r="AD871" s="2"/>
    </row>
    <row r="872" ht="12.0" customHeight="1">
      <c r="A872" s="2"/>
      <c r="B872" s="2"/>
      <c r="C872" s="2"/>
      <c r="D872" s="3"/>
      <c r="E872" s="3"/>
      <c r="F872" s="3"/>
      <c r="G872" s="2"/>
      <c r="H872" s="4"/>
      <c r="I872" s="5"/>
      <c r="J872" s="5"/>
      <c r="K872" s="5"/>
      <c r="L872" s="4"/>
      <c r="M872" s="4"/>
      <c r="N872" s="4"/>
      <c r="O872" s="4"/>
      <c r="P872" s="4"/>
      <c r="Q872" s="5"/>
      <c r="R872" s="5"/>
      <c r="S872" s="5"/>
      <c r="T872" s="5"/>
      <c r="U872" s="6"/>
      <c r="V872" s="5"/>
      <c r="W872" s="7"/>
      <c r="X872" s="8"/>
      <c r="Y872" s="8"/>
      <c r="Z872" s="2"/>
      <c r="AA872" s="2"/>
      <c r="AB872" s="2"/>
      <c r="AC872" s="2"/>
      <c r="AD872" s="2"/>
    </row>
    <row r="873" ht="12.0" customHeight="1">
      <c r="A873" s="2"/>
      <c r="B873" s="2"/>
      <c r="C873" s="2"/>
      <c r="D873" s="3"/>
      <c r="E873" s="3"/>
      <c r="F873" s="3"/>
      <c r="G873" s="2"/>
      <c r="H873" s="4"/>
      <c r="I873" s="5"/>
      <c r="J873" s="5"/>
      <c r="K873" s="5"/>
      <c r="L873" s="4"/>
      <c r="M873" s="4"/>
      <c r="N873" s="4"/>
      <c r="O873" s="4"/>
      <c r="P873" s="4"/>
      <c r="Q873" s="5"/>
      <c r="R873" s="5"/>
      <c r="S873" s="5"/>
      <c r="T873" s="5"/>
      <c r="U873" s="6"/>
      <c r="V873" s="5"/>
      <c r="W873" s="7"/>
      <c r="X873" s="8"/>
      <c r="Y873" s="8"/>
      <c r="Z873" s="2"/>
      <c r="AA873" s="2"/>
      <c r="AB873" s="2"/>
      <c r="AC873" s="2"/>
      <c r="AD873" s="2"/>
    </row>
    <row r="874" ht="12.0" customHeight="1">
      <c r="A874" s="2"/>
      <c r="B874" s="2"/>
      <c r="C874" s="2"/>
      <c r="D874" s="3"/>
      <c r="E874" s="3"/>
      <c r="F874" s="3"/>
      <c r="G874" s="2"/>
      <c r="H874" s="4"/>
      <c r="I874" s="5"/>
      <c r="J874" s="5"/>
      <c r="K874" s="5"/>
      <c r="L874" s="4"/>
      <c r="M874" s="4"/>
      <c r="N874" s="4"/>
      <c r="O874" s="4"/>
      <c r="P874" s="4"/>
      <c r="Q874" s="5"/>
      <c r="R874" s="5"/>
      <c r="S874" s="5"/>
      <c r="T874" s="5"/>
      <c r="U874" s="6"/>
      <c r="V874" s="5"/>
      <c r="W874" s="7"/>
      <c r="X874" s="8"/>
      <c r="Y874" s="8"/>
      <c r="Z874" s="2"/>
      <c r="AA874" s="2"/>
      <c r="AB874" s="2"/>
      <c r="AC874" s="2"/>
      <c r="AD874" s="2"/>
    </row>
    <row r="875" ht="12.0" customHeight="1">
      <c r="A875" s="2"/>
      <c r="B875" s="2"/>
      <c r="C875" s="2"/>
      <c r="D875" s="3"/>
      <c r="E875" s="3"/>
      <c r="F875" s="3"/>
      <c r="G875" s="2"/>
      <c r="H875" s="4"/>
      <c r="I875" s="5"/>
      <c r="J875" s="5"/>
      <c r="K875" s="5"/>
      <c r="L875" s="4"/>
      <c r="M875" s="4"/>
      <c r="N875" s="4"/>
      <c r="O875" s="4"/>
      <c r="P875" s="4"/>
      <c r="Q875" s="5"/>
      <c r="R875" s="5"/>
      <c r="S875" s="5"/>
      <c r="T875" s="5"/>
      <c r="U875" s="6"/>
      <c r="V875" s="5"/>
      <c r="W875" s="7"/>
      <c r="X875" s="8"/>
      <c r="Y875" s="8"/>
      <c r="Z875" s="2"/>
      <c r="AA875" s="2"/>
      <c r="AB875" s="2"/>
      <c r="AC875" s="2"/>
      <c r="AD875" s="2"/>
    </row>
    <row r="876" ht="12.0" customHeight="1">
      <c r="A876" s="2"/>
      <c r="B876" s="2"/>
      <c r="C876" s="2"/>
      <c r="D876" s="3"/>
      <c r="E876" s="3"/>
      <c r="F876" s="3"/>
      <c r="G876" s="2"/>
      <c r="H876" s="4"/>
      <c r="I876" s="5"/>
      <c r="J876" s="5"/>
      <c r="K876" s="5"/>
      <c r="L876" s="4"/>
      <c r="M876" s="4"/>
      <c r="N876" s="4"/>
      <c r="O876" s="4"/>
      <c r="P876" s="4"/>
      <c r="Q876" s="5"/>
      <c r="R876" s="5"/>
      <c r="S876" s="5"/>
      <c r="T876" s="5"/>
      <c r="U876" s="6"/>
      <c r="V876" s="5"/>
      <c r="W876" s="7"/>
      <c r="X876" s="8"/>
      <c r="Y876" s="8"/>
      <c r="Z876" s="2"/>
      <c r="AA876" s="2"/>
      <c r="AB876" s="2"/>
      <c r="AC876" s="2"/>
      <c r="AD876" s="2"/>
    </row>
    <row r="877" ht="12.0" customHeight="1">
      <c r="A877" s="2"/>
      <c r="B877" s="2"/>
      <c r="C877" s="2"/>
      <c r="D877" s="3"/>
      <c r="E877" s="3"/>
      <c r="F877" s="3"/>
      <c r="G877" s="2"/>
      <c r="H877" s="4"/>
      <c r="I877" s="5"/>
      <c r="J877" s="5"/>
      <c r="K877" s="5"/>
      <c r="L877" s="4"/>
      <c r="M877" s="4"/>
      <c r="N877" s="4"/>
      <c r="O877" s="4"/>
      <c r="P877" s="4"/>
      <c r="Q877" s="5"/>
      <c r="R877" s="5"/>
      <c r="S877" s="5"/>
      <c r="T877" s="5"/>
      <c r="U877" s="6"/>
      <c r="V877" s="5"/>
      <c r="W877" s="7"/>
      <c r="X877" s="8"/>
      <c r="Y877" s="8"/>
      <c r="Z877" s="2"/>
      <c r="AA877" s="2"/>
      <c r="AB877" s="2"/>
      <c r="AC877" s="2"/>
      <c r="AD877" s="2"/>
    </row>
    <row r="878" ht="12.0" customHeight="1">
      <c r="A878" s="2"/>
      <c r="B878" s="2"/>
      <c r="C878" s="2"/>
      <c r="D878" s="3"/>
      <c r="E878" s="3"/>
      <c r="F878" s="3"/>
      <c r="G878" s="2"/>
      <c r="H878" s="4"/>
      <c r="I878" s="5"/>
      <c r="J878" s="5"/>
      <c r="K878" s="5"/>
      <c r="L878" s="4"/>
      <c r="M878" s="4"/>
      <c r="N878" s="4"/>
      <c r="O878" s="4"/>
      <c r="P878" s="4"/>
      <c r="Q878" s="5"/>
      <c r="R878" s="5"/>
      <c r="S878" s="5"/>
      <c r="T878" s="5"/>
      <c r="U878" s="6"/>
      <c r="V878" s="5"/>
      <c r="W878" s="7"/>
      <c r="X878" s="8"/>
      <c r="Y878" s="8"/>
      <c r="Z878" s="2"/>
      <c r="AA878" s="2"/>
      <c r="AB878" s="2"/>
      <c r="AC878" s="2"/>
      <c r="AD878" s="2"/>
    </row>
    <row r="879" ht="12.0" customHeight="1">
      <c r="A879" s="2"/>
      <c r="B879" s="2"/>
      <c r="C879" s="2"/>
      <c r="D879" s="3"/>
      <c r="E879" s="3"/>
      <c r="F879" s="3"/>
      <c r="G879" s="2"/>
      <c r="H879" s="4"/>
      <c r="I879" s="5"/>
      <c r="J879" s="5"/>
      <c r="K879" s="5"/>
      <c r="L879" s="4"/>
      <c r="M879" s="4"/>
      <c r="N879" s="4"/>
      <c r="O879" s="4"/>
      <c r="P879" s="4"/>
      <c r="Q879" s="5"/>
      <c r="R879" s="5"/>
      <c r="S879" s="5"/>
      <c r="T879" s="5"/>
      <c r="U879" s="6"/>
      <c r="V879" s="5"/>
      <c r="W879" s="7"/>
      <c r="X879" s="8"/>
      <c r="Y879" s="8"/>
      <c r="Z879" s="2"/>
      <c r="AA879" s="2"/>
      <c r="AB879" s="2"/>
      <c r="AC879" s="2"/>
      <c r="AD879" s="2"/>
    </row>
    <row r="880" ht="12.0" customHeight="1">
      <c r="A880" s="2"/>
      <c r="B880" s="2"/>
      <c r="C880" s="2"/>
      <c r="D880" s="3"/>
      <c r="E880" s="3"/>
      <c r="F880" s="3"/>
      <c r="G880" s="2"/>
      <c r="H880" s="4"/>
      <c r="I880" s="5"/>
      <c r="J880" s="5"/>
      <c r="K880" s="5"/>
      <c r="L880" s="4"/>
      <c r="M880" s="4"/>
      <c r="N880" s="4"/>
      <c r="O880" s="4"/>
      <c r="P880" s="4"/>
      <c r="Q880" s="5"/>
      <c r="R880" s="5"/>
      <c r="S880" s="5"/>
      <c r="T880" s="5"/>
      <c r="U880" s="6"/>
      <c r="V880" s="5"/>
      <c r="W880" s="7"/>
      <c r="X880" s="8"/>
      <c r="Y880" s="8"/>
      <c r="Z880" s="2"/>
      <c r="AA880" s="2"/>
      <c r="AB880" s="2"/>
      <c r="AC880" s="2"/>
      <c r="AD880" s="2"/>
    </row>
    <row r="881" ht="12.0" customHeight="1">
      <c r="A881" s="2"/>
      <c r="B881" s="2"/>
      <c r="C881" s="2"/>
      <c r="D881" s="3"/>
      <c r="E881" s="3"/>
      <c r="F881" s="3"/>
      <c r="G881" s="2"/>
      <c r="H881" s="4"/>
      <c r="I881" s="5"/>
      <c r="J881" s="5"/>
      <c r="K881" s="5"/>
      <c r="L881" s="4"/>
      <c r="M881" s="4"/>
      <c r="N881" s="4"/>
      <c r="O881" s="4"/>
      <c r="P881" s="4"/>
      <c r="Q881" s="5"/>
      <c r="R881" s="5"/>
      <c r="S881" s="5"/>
      <c r="T881" s="5"/>
      <c r="U881" s="6"/>
      <c r="V881" s="5"/>
      <c r="W881" s="7"/>
      <c r="X881" s="8"/>
      <c r="Y881" s="8"/>
      <c r="Z881" s="2"/>
      <c r="AA881" s="2"/>
      <c r="AB881" s="2"/>
      <c r="AC881" s="2"/>
      <c r="AD881" s="2"/>
    </row>
    <row r="882" ht="12.0" customHeight="1">
      <c r="A882" s="2"/>
      <c r="B882" s="2"/>
      <c r="C882" s="2"/>
      <c r="D882" s="3"/>
      <c r="E882" s="3"/>
      <c r="F882" s="3"/>
      <c r="G882" s="2"/>
      <c r="H882" s="4"/>
      <c r="I882" s="5"/>
      <c r="J882" s="5"/>
      <c r="K882" s="5"/>
      <c r="L882" s="4"/>
      <c r="M882" s="4"/>
      <c r="N882" s="4"/>
      <c r="O882" s="4"/>
      <c r="P882" s="4"/>
      <c r="Q882" s="5"/>
      <c r="R882" s="5"/>
      <c r="S882" s="5"/>
      <c r="T882" s="5"/>
      <c r="U882" s="6"/>
      <c r="V882" s="5"/>
      <c r="W882" s="7"/>
      <c r="X882" s="8"/>
      <c r="Y882" s="8"/>
      <c r="Z882" s="2"/>
      <c r="AA882" s="2"/>
      <c r="AB882" s="2"/>
      <c r="AC882" s="2"/>
      <c r="AD882" s="2"/>
    </row>
    <row r="883" ht="12.0" customHeight="1">
      <c r="A883" s="2"/>
      <c r="B883" s="2"/>
      <c r="C883" s="2"/>
      <c r="D883" s="3"/>
      <c r="E883" s="3"/>
      <c r="F883" s="3"/>
      <c r="G883" s="2"/>
      <c r="H883" s="4"/>
      <c r="I883" s="5"/>
      <c r="J883" s="5"/>
      <c r="K883" s="5"/>
      <c r="L883" s="4"/>
      <c r="M883" s="4"/>
      <c r="N883" s="4"/>
      <c r="O883" s="4"/>
      <c r="P883" s="4"/>
      <c r="Q883" s="5"/>
      <c r="R883" s="5"/>
      <c r="S883" s="5"/>
      <c r="T883" s="5"/>
      <c r="U883" s="6"/>
      <c r="V883" s="5"/>
      <c r="W883" s="7"/>
      <c r="X883" s="8"/>
      <c r="Y883" s="8"/>
      <c r="Z883" s="2"/>
      <c r="AA883" s="2"/>
      <c r="AB883" s="2"/>
      <c r="AC883" s="2"/>
      <c r="AD883" s="2"/>
    </row>
    <row r="884" ht="12.0" customHeight="1">
      <c r="A884" s="2"/>
      <c r="B884" s="2"/>
      <c r="C884" s="2"/>
      <c r="D884" s="3"/>
      <c r="E884" s="3"/>
      <c r="F884" s="3"/>
      <c r="G884" s="2"/>
      <c r="H884" s="4"/>
      <c r="I884" s="5"/>
      <c r="J884" s="5"/>
      <c r="K884" s="5"/>
      <c r="L884" s="4"/>
      <c r="M884" s="4"/>
      <c r="N884" s="4"/>
      <c r="O884" s="4"/>
      <c r="P884" s="4"/>
      <c r="Q884" s="5"/>
      <c r="R884" s="5"/>
      <c r="S884" s="5"/>
      <c r="T884" s="5"/>
      <c r="U884" s="6"/>
      <c r="V884" s="5"/>
      <c r="W884" s="7"/>
      <c r="X884" s="8"/>
      <c r="Y884" s="8"/>
      <c r="Z884" s="2"/>
      <c r="AA884" s="2"/>
      <c r="AB884" s="2"/>
      <c r="AC884" s="2"/>
      <c r="AD884" s="2"/>
    </row>
    <row r="885" ht="12.0" customHeight="1">
      <c r="A885" s="2"/>
      <c r="B885" s="2"/>
      <c r="C885" s="2"/>
      <c r="D885" s="3"/>
      <c r="E885" s="3"/>
      <c r="F885" s="3"/>
      <c r="G885" s="2"/>
      <c r="H885" s="4"/>
      <c r="I885" s="5"/>
      <c r="J885" s="5"/>
      <c r="K885" s="5"/>
      <c r="L885" s="4"/>
      <c r="M885" s="4"/>
      <c r="N885" s="4"/>
      <c r="O885" s="4"/>
      <c r="P885" s="4"/>
      <c r="Q885" s="5"/>
      <c r="R885" s="5"/>
      <c r="S885" s="5"/>
      <c r="T885" s="5"/>
      <c r="U885" s="6"/>
      <c r="V885" s="5"/>
      <c r="W885" s="7"/>
      <c r="X885" s="8"/>
      <c r="Y885" s="8"/>
      <c r="Z885" s="2"/>
      <c r="AA885" s="2"/>
      <c r="AB885" s="2"/>
      <c r="AC885" s="2"/>
      <c r="AD885" s="2"/>
    </row>
    <row r="886" ht="12.0" customHeight="1">
      <c r="A886" s="2"/>
      <c r="B886" s="2"/>
      <c r="C886" s="2"/>
      <c r="D886" s="3"/>
      <c r="E886" s="3"/>
      <c r="F886" s="3"/>
      <c r="G886" s="2"/>
      <c r="H886" s="4"/>
      <c r="I886" s="5"/>
      <c r="J886" s="5"/>
      <c r="K886" s="5"/>
      <c r="L886" s="4"/>
      <c r="M886" s="4"/>
      <c r="N886" s="4"/>
      <c r="O886" s="4"/>
      <c r="P886" s="4"/>
      <c r="Q886" s="5"/>
      <c r="R886" s="5"/>
      <c r="S886" s="5"/>
      <c r="T886" s="5"/>
      <c r="U886" s="6"/>
      <c r="V886" s="5"/>
      <c r="W886" s="7"/>
      <c r="X886" s="8"/>
      <c r="Y886" s="8"/>
      <c r="Z886" s="2"/>
      <c r="AA886" s="2"/>
      <c r="AB886" s="2"/>
      <c r="AC886" s="2"/>
      <c r="AD886" s="2"/>
    </row>
    <row r="887" ht="12.0" customHeight="1">
      <c r="A887" s="2"/>
      <c r="B887" s="2"/>
      <c r="C887" s="2"/>
      <c r="D887" s="3"/>
      <c r="E887" s="3"/>
      <c r="F887" s="3"/>
      <c r="G887" s="2"/>
      <c r="H887" s="4"/>
      <c r="I887" s="5"/>
      <c r="J887" s="5"/>
      <c r="K887" s="5"/>
      <c r="L887" s="4"/>
      <c r="M887" s="4"/>
      <c r="N887" s="4"/>
      <c r="O887" s="4"/>
      <c r="P887" s="4"/>
      <c r="Q887" s="5"/>
      <c r="R887" s="5"/>
      <c r="S887" s="5"/>
      <c r="T887" s="5"/>
      <c r="U887" s="6"/>
      <c r="V887" s="5"/>
      <c r="W887" s="7"/>
      <c r="X887" s="8"/>
      <c r="Y887" s="8"/>
      <c r="Z887" s="2"/>
      <c r="AA887" s="2"/>
      <c r="AB887" s="2"/>
      <c r="AC887" s="2"/>
      <c r="AD887" s="2"/>
    </row>
    <row r="888" ht="12.0" customHeight="1">
      <c r="A888" s="2"/>
      <c r="B888" s="2"/>
      <c r="C888" s="2"/>
      <c r="D888" s="3"/>
      <c r="E888" s="3"/>
      <c r="F888" s="3"/>
      <c r="G888" s="2"/>
      <c r="H888" s="4"/>
      <c r="I888" s="5"/>
      <c r="J888" s="5"/>
      <c r="K888" s="5"/>
      <c r="L888" s="4"/>
      <c r="M888" s="4"/>
      <c r="N888" s="4"/>
      <c r="O888" s="4"/>
      <c r="P888" s="4"/>
      <c r="Q888" s="5"/>
      <c r="R888" s="5"/>
      <c r="S888" s="5"/>
      <c r="T888" s="5"/>
      <c r="U888" s="6"/>
      <c r="V888" s="5"/>
      <c r="W888" s="7"/>
      <c r="X888" s="8"/>
      <c r="Y888" s="8"/>
      <c r="Z888" s="2"/>
      <c r="AA888" s="2"/>
      <c r="AB888" s="2"/>
      <c r="AC888" s="2"/>
      <c r="AD888" s="2"/>
    </row>
    <row r="889" ht="12.0" customHeight="1">
      <c r="A889" s="2"/>
      <c r="B889" s="2"/>
      <c r="C889" s="2"/>
      <c r="D889" s="3"/>
      <c r="E889" s="3"/>
      <c r="F889" s="3"/>
      <c r="G889" s="2"/>
      <c r="H889" s="4"/>
      <c r="I889" s="5"/>
      <c r="J889" s="5"/>
      <c r="K889" s="5"/>
      <c r="L889" s="4"/>
      <c r="M889" s="4"/>
      <c r="N889" s="4"/>
      <c r="O889" s="4"/>
      <c r="P889" s="4"/>
      <c r="Q889" s="5"/>
      <c r="R889" s="5"/>
      <c r="S889" s="5"/>
      <c r="T889" s="5"/>
      <c r="U889" s="6"/>
      <c r="V889" s="5"/>
      <c r="W889" s="7"/>
      <c r="X889" s="8"/>
      <c r="Y889" s="8"/>
      <c r="Z889" s="2"/>
      <c r="AA889" s="2"/>
      <c r="AB889" s="2"/>
      <c r="AC889" s="2"/>
      <c r="AD889" s="2"/>
    </row>
    <row r="890" ht="12.0" customHeight="1">
      <c r="A890" s="2"/>
      <c r="B890" s="2"/>
      <c r="C890" s="2"/>
      <c r="D890" s="3"/>
      <c r="E890" s="3"/>
      <c r="F890" s="3"/>
      <c r="G890" s="2"/>
      <c r="H890" s="4"/>
      <c r="I890" s="5"/>
      <c r="J890" s="5"/>
      <c r="K890" s="5"/>
      <c r="L890" s="4"/>
      <c r="M890" s="4"/>
      <c r="N890" s="4"/>
      <c r="O890" s="4"/>
      <c r="P890" s="4"/>
      <c r="Q890" s="5"/>
      <c r="R890" s="5"/>
      <c r="S890" s="5"/>
      <c r="T890" s="5"/>
      <c r="U890" s="6"/>
      <c r="V890" s="5"/>
      <c r="W890" s="7"/>
      <c r="X890" s="8"/>
      <c r="Y890" s="8"/>
      <c r="Z890" s="2"/>
      <c r="AA890" s="2"/>
      <c r="AB890" s="2"/>
      <c r="AC890" s="2"/>
      <c r="AD890" s="2"/>
    </row>
    <row r="891" ht="12.0" customHeight="1">
      <c r="A891" s="2"/>
      <c r="B891" s="2"/>
      <c r="C891" s="2"/>
      <c r="D891" s="3"/>
      <c r="E891" s="3"/>
      <c r="F891" s="3"/>
      <c r="G891" s="2"/>
      <c r="H891" s="4"/>
      <c r="I891" s="5"/>
      <c r="J891" s="5"/>
      <c r="K891" s="5"/>
      <c r="L891" s="4"/>
      <c r="M891" s="4"/>
      <c r="N891" s="4"/>
      <c r="O891" s="4"/>
      <c r="P891" s="4"/>
      <c r="Q891" s="5"/>
      <c r="R891" s="5"/>
      <c r="S891" s="5"/>
      <c r="T891" s="5"/>
      <c r="U891" s="6"/>
      <c r="V891" s="5"/>
      <c r="W891" s="7"/>
      <c r="X891" s="8"/>
      <c r="Y891" s="8"/>
      <c r="Z891" s="2"/>
      <c r="AA891" s="2"/>
      <c r="AB891" s="2"/>
      <c r="AC891" s="2"/>
      <c r="AD891" s="2"/>
    </row>
    <row r="892" ht="12.0" customHeight="1">
      <c r="A892" s="2"/>
      <c r="B892" s="2"/>
      <c r="C892" s="2"/>
      <c r="D892" s="3"/>
      <c r="E892" s="3"/>
      <c r="F892" s="3"/>
      <c r="G892" s="2"/>
      <c r="H892" s="4"/>
      <c r="I892" s="5"/>
      <c r="J892" s="5"/>
      <c r="K892" s="5"/>
      <c r="L892" s="4"/>
      <c r="M892" s="4"/>
      <c r="N892" s="4"/>
      <c r="O892" s="4"/>
      <c r="P892" s="4"/>
      <c r="Q892" s="5"/>
      <c r="R892" s="5"/>
      <c r="S892" s="5"/>
      <c r="T892" s="5"/>
      <c r="U892" s="6"/>
      <c r="V892" s="5"/>
      <c r="W892" s="7"/>
      <c r="X892" s="8"/>
      <c r="Y892" s="8"/>
      <c r="Z892" s="2"/>
      <c r="AA892" s="2"/>
      <c r="AB892" s="2"/>
      <c r="AC892" s="2"/>
      <c r="AD892" s="2"/>
    </row>
    <row r="893" ht="12.0" customHeight="1">
      <c r="A893" s="2"/>
      <c r="B893" s="2"/>
      <c r="C893" s="2"/>
      <c r="D893" s="3"/>
      <c r="E893" s="3"/>
      <c r="F893" s="3"/>
      <c r="G893" s="2"/>
      <c r="H893" s="4"/>
      <c r="I893" s="5"/>
      <c r="J893" s="5"/>
      <c r="K893" s="5"/>
      <c r="L893" s="4"/>
      <c r="M893" s="4"/>
      <c r="N893" s="4"/>
      <c r="O893" s="4"/>
      <c r="P893" s="4"/>
      <c r="Q893" s="5"/>
      <c r="R893" s="5"/>
      <c r="S893" s="5"/>
      <c r="T893" s="5"/>
      <c r="U893" s="6"/>
      <c r="V893" s="5"/>
      <c r="W893" s="7"/>
      <c r="X893" s="8"/>
      <c r="Y893" s="8"/>
      <c r="Z893" s="2"/>
      <c r="AA893" s="2"/>
      <c r="AB893" s="2"/>
      <c r="AC893" s="2"/>
      <c r="AD893" s="2"/>
    </row>
    <row r="894" ht="12.0" customHeight="1">
      <c r="A894" s="2"/>
      <c r="B894" s="2"/>
      <c r="C894" s="2"/>
      <c r="D894" s="3"/>
      <c r="E894" s="3"/>
      <c r="F894" s="3"/>
      <c r="G894" s="2"/>
      <c r="H894" s="4"/>
      <c r="I894" s="5"/>
      <c r="J894" s="5"/>
      <c r="K894" s="5"/>
      <c r="L894" s="4"/>
      <c r="M894" s="4"/>
      <c r="N894" s="4"/>
      <c r="O894" s="4"/>
      <c r="P894" s="4"/>
      <c r="Q894" s="5"/>
      <c r="R894" s="5"/>
      <c r="S894" s="5"/>
      <c r="T894" s="5"/>
      <c r="U894" s="6"/>
      <c r="V894" s="5"/>
      <c r="W894" s="7"/>
      <c r="X894" s="8"/>
      <c r="Y894" s="8"/>
      <c r="Z894" s="2"/>
      <c r="AA894" s="2"/>
      <c r="AB894" s="2"/>
      <c r="AC894" s="2"/>
      <c r="AD894" s="2"/>
    </row>
    <row r="895" ht="12.0" customHeight="1">
      <c r="A895" s="2"/>
      <c r="B895" s="2"/>
      <c r="C895" s="2"/>
      <c r="D895" s="3"/>
      <c r="E895" s="3"/>
      <c r="F895" s="3"/>
      <c r="G895" s="2"/>
      <c r="H895" s="4"/>
      <c r="I895" s="5"/>
      <c r="J895" s="5"/>
      <c r="K895" s="5"/>
      <c r="L895" s="4"/>
      <c r="M895" s="4"/>
      <c r="N895" s="4"/>
      <c r="O895" s="4"/>
      <c r="P895" s="4"/>
      <c r="Q895" s="5"/>
      <c r="R895" s="5"/>
      <c r="S895" s="5"/>
      <c r="T895" s="5"/>
      <c r="U895" s="6"/>
      <c r="V895" s="5"/>
      <c r="W895" s="7"/>
      <c r="X895" s="8"/>
      <c r="Y895" s="8"/>
      <c r="Z895" s="2"/>
      <c r="AA895" s="2"/>
      <c r="AB895" s="2"/>
      <c r="AC895" s="2"/>
      <c r="AD895" s="2"/>
    </row>
    <row r="896" ht="12.0" customHeight="1">
      <c r="A896" s="2"/>
      <c r="B896" s="2"/>
      <c r="C896" s="2"/>
      <c r="D896" s="3"/>
      <c r="E896" s="3"/>
      <c r="F896" s="3"/>
      <c r="G896" s="2"/>
      <c r="H896" s="4"/>
      <c r="I896" s="5"/>
      <c r="J896" s="5"/>
      <c r="K896" s="5"/>
      <c r="L896" s="4"/>
      <c r="M896" s="4"/>
      <c r="N896" s="4"/>
      <c r="O896" s="4"/>
      <c r="P896" s="4"/>
      <c r="Q896" s="5"/>
      <c r="R896" s="5"/>
      <c r="S896" s="5"/>
      <c r="T896" s="5"/>
      <c r="U896" s="6"/>
      <c r="V896" s="5"/>
      <c r="W896" s="7"/>
      <c r="X896" s="8"/>
      <c r="Y896" s="8"/>
      <c r="Z896" s="2"/>
      <c r="AA896" s="2"/>
      <c r="AB896" s="2"/>
      <c r="AC896" s="2"/>
      <c r="AD896" s="2"/>
    </row>
    <row r="897" ht="12.0" customHeight="1">
      <c r="A897" s="2"/>
      <c r="B897" s="2"/>
      <c r="C897" s="2"/>
      <c r="D897" s="3"/>
      <c r="E897" s="3"/>
      <c r="F897" s="3"/>
      <c r="G897" s="2"/>
      <c r="H897" s="4"/>
      <c r="I897" s="5"/>
      <c r="J897" s="5"/>
      <c r="K897" s="5"/>
      <c r="L897" s="4"/>
      <c r="M897" s="4"/>
      <c r="N897" s="4"/>
      <c r="O897" s="4"/>
      <c r="P897" s="4"/>
      <c r="Q897" s="5"/>
      <c r="R897" s="5"/>
      <c r="S897" s="5"/>
      <c r="T897" s="5"/>
      <c r="U897" s="6"/>
      <c r="V897" s="5"/>
      <c r="W897" s="7"/>
      <c r="X897" s="8"/>
      <c r="Y897" s="8"/>
      <c r="Z897" s="2"/>
      <c r="AA897" s="2"/>
      <c r="AB897" s="2"/>
      <c r="AC897" s="2"/>
      <c r="AD897" s="2"/>
    </row>
    <row r="898" ht="12.0" customHeight="1">
      <c r="A898" s="2"/>
      <c r="B898" s="2"/>
      <c r="C898" s="2"/>
      <c r="D898" s="3"/>
      <c r="E898" s="3"/>
      <c r="F898" s="3"/>
      <c r="G898" s="2"/>
      <c r="H898" s="4"/>
      <c r="I898" s="5"/>
      <c r="J898" s="5"/>
      <c r="K898" s="5"/>
      <c r="L898" s="4"/>
      <c r="M898" s="4"/>
      <c r="N898" s="4"/>
      <c r="O898" s="4"/>
      <c r="P898" s="4"/>
      <c r="Q898" s="5"/>
      <c r="R898" s="5"/>
      <c r="S898" s="5"/>
      <c r="T898" s="5"/>
      <c r="U898" s="6"/>
      <c r="V898" s="5"/>
      <c r="W898" s="7"/>
      <c r="X898" s="8"/>
      <c r="Y898" s="8"/>
      <c r="Z898" s="2"/>
      <c r="AA898" s="2"/>
      <c r="AB898" s="2"/>
      <c r="AC898" s="2"/>
      <c r="AD898" s="2"/>
    </row>
    <row r="899" ht="12.0" customHeight="1">
      <c r="A899" s="2"/>
      <c r="B899" s="2"/>
      <c r="C899" s="2"/>
      <c r="D899" s="3"/>
      <c r="E899" s="3"/>
      <c r="F899" s="3"/>
      <c r="G899" s="2"/>
      <c r="H899" s="4"/>
      <c r="I899" s="5"/>
      <c r="J899" s="5"/>
      <c r="K899" s="5"/>
      <c r="L899" s="4"/>
      <c r="M899" s="4"/>
      <c r="N899" s="4"/>
      <c r="O899" s="4"/>
      <c r="P899" s="4"/>
      <c r="Q899" s="5"/>
      <c r="R899" s="5"/>
      <c r="S899" s="5"/>
      <c r="T899" s="5"/>
      <c r="U899" s="6"/>
      <c r="V899" s="5"/>
      <c r="W899" s="7"/>
      <c r="X899" s="8"/>
      <c r="Y899" s="8"/>
      <c r="Z899" s="2"/>
      <c r="AA899" s="2"/>
      <c r="AB899" s="2"/>
      <c r="AC899" s="2"/>
      <c r="AD899" s="2"/>
    </row>
    <row r="900" ht="12.0" customHeight="1">
      <c r="A900" s="2"/>
      <c r="B900" s="2"/>
      <c r="C900" s="2"/>
      <c r="D900" s="3"/>
      <c r="E900" s="3"/>
      <c r="F900" s="3"/>
      <c r="G900" s="2"/>
      <c r="H900" s="4"/>
      <c r="I900" s="5"/>
      <c r="J900" s="5"/>
      <c r="K900" s="5"/>
      <c r="L900" s="4"/>
      <c r="M900" s="4"/>
      <c r="N900" s="4"/>
      <c r="O900" s="4"/>
      <c r="P900" s="4"/>
      <c r="Q900" s="5"/>
      <c r="R900" s="5"/>
      <c r="S900" s="5"/>
      <c r="T900" s="5"/>
      <c r="U900" s="6"/>
      <c r="V900" s="5"/>
      <c r="W900" s="7"/>
      <c r="X900" s="8"/>
      <c r="Y900" s="8"/>
      <c r="Z900" s="2"/>
      <c r="AA900" s="2"/>
      <c r="AB900" s="2"/>
      <c r="AC900" s="2"/>
      <c r="AD900" s="2"/>
    </row>
    <row r="901" ht="12.0" customHeight="1">
      <c r="A901" s="2"/>
      <c r="B901" s="2"/>
      <c r="C901" s="2"/>
      <c r="D901" s="3"/>
      <c r="E901" s="3"/>
      <c r="F901" s="3"/>
      <c r="G901" s="2"/>
      <c r="H901" s="4"/>
      <c r="I901" s="5"/>
      <c r="J901" s="5"/>
      <c r="K901" s="5"/>
      <c r="L901" s="4"/>
      <c r="M901" s="4"/>
      <c r="N901" s="4"/>
      <c r="O901" s="4"/>
      <c r="P901" s="4"/>
      <c r="Q901" s="5"/>
      <c r="R901" s="5"/>
      <c r="S901" s="5"/>
      <c r="T901" s="5"/>
      <c r="U901" s="6"/>
      <c r="V901" s="5"/>
      <c r="W901" s="7"/>
      <c r="X901" s="8"/>
      <c r="Y901" s="8"/>
      <c r="Z901" s="2"/>
      <c r="AA901" s="2"/>
      <c r="AB901" s="2"/>
      <c r="AC901" s="2"/>
      <c r="AD901" s="2"/>
    </row>
    <row r="902" ht="12.0" customHeight="1">
      <c r="A902" s="2"/>
      <c r="B902" s="2"/>
      <c r="C902" s="2"/>
      <c r="D902" s="3"/>
      <c r="E902" s="3"/>
      <c r="F902" s="3"/>
      <c r="G902" s="2"/>
      <c r="H902" s="4"/>
      <c r="I902" s="5"/>
      <c r="J902" s="5"/>
      <c r="K902" s="5"/>
      <c r="L902" s="4"/>
      <c r="M902" s="4"/>
      <c r="N902" s="4"/>
      <c r="O902" s="4"/>
      <c r="P902" s="4"/>
      <c r="Q902" s="5"/>
      <c r="R902" s="5"/>
      <c r="S902" s="5"/>
      <c r="T902" s="5"/>
      <c r="U902" s="6"/>
      <c r="V902" s="5"/>
      <c r="W902" s="7"/>
      <c r="X902" s="8"/>
      <c r="Y902" s="8"/>
      <c r="Z902" s="2"/>
      <c r="AA902" s="2"/>
      <c r="AB902" s="2"/>
      <c r="AC902" s="2"/>
      <c r="AD902" s="2"/>
    </row>
    <row r="903" ht="12.0" customHeight="1">
      <c r="A903" s="2"/>
      <c r="B903" s="2"/>
      <c r="C903" s="2"/>
      <c r="D903" s="3"/>
      <c r="E903" s="3"/>
      <c r="F903" s="3"/>
      <c r="G903" s="2"/>
      <c r="H903" s="4"/>
      <c r="I903" s="5"/>
      <c r="J903" s="5"/>
      <c r="K903" s="5"/>
      <c r="L903" s="4"/>
      <c r="M903" s="4"/>
      <c r="N903" s="4"/>
      <c r="O903" s="4"/>
      <c r="P903" s="4"/>
      <c r="Q903" s="5"/>
      <c r="R903" s="5"/>
      <c r="S903" s="5"/>
      <c r="T903" s="5"/>
      <c r="U903" s="6"/>
      <c r="V903" s="5"/>
      <c r="W903" s="7"/>
      <c r="X903" s="8"/>
      <c r="Y903" s="8"/>
      <c r="Z903" s="2"/>
      <c r="AA903" s="2"/>
      <c r="AB903" s="2"/>
      <c r="AC903" s="2"/>
      <c r="AD903" s="2"/>
    </row>
    <row r="904" ht="12.0" customHeight="1">
      <c r="A904" s="2"/>
      <c r="B904" s="2"/>
      <c r="C904" s="2"/>
      <c r="D904" s="3"/>
      <c r="E904" s="3"/>
      <c r="F904" s="3"/>
      <c r="G904" s="2"/>
      <c r="H904" s="4"/>
      <c r="I904" s="5"/>
      <c r="J904" s="5"/>
      <c r="K904" s="5"/>
      <c r="L904" s="4"/>
      <c r="M904" s="4"/>
      <c r="N904" s="4"/>
      <c r="O904" s="4"/>
      <c r="P904" s="4"/>
      <c r="Q904" s="5"/>
      <c r="R904" s="5"/>
      <c r="S904" s="5"/>
      <c r="T904" s="5"/>
      <c r="U904" s="6"/>
      <c r="V904" s="5"/>
      <c r="W904" s="7"/>
      <c r="X904" s="8"/>
      <c r="Y904" s="8"/>
      <c r="Z904" s="2"/>
      <c r="AA904" s="2"/>
      <c r="AB904" s="2"/>
      <c r="AC904" s="2"/>
      <c r="AD904" s="2"/>
    </row>
    <row r="905" ht="12.0" customHeight="1">
      <c r="A905" s="2"/>
      <c r="B905" s="2"/>
      <c r="C905" s="2"/>
      <c r="D905" s="3"/>
      <c r="E905" s="3"/>
      <c r="F905" s="3"/>
      <c r="G905" s="2"/>
      <c r="H905" s="4"/>
      <c r="I905" s="5"/>
      <c r="J905" s="5"/>
      <c r="K905" s="5"/>
      <c r="L905" s="4"/>
      <c r="M905" s="4"/>
      <c r="N905" s="4"/>
      <c r="O905" s="4"/>
      <c r="P905" s="4"/>
      <c r="Q905" s="5"/>
      <c r="R905" s="5"/>
      <c r="S905" s="5"/>
      <c r="T905" s="5"/>
      <c r="U905" s="6"/>
      <c r="V905" s="5"/>
      <c r="W905" s="7"/>
      <c r="X905" s="8"/>
      <c r="Y905" s="8"/>
      <c r="Z905" s="2"/>
      <c r="AA905" s="2"/>
      <c r="AB905" s="2"/>
      <c r="AC905" s="2"/>
      <c r="AD905" s="2"/>
    </row>
    <row r="906" ht="12.0" customHeight="1">
      <c r="A906" s="2"/>
      <c r="B906" s="2"/>
      <c r="C906" s="2"/>
      <c r="D906" s="3"/>
      <c r="E906" s="3"/>
      <c r="F906" s="3"/>
      <c r="G906" s="2"/>
      <c r="H906" s="4"/>
      <c r="I906" s="5"/>
      <c r="J906" s="5"/>
      <c r="K906" s="5"/>
      <c r="L906" s="4"/>
      <c r="M906" s="4"/>
      <c r="N906" s="4"/>
      <c r="O906" s="4"/>
      <c r="P906" s="4"/>
      <c r="Q906" s="5"/>
      <c r="R906" s="5"/>
      <c r="S906" s="5"/>
      <c r="T906" s="5"/>
      <c r="U906" s="6"/>
      <c r="V906" s="5"/>
      <c r="W906" s="7"/>
      <c r="X906" s="8"/>
      <c r="Y906" s="8"/>
      <c r="Z906" s="2"/>
      <c r="AA906" s="2"/>
      <c r="AB906" s="2"/>
      <c r="AC906" s="2"/>
      <c r="AD906" s="2"/>
    </row>
    <row r="907" ht="12.0" customHeight="1">
      <c r="A907" s="2"/>
      <c r="B907" s="2"/>
      <c r="C907" s="2"/>
      <c r="D907" s="3"/>
      <c r="E907" s="3"/>
      <c r="F907" s="3"/>
      <c r="G907" s="2"/>
      <c r="H907" s="4"/>
      <c r="I907" s="5"/>
      <c r="J907" s="5"/>
      <c r="K907" s="5"/>
      <c r="L907" s="4"/>
      <c r="M907" s="4"/>
      <c r="N907" s="4"/>
      <c r="O907" s="4"/>
      <c r="P907" s="4"/>
      <c r="Q907" s="5"/>
      <c r="R907" s="5"/>
      <c r="S907" s="5"/>
      <c r="T907" s="5"/>
      <c r="U907" s="6"/>
      <c r="V907" s="5"/>
      <c r="W907" s="7"/>
      <c r="X907" s="8"/>
      <c r="Y907" s="8"/>
      <c r="Z907" s="2"/>
      <c r="AA907" s="2"/>
      <c r="AB907" s="2"/>
      <c r="AC907" s="2"/>
      <c r="AD907" s="2"/>
    </row>
    <row r="908" ht="12.0" customHeight="1">
      <c r="A908" s="2"/>
      <c r="B908" s="2"/>
      <c r="C908" s="2"/>
      <c r="D908" s="3"/>
      <c r="E908" s="3"/>
      <c r="F908" s="3"/>
      <c r="G908" s="2"/>
      <c r="H908" s="4"/>
      <c r="I908" s="5"/>
      <c r="J908" s="5"/>
      <c r="K908" s="5"/>
      <c r="L908" s="4"/>
      <c r="M908" s="4"/>
      <c r="N908" s="4"/>
      <c r="O908" s="4"/>
      <c r="P908" s="4"/>
      <c r="Q908" s="5"/>
      <c r="R908" s="5"/>
      <c r="S908" s="5"/>
      <c r="T908" s="5"/>
      <c r="U908" s="6"/>
      <c r="V908" s="5"/>
      <c r="W908" s="7"/>
      <c r="X908" s="8"/>
      <c r="Y908" s="8"/>
      <c r="Z908" s="2"/>
      <c r="AA908" s="2"/>
      <c r="AB908" s="2"/>
      <c r="AC908" s="2"/>
      <c r="AD908" s="2"/>
    </row>
    <row r="909" ht="12.0" customHeight="1">
      <c r="A909" s="2"/>
      <c r="B909" s="2"/>
      <c r="C909" s="2"/>
      <c r="D909" s="3"/>
      <c r="E909" s="3"/>
      <c r="F909" s="3"/>
      <c r="G909" s="2"/>
      <c r="H909" s="4"/>
      <c r="I909" s="5"/>
      <c r="J909" s="5"/>
      <c r="K909" s="5"/>
      <c r="L909" s="4"/>
      <c r="M909" s="4"/>
      <c r="N909" s="4"/>
      <c r="O909" s="4"/>
      <c r="P909" s="4"/>
      <c r="Q909" s="5"/>
      <c r="R909" s="5"/>
      <c r="S909" s="5"/>
      <c r="T909" s="5"/>
      <c r="U909" s="6"/>
      <c r="V909" s="5"/>
      <c r="W909" s="7"/>
      <c r="X909" s="8"/>
      <c r="Y909" s="8"/>
      <c r="Z909" s="2"/>
      <c r="AA909" s="2"/>
      <c r="AB909" s="2"/>
      <c r="AC909" s="2"/>
      <c r="AD909" s="2"/>
    </row>
    <row r="910" ht="12.0" customHeight="1">
      <c r="A910" s="2"/>
      <c r="B910" s="2"/>
      <c r="C910" s="2"/>
      <c r="D910" s="3"/>
      <c r="E910" s="3"/>
      <c r="F910" s="3"/>
      <c r="G910" s="2"/>
      <c r="H910" s="4"/>
      <c r="I910" s="5"/>
      <c r="J910" s="5"/>
      <c r="K910" s="5"/>
      <c r="L910" s="4"/>
      <c r="M910" s="4"/>
      <c r="N910" s="4"/>
      <c r="O910" s="4"/>
      <c r="P910" s="4"/>
      <c r="Q910" s="5"/>
      <c r="R910" s="5"/>
      <c r="S910" s="5"/>
      <c r="T910" s="5"/>
      <c r="U910" s="6"/>
      <c r="V910" s="5"/>
      <c r="W910" s="7"/>
      <c r="X910" s="8"/>
      <c r="Y910" s="8"/>
      <c r="Z910" s="2"/>
      <c r="AA910" s="2"/>
      <c r="AB910" s="2"/>
      <c r="AC910" s="2"/>
      <c r="AD910" s="2"/>
    </row>
    <row r="911" ht="12.0" customHeight="1">
      <c r="A911" s="2"/>
      <c r="B911" s="2"/>
      <c r="C911" s="2"/>
      <c r="D911" s="3"/>
      <c r="E911" s="3"/>
      <c r="F911" s="3"/>
      <c r="G911" s="2"/>
      <c r="H911" s="4"/>
      <c r="I911" s="5"/>
      <c r="J911" s="5"/>
      <c r="K911" s="5"/>
      <c r="L911" s="4"/>
      <c r="M911" s="4"/>
      <c r="N911" s="4"/>
      <c r="O911" s="4"/>
      <c r="P911" s="4"/>
      <c r="Q911" s="5"/>
      <c r="R911" s="5"/>
      <c r="S911" s="5"/>
      <c r="T911" s="5"/>
      <c r="U911" s="6"/>
      <c r="V911" s="5"/>
      <c r="W911" s="7"/>
      <c r="X911" s="8"/>
      <c r="Y911" s="8"/>
      <c r="Z911" s="2"/>
      <c r="AA911" s="2"/>
      <c r="AB911" s="2"/>
      <c r="AC911" s="2"/>
      <c r="AD911" s="2"/>
    </row>
    <row r="912" ht="12.0" customHeight="1">
      <c r="A912" s="2"/>
      <c r="B912" s="2"/>
      <c r="C912" s="2"/>
      <c r="D912" s="3"/>
      <c r="E912" s="3"/>
      <c r="F912" s="3"/>
      <c r="G912" s="2"/>
      <c r="H912" s="4"/>
      <c r="I912" s="5"/>
      <c r="J912" s="5"/>
      <c r="K912" s="5"/>
      <c r="L912" s="4"/>
      <c r="M912" s="4"/>
      <c r="N912" s="4"/>
      <c r="O912" s="4"/>
      <c r="P912" s="4"/>
      <c r="Q912" s="5"/>
      <c r="R912" s="5"/>
      <c r="S912" s="5"/>
      <c r="T912" s="5"/>
      <c r="U912" s="6"/>
      <c r="V912" s="5"/>
      <c r="W912" s="7"/>
      <c r="X912" s="8"/>
      <c r="Y912" s="8"/>
      <c r="Z912" s="2"/>
      <c r="AA912" s="2"/>
      <c r="AB912" s="2"/>
      <c r="AC912" s="2"/>
      <c r="AD912" s="2"/>
    </row>
    <row r="913" ht="12.0" customHeight="1">
      <c r="A913" s="2"/>
      <c r="B913" s="2"/>
      <c r="C913" s="2"/>
      <c r="D913" s="3"/>
      <c r="E913" s="3"/>
      <c r="F913" s="3"/>
      <c r="G913" s="2"/>
      <c r="H913" s="4"/>
      <c r="I913" s="5"/>
      <c r="J913" s="5"/>
      <c r="K913" s="5"/>
      <c r="L913" s="4"/>
      <c r="M913" s="4"/>
      <c r="N913" s="4"/>
      <c r="O913" s="4"/>
      <c r="P913" s="4"/>
      <c r="Q913" s="5"/>
      <c r="R913" s="5"/>
      <c r="S913" s="5"/>
      <c r="T913" s="5"/>
      <c r="U913" s="6"/>
      <c r="V913" s="5"/>
      <c r="W913" s="7"/>
      <c r="X913" s="8"/>
      <c r="Y913" s="8"/>
      <c r="Z913" s="2"/>
      <c r="AA913" s="2"/>
      <c r="AB913" s="2"/>
      <c r="AC913" s="2"/>
      <c r="AD913" s="2"/>
    </row>
    <row r="914" ht="12.0" customHeight="1">
      <c r="A914" s="2"/>
      <c r="B914" s="2"/>
      <c r="C914" s="2"/>
      <c r="D914" s="3"/>
      <c r="E914" s="3"/>
      <c r="F914" s="3"/>
      <c r="G914" s="2"/>
      <c r="H914" s="4"/>
      <c r="I914" s="5"/>
      <c r="J914" s="5"/>
      <c r="K914" s="5"/>
      <c r="L914" s="4"/>
      <c r="M914" s="4"/>
      <c r="N914" s="4"/>
      <c r="O914" s="4"/>
      <c r="P914" s="4"/>
      <c r="Q914" s="5"/>
      <c r="R914" s="5"/>
      <c r="S914" s="5"/>
      <c r="T914" s="5"/>
      <c r="U914" s="6"/>
      <c r="V914" s="5"/>
      <c r="W914" s="7"/>
      <c r="X914" s="8"/>
      <c r="Y914" s="8"/>
      <c r="Z914" s="2"/>
      <c r="AA914" s="2"/>
      <c r="AB914" s="2"/>
      <c r="AC914" s="2"/>
      <c r="AD914" s="2"/>
    </row>
    <row r="915" ht="12.0" customHeight="1">
      <c r="A915" s="2"/>
      <c r="B915" s="2"/>
      <c r="C915" s="2"/>
      <c r="D915" s="3"/>
      <c r="E915" s="3"/>
      <c r="F915" s="3"/>
      <c r="G915" s="2"/>
      <c r="H915" s="4"/>
      <c r="I915" s="5"/>
      <c r="J915" s="5"/>
      <c r="K915" s="5"/>
      <c r="L915" s="4"/>
      <c r="M915" s="4"/>
      <c r="N915" s="4"/>
      <c r="O915" s="4"/>
      <c r="P915" s="4"/>
      <c r="Q915" s="5"/>
      <c r="R915" s="5"/>
      <c r="S915" s="5"/>
      <c r="T915" s="5"/>
      <c r="U915" s="6"/>
      <c r="V915" s="5"/>
      <c r="W915" s="7"/>
      <c r="X915" s="8"/>
      <c r="Y915" s="8"/>
      <c r="Z915" s="2"/>
      <c r="AA915" s="2"/>
      <c r="AB915" s="2"/>
      <c r="AC915" s="2"/>
      <c r="AD915" s="2"/>
    </row>
    <row r="916" ht="12.0" customHeight="1">
      <c r="A916" s="2"/>
      <c r="B916" s="2"/>
      <c r="C916" s="2"/>
      <c r="D916" s="3"/>
      <c r="E916" s="3"/>
      <c r="F916" s="3"/>
      <c r="G916" s="2"/>
      <c r="H916" s="4"/>
      <c r="I916" s="5"/>
      <c r="J916" s="5"/>
      <c r="K916" s="5"/>
      <c r="L916" s="4"/>
      <c r="M916" s="4"/>
      <c r="N916" s="4"/>
      <c r="O916" s="4"/>
      <c r="P916" s="4"/>
      <c r="Q916" s="5"/>
      <c r="R916" s="5"/>
      <c r="S916" s="5"/>
      <c r="T916" s="5"/>
      <c r="U916" s="6"/>
      <c r="V916" s="5"/>
      <c r="W916" s="7"/>
      <c r="X916" s="8"/>
      <c r="Y916" s="8"/>
      <c r="Z916" s="2"/>
      <c r="AA916" s="2"/>
      <c r="AB916" s="2"/>
      <c r="AC916" s="2"/>
      <c r="AD916" s="2"/>
    </row>
    <row r="917" ht="12.0" customHeight="1">
      <c r="A917" s="2"/>
      <c r="B917" s="2"/>
      <c r="C917" s="2"/>
      <c r="D917" s="3"/>
      <c r="E917" s="3"/>
      <c r="F917" s="3"/>
      <c r="G917" s="2"/>
      <c r="H917" s="4"/>
      <c r="I917" s="5"/>
      <c r="J917" s="5"/>
      <c r="K917" s="5"/>
      <c r="L917" s="4"/>
      <c r="M917" s="4"/>
      <c r="N917" s="4"/>
      <c r="O917" s="4"/>
      <c r="P917" s="4"/>
      <c r="Q917" s="5"/>
      <c r="R917" s="5"/>
      <c r="S917" s="5"/>
      <c r="T917" s="5"/>
      <c r="U917" s="6"/>
      <c r="V917" s="5"/>
      <c r="W917" s="7"/>
      <c r="X917" s="8"/>
      <c r="Y917" s="8"/>
      <c r="Z917" s="2"/>
      <c r="AA917" s="2"/>
      <c r="AB917" s="2"/>
      <c r="AC917" s="2"/>
      <c r="AD917" s="2"/>
    </row>
    <row r="918" ht="12.0" customHeight="1">
      <c r="A918" s="2"/>
      <c r="B918" s="2"/>
      <c r="C918" s="2"/>
      <c r="D918" s="3"/>
      <c r="E918" s="3"/>
      <c r="F918" s="3"/>
      <c r="G918" s="2"/>
      <c r="H918" s="4"/>
      <c r="I918" s="5"/>
      <c r="J918" s="5"/>
      <c r="K918" s="5"/>
      <c r="L918" s="4"/>
      <c r="M918" s="4"/>
      <c r="N918" s="4"/>
      <c r="O918" s="4"/>
      <c r="P918" s="4"/>
      <c r="Q918" s="5"/>
      <c r="R918" s="5"/>
      <c r="S918" s="5"/>
      <c r="T918" s="5"/>
      <c r="U918" s="6"/>
      <c r="V918" s="5"/>
      <c r="W918" s="7"/>
      <c r="X918" s="8"/>
      <c r="Y918" s="8"/>
      <c r="Z918" s="2"/>
      <c r="AA918" s="2"/>
      <c r="AB918" s="2"/>
      <c r="AC918" s="2"/>
      <c r="AD918" s="2"/>
    </row>
    <row r="919" ht="12.0" customHeight="1">
      <c r="A919" s="2"/>
      <c r="B919" s="2"/>
      <c r="C919" s="2"/>
      <c r="D919" s="3"/>
      <c r="E919" s="3"/>
      <c r="F919" s="3"/>
      <c r="G919" s="2"/>
      <c r="H919" s="4"/>
      <c r="I919" s="5"/>
      <c r="J919" s="5"/>
      <c r="K919" s="5"/>
      <c r="L919" s="4"/>
      <c r="M919" s="4"/>
      <c r="N919" s="4"/>
      <c r="O919" s="4"/>
      <c r="P919" s="4"/>
      <c r="Q919" s="5"/>
      <c r="R919" s="5"/>
      <c r="S919" s="5"/>
      <c r="T919" s="5"/>
      <c r="U919" s="6"/>
      <c r="V919" s="5"/>
      <c r="W919" s="7"/>
      <c r="X919" s="8"/>
      <c r="Y919" s="8"/>
      <c r="Z919" s="2"/>
      <c r="AA919" s="2"/>
      <c r="AB919" s="2"/>
      <c r="AC919" s="2"/>
      <c r="AD919" s="2"/>
    </row>
    <row r="920" ht="12.0" customHeight="1">
      <c r="A920" s="2"/>
      <c r="B920" s="2"/>
      <c r="C920" s="2"/>
      <c r="D920" s="3"/>
      <c r="E920" s="3"/>
      <c r="F920" s="3"/>
      <c r="G920" s="2"/>
      <c r="H920" s="4"/>
      <c r="I920" s="5"/>
      <c r="J920" s="5"/>
      <c r="K920" s="5"/>
      <c r="L920" s="4"/>
      <c r="M920" s="4"/>
      <c r="N920" s="4"/>
      <c r="O920" s="4"/>
      <c r="P920" s="4"/>
      <c r="Q920" s="5"/>
      <c r="R920" s="5"/>
      <c r="S920" s="5"/>
      <c r="T920" s="5"/>
      <c r="U920" s="6"/>
      <c r="V920" s="5"/>
      <c r="W920" s="7"/>
      <c r="X920" s="8"/>
      <c r="Y920" s="8"/>
      <c r="Z920" s="2"/>
      <c r="AA920" s="2"/>
      <c r="AB920" s="2"/>
      <c r="AC920" s="2"/>
      <c r="AD920" s="2"/>
    </row>
    <row r="921" ht="12.0" customHeight="1">
      <c r="A921" s="2"/>
      <c r="B921" s="2"/>
      <c r="C921" s="2"/>
      <c r="D921" s="3"/>
      <c r="E921" s="3"/>
      <c r="F921" s="3"/>
      <c r="G921" s="2"/>
      <c r="H921" s="4"/>
      <c r="I921" s="5"/>
      <c r="J921" s="5"/>
      <c r="K921" s="5"/>
      <c r="L921" s="4"/>
      <c r="M921" s="4"/>
      <c r="N921" s="4"/>
      <c r="O921" s="4"/>
      <c r="P921" s="4"/>
      <c r="Q921" s="5"/>
      <c r="R921" s="5"/>
      <c r="S921" s="5"/>
      <c r="T921" s="5"/>
      <c r="U921" s="6"/>
      <c r="V921" s="5"/>
      <c r="W921" s="7"/>
      <c r="X921" s="8"/>
      <c r="Y921" s="8"/>
      <c r="Z921" s="2"/>
      <c r="AA921" s="2"/>
      <c r="AB921" s="2"/>
      <c r="AC921" s="2"/>
      <c r="AD921" s="2"/>
    </row>
    <row r="922" ht="12.0" customHeight="1">
      <c r="A922" s="2"/>
      <c r="B922" s="2"/>
      <c r="C922" s="2"/>
      <c r="D922" s="3"/>
      <c r="E922" s="3"/>
      <c r="F922" s="3"/>
      <c r="G922" s="2"/>
      <c r="H922" s="4"/>
      <c r="I922" s="5"/>
      <c r="J922" s="5"/>
      <c r="K922" s="5"/>
      <c r="L922" s="4"/>
      <c r="M922" s="4"/>
      <c r="N922" s="4"/>
      <c r="O922" s="4"/>
      <c r="P922" s="4"/>
      <c r="Q922" s="5"/>
      <c r="R922" s="5"/>
      <c r="S922" s="5"/>
      <c r="T922" s="5"/>
      <c r="U922" s="6"/>
      <c r="V922" s="5"/>
      <c r="W922" s="7"/>
      <c r="X922" s="8"/>
      <c r="Y922" s="8"/>
      <c r="Z922" s="2"/>
      <c r="AA922" s="2"/>
      <c r="AB922" s="2"/>
      <c r="AC922" s="2"/>
      <c r="AD922" s="2"/>
    </row>
    <row r="923" ht="12.0" customHeight="1">
      <c r="A923" s="2"/>
      <c r="B923" s="2"/>
      <c r="C923" s="2"/>
      <c r="D923" s="3"/>
      <c r="E923" s="3"/>
      <c r="F923" s="3"/>
      <c r="G923" s="2"/>
      <c r="H923" s="4"/>
      <c r="I923" s="5"/>
      <c r="J923" s="5"/>
      <c r="K923" s="5"/>
      <c r="L923" s="4"/>
      <c r="M923" s="4"/>
      <c r="N923" s="4"/>
      <c r="O923" s="4"/>
      <c r="P923" s="4"/>
      <c r="Q923" s="5"/>
      <c r="R923" s="5"/>
      <c r="S923" s="5"/>
      <c r="T923" s="5"/>
      <c r="U923" s="6"/>
      <c r="V923" s="5"/>
      <c r="W923" s="7"/>
      <c r="X923" s="8"/>
      <c r="Y923" s="8"/>
      <c r="Z923" s="2"/>
      <c r="AA923" s="2"/>
      <c r="AB923" s="2"/>
      <c r="AC923" s="2"/>
      <c r="AD923" s="2"/>
    </row>
    <row r="924" ht="12.0" customHeight="1">
      <c r="A924" s="2"/>
      <c r="B924" s="2"/>
      <c r="C924" s="2"/>
      <c r="D924" s="3"/>
      <c r="E924" s="3"/>
      <c r="F924" s="3"/>
      <c r="G924" s="2"/>
      <c r="H924" s="4"/>
      <c r="I924" s="5"/>
      <c r="J924" s="5"/>
      <c r="K924" s="5"/>
      <c r="L924" s="4"/>
      <c r="M924" s="4"/>
      <c r="N924" s="4"/>
      <c r="O924" s="4"/>
      <c r="P924" s="4"/>
      <c r="Q924" s="5"/>
      <c r="R924" s="5"/>
      <c r="S924" s="5"/>
      <c r="T924" s="5"/>
      <c r="U924" s="6"/>
      <c r="V924" s="5"/>
      <c r="W924" s="7"/>
      <c r="X924" s="8"/>
      <c r="Y924" s="8"/>
      <c r="Z924" s="2"/>
      <c r="AA924" s="2"/>
      <c r="AB924" s="2"/>
      <c r="AC924" s="2"/>
      <c r="AD924" s="2"/>
    </row>
    <row r="925" ht="12.0" customHeight="1">
      <c r="A925" s="2"/>
      <c r="B925" s="2"/>
      <c r="C925" s="2"/>
      <c r="D925" s="3"/>
      <c r="E925" s="3"/>
      <c r="F925" s="3"/>
      <c r="G925" s="2"/>
      <c r="H925" s="4"/>
      <c r="I925" s="5"/>
      <c r="J925" s="5"/>
      <c r="K925" s="5"/>
      <c r="L925" s="4"/>
      <c r="M925" s="4"/>
      <c r="N925" s="4"/>
      <c r="O925" s="4"/>
      <c r="P925" s="4"/>
      <c r="Q925" s="5"/>
      <c r="R925" s="5"/>
      <c r="S925" s="5"/>
      <c r="T925" s="5"/>
      <c r="U925" s="6"/>
      <c r="V925" s="5"/>
      <c r="W925" s="7"/>
      <c r="X925" s="8"/>
      <c r="Y925" s="8"/>
      <c r="Z925" s="2"/>
      <c r="AA925" s="2"/>
      <c r="AB925" s="2"/>
      <c r="AC925" s="2"/>
      <c r="AD925" s="2"/>
    </row>
    <row r="926" ht="12.0" customHeight="1">
      <c r="A926" s="2"/>
      <c r="B926" s="2"/>
      <c r="C926" s="2"/>
      <c r="D926" s="3"/>
      <c r="E926" s="3"/>
      <c r="F926" s="3"/>
      <c r="G926" s="2"/>
      <c r="H926" s="4"/>
      <c r="I926" s="5"/>
      <c r="J926" s="5"/>
      <c r="K926" s="5"/>
      <c r="L926" s="4"/>
      <c r="M926" s="4"/>
      <c r="N926" s="4"/>
      <c r="O926" s="4"/>
      <c r="P926" s="4"/>
      <c r="Q926" s="5"/>
      <c r="R926" s="5"/>
      <c r="S926" s="5"/>
      <c r="T926" s="5"/>
      <c r="U926" s="6"/>
      <c r="V926" s="5"/>
      <c r="W926" s="7"/>
      <c r="X926" s="8"/>
      <c r="Y926" s="8"/>
      <c r="Z926" s="2"/>
      <c r="AA926" s="2"/>
      <c r="AB926" s="2"/>
      <c r="AC926" s="2"/>
      <c r="AD926" s="2"/>
    </row>
    <row r="927" ht="12.0" customHeight="1">
      <c r="A927" s="2"/>
      <c r="B927" s="2"/>
      <c r="C927" s="2"/>
      <c r="D927" s="3"/>
      <c r="E927" s="3"/>
      <c r="F927" s="3"/>
      <c r="G927" s="2"/>
      <c r="H927" s="4"/>
      <c r="I927" s="5"/>
      <c r="J927" s="5"/>
      <c r="K927" s="5"/>
      <c r="L927" s="4"/>
      <c r="M927" s="4"/>
      <c r="N927" s="4"/>
      <c r="O927" s="4"/>
      <c r="P927" s="4"/>
      <c r="Q927" s="5"/>
      <c r="R927" s="5"/>
      <c r="S927" s="5"/>
      <c r="T927" s="5"/>
      <c r="U927" s="6"/>
      <c r="V927" s="5"/>
      <c r="W927" s="7"/>
      <c r="X927" s="8"/>
      <c r="Y927" s="8"/>
      <c r="Z927" s="2"/>
      <c r="AA927" s="2"/>
      <c r="AB927" s="2"/>
      <c r="AC927" s="2"/>
      <c r="AD927" s="2"/>
    </row>
    <row r="928" ht="12.0" customHeight="1">
      <c r="A928" s="2"/>
      <c r="B928" s="2"/>
      <c r="C928" s="2"/>
      <c r="D928" s="3"/>
      <c r="E928" s="3"/>
      <c r="F928" s="3"/>
      <c r="G928" s="2"/>
      <c r="H928" s="4"/>
      <c r="I928" s="5"/>
      <c r="J928" s="5"/>
      <c r="K928" s="5"/>
      <c r="L928" s="4"/>
      <c r="M928" s="4"/>
      <c r="N928" s="4"/>
      <c r="O928" s="4"/>
      <c r="P928" s="4"/>
      <c r="Q928" s="5"/>
      <c r="R928" s="5"/>
      <c r="S928" s="5"/>
      <c r="T928" s="5"/>
      <c r="U928" s="6"/>
      <c r="V928" s="5"/>
      <c r="W928" s="7"/>
      <c r="X928" s="8"/>
      <c r="Y928" s="8"/>
      <c r="Z928" s="2"/>
      <c r="AA928" s="2"/>
      <c r="AB928" s="2"/>
      <c r="AC928" s="2"/>
      <c r="AD928" s="2"/>
    </row>
    <row r="929" ht="12.0" customHeight="1">
      <c r="A929" s="2"/>
      <c r="B929" s="2"/>
      <c r="C929" s="2"/>
      <c r="D929" s="3"/>
      <c r="E929" s="3"/>
      <c r="F929" s="3"/>
      <c r="G929" s="2"/>
      <c r="H929" s="4"/>
      <c r="I929" s="5"/>
      <c r="J929" s="5"/>
      <c r="K929" s="5"/>
      <c r="L929" s="4"/>
      <c r="M929" s="4"/>
      <c r="N929" s="4"/>
      <c r="O929" s="4"/>
      <c r="P929" s="4"/>
      <c r="Q929" s="5"/>
      <c r="R929" s="5"/>
      <c r="S929" s="5"/>
      <c r="T929" s="5"/>
      <c r="U929" s="6"/>
      <c r="V929" s="5"/>
      <c r="W929" s="7"/>
      <c r="X929" s="8"/>
      <c r="Y929" s="8"/>
      <c r="Z929" s="2"/>
      <c r="AA929" s="2"/>
      <c r="AB929" s="2"/>
      <c r="AC929" s="2"/>
      <c r="AD929" s="2"/>
    </row>
    <row r="930" ht="12.0" customHeight="1">
      <c r="A930" s="2"/>
      <c r="B930" s="2"/>
      <c r="C930" s="2"/>
      <c r="D930" s="3"/>
      <c r="E930" s="3"/>
      <c r="F930" s="3"/>
      <c r="G930" s="2"/>
      <c r="H930" s="4"/>
      <c r="I930" s="5"/>
      <c r="J930" s="5"/>
      <c r="K930" s="5"/>
      <c r="L930" s="4"/>
      <c r="M930" s="4"/>
      <c r="N930" s="4"/>
      <c r="O930" s="4"/>
      <c r="P930" s="4"/>
      <c r="Q930" s="5"/>
      <c r="R930" s="5"/>
      <c r="S930" s="5"/>
      <c r="T930" s="5"/>
      <c r="U930" s="6"/>
      <c r="V930" s="5"/>
      <c r="W930" s="7"/>
      <c r="X930" s="8"/>
      <c r="Y930" s="8"/>
      <c r="Z930" s="2"/>
      <c r="AA930" s="2"/>
      <c r="AB930" s="2"/>
      <c r="AC930" s="2"/>
      <c r="AD930" s="2"/>
    </row>
    <row r="931" ht="12.0" customHeight="1">
      <c r="A931" s="2"/>
      <c r="B931" s="2"/>
      <c r="C931" s="2"/>
      <c r="D931" s="3"/>
      <c r="E931" s="3"/>
      <c r="F931" s="3"/>
      <c r="G931" s="2"/>
      <c r="H931" s="4"/>
      <c r="I931" s="5"/>
      <c r="J931" s="5"/>
      <c r="K931" s="5"/>
      <c r="L931" s="4"/>
      <c r="M931" s="4"/>
      <c r="N931" s="4"/>
      <c r="O931" s="4"/>
      <c r="P931" s="4"/>
      <c r="Q931" s="5"/>
      <c r="R931" s="5"/>
      <c r="S931" s="5"/>
      <c r="T931" s="5"/>
      <c r="U931" s="6"/>
      <c r="V931" s="5"/>
      <c r="W931" s="7"/>
      <c r="X931" s="8"/>
      <c r="Y931" s="8"/>
      <c r="Z931" s="2"/>
      <c r="AA931" s="2"/>
      <c r="AB931" s="2"/>
      <c r="AC931" s="2"/>
      <c r="AD931" s="2"/>
    </row>
    <row r="932" ht="12.0" customHeight="1">
      <c r="A932" s="2"/>
      <c r="B932" s="2"/>
      <c r="C932" s="2"/>
      <c r="D932" s="3"/>
      <c r="E932" s="3"/>
      <c r="F932" s="3"/>
      <c r="G932" s="2"/>
      <c r="H932" s="4"/>
      <c r="I932" s="5"/>
      <c r="J932" s="5"/>
      <c r="K932" s="5"/>
      <c r="L932" s="4"/>
      <c r="M932" s="4"/>
      <c r="N932" s="4"/>
      <c r="O932" s="4"/>
      <c r="P932" s="4"/>
      <c r="Q932" s="5"/>
      <c r="R932" s="5"/>
      <c r="S932" s="5"/>
      <c r="T932" s="5"/>
      <c r="U932" s="6"/>
      <c r="V932" s="5"/>
      <c r="W932" s="7"/>
      <c r="X932" s="8"/>
      <c r="Y932" s="8"/>
      <c r="Z932" s="2"/>
      <c r="AA932" s="2"/>
      <c r="AB932" s="2"/>
      <c r="AC932" s="2"/>
      <c r="AD932" s="2"/>
    </row>
    <row r="933" ht="12.0" customHeight="1">
      <c r="A933" s="2"/>
      <c r="B933" s="2"/>
      <c r="C933" s="2"/>
      <c r="D933" s="3"/>
      <c r="E933" s="3"/>
      <c r="F933" s="3"/>
      <c r="G933" s="2"/>
      <c r="H933" s="4"/>
      <c r="I933" s="5"/>
      <c r="J933" s="5"/>
      <c r="K933" s="5"/>
      <c r="L933" s="4"/>
      <c r="M933" s="4"/>
      <c r="N933" s="4"/>
      <c r="O933" s="4"/>
      <c r="P933" s="4"/>
      <c r="Q933" s="5"/>
      <c r="R933" s="5"/>
      <c r="S933" s="5"/>
      <c r="T933" s="5"/>
      <c r="U933" s="6"/>
      <c r="V933" s="5"/>
      <c r="W933" s="7"/>
      <c r="X933" s="8"/>
      <c r="Y933" s="8"/>
      <c r="Z933" s="2"/>
      <c r="AA933" s="2"/>
      <c r="AB933" s="2"/>
      <c r="AC933" s="2"/>
      <c r="AD933" s="2"/>
    </row>
    <row r="934" ht="12.0" customHeight="1">
      <c r="A934" s="2"/>
      <c r="B934" s="2"/>
      <c r="C934" s="2"/>
      <c r="D934" s="3"/>
      <c r="E934" s="3"/>
      <c r="F934" s="3"/>
      <c r="G934" s="2"/>
      <c r="H934" s="4"/>
      <c r="I934" s="5"/>
      <c r="J934" s="5"/>
      <c r="K934" s="5"/>
      <c r="L934" s="4"/>
      <c r="M934" s="4"/>
      <c r="N934" s="4"/>
      <c r="O934" s="4"/>
      <c r="P934" s="4"/>
      <c r="Q934" s="5"/>
      <c r="R934" s="5"/>
      <c r="S934" s="5"/>
      <c r="T934" s="5"/>
      <c r="U934" s="6"/>
      <c r="V934" s="5"/>
      <c r="W934" s="7"/>
      <c r="X934" s="8"/>
      <c r="Y934" s="8"/>
      <c r="Z934" s="2"/>
      <c r="AA934" s="2"/>
      <c r="AB934" s="2"/>
      <c r="AC934" s="2"/>
      <c r="AD934" s="2"/>
    </row>
    <row r="935" ht="12.0" customHeight="1">
      <c r="A935" s="2"/>
      <c r="B935" s="2"/>
      <c r="C935" s="2"/>
      <c r="D935" s="3"/>
      <c r="E935" s="3"/>
      <c r="F935" s="3"/>
      <c r="G935" s="2"/>
      <c r="H935" s="4"/>
      <c r="I935" s="5"/>
      <c r="J935" s="5"/>
      <c r="K935" s="5"/>
      <c r="L935" s="4"/>
      <c r="M935" s="4"/>
      <c r="N935" s="4"/>
      <c r="O935" s="4"/>
      <c r="P935" s="4"/>
      <c r="Q935" s="5"/>
      <c r="R935" s="5"/>
      <c r="S935" s="5"/>
      <c r="T935" s="5"/>
      <c r="U935" s="6"/>
      <c r="V935" s="5"/>
      <c r="W935" s="7"/>
      <c r="X935" s="8"/>
      <c r="Y935" s="8"/>
      <c r="Z935" s="2"/>
      <c r="AA935" s="2"/>
      <c r="AB935" s="2"/>
      <c r="AC935" s="2"/>
      <c r="AD935" s="2"/>
    </row>
    <row r="936" ht="12.0" customHeight="1">
      <c r="A936" s="2"/>
      <c r="B936" s="2"/>
      <c r="C936" s="2"/>
      <c r="D936" s="3"/>
      <c r="E936" s="3"/>
      <c r="F936" s="3"/>
      <c r="G936" s="2"/>
      <c r="H936" s="4"/>
      <c r="I936" s="5"/>
      <c r="J936" s="5"/>
      <c r="K936" s="5"/>
      <c r="L936" s="4"/>
      <c r="M936" s="4"/>
      <c r="N936" s="4"/>
      <c r="O936" s="4"/>
      <c r="P936" s="4"/>
      <c r="Q936" s="5"/>
      <c r="R936" s="5"/>
      <c r="S936" s="5"/>
      <c r="T936" s="5"/>
      <c r="U936" s="6"/>
      <c r="V936" s="5"/>
      <c r="W936" s="7"/>
      <c r="X936" s="8"/>
      <c r="Y936" s="8"/>
      <c r="Z936" s="2"/>
      <c r="AA936" s="2"/>
      <c r="AB936" s="2"/>
      <c r="AC936" s="2"/>
      <c r="AD936" s="2"/>
    </row>
    <row r="937" ht="12.0" customHeight="1">
      <c r="A937" s="2"/>
      <c r="B937" s="2"/>
      <c r="C937" s="2"/>
      <c r="D937" s="3"/>
      <c r="E937" s="3"/>
      <c r="F937" s="3"/>
      <c r="G937" s="2"/>
      <c r="H937" s="4"/>
      <c r="I937" s="5"/>
      <c r="J937" s="5"/>
      <c r="K937" s="5"/>
      <c r="L937" s="4"/>
      <c r="M937" s="4"/>
      <c r="N937" s="4"/>
      <c r="O937" s="4"/>
      <c r="P937" s="4"/>
      <c r="Q937" s="5"/>
      <c r="R937" s="5"/>
      <c r="S937" s="5"/>
      <c r="T937" s="5"/>
      <c r="U937" s="6"/>
      <c r="V937" s="5"/>
      <c r="W937" s="7"/>
      <c r="X937" s="8"/>
      <c r="Y937" s="8"/>
      <c r="Z937" s="2"/>
      <c r="AA937" s="2"/>
      <c r="AB937" s="2"/>
      <c r="AC937" s="2"/>
      <c r="AD937" s="2"/>
    </row>
    <row r="938" ht="12.0" customHeight="1">
      <c r="A938" s="2"/>
      <c r="B938" s="2"/>
      <c r="C938" s="2"/>
      <c r="D938" s="3"/>
      <c r="E938" s="3"/>
      <c r="F938" s="3"/>
      <c r="G938" s="2"/>
      <c r="H938" s="4"/>
      <c r="I938" s="5"/>
      <c r="J938" s="5"/>
      <c r="K938" s="5"/>
      <c r="L938" s="4"/>
      <c r="M938" s="4"/>
      <c r="N938" s="4"/>
      <c r="O938" s="4"/>
      <c r="P938" s="4"/>
      <c r="Q938" s="5"/>
      <c r="R938" s="5"/>
      <c r="S938" s="5"/>
      <c r="T938" s="5"/>
      <c r="U938" s="6"/>
      <c r="V938" s="5"/>
      <c r="W938" s="7"/>
      <c r="X938" s="8"/>
      <c r="Y938" s="8"/>
      <c r="Z938" s="2"/>
      <c r="AA938" s="2"/>
      <c r="AB938" s="2"/>
      <c r="AC938" s="2"/>
      <c r="AD938" s="2"/>
    </row>
    <row r="939" ht="12.0" customHeight="1">
      <c r="A939" s="2"/>
      <c r="B939" s="2"/>
      <c r="C939" s="2"/>
      <c r="D939" s="3"/>
      <c r="E939" s="3"/>
      <c r="F939" s="3"/>
      <c r="G939" s="2"/>
      <c r="H939" s="4"/>
      <c r="I939" s="5"/>
      <c r="J939" s="5"/>
      <c r="K939" s="5"/>
      <c r="L939" s="4"/>
      <c r="M939" s="4"/>
      <c r="N939" s="4"/>
      <c r="O939" s="4"/>
      <c r="P939" s="4"/>
      <c r="Q939" s="5"/>
      <c r="R939" s="5"/>
      <c r="S939" s="5"/>
      <c r="T939" s="5"/>
      <c r="U939" s="6"/>
      <c r="V939" s="5"/>
      <c r="W939" s="7"/>
      <c r="X939" s="8"/>
      <c r="Y939" s="8"/>
      <c r="Z939" s="2"/>
      <c r="AA939" s="2"/>
      <c r="AB939" s="2"/>
      <c r="AC939" s="2"/>
      <c r="AD939" s="2"/>
    </row>
    <row r="940" ht="12.0" customHeight="1">
      <c r="A940" s="2"/>
      <c r="B940" s="2"/>
      <c r="C940" s="2"/>
      <c r="D940" s="3"/>
      <c r="E940" s="3"/>
      <c r="F940" s="3"/>
      <c r="G940" s="2"/>
      <c r="H940" s="4"/>
      <c r="I940" s="5"/>
      <c r="J940" s="5"/>
      <c r="K940" s="5"/>
      <c r="L940" s="4"/>
      <c r="M940" s="4"/>
      <c r="N940" s="4"/>
      <c r="O940" s="4"/>
      <c r="P940" s="4"/>
      <c r="Q940" s="5"/>
      <c r="R940" s="5"/>
      <c r="S940" s="5"/>
      <c r="T940" s="5"/>
      <c r="U940" s="6"/>
      <c r="V940" s="5"/>
      <c r="W940" s="7"/>
      <c r="X940" s="8"/>
      <c r="Y940" s="8"/>
      <c r="Z940" s="2"/>
      <c r="AA940" s="2"/>
      <c r="AB940" s="2"/>
      <c r="AC940" s="2"/>
      <c r="AD940" s="2"/>
    </row>
    <row r="941" ht="12.0" customHeight="1">
      <c r="A941" s="2"/>
      <c r="B941" s="2"/>
      <c r="C941" s="2"/>
      <c r="D941" s="3"/>
      <c r="E941" s="3"/>
      <c r="F941" s="3"/>
      <c r="G941" s="2"/>
      <c r="H941" s="4"/>
      <c r="I941" s="5"/>
      <c r="J941" s="5"/>
      <c r="K941" s="5"/>
      <c r="L941" s="4"/>
      <c r="M941" s="4"/>
      <c r="N941" s="4"/>
      <c r="O941" s="4"/>
      <c r="P941" s="4"/>
      <c r="Q941" s="5"/>
      <c r="R941" s="5"/>
      <c r="S941" s="5"/>
      <c r="T941" s="5"/>
      <c r="U941" s="6"/>
      <c r="V941" s="5"/>
      <c r="W941" s="7"/>
      <c r="X941" s="8"/>
      <c r="Y941" s="8"/>
      <c r="Z941" s="2"/>
      <c r="AA941" s="2"/>
      <c r="AB941" s="2"/>
      <c r="AC941" s="2"/>
      <c r="AD941" s="2"/>
    </row>
    <row r="942" ht="12.0" customHeight="1">
      <c r="A942" s="2"/>
      <c r="B942" s="2"/>
      <c r="C942" s="2"/>
      <c r="D942" s="3"/>
      <c r="E942" s="3"/>
      <c r="F942" s="3"/>
      <c r="G942" s="2"/>
      <c r="H942" s="4"/>
      <c r="I942" s="5"/>
      <c r="J942" s="5"/>
      <c r="K942" s="5"/>
      <c r="L942" s="4"/>
      <c r="M942" s="4"/>
      <c r="N942" s="4"/>
      <c r="O942" s="4"/>
      <c r="P942" s="4"/>
      <c r="Q942" s="5"/>
      <c r="R942" s="5"/>
      <c r="S942" s="5"/>
      <c r="T942" s="5"/>
      <c r="U942" s="6"/>
      <c r="V942" s="5"/>
      <c r="W942" s="7"/>
      <c r="X942" s="8"/>
      <c r="Y942" s="8"/>
      <c r="Z942" s="2"/>
      <c r="AA942" s="2"/>
      <c r="AB942" s="2"/>
      <c r="AC942" s="2"/>
      <c r="AD942" s="2"/>
    </row>
    <row r="943" ht="12.0" customHeight="1">
      <c r="A943" s="2"/>
      <c r="B943" s="2"/>
      <c r="C943" s="2"/>
      <c r="D943" s="3"/>
      <c r="E943" s="3"/>
      <c r="F943" s="3"/>
      <c r="G943" s="2"/>
      <c r="H943" s="4"/>
      <c r="I943" s="5"/>
      <c r="J943" s="5"/>
      <c r="K943" s="5"/>
      <c r="L943" s="4"/>
      <c r="M943" s="4"/>
      <c r="N943" s="4"/>
      <c r="O943" s="4"/>
      <c r="P943" s="4"/>
      <c r="Q943" s="5"/>
      <c r="R943" s="5"/>
      <c r="S943" s="5"/>
      <c r="T943" s="5"/>
      <c r="U943" s="6"/>
      <c r="V943" s="5"/>
      <c r="W943" s="7"/>
      <c r="X943" s="8"/>
      <c r="Y943" s="8"/>
      <c r="Z943" s="2"/>
      <c r="AA943" s="2"/>
      <c r="AB943" s="2"/>
      <c r="AC943" s="2"/>
      <c r="AD943" s="2"/>
    </row>
    <row r="944" ht="12.0" customHeight="1">
      <c r="A944" s="2"/>
      <c r="B944" s="2"/>
      <c r="C944" s="2"/>
      <c r="D944" s="3"/>
      <c r="E944" s="3"/>
      <c r="F944" s="3"/>
      <c r="G944" s="2"/>
      <c r="H944" s="4"/>
      <c r="I944" s="5"/>
      <c r="J944" s="5"/>
      <c r="K944" s="5"/>
      <c r="L944" s="4"/>
      <c r="M944" s="4"/>
      <c r="N944" s="4"/>
      <c r="O944" s="4"/>
      <c r="P944" s="4"/>
      <c r="Q944" s="5"/>
      <c r="R944" s="5"/>
      <c r="S944" s="5"/>
      <c r="T944" s="5"/>
      <c r="U944" s="6"/>
      <c r="V944" s="5"/>
      <c r="W944" s="7"/>
      <c r="X944" s="8"/>
      <c r="Y944" s="8"/>
      <c r="Z944" s="2"/>
      <c r="AA944" s="2"/>
      <c r="AB944" s="2"/>
      <c r="AC944" s="2"/>
      <c r="AD944" s="2"/>
    </row>
    <row r="945" ht="12.0" customHeight="1">
      <c r="A945" s="2"/>
      <c r="B945" s="2"/>
      <c r="C945" s="2"/>
      <c r="D945" s="3"/>
      <c r="E945" s="3"/>
      <c r="F945" s="3"/>
      <c r="G945" s="2"/>
      <c r="H945" s="4"/>
      <c r="I945" s="5"/>
      <c r="J945" s="5"/>
      <c r="K945" s="5"/>
      <c r="L945" s="4"/>
      <c r="M945" s="4"/>
      <c r="N945" s="4"/>
      <c r="O945" s="4"/>
      <c r="P945" s="4"/>
      <c r="Q945" s="5"/>
      <c r="R945" s="5"/>
      <c r="S945" s="5"/>
      <c r="T945" s="5"/>
      <c r="U945" s="6"/>
      <c r="V945" s="5"/>
      <c r="W945" s="7"/>
      <c r="X945" s="8"/>
      <c r="Y945" s="8"/>
      <c r="Z945" s="2"/>
      <c r="AA945" s="2"/>
      <c r="AB945" s="2"/>
      <c r="AC945" s="2"/>
      <c r="AD945" s="2"/>
    </row>
    <row r="946" ht="12.0" customHeight="1">
      <c r="A946" s="2"/>
      <c r="B946" s="2"/>
      <c r="C946" s="2"/>
      <c r="D946" s="3"/>
      <c r="E946" s="3"/>
      <c r="F946" s="3"/>
      <c r="G946" s="2"/>
      <c r="H946" s="4"/>
      <c r="I946" s="5"/>
      <c r="J946" s="5"/>
      <c r="K946" s="5"/>
      <c r="L946" s="4"/>
      <c r="M946" s="4"/>
      <c r="N946" s="4"/>
      <c r="O946" s="4"/>
      <c r="P946" s="4"/>
      <c r="Q946" s="5"/>
      <c r="R946" s="5"/>
      <c r="S946" s="5"/>
      <c r="T946" s="5"/>
      <c r="U946" s="6"/>
      <c r="V946" s="5"/>
      <c r="W946" s="7"/>
      <c r="X946" s="8"/>
      <c r="Y946" s="8"/>
      <c r="Z946" s="2"/>
      <c r="AA946" s="2"/>
      <c r="AB946" s="2"/>
      <c r="AC946" s="2"/>
      <c r="AD946" s="2"/>
    </row>
    <row r="947" ht="12.0" customHeight="1">
      <c r="A947" s="2"/>
      <c r="B947" s="2"/>
      <c r="C947" s="2"/>
      <c r="D947" s="3"/>
      <c r="E947" s="3"/>
      <c r="F947" s="3"/>
      <c r="G947" s="2"/>
      <c r="H947" s="4"/>
      <c r="I947" s="5"/>
      <c r="J947" s="5"/>
      <c r="K947" s="5"/>
      <c r="L947" s="4"/>
      <c r="M947" s="4"/>
      <c r="N947" s="4"/>
      <c r="O947" s="4"/>
      <c r="P947" s="4"/>
      <c r="Q947" s="5"/>
      <c r="R947" s="5"/>
      <c r="S947" s="5"/>
      <c r="T947" s="5"/>
      <c r="U947" s="6"/>
      <c r="V947" s="5"/>
      <c r="W947" s="7"/>
      <c r="X947" s="8"/>
      <c r="Y947" s="8"/>
      <c r="Z947" s="2"/>
      <c r="AA947" s="2"/>
      <c r="AB947" s="2"/>
      <c r="AC947" s="2"/>
      <c r="AD947" s="2"/>
    </row>
    <row r="948" ht="12.0" customHeight="1">
      <c r="A948" s="2"/>
      <c r="B948" s="2"/>
      <c r="C948" s="2"/>
      <c r="D948" s="3"/>
      <c r="E948" s="3"/>
      <c r="F948" s="3"/>
      <c r="G948" s="2"/>
      <c r="H948" s="4"/>
      <c r="I948" s="5"/>
      <c r="J948" s="5"/>
      <c r="K948" s="5"/>
      <c r="L948" s="4"/>
      <c r="M948" s="4"/>
      <c r="N948" s="4"/>
      <c r="O948" s="4"/>
      <c r="P948" s="4"/>
      <c r="Q948" s="5"/>
      <c r="R948" s="5"/>
      <c r="S948" s="5"/>
      <c r="T948" s="5"/>
      <c r="U948" s="6"/>
      <c r="V948" s="5"/>
      <c r="W948" s="7"/>
      <c r="X948" s="8"/>
      <c r="Y948" s="8"/>
      <c r="Z948" s="2"/>
      <c r="AA948" s="2"/>
      <c r="AB948" s="2"/>
      <c r="AC948" s="2"/>
      <c r="AD948" s="2"/>
    </row>
    <row r="949" ht="12.0" customHeight="1">
      <c r="A949" s="2"/>
      <c r="B949" s="2"/>
      <c r="C949" s="2"/>
      <c r="D949" s="3"/>
      <c r="E949" s="3"/>
      <c r="F949" s="3"/>
      <c r="G949" s="2"/>
      <c r="H949" s="4"/>
      <c r="I949" s="5"/>
      <c r="J949" s="5"/>
      <c r="K949" s="5"/>
      <c r="L949" s="4"/>
      <c r="M949" s="4"/>
      <c r="N949" s="4"/>
      <c r="O949" s="4"/>
      <c r="P949" s="4"/>
      <c r="Q949" s="5"/>
      <c r="R949" s="5"/>
      <c r="S949" s="5"/>
      <c r="T949" s="5"/>
      <c r="U949" s="6"/>
      <c r="V949" s="5"/>
      <c r="W949" s="7"/>
      <c r="X949" s="8"/>
      <c r="Y949" s="8"/>
      <c r="Z949" s="2"/>
      <c r="AA949" s="2"/>
      <c r="AB949" s="2"/>
      <c r="AC949" s="2"/>
      <c r="AD949" s="2"/>
    </row>
    <row r="950" ht="12.0" customHeight="1">
      <c r="A950" s="2"/>
      <c r="B950" s="2"/>
      <c r="C950" s="2"/>
      <c r="D950" s="3"/>
      <c r="E950" s="3"/>
      <c r="F950" s="3"/>
      <c r="G950" s="2"/>
      <c r="H950" s="4"/>
      <c r="I950" s="5"/>
      <c r="J950" s="5"/>
      <c r="K950" s="5"/>
      <c r="L950" s="4"/>
      <c r="M950" s="4"/>
      <c r="N950" s="4"/>
      <c r="O950" s="4"/>
      <c r="P950" s="4"/>
      <c r="Q950" s="5"/>
      <c r="R950" s="5"/>
      <c r="S950" s="5"/>
      <c r="T950" s="5"/>
      <c r="U950" s="6"/>
      <c r="V950" s="5"/>
      <c r="W950" s="7"/>
      <c r="X950" s="8"/>
      <c r="Y950" s="8"/>
      <c r="Z950" s="2"/>
      <c r="AA950" s="2"/>
      <c r="AB950" s="2"/>
      <c r="AC950" s="2"/>
      <c r="AD950" s="2"/>
    </row>
    <row r="951" ht="12.0" customHeight="1">
      <c r="A951" s="2"/>
      <c r="B951" s="2"/>
      <c r="C951" s="2"/>
      <c r="D951" s="3"/>
      <c r="E951" s="3"/>
      <c r="F951" s="3"/>
      <c r="G951" s="2"/>
      <c r="H951" s="4"/>
      <c r="I951" s="5"/>
      <c r="J951" s="5"/>
      <c r="K951" s="5"/>
      <c r="L951" s="4"/>
      <c r="M951" s="4"/>
      <c r="N951" s="4"/>
      <c r="O951" s="4"/>
      <c r="P951" s="4"/>
      <c r="Q951" s="5"/>
      <c r="R951" s="5"/>
      <c r="S951" s="5"/>
      <c r="T951" s="5"/>
      <c r="U951" s="6"/>
      <c r="V951" s="5"/>
      <c r="W951" s="7"/>
      <c r="X951" s="8"/>
      <c r="Y951" s="8"/>
      <c r="Z951" s="2"/>
      <c r="AA951" s="2"/>
      <c r="AB951" s="2"/>
      <c r="AC951" s="2"/>
      <c r="AD951" s="2"/>
    </row>
    <row r="952" ht="12.0" customHeight="1">
      <c r="A952" s="2"/>
      <c r="B952" s="2"/>
      <c r="C952" s="2"/>
      <c r="D952" s="3"/>
      <c r="E952" s="3"/>
      <c r="F952" s="3"/>
      <c r="G952" s="2"/>
      <c r="H952" s="4"/>
      <c r="I952" s="5"/>
      <c r="J952" s="5"/>
      <c r="K952" s="5"/>
      <c r="L952" s="4"/>
      <c r="M952" s="4"/>
      <c r="N952" s="4"/>
      <c r="O952" s="4"/>
      <c r="P952" s="4"/>
      <c r="Q952" s="5"/>
      <c r="R952" s="5"/>
      <c r="S952" s="5"/>
      <c r="T952" s="5"/>
      <c r="U952" s="6"/>
      <c r="V952" s="5"/>
      <c r="W952" s="7"/>
      <c r="X952" s="8"/>
      <c r="Y952" s="8"/>
      <c r="Z952" s="2"/>
      <c r="AA952" s="2"/>
      <c r="AB952" s="2"/>
      <c r="AC952" s="2"/>
      <c r="AD952" s="2"/>
    </row>
    <row r="953" ht="12.0" customHeight="1">
      <c r="A953" s="2"/>
      <c r="B953" s="2"/>
      <c r="C953" s="2"/>
      <c r="D953" s="3"/>
      <c r="E953" s="3"/>
      <c r="F953" s="3"/>
      <c r="G953" s="2"/>
      <c r="H953" s="4"/>
      <c r="I953" s="5"/>
      <c r="J953" s="5"/>
      <c r="K953" s="5"/>
      <c r="L953" s="4"/>
      <c r="M953" s="4"/>
      <c r="N953" s="4"/>
      <c r="O953" s="4"/>
      <c r="P953" s="4"/>
      <c r="Q953" s="5"/>
      <c r="R953" s="5"/>
      <c r="S953" s="5"/>
      <c r="T953" s="5"/>
      <c r="U953" s="6"/>
      <c r="V953" s="5"/>
      <c r="W953" s="7"/>
      <c r="X953" s="8"/>
      <c r="Y953" s="8"/>
      <c r="Z953" s="2"/>
      <c r="AA953" s="2"/>
      <c r="AB953" s="2"/>
      <c r="AC953" s="2"/>
      <c r="AD953" s="2"/>
    </row>
    <row r="954" ht="12.0" customHeight="1">
      <c r="A954" s="2"/>
      <c r="B954" s="2"/>
      <c r="C954" s="2"/>
      <c r="D954" s="3"/>
      <c r="E954" s="3"/>
      <c r="F954" s="3"/>
      <c r="G954" s="2"/>
      <c r="H954" s="4"/>
      <c r="I954" s="5"/>
      <c r="J954" s="5"/>
      <c r="K954" s="5"/>
      <c r="L954" s="4"/>
      <c r="M954" s="4"/>
      <c r="N954" s="4"/>
      <c r="O954" s="4"/>
      <c r="P954" s="4"/>
      <c r="Q954" s="5"/>
      <c r="R954" s="5"/>
      <c r="S954" s="5"/>
      <c r="T954" s="5"/>
      <c r="U954" s="6"/>
      <c r="V954" s="5"/>
      <c r="W954" s="7"/>
      <c r="X954" s="8"/>
      <c r="Y954" s="8"/>
      <c r="Z954" s="2"/>
      <c r="AA954" s="2"/>
      <c r="AB954" s="2"/>
      <c r="AC954" s="2"/>
      <c r="AD954" s="2"/>
    </row>
    <row r="955" ht="12.0" customHeight="1">
      <c r="A955" s="2"/>
      <c r="B955" s="2"/>
      <c r="C955" s="2"/>
      <c r="D955" s="3"/>
      <c r="E955" s="3"/>
      <c r="F955" s="3"/>
      <c r="G955" s="2"/>
      <c r="H955" s="4"/>
      <c r="I955" s="5"/>
      <c r="J955" s="5"/>
      <c r="K955" s="5"/>
      <c r="L955" s="4"/>
      <c r="M955" s="4"/>
      <c r="N955" s="4"/>
      <c r="O955" s="4"/>
      <c r="P955" s="4"/>
      <c r="Q955" s="5"/>
      <c r="R955" s="5"/>
      <c r="S955" s="5"/>
      <c r="T955" s="5"/>
      <c r="U955" s="6"/>
      <c r="V955" s="5"/>
      <c r="W955" s="7"/>
      <c r="X955" s="8"/>
      <c r="Y955" s="8"/>
      <c r="Z955" s="2"/>
      <c r="AA955" s="2"/>
      <c r="AB955" s="2"/>
      <c r="AC955" s="2"/>
      <c r="AD955" s="2"/>
    </row>
    <row r="956" ht="12.0" customHeight="1">
      <c r="A956" s="2"/>
      <c r="B956" s="2"/>
      <c r="C956" s="2"/>
      <c r="D956" s="3"/>
      <c r="E956" s="3"/>
      <c r="F956" s="3"/>
      <c r="G956" s="2"/>
      <c r="H956" s="4"/>
      <c r="I956" s="5"/>
      <c r="J956" s="5"/>
      <c r="K956" s="5"/>
      <c r="L956" s="4"/>
      <c r="M956" s="4"/>
      <c r="N956" s="4"/>
      <c r="O956" s="4"/>
      <c r="P956" s="4"/>
      <c r="Q956" s="5"/>
      <c r="R956" s="5"/>
      <c r="S956" s="5"/>
      <c r="T956" s="5"/>
      <c r="U956" s="6"/>
      <c r="V956" s="5"/>
      <c r="W956" s="7"/>
      <c r="X956" s="8"/>
      <c r="Y956" s="8"/>
      <c r="Z956" s="2"/>
      <c r="AA956" s="2"/>
      <c r="AB956" s="2"/>
      <c r="AC956" s="2"/>
      <c r="AD956" s="2"/>
    </row>
    <row r="957" ht="12.0" customHeight="1">
      <c r="A957" s="2"/>
      <c r="B957" s="2"/>
      <c r="C957" s="2"/>
      <c r="D957" s="3"/>
      <c r="E957" s="3"/>
      <c r="F957" s="3"/>
      <c r="G957" s="2"/>
      <c r="H957" s="4"/>
      <c r="I957" s="5"/>
      <c r="J957" s="5"/>
      <c r="K957" s="5"/>
      <c r="L957" s="4"/>
      <c r="M957" s="4"/>
      <c r="N957" s="4"/>
      <c r="O957" s="4"/>
      <c r="P957" s="4"/>
      <c r="Q957" s="5"/>
      <c r="R957" s="5"/>
      <c r="S957" s="5"/>
      <c r="T957" s="5"/>
      <c r="U957" s="6"/>
      <c r="V957" s="5"/>
      <c r="W957" s="7"/>
      <c r="X957" s="8"/>
      <c r="Y957" s="8"/>
      <c r="Z957" s="2"/>
      <c r="AA957" s="2"/>
      <c r="AB957" s="2"/>
      <c r="AC957" s="2"/>
      <c r="AD957" s="2"/>
    </row>
    <row r="958" ht="12.0" customHeight="1">
      <c r="A958" s="2"/>
      <c r="B958" s="2"/>
      <c r="C958" s="2"/>
      <c r="D958" s="3"/>
      <c r="E958" s="3"/>
      <c r="F958" s="3"/>
      <c r="G958" s="2"/>
      <c r="H958" s="4"/>
      <c r="I958" s="5"/>
      <c r="J958" s="5"/>
      <c r="K958" s="5"/>
      <c r="L958" s="4"/>
      <c r="M958" s="4"/>
      <c r="N958" s="4"/>
      <c r="O958" s="4"/>
      <c r="P958" s="4"/>
      <c r="Q958" s="5"/>
      <c r="R958" s="5"/>
      <c r="S958" s="5"/>
      <c r="T958" s="5"/>
      <c r="U958" s="6"/>
      <c r="V958" s="5"/>
      <c r="W958" s="7"/>
      <c r="X958" s="8"/>
      <c r="Y958" s="8"/>
      <c r="Z958" s="2"/>
      <c r="AA958" s="2"/>
      <c r="AB958" s="2"/>
      <c r="AC958" s="2"/>
      <c r="AD958" s="2"/>
    </row>
    <row r="959" ht="12.0" customHeight="1">
      <c r="A959" s="2"/>
      <c r="B959" s="2"/>
      <c r="C959" s="2"/>
      <c r="D959" s="3"/>
      <c r="E959" s="3"/>
      <c r="F959" s="3"/>
      <c r="G959" s="2"/>
      <c r="H959" s="4"/>
      <c r="I959" s="5"/>
      <c r="J959" s="5"/>
      <c r="K959" s="5"/>
      <c r="L959" s="4"/>
      <c r="M959" s="4"/>
      <c r="N959" s="4"/>
      <c r="O959" s="4"/>
      <c r="P959" s="4"/>
      <c r="Q959" s="5"/>
      <c r="R959" s="5"/>
      <c r="S959" s="5"/>
      <c r="T959" s="5"/>
      <c r="U959" s="6"/>
      <c r="V959" s="5"/>
      <c r="W959" s="7"/>
      <c r="X959" s="8"/>
      <c r="Y959" s="8"/>
      <c r="Z959" s="2"/>
      <c r="AA959" s="2"/>
      <c r="AB959" s="2"/>
      <c r="AC959" s="2"/>
      <c r="AD959" s="2"/>
    </row>
    <row r="960" ht="12.0" customHeight="1">
      <c r="A960" s="2"/>
      <c r="B960" s="2"/>
      <c r="C960" s="2"/>
      <c r="D960" s="3"/>
      <c r="E960" s="3"/>
      <c r="F960" s="3"/>
      <c r="G960" s="2"/>
      <c r="H960" s="4"/>
      <c r="I960" s="5"/>
      <c r="J960" s="5"/>
      <c r="K960" s="5"/>
      <c r="L960" s="4"/>
      <c r="M960" s="4"/>
      <c r="N960" s="4"/>
      <c r="O960" s="4"/>
      <c r="P960" s="4"/>
      <c r="Q960" s="5"/>
      <c r="R960" s="5"/>
      <c r="S960" s="5"/>
      <c r="T960" s="5"/>
      <c r="U960" s="6"/>
      <c r="V960" s="5"/>
      <c r="W960" s="7"/>
      <c r="X960" s="8"/>
      <c r="Y960" s="8"/>
      <c r="Z960" s="2"/>
      <c r="AA960" s="2"/>
      <c r="AB960" s="2"/>
      <c r="AC960" s="2"/>
      <c r="AD960" s="2"/>
    </row>
    <row r="961" ht="12.0" customHeight="1">
      <c r="A961" s="2"/>
      <c r="B961" s="2"/>
      <c r="C961" s="2"/>
      <c r="D961" s="3"/>
      <c r="E961" s="3"/>
      <c r="F961" s="3"/>
      <c r="G961" s="2"/>
      <c r="H961" s="4"/>
      <c r="I961" s="5"/>
      <c r="J961" s="5"/>
      <c r="K961" s="5"/>
      <c r="L961" s="4"/>
      <c r="M961" s="4"/>
      <c r="N961" s="4"/>
      <c r="O961" s="4"/>
      <c r="P961" s="4"/>
      <c r="Q961" s="5"/>
      <c r="R961" s="5"/>
      <c r="S961" s="5"/>
      <c r="T961" s="5"/>
      <c r="U961" s="6"/>
      <c r="V961" s="5"/>
      <c r="W961" s="7"/>
      <c r="X961" s="8"/>
      <c r="Y961" s="8"/>
      <c r="Z961" s="2"/>
      <c r="AA961" s="2"/>
      <c r="AB961" s="2"/>
      <c r="AC961" s="2"/>
      <c r="AD961" s="2"/>
    </row>
    <row r="962" ht="12.0" customHeight="1">
      <c r="A962" s="2"/>
      <c r="B962" s="2"/>
      <c r="C962" s="2"/>
      <c r="D962" s="3"/>
      <c r="E962" s="3"/>
      <c r="F962" s="3"/>
      <c r="G962" s="2"/>
      <c r="H962" s="4"/>
      <c r="I962" s="5"/>
      <c r="J962" s="5"/>
      <c r="K962" s="5"/>
      <c r="L962" s="4"/>
      <c r="M962" s="4"/>
      <c r="N962" s="4"/>
      <c r="O962" s="4"/>
      <c r="P962" s="4"/>
      <c r="Q962" s="5"/>
      <c r="R962" s="5"/>
      <c r="S962" s="5"/>
      <c r="T962" s="5"/>
      <c r="U962" s="6"/>
      <c r="V962" s="5"/>
      <c r="W962" s="7"/>
      <c r="X962" s="8"/>
      <c r="Y962" s="8"/>
      <c r="Z962" s="2"/>
      <c r="AA962" s="2"/>
      <c r="AB962" s="2"/>
      <c r="AC962" s="2"/>
      <c r="AD962" s="2"/>
    </row>
    <row r="963" ht="12.0" customHeight="1">
      <c r="A963" s="2"/>
      <c r="B963" s="2"/>
      <c r="C963" s="2"/>
      <c r="D963" s="3"/>
      <c r="E963" s="3"/>
      <c r="F963" s="3"/>
      <c r="G963" s="2"/>
      <c r="H963" s="4"/>
      <c r="I963" s="5"/>
      <c r="J963" s="5"/>
      <c r="K963" s="5"/>
      <c r="L963" s="4"/>
      <c r="M963" s="4"/>
      <c r="N963" s="4"/>
      <c r="O963" s="4"/>
      <c r="P963" s="4"/>
      <c r="Q963" s="5"/>
      <c r="R963" s="5"/>
      <c r="S963" s="5"/>
      <c r="T963" s="5"/>
      <c r="U963" s="6"/>
      <c r="V963" s="5"/>
      <c r="W963" s="7"/>
      <c r="X963" s="8"/>
      <c r="Y963" s="8"/>
      <c r="Z963" s="2"/>
      <c r="AA963" s="2"/>
      <c r="AB963" s="2"/>
      <c r="AC963" s="2"/>
      <c r="AD963" s="2"/>
    </row>
    <row r="964" ht="12.0" customHeight="1">
      <c r="A964" s="2"/>
      <c r="B964" s="2"/>
      <c r="C964" s="2"/>
      <c r="D964" s="3"/>
      <c r="E964" s="3"/>
      <c r="F964" s="3"/>
      <c r="G964" s="2"/>
      <c r="H964" s="4"/>
      <c r="I964" s="5"/>
      <c r="J964" s="5"/>
      <c r="K964" s="5"/>
      <c r="L964" s="4"/>
      <c r="M964" s="4"/>
      <c r="N964" s="4"/>
      <c r="O964" s="4"/>
      <c r="P964" s="4"/>
      <c r="Q964" s="5"/>
      <c r="R964" s="5"/>
      <c r="S964" s="5"/>
      <c r="T964" s="5"/>
      <c r="U964" s="6"/>
      <c r="V964" s="5"/>
      <c r="W964" s="7"/>
      <c r="X964" s="8"/>
      <c r="Y964" s="8"/>
      <c r="Z964" s="2"/>
      <c r="AA964" s="2"/>
      <c r="AB964" s="2"/>
      <c r="AC964" s="2"/>
      <c r="AD964" s="2"/>
    </row>
    <row r="965" ht="12.0" customHeight="1">
      <c r="A965" s="2"/>
      <c r="B965" s="2"/>
      <c r="C965" s="2"/>
      <c r="D965" s="3"/>
      <c r="E965" s="3"/>
      <c r="F965" s="3"/>
      <c r="G965" s="2"/>
      <c r="H965" s="4"/>
      <c r="I965" s="5"/>
      <c r="J965" s="5"/>
      <c r="K965" s="5"/>
      <c r="L965" s="4"/>
      <c r="M965" s="4"/>
      <c r="N965" s="4"/>
      <c r="O965" s="4"/>
      <c r="P965" s="4"/>
      <c r="Q965" s="5"/>
      <c r="R965" s="5"/>
      <c r="S965" s="5"/>
      <c r="T965" s="5"/>
      <c r="U965" s="6"/>
      <c r="V965" s="5"/>
      <c r="W965" s="7"/>
      <c r="X965" s="8"/>
      <c r="Y965" s="8"/>
      <c r="Z965" s="2"/>
      <c r="AA965" s="2"/>
      <c r="AB965" s="2"/>
      <c r="AC965" s="2"/>
      <c r="AD965" s="2"/>
    </row>
    <row r="966" ht="12.0" customHeight="1">
      <c r="A966" s="2"/>
      <c r="B966" s="2"/>
      <c r="C966" s="2"/>
      <c r="D966" s="3"/>
      <c r="E966" s="3"/>
      <c r="F966" s="3"/>
      <c r="G966" s="2"/>
      <c r="H966" s="4"/>
      <c r="I966" s="5"/>
      <c r="J966" s="5"/>
      <c r="K966" s="5"/>
      <c r="L966" s="4"/>
      <c r="M966" s="4"/>
      <c r="N966" s="4"/>
      <c r="O966" s="4"/>
      <c r="P966" s="4"/>
      <c r="Q966" s="5"/>
      <c r="R966" s="5"/>
      <c r="S966" s="5"/>
      <c r="T966" s="5"/>
      <c r="U966" s="6"/>
      <c r="V966" s="5"/>
      <c r="W966" s="7"/>
      <c r="X966" s="8"/>
      <c r="Y966" s="8"/>
      <c r="Z966" s="2"/>
      <c r="AA966" s="2"/>
      <c r="AB966" s="2"/>
      <c r="AC966" s="2"/>
      <c r="AD966" s="2"/>
    </row>
    <row r="967" ht="12.0" customHeight="1">
      <c r="A967" s="2"/>
      <c r="B967" s="2"/>
      <c r="C967" s="2"/>
      <c r="D967" s="3"/>
      <c r="E967" s="3"/>
      <c r="F967" s="3"/>
      <c r="G967" s="2"/>
      <c r="H967" s="4"/>
      <c r="I967" s="5"/>
      <c r="J967" s="5"/>
      <c r="K967" s="5"/>
      <c r="L967" s="4"/>
      <c r="M967" s="4"/>
      <c r="N967" s="4"/>
      <c r="O967" s="4"/>
      <c r="P967" s="4"/>
      <c r="Q967" s="5"/>
      <c r="R967" s="5"/>
      <c r="S967" s="5"/>
      <c r="T967" s="5"/>
      <c r="U967" s="6"/>
      <c r="V967" s="5"/>
      <c r="W967" s="7"/>
      <c r="X967" s="8"/>
      <c r="Y967" s="8"/>
      <c r="Z967" s="2"/>
      <c r="AA967" s="2"/>
      <c r="AB967" s="2"/>
      <c r="AC967" s="2"/>
      <c r="AD967" s="2"/>
    </row>
    <row r="968" ht="12.0" customHeight="1">
      <c r="A968" s="2"/>
      <c r="B968" s="2"/>
      <c r="C968" s="2"/>
      <c r="D968" s="3"/>
      <c r="E968" s="3"/>
      <c r="F968" s="3"/>
      <c r="G968" s="2"/>
      <c r="H968" s="4"/>
      <c r="I968" s="5"/>
      <c r="J968" s="5"/>
      <c r="K968" s="5"/>
      <c r="L968" s="4"/>
      <c r="M968" s="4"/>
      <c r="N968" s="4"/>
      <c r="O968" s="4"/>
      <c r="P968" s="4"/>
      <c r="Q968" s="5"/>
      <c r="R968" s="5"/>
      <c r="S968" s="5"/>
      <c r="T968" s="5"/>
      <c r="U968" s="6"/>
      <c r="V968" s="5"/>
      <c r="W968" s="7"/>
      <c r="X968" s="8"/>
      <c r="Y968" s="8"/>
      <c r="Z968" s="2"/>
      <c r="AA968" s="2"/>
      <c r="AB968" s="2"/>
      <c r="AC968" s="2"/>
      <c r="AD968" s="2"/>
    </row>
    <row r="969" ht="12.0" customHeight="1">
      <c r="A969" s="2"/>
      <c r="B969" s="2"/>
      <c r="C969" s="2"/>
      <c r="D969" s="3"/>
      <c r="E969" s="3"/>
      <c r="F969" s="3"/>
      <c r="G969" s="2"/>
      <c r="H969" s="4"/>
      <c r="I969" s="5"/>
      <c r="J969" s="5"/>
      <c r="K969" s="5"/>
      <c r="L969" s="4"/>
      <c r="M969" s="4"/>
      <c r="N969" s="4"/>
      <c r="O969" s="4"/>
      <c r="P969" s="4"/>
      <c r="Q969" s="5"/>
      <c r="R969" s="5"/>
      <c r="S969" s="5"/>
      <c r="T969" s="5"/>
      <c r="U969" s="6"/>
      <c r="V969" s="5"/>
      <c r="W969" s="7"/>
      <c r="X969" s="8"/>
      <c r="Y969" s="8"/>
      <c r="Z969" s="2"/>
      <c r="AA969" s="2"/>
      <c r="AB969" s="2"/>
      <c r="AC969" s="2"/>
      <c r="AD969" s="2"/>
    </row>
    <row r="970" ht="12.0" customHeight="1">
      <c r="A970" s="2"/>
      <c r="B970" s="2"/>
      <c r="C970" s="2"/>
      <c r="D970" s="3"/>
      <c r="E970" s="3"/>
      <c r="F970" s="3"/>
      <c r="G970" s="2"/>
      <c r="H970" s="4"/>
      <c r="I970" s="5"/>
      <c r="J970" s="5"/>
      <c r="K970" s="5"/>
      <c r="L970" s="4"/>
      <c r="M970" s="4"/>
      <c r="N970" s="4"/>
      <c r="O970" s="4"/>
      <c r="P970" s="4"/>
      <c r="Q970" s="5"/>
      <c r="R970" s="5"/>
      <c r="S970" s="5"/>
      <c r="T970" s="5"/>
      <c r="U970" s="6"/>
      <c r="V970" s="5"/>
      <c r="W970" s="7"/>
      <c r="X970" s="8"/>
      <c r="Y970" s="8"/>
      <c r="Z970" s="2"/>
      <c r="AA970" s="2"/>
      <c r="AB970" s="2"/>
      <c r="AC970" s="2"/>
      <c r="AD970" s="2"/>
    </row>
    <row r="971" ht="12.0" customHeight="1">
      <c r="A971" s="2"/>
      <c r="B971" s="2"/>
      <c r="C971" s="2"/>
      <c r="D971" s="3"/>
      <c r="E971" s="3"/>
      <c r="F971" s="3"/>
      <c r="G971" s="2"/>
      <c r="H971" s="4"/>
      <c r="I971" s="5"/>
      <c r="J971" s="5"/>
      <c r="K971" s="5"/>
      <c r="L971" s="4"/>
      <c r="M971" s="4"/>
      <c r="N971" s="4"/>
      <c r="O971" s="4"/>
      <c r="P971" s="4"/>
      <c r="Q971" s="5"/>
      <c r="R971" s="5"/>
      <c r="S971" s="5"/>
      <c r="T971" s="5"/>
      <c r="U971" s="6"/>
      <c r="V971" s="5"/>
      <c r="W971" s="7"/>
      <c r="X971" s="8"/>
      <c r="Y971" s="8"/>
      <c r="Z971" s="2"/>
      <c r="AA971" s="2"/>
      <c r="AB971" s="2"/>
      <c r="AC971" s="2"/>
      <c r="AD971" s="2"/>
    </row>
    <row r="972" ht="12.0" customHeight="1">
      <c r="A972" s="2"/>
      <c r="B972" s="2"/>
      <c r="C972" s="2"/>
      <c r="D972" s="3"/>
      <c r="E972" s="3"/>
      <c r="F972" s="3"/>
      <c r="G972" s="2"/>
      <c r="H972" s="4"/>
      <c r="I972" s="5"/>
      <c r="J972" s="5"/>
      <c r="K972" s="5"/>
      <c r="L972" s="4"/>
      <c r="M972" s="4"/>
      <c r="N972" s="4"/>
      <c r="O972" s="4"/>
      <c r="P972" s="4"/>
      <c r="Q972" s="5"/>
      <c r="R972" s="5"/>
      <c r="S972" s="5"/>
      <c r="T972" s="5"/>
      <c r="U972" s="6"/>
      <c r="V972" s="5"/>
      <c r="W972" s="7"/>
      <c r="X972" s="8"/>
      <c r="Y972" s="8"/>
      <c r="Z972" s="2"/>
      <c r="AA972" s="2"/>
      <c r="AB972" s="2"/>
      <c r="AC972" s="2"/>
      <c r="AD972" s="2"/>
    </row>
    <row r="973" ht="12.0" customHeight="1">
      <c r="A973" s="2"/>
      <c r="B973" s="2"/>
      <c r="C973" s="2"/>
      <c r="D973" s="3"/>
      <c r="E973" s="3"/>
      <c r="F973" s="3"/>
      <c r="G973" s="2"/>
      <c r="H973" s="4"/>
      <c r="I973" s="5"/>
      <c r="J973" s="5"/>
      <c r="K973" s="5"/>
      <c r="L973" s="4"/>
      <c r="M973" s="4"/>
      <c r="N973" s="4"/>
      <c r="O973" s="4"/>
      <c r="P973" s="4"/>
      <c r="Q973" s="5"/>
      <c r="R973" s="5"/>
      <c r="S973" s="5"/>
      <c r="T973" s="5"/>
      <c r="U973" s="6"/>
      <c r="V973" s="5"/>
      <c r="W973" s="7"/>
      <c r="X973" s="8"/>
      <c r="Y973" s="8"/>
      <c r="Z973" s="2"/>
      <c r="AA973" s="2"/>
      <c r="AB973" s="2"/>
      <c r="AC973" s="2"/>
      <c r="AD973" s="2"/>
    </row>
    <row r="974" ht="12.0" customHeight="1">
      <c r="A974" s="2"/>
      <c r="B974" s="2"/>
      <c r="C974" s="2"/>
      <c r="D974" s="3"/>
      <c r="E974" s="3"/>
      <c r="F974" s="3"/>
      <c r="G974" s="2"/>
      <c r="H974" s="4"/>
      <c r="I974" s="5"/>
      <c r="J974" s="5"/>
      <c r="K974" s="5"/>
      <c r="L974" s="4"/>
      <c r="M974" s="4"/>
      <c r="N974" s="4"/>
      <c r="O974" s="4"/>
      <c r="P974" s="4"/>
      <c r="Q974" s="5"/>
      <c r="R974" s="5"/>
      <c r="S974" s="5"/>
      <c r="T974" s="5"/>
      <c r="U974" s="6"/>
      <c r="V974" s="5"/>
      <c r="W974" s="7"/>
      <c r="X974" s="8"/>
      <c r="Y974" s="8"/>
      <c r="Z974" s="2"/>
      <c r="AA974" s="2"/>
      <c r="AB974" s="2"/>
      <c r="AC974" s="2"/>
      <c r="AD974" s="2"/>
    </row>
    <row r="975" ht="12.0" customHeight="1">
      <c r="A975" s="2"/>
      <c r="B975" s="2"/>
      <c r="C975" s="2"/>
      <c r="D975" s="3"/>
      <c r="E975" s="3"/>
      <c r="F975" s="3"/>
      <c r="G975" s="2"/>
      <c r="H975" s="4"/>
      <c r="I975" s="5"/>
      <c r="J975" s="5"/>
      <c r="K975" s="5"/>
      <c r="L975" s="4"/>
      <c r="M975" s="4"/>
      <c r="N975" s="4"/>
      <c r="O975" s="4"/>
      <c r="P975" s="4"/>
      <c r="Q975" s="5"/>
      <c r="R975" s="5"/>
      <c r="S975" s="5"/>
      <c r="T975" s="5"/>
      <c r="U975" s="6"/>
      <c r="V975" s="5"/>
      <c r="W975" s="7"/>
      <c r="X975" s="8"/>
      <c r="Y975" s="8"/>
      <c r="Z975" s="2"/>
      <c r="AA975" s="2"/>
      <c r="AB975" s="2"/>
      <c r="AC975" s="2"/>
      <c r="AD975" s="2"/>
    </row>
    <row r="976" ht="12.0" customHeight="1">
      <c r="A976" s="2"/>
      <c r="B976" s="2"/>
      <c r="C976" s="2"/>
      <c r="D976" s="3"/>
      <c r="E976" s="3"/>
      <c r="F976" s="3"/>
      <c r="G976" s="2"/>
      <c r="H976" s="4"/>
      <c r="I976" s="5"/>
      <c r="J976" s="5"/>
      <c r="K976" s="5"/>
      <c r="L976" s="4"/>
      <c r="M976" s="4"/>
      <c r="N976" s="4"/>
      <c r="O976" s="4"/>
      <c r="P976" s="4"/>
      <c r="Q976" s="5"/>
      <c r="R976" s="5"/>
      <c r="S976" s="5"/>
      <c r="T976" s="5"/>
      <c r="U976" s="6"/>
      <c r="V976" s="5"/>
      <c r="W976" s="7"/>
      <c r="X976" s="8"/>
      <c r="Y976" s="8"/>
      <c r="Z976" s="2"/>
      <c r="AA976" s="2"/>
      <c r="AB976" s="2"/>
      <c r="AC976" s="2"/>
      <c r="AD976" s="2"/>
    </row>
    <row r="977" ht="12.0" customHeight="1">
      <c r="A977" s="2"/>
      <c r="B977" s="2"/>
      <c r="C977" s="2"/>
      <c r="D977" s="3"/>
      <c r="E977" s="3"/>
      <c r="F977" s="3"/>
      <c r="G977" s="2"/>
      <c r="H977" s="4"/>
      <c r="I977" s="5"/>
      <c r="J977" s="5"/>
      <c r="K977" s="5"/>
      <c r="L977" s="4"/>
      <c r="M977" s="4"/>
      <c r="N977" s="4"/>
      <c r="O977" s="4"/>
      <c r="P977" s="4"/>
      <c r="Q977" s="5"/>
      <c r="R977" s="5"/>
      <c r="S977" s="5"/>
      <c r="T977" s="5"/>
      <c r="U977" s="6"/>
      <c r="V977" s="5"/>
      <c r="W977" s="7"/>
      <c r="X977" s="8"/>
      <c r="Y977" s="8"/>
      <c r="Z977" s="2"/>
      <c r="AA977" s="2"/>
      <c r="AB977" s="2"/>
      <c r="AC977" s="2"/>
      <c r="AD977" s="2"/>
    </row>
    <row r="978" ht="12.0" customHeight="1">
      <c r="A978" s="2"/>
      <c r="B978" s="2"/>
      <c r="C978" s="2"/>
      <c r="D978" s="3"/>
      <c r="E978" s="3"/>
      <c r="F978" s="3"/>
      <c r="G978" s="2"/>
      <c r="H978" s="4"/>
      <c r="I978" s="5"/>
      <c r="J978" s="5"/>
      <c r="K978" s="5"/>
      <c r="L978" s="4"/>
      <c r="M978" s="4"/>
      <c r="N978" s="4"/>
      <c r="O978" s="4"/>
      <c r="P978" s="4"/>
      <c r="Q978" s="5"/>
      <c r="R978" s="5"/>
      <c r="S978" s="5"/>
      <c r="T978" s="5"/>
      <c r="U978" s="6"/>
      <c r="V978" s="5"/>
      <c r="W978" s="7"/>
      <c r="X978" s="8"/>
      <c r="Y978" s="8"/>
      <c r="Z978" s="2"/>
      <c r="AA978" s="2"/>
      <c r="AB978" s="2"/>
      <c r="AC978" s="2"/>
      <c r="AD978" s="2"/>
    </row>
    <row r="979" ht="12.0" customHeight="1">
      <c r="A979" s="2"/>
      <c r="B979" s="2"/>
      <c r="C979" s="2"/>
      <c r="D979" s="3"/>
      <c r="E979" s="3"/>
      <c r="F979" s="3"/>
      <c r="G979" s="2"/>
      <c r="H979" s="4"/>
      <c r="I979" s="5"/>
      <c r="J979" s="5"/>
      <c r="K979" s="5"/>
      <c r="L979" s="4"/>
      <c r="M979" s="4"/>
      <c r="N979" s="4"/>
      <c r="O979" s="4"/>
      <c r="P979" s="4"/>
      <c r="Q979" s="5"/>
      <c r="R979" s="5"/>
      <c r="S979" s="5"/>
      <c r="T979" s="5"/>
      <c r="U979" s="6"/>
      <c r="V979" s="5"/>
      <c r="W979" s="7"/>
      <c r="X979" s="8"/>
      <c r="Y979" s="8"/>
      <c r="Z979" s="2"/>
      <c r="AA979" s="2"/>
      <c r="AB979" s="2"/>
      <c r="AC979" s="2"/>
      <c r="AD979" s="2"/>
    </row>
    <row r="980" ht="12.0" customHeight="1">
      <c r="A980" s="2"/>
      <c r="B980" s="2"/>
      <c r="C980" s="2"/>
      <c r="D980" s="3"/>
      <c r="E980" s="3"/>
      <c r="F980" s="3"/>
      <c r="G980" s="2"/>
      <c r="H980" s="4"/>
      <c r="I980" s="5"/>
      <c r="J980" s="5"/>
      <c r="K980" s="5"/>
      <c r="L980" s="4"/>
      <c r="M980" s="4"/>
      <c r="N980" s="4"/>
      <c r="O980" s="4"/>
      <c r="P980" s="4"/>
      <c r="Q980" s="5"/>
      <c r="R980" s="5"/>
      <c r="S980" s="5"/>
      <c r="T980" s="5"/>
      <c r="U980" s="6"/>
      <c r="V980" s="5"/>
      <c r="W980" s="7"/>
      <c r="X980" s="8"/>
      <c r="Y980" s="8"/>
      <c r="Z980" s="2"/>
      <c r="AA980" s="2"/>
      <c r="AB980" s="2"/>
      <c r="AC980" s="2"/>
      <c r="AD980" s="2"/>
    </row>
    <row r="981" ht="12.0" customHeight="1">
      <c r="A981" s="2"/>
      <c r="B981" s="2"/>
      <c r="C981" s="2"/>
      <c r="D981" s="3"/>
      <c r="E981" s="3"/>
      <c r="F981" s="3"/>
      <c r="G981" s="2"/>
      <c r="H981" s="4"/>
      <c r="I981" s="5"/>
      <c r="J981" s="5"/>
      <c r="K981" s="5"/>
      <c r="L981" s="4"/>
      <c r="M981" s="4"/>
      <c r="N981" s="4"/>
      <c r="O981" s="4"/>
      <c r="P981" s="4"/>
      <c r="Q981" s="5"/>
      <c r="R981" s="5"/>
      <c r="S981" s="5"/>
      <c r="T981" s="5"/>
      <c r="U981" s="6"/>
      <c r="V981" s="5"/>
      <c r="W981" s="7"/>
      <c r="X981" s="8"/>
      <c r="Y981" s="8"/>
      <c r="Z981" s="2"/>
      <c r="AA981" s="2"/>
      <c r="AB981" s="2"/>
      <c r="AC981" s="2"/>
      <c r="AD981" s="2"/>
    </row>
    <row r="982" ht="12.0" customHeight="1">
      <c r="A982" s="2"/>
      <c r="B982" s="2"/>
      <c r="C982" s="2"/>
      <c r="D982" s="3"/>
      <c r="E982" s="3"/>
      <c r="F982" s="3"/>
      <c r="G982" s="2"/>
      <c r="H982" s="4"/>
      <c r="I982" s="5"/>
      <c r="J982" s="5"/>
      <c r="K982" s="5"/>
      <c r="L982" s="4"/>
      <c r="M982" s="4"/>
      <c r="N982" s="4"/>
      <c r="O982" s="4"/>
      <c r="P982" s="4"/>
      <c r="Q982" s="5"/>
      <c r="R982" s="5"/>
      <c r="S982" s="5"/>
      <c r="T982" s="5"/>
      <c r="U982" s="6"/>
      <c r="V982" s="5"/>
      <c r="W982" s="7"/>
      <c r="X982" s="8"/>
      <c r="Y982" s="8"/>
      <c r="Z982" s="2"/>
      <c r="AA982" s="2"/>
      <c r="AB982" s="2"/>
      <c r="AC982" s="2"/>
      <c r="AD982" s="2"/>
    </row>
    <row r="983" ht="12.0" customHeight="1">
      <c r="A983" s="2"/>
      <c r="B983" s="2"/>
      <c r="C983" s="2"/>
      <c r="D983" s="3"/>
      <c r="E983" s="3"/>
      <c r="F983" s="3"/>
      <c r="G983" s="2"/>
      <c r="H983" s="4"/>
      <c r="I983" s="5"/>
      <c r="J983" s="5"/>
      <c r="K983" s="5"/>
      <c r="L983" s="4"/>
      <c r="M983" s="4"/>
      <c r="N983" s="4"/>
      <c r="O983" s="4"/>
      <c r="P983" s="4"/>
      <c r="Q983" s="5"/>
      <c r="R983" s="5"/>
      <c r="S983" s="5"/>
      <c r="T983" s="5"/>
      <c r="U983" s="6"/>
      <c r="V983" s="5"/>
      <c r="W983" s="7"/>
      <c r="X983" s="8"/>
      <c r="Y983" s="8"/>
      <c r="Z983" s="2"/>
      <c r="AA983" s="2"/>
      <c r="AB983" s="2"/>
      <c r="AC983" s="2"/>
      <c r="AD983" s="2"/>
    </row>
    <row r="984" ht="12.0" customHeight="1">
      <c r="A984" s="2"/>
      <c r="B984" s="2"/>
      <c r="C984" s="2"/>
      <c r="D984" s="3"/>
      <c r="E984" s="3"/>
      <c r="F984" s="3"/>
      <c r="G984" s="2"/>
      <c r="H984" s="4"/>
      <c r="I984" s="5"/>
      <c r="J984" s="5"/>
      <c r="K984" s="5"/>
      <c r="L984" s="4"/>
      <c r="M984" s="4"/>
      <c r="N984" s="4"/>
      <c r="O984" s="4"/>
      <c r="P984" s="4"/>
      <c r="Q984" s="5"/>
      <c r="R984" s="5"/>
      <c r="S984" s="5"/>
      <c r="T984" s="5"/>
      <c r="U984" s="6"/>
      <c r="V984" s="5"/>
      <c r="W984" s="7"/>
      <c r="X984" s="8"/>
      <c r="Y984" s="8"/>
      <c r="Z984" s="2"/>
      <c r="AA984" s="2"/>
      <c r="AB984" s="2"/>
      <c r="AC984" s="2"/>
      <c r="AD984" s="2"/>
    </row>
    <row r="985" ht="12.0" customHeight="1">
      <c r="A985" s="2"/>
      <c r="B985" s="2"/>
      <c r="C985" s="2"/>
      <c r="D985" s="3"/>
      <c r="E985" s="3"/>
      <c r="F985" s="3"/>
      <c r="G985" s="2"/>
      <c r="H985" s="4"/>
      <c r="I985" s="5"/>
      <c r="J985" s="5"/>
      <c r="K985" s="5"/>
      <c r="L985" s="4"/>
      <c r="M985" s="4"/>
      <c r="N985" s="4"/>
      <c r="O985" s="4"/>
      <c r="P985" s="4"/>
      <c r="Q985" s="5"/>
      <c r="R985" s="5"/>
      <c r="S985" s="5"/>
      <c r="T985" s="5"/>
      <c r="U985" s="6"/>
      <c r="V985" s="5"/>
      <c r="W985" s="7"/>
      <c r="X985" s="8"/>
      <c r="Y985" s="8"/>
      <c r="Z985" s="2"/>
      <c r="AA985" s="2"/>
      <c r="AB985" s="2"/>
      <c r="AC985" s="2"/>
      <c r="AD985" s="2"/>
    </row>
    <row r="986" ht="12.0" customHeight="1">
      <c r="A986" s="2"/>
      <c r="B986" s="2"/>
      <c r="C986" s="2"/>
      <c r="D986" s="3"/>
      <c r="E986" s="3"/>
      <c r="F986" s="3"/>
      <c r="G986" s="2"/>
      <c r="H986" s="4"/>
      <c r="I986" s="5"/>
      <c r="J986" s="5"/>
      <c r="K986" s="5"/>
      <c r="L986" s="4"/>
      <c r="M986" s="4"/>
      <c r="N986" s="4"/>
      <c r="O986" s="4"/>
      <c r="P986" s="4"/>
      <c r="Q986" s="5"/>
      <c r="R986" s="5"/>
      <c r="S986" s="5"/>
      <c r="T986" s="5"/>
      <c r="U986" s="6"/>
      <c r="V986" s="5"/>
      <c r="W986" s="7"/>
      <c r="X986" s="8"/>
      <c r="Y986" s="8"/>
      <c r="Z986" s="2"/>
      <c r="AA986" s="2"/>
      <c r="AB986" s="2"/>
      <c r="AC986" s="2"/>
      <c r="AD986" s="2"/>
    </row>
    <row r="987" ht="12.0" customHeight="1">
      <c r="A987" s="2"/>
      <c r="B987" s="2"/>
      <c r="C987" s="2"/>
      <c r="D987" s="3"/>
      <c r="E987" s="3"/>
      <c r="F987" s="3"/>
      <c r="G987" s="2"/>
      <c r="H987" s="4"/>
      <c r="I987" s="5"/>
      <c r="J987" s="5"/>
      <c r="K987" s="5"/>
      <c r="L987" s="4"/>
      <c r="M987" s="4"/>
      <c r="N987" s="4"/>
      <c r="O987" s="4"/>
      <c r="P987" s="4"/>
      <c r="Q987" s="5"/>
      <c r="R987" s="5"/>
      <c r="S987" s="5"/>
      <c r="T987" s="5"/>
      <c r="U987" s="6"/>
      <c r="V987" s="5"/>
      <c r="W987" s="7"/>
      <c r="X987" s="8"/>
      <c r="Y987" s="8"/>
      <c r="Z987" s="2"/>
      <c r="AA987" s="2"/>
      <c r="AB987" s="2"/>
      <c r="AC987" s="2"/>
      <c r="AD987" s="2"/>
    </row>
    <row r="988" ht="12.0" customHeight="1">
      <c r="A988" s="2"/>
      <c r="B988" s="2"/>
      <c r="C988" s="2"/>
      <c r="D988" s="3"/>
      <c r="E988" s="3"/>
      <c r="F988" s="3"/>
      <c r="G988" s="2"/>
      <c r="H988" s="4"/>
      <c r="I988" s="5"/>
      <c r="J988" s="5"/>
      <c r="K988" s="5"/>
      <c r="L988" s="4"/>
      <c r="M988" s="4"/>
      <c r="N988" s="4"/>
      <c r="O988" s="4"/>
      <c r="P988" s="4"/>
      <c r="Q988" s="5"/>
      <c r="R988" s="5"/>
      <c r="S988" s="5"/>
      <c r="T988" s="5"/>
      <c r="U988" s="6"/>
      <c r="V988" s="5"/>
      <c r="W988" s="7"/>
      <c r="X988" s="8"/>
      <c r="Y988" s="8"/>
      <c r="Z988" s="2"/>
      <c r="AA988" s="2"/>
      <c r="AB988" s="2"/>
      <c r="AC988" s="2"/>
      <c r="AD988" s="2"/>
    </row>
    <row r="989" ht="12.0" customHeight="1">
      <c r="A989" s="2"/>
      <c r="B989" s="2"/>
      <c r="C989" s="2"/>
      <c r="D989" s="3"/>
      <c r="E989" s="3"/>
      <c r="F989" s="3"/>
      <c r="G989" s="2"/>
      <c r="H989" s="4"/>
      <c r="I989" s="5"/>
      <c r="J989" s="5"/>
      <c r="K989" s="5"/>
      <c r="L989" s="4"/>
      <c r="M989" s="4"/>
      <c r="N989" s="4"/>
      <c r="O989" s="4"/>
      <c r="P989" s="4"/>
      <c r="Q989" s="5"/>
      <c r="R989" s="5"/>
      <c r="S989" s="5"/>
      <c r="T989" s="5"/>
      <c r="U989" s="6"/>
      <c r="V989" s="5"/>
      <c r="W989" s="7"/>
      <c r="X989" s="8"/>
      <c r="Y989" s="8"/>
      <c r="Z989" s="2"/>
      <c r="AA989" s="2"/>
      <c r="AB989" s="2"/>
      <c r="AC989" s="2"/>
      <c r="AD989" s="2"/>
    </row>
    <row r="990" ht="12.0" customHeight="1">
      <c r="A990" s="2"/>
      <c r="B990" s="2"/>
      <c r="C990" s="2"/>
      <c r="D990" s="3"/>
      <c r="E990" s="3"/>
      <c r="F990" s="3"/>
      <c r="G990" s="2"/>
      <c r="H990" s="4"/>
      <c r="I990" s="5"/>
      <c r="J990" s="5"/>
      <c r="K990" s="5"/>
      <c r="L990" s="4"/>
      <c r="M990" s="4"/>
      <c r="N990" s="4"/>
      <c r="O990" s="4"/>
      <c r="P990" s="4"/>
      <c r="Q990" s="5"/>
      <c r="R990" s="5"/>
      <c r="S990" s="5"/>
      <c r="T990" s="5"/>
      <c r="U990" s="6"/>
      <c r="V990" s="5"/>
      <c r="W990" s="7"/>
      <c r="X990" s="8"/>
      <c r="Y990" s="8"/>
      <c r="Z990" s="2"/>
      <c r="AA990" s="2"/>
      <c r="AB990" s="2"/>
      <c r="AC990" s="2"/>
      <c r="AD990" s="2"/>
    </row>
    <row r="991" ht="12.0" customHeight="1">
      <c r="A991" s="2"/>
      <c r="B991" s="2"/>
      <c r="C991" s="2"/>
      <c r="D991" s="3"/>
      <c r="E991" s="3"/>
      <c r="F991" s="3"/>
      <c r="G991" s="2"/>
      <c r="H991" s="4"/>
      <c r="I991" s="5"/>
      <c r="J991" s="5"/>
      <c r="K991" s="5"/>
      <c r="L991" s="4"/>
      <c r="M991" s="4"/>
      <c r="N991" s="4"/>
      <c r="O991" s="4"/>
      <c r="P991" s="4"/>
      <c r="Q991" s="5"/>
      <c r="R991" s="5"/>
      <c r="S991" s="5"/>
      <c r="T991" s="5"/>
      <c r="U991" s="6"/>
      <c r="V991" s="5"/>
      <c r="W991" s="7"/>
      <c r="X991" s="8"/>
      <c r="Y991" s="8"/>
      <c r="Z991" s="2"/>
      <c r="AA991" s="2"/>
      <c r="AB991" s="2"/>
      <c r="AC991" s="2"/>
      <c r="AD991" s="2"/>
    </row>
    <row r="992" ht="12.0" customHeight="1">
      <c r="A992" s="2"/>
      <c r="B992" s="2"/>
      <c r="C992" s="2"/>
      <c r="D992" s="3"/>
      <c r="E992" s="3"/>
      <c r="F992" s="3"/>
      <c r="G992" s="2"/>
      <c r="H992" s="4"/>
      <c r="I992" s="5"/>
      <c r="J992" s="5"/>
      <c r="K992" s="5"/>
      <c r="L992" s="4"/>
      <c r="M992" s="4"/>
      <c r="N992" s="4"/>
      <c r="O992" s="4"/>
      <c r="P992" s="4"/>
      <c r="Q992" s="5"/>
      <c r="R992" s="5"/>
      <c r="S992" s="5"/>
      <c r="T992" s="5"/>
      <c r="U992" s="6"/>
      <c r="V992" s="5"/>
      <c r="W992" s="7"/>
      <c r="X992" s="8"/>
      <c r="Y992" s="8"/>
      <c r="Z992" s="2"/>
      <c r="AA992" s="2"/>
      <c r="AB992" s="2"/>
      <c r="AC992" s="2"/>
      <c r="AD992" s="2"/>
    </row>
    <row r="993" ht="12.0" customHeight="1">
      <c r="A993" s="2"/>
      <c r="B993" s="2"/>
      <c r="C993" s="2"/>
      <c r="D993" s="3"/>
      <c r="E993" s="3"/>
      <c r="F993" s="3"/>
      <c r="G993" s="2"/>
      <c r="H993" s="4"/>
      <c r="I993" s="5"/>
      <c r="J993" s="5"/>
      <c r="K993" s="5"/>
      <c r="L993" s="4"/>
      <c r="M993" s="4"/>
      <c r="N993" s="4"/>
      <c r="O993" s="4"/>
      <c r="P993" s="4"/>
      <c r="Q993" s="5"/>
      <c r="R993" s="5"/>
      <c r="S993" s="5"/>
      <c r="T993" s="5"/>
      <c r="U993" s="6"/>
      <c r="V993" s="5"/>
      <c r="W993" s="7"/>
      <c r="X993" s="8"/>
      <c r="Y993" s="8"/>
      <c r="Z993" s="2"/>
      <c r="AA993" s="2"/>
      <c r="AB993" s="2"/>
      <c r="AC993" s="2"/>
      <c r="AD993" s="2"/>
    </row>
    <row r="994" ht="12.0" customHeight="1">
      <c r="A994" s="2"/>
      <c r="B994" s="2"/>
      <c r="C994" s="2"/>
      <c r="D994" s="3"/>
      <c r="E994" s="3"/>
      <c r="F994" s="3"/>
      <c r="G994" s="2"/>
      <c r="H994" s="4"/>
      <c r="I994" s="5"/>
      <c r="J994" s="5"/>
      <c r="K994" s="5"/>
      <c r="L994" s="4"/>
      <c r="M994" s="4"/>
      <c r="N994" s="4"/>
      <c r="O994" s="4"/>
      <c r="P994" s="4"/>
      <c r="Q994" s="5"/>
      <c r="R994" s="5"/>
      <c r="S994" s="5"/>
      <c r="T994" s="5"/>
      <c r="U994" s="6"/>
      <c r="V994" s="5"/>
      <c r="W994" s="7"/>
      <c r="X994" s="8"/>
      <c r="Y994" s="8"/>
      <c r="Z994" s="2"/>
      <c r="AA994" s="2"/>
      <c r="AB994" s="2"/>
      <c r="AC994" s="2"/>
      <c r="AD994" s="2"/>
    </row>
    <row r="995" ht="12.0" customHeight="1">
      <c r="A995" s="2"/>
      <c r="B995" s="2"/>
      <c r="C995" s="2"/>
      <c r="D995" s="3"/>
      <c r="E995" s="3"/>
      <c r="F995" s="3"/>
      <c r="G995" s="2"/>
      <c r="H995" s="4"/>
      <c r="I995" s="5"/>
      <c r="J995" s="5"/>
      <c r="K995" s="5"/>
      <c r="L995" s="4"/>
      <c r="M995" s="4"/>
      <c r="N995" s="4"/>
      <c r="O995" s="4"/>
      <c r="P995" s="4"/>
      <c r="Q995" s="5"/>
      <c r="R995" s="5"/>
      <c r="S995" s="5"/>
      <c r="T995" s="5"/>
      <c r="U995" s="6"/>
      <c r="V995" s="5"/>
      <c r="W995" s="7"/>
      <c r="X995" s="8"/>
      <c r="Y995" s="8"/>
      <c r="Z995" s="2"/>
      <c r="AA995" s="2"/>
      <c r="AB995" s="2"/>
      <c r="AC995" s="2"/>
      <c r="AD995" s="2"/>
    </row>
    <row r="996" ht="12.0" customHeight="1">
      <c r="A996" s="2"/>
      <c r="B996" s="2"/>
      <c r="C996" s="2"/>
      <c r="D996" s="3"/>
      <c r="E996" s="3"/>
      <c r="F996" s="3"/>
      <c r="G996" s="2"/>
      <c r="H996" s="4"/>
      <c r="I996" s="5"/>
      <c r="J996" s="5"/>
      <c r="K996" s="5"/>
      <c r="L996" s="4"/>
      <c r="M996" s="4"/>
      <c r="N996" s="4"/>
      <c r="O996" s="4"/>
      <c r="P996" s="4"/>
      <c r="Q996" s="5"/>
      <c r="R996" s="5"/>
      <c r="S996" s="5"/>
      <c r="T996" s="5"/>
      <c r="U996" s="6"/>
      <c r="V996" s="5"/>
      <c r="W996" s="7"/>
      <c r="X996" s="8"/>
      <c r="Y996" s="8"/>
      <c r="Z996" s="2"/>
      <c r="AA996" s="2"/>
      <c r="AB996" s="2"/>
      <c r="AC996" s="2"/>
      <c r="AD996" s="2"/>
    </row>
    <row r="997" ht="12.0" customHeight="1">
      <c r="A997" s="2"/>
      <c r="B997" s="2"/>
      <c r="C997" s="2"/>
      <c r="D997" s="3"/>
      <c r="E997" s="3"/>
      <c r="F997" s="3"/>
      <c r="G997" s="2"/>
      <c r="H997" s="4"/>
      <c r="I997" s="5"/>
      <c r="J997" s="5"/>
      <c r="K997" s="5"/>
      <c r="L997" s="4"/>
      <c r="M997" s="4"/>
      <c r="N997" s="4"/>
      <c r="O997" s="4"/>
      <c r="P997" s="4"/>
      <c r="Q997" s="5"/>
      <c r="R997" s="5"/>
      <c r="S997" s="5"/>
      <c r="T997" s="5"/>
      <c r="U997" s="6"/>
      <c r="V997" s="5"/>
      <c r="W997" s="7"/>
      <c r="X997" s="8"/>
      <c r="Y997" s="8"/>
      <c r="Z997" s="2"/>
      <c r="AA997" s="2"/>
      <c r="AB997" s="2"/>
      <c r="AC997" s="2"/>
      <c r="AD997" s="2"/>
    </row>
    <row r="998" ht="12.0" customHeight="1">
      <c r="A998" s="2"/>
      <c r="B998" s="2"/>
      <c r="C998" s="2"/>
      <c r="D998" s="3"/>
      <c r="E998" s="3"/>
      <c r="F998" s="3"/>
      <c r="G998" s="2"/>
      <c r="H998" s="4"/>
      <c r="I998" s="5"/>
      <c r="J998" s="5"/>
      <c r="K998" s="5"/>
      <c r="L998" s="4"/>
      <c r="M998" s="4"/>
      <c r="N998" s="4"/>
      <c r="O998" s="4"/>
      <c r="P998" s="4"/>
      <c r="Q998" s="5"/>
      <c r="R998" s="5"/>
      <c r="S998" s="5"/>
      <c r="T998" s="5"/>
      <c r="U998" s="6"/>
      <c r="V998" s="5"/>
      <c r="W998" s="7"/>
      <c r="X998" s="8"/>
      <c r="Y998" s="8"/>
      <c r="Z998" s="2"/>
      <c r="AA998" s="2"/>
      <c r="AB998" s="2"/>
      <c r="AC998" s="2"/>
      <c r="AD998" s="2"/>
    </row>
    <row r="999" ht="12.0" customHeight="1">
      <c r="A999" s="2"/>
      <c r="B999" s="2"/>
      <c r="C999" s="2"/>
      <c r="D999" s="3"/>
      <c r="E999" s="3"/>
      <c r="F999" s="3"/>
      <c r="G999" s="2"/>
      <c r="H999" s="4"/>
      <c r="I999" s="5"/>
      <c r="J999" s="5"/>
      <c r="K999" s="5"/>
      <c r="L999" s="4"/>
      <c r="M999" s="4"/>
      <c r="N999" s="4"/>
      <c r="O999" s="4"/>
      <c r="P999" s="4"/>
      <c r="Q999" s="5"/>
      <c r="R999" s="5"/>
      <c r="S999" s="5"/>
      <c r="T999" s="5"/>
      <c r="U999" s="6"/>
      <c r="V999" s="5"/>
      <c r="W999" s="7"/>
      <c r="X999" s="8"/>
      <c r="Y999" s="8"/>
      <c r="Z999" s="2"/>
      <c r="AA999" s="2"/>
      <c r="AB999" s="2"/>
      <c r="AC999" s="2"/>
      <c r="AD999" s="2"/>
    </row>
    <row r="1000" ht="12.0" customHeight="1">
      <c r="A1000" s="2"/>
      <c r="B1000" s="2"/>
      <c r="C1000" s="2"/>
      <c r="D1000" s="3"/>
      <c r="E1000" s="3"/>
      <c r="F1000" s="3"/>
      <c r="G1000" s="2"/>
      <c r="H1000" s="4"/>
      <c r="I1000" s="5"/>
      <c r="J1000" s="5"/>
      <c r="K1000" s="5"/>
      <c r="L1000" s="4"/>
      <c r="M1000" s="4"/>
      <c r="N1000" s="4"/>
      <c r="O1000" s="4"/>
      <c r="P1000" s="4"/>
      <c r="Q1000" s="5"/>
      <c r="R1000" s="5"/>
      <c r="S1000" s="5"/>
      <c r="T1000" s="5"/>
      <c r="U1000" s="6"/>
      <c r="V1000" s="5"/>
      <c r="W1000" s="7"/>
      <c r="X1000" s="8"/>
      <c r="Y1000" s="8"/>
      <c r="Z1000" s="2"/>
      <c r="AA1000" s="2"/>
      <c r="AB1000" s="2"/>
      <c r="AC1000" s="2"/>
      <c r="AD1000" s="2"/>
    </row>
  </sheetData>
  <mergeCells count="8">
    <mergeCell ref="B5:B6"/>
    <mergeCell ref="S5:U5"/>
    <mergeCell ref="B37:B38"/>
    <mergeCell ref="T37:X37"/>
    <mergeCell ref="B63:B64"/>
    <mergeCell ref="S63:U63"/>
    <mergeCell ref="B76:B77"/>
    <mergeCell ref="S76:U76"/>
  </mergeCells>
  <printOptions/>
  <pageMargins bottom="0.75" footer="0.0" header="0.0" left="0.25" right="0.25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6.71"/>
    <col customWidth="1" min="3" max="3" width="34.86"/>
    <col customWidth="1" min="4" max="4" width="27.0"/>
    <col customWidth="1" min="5" max="5" width="9.14"/>
    <col customWidth="1" min="6" max="7" width="17.14"/>
    <col customWidth="1" min="8" max="8" width="11.43"/>
    <col customWidth="1" min="9" max="26" width="9.14"/>
  </cols>
  <sheetData>
    <row r="1" ht="13.5" customHeight="1">
      <c r="A1" s="505"/>
      <c r="B1" s="506"/>
      <c r="C1" s="506"/>
      <c r="D1" s="506"/>
      <c r="E1" s="506"/>
      <c r="F1" s="506"/>
      <c r="G1" s="507" t="s">
        <v>415</v>
      </c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</row>
    <row r="2" ht="13.5" customHeight="1">
      <c r="A2" s="505"/>
      <c r="B2" s="506"/>
      <c r="C2" s="506"/>
      <c r="D2" s="506"/>
      <c r="E2" s="506"/>
      <c r="F2" s="506"/>
      <c r="G2" s="509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</row>
    <row r="3" ht="13.5" customHeight="1">
      <c r="A3" s="505"/>
      <c r="B3" s="510" t="s">
        <v>416</v>
      </c>
      <c r="C3" s="511"/>
      <c r="D3" s="511"/>
      <c r="E3" s="506"/>
      <c r="F3" s="506"/>
      <c r="G3" s="512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</row>
    <row r="4" ht="13.5" customHeight="1">
      <c r="A4" s="505"/>
      <c r="B4" s="513"/>
      <c r="C4" s="514"/>
      <c r="D4" s="514"/>
      <c r="E4" s="514"/>
      <c r="F4" s="514"/>
      <c r="G4" s="514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</row>
    <row r="5" ht="13.5" customHeight="1">
      <c r="A5" s="505"/>
      <c r="B5" s="506"/>
      <c r="C5" s="515" t="s">
        <v>417</v>
      </c>
      <c r="G5" s="512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</row>
    <row r="6" ht="13.5" customHeight="1">
      <c r="A6" s="505"/>
      <c r="B6" s="506"/>
      <c r="C6" s="515" t="s">
        <v>418</v>
      </c>
      <c r="G6" s="512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</row>
    <row r="7" ht="13.5" customHeight="1">
      <c r="A7" s="505"/>
      <c r="B7" s="506"/>
      <c r="C7" s="506"/>
      <c r="D7" s="506"/>
      <c r="E7" s="506"/>
      <c r="F7" s="506"/>
      <c r="G7" s="512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</row>
    <row r="8" ht="13.5" customHeight="1">
      <c r="A8" s="505"/>
      <c r="B8" s="516" t="s">
        <v>419</v>
      </c>
      <c r="E8" s="517"/>
      <c r="F8" s="517"/>
      <c r="G8" s="51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</row>
    <row r="9" ht="13.5" customHeight="1">
      <c r="A9" s="505"/>
      <c r="B9" s="506"/>
      <c r="C9" s="506"/>
      <c r="D9" s="506"/>
      <c r="E9" s="517"/>
      <c r="F9" s="506"/>
      <c r="G9" s="51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</row>
    <row r="10" ht="13.5" customHeight="1">
      <c r="A10" s="505"/>
      <c r="B10" s="516" t="s">
        <v>420</v>
      </c>
      <c r="E10" s="517"/>
      <c r="F10" s="506"/>
      <c r="G10" s="51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</row>
    <row r="11" ht="13.5" customHeight="1">
      <c r="A11" s="505"/>
      <c r="B11" s="506"/>
      <c r="C11" s="506"/>
      <c r="D11" s="506"/>
      <c r="E11" s="517"/>
      <c r="F11" s="506"/>
      <c r="G11" s="518"/>
      <c r="H11" s="508"/>
      <c r="I11" s="508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</row>
    <row r="12" ht="13.5" customHeight="1">
      <c r="A12" s="505"/>
      <c r="B12" s="516" t="s">
        <v>421</v>
      </c>
      <c r="E12" s="517"/>
      <c r="F12" s="517"/>
      <c r="G12" s="518"/>
      <c r="H12" s="508"/>
      <c r="I12" s="508"/>
      <c r="J12" s="508"/>
      <c r="K12" s="508"/>
      <c r="L12" s="508"/>
      <c r="M12" s="508"/>
      <c r="N12" s="508"/>
      <c r="O12" s="508"/>
      <c r="P12" s="508"/>
      <c r="Q12" s="508"/>
      <c r="R12" s="508"/>
      <c r="S12" s="508"/>
      <c r="T12" s="508"/>
      <c r="U12" s="508"/>
      <c r="V12" s="508"/>
      <c r="W12" s="508"/>
      <c r="X12" s="508"/>
      <c r="Y12" s="508"/>
      <c r="Z12" s="508"/>
    </row>
    <row r="13" ht="13.5" customHeight="1">
      <c r="A13" s="505"/>
      <c r="B13" s="517" t="s">
        <v>422</v>
      </c>
      <c r="E13" s="506"/>
      <c r="F13" s="506"/>
      <c r="G13" s="512"/>
      <c r="H13" s="508"/>
      <c r="I13" s="508"/>
      <c r="J13" s="508"/>
      <c r="K13" s="508"/>
      <c r="L13" s="508"/>
      <c r="M13" s="508"/>
      <c r="N13" s="508"/>
      <c r="O13" s="508"/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</row>
    <row r="14" ht="13.5" customHeight="1">
      <c r="A14" s="505"/>
      <c r="B14" s="516" t="s">
        <v>423</v>
      </c>
      <c r="D14" s="506"/>
      <c r="E14" s="519" t="s">
        <v>424</v>
      </c>
      <c r="H14" s="508"/>
      <c r="I14" s="508"/>
      <c r="J14" s="508"/>
      <c r="K14" s="508"/>
      <c r="L14" s="508"/>
      <c r="M14" s="508"/>
      <c r="N14" s="508"/>
      <c r="O14" s="508"/>
      <c r="P14" s="508"/>
      <c r="Q14" s="508"/>
      <c r="R14" s="508"/>
      <c r="S14" s="508"/>
      <c r="T14" s="508"/>
      <c r="U14" s="508"/>
      <c r="V14" s="508"/>
      <c r="W14" s="508"/>
      <c r="X14" s="508"/>
      <c r="Y14" s="508"/>
      <c r="Z14" s="508"/>
    </row>
    <row r="15" ht="13.5" customHeight="1">
      <c r="A15" s="505"/>
      <c r="B15" s="520" t="s">
        <v>425</v>
      </c>
      <c r="C15" s="178"/>
      <c r="D15" s="521"/>
      <c r="E15" s="522" t="s">
        <v>426</v>
      </c>
      <c r="F15" s="523" t="s">
        <v>427</v>
      </c>
      <c r="G15" s="524" t="s">
        <v>135</v>
      </c>
      <c r="H15" s="508"/>
      <c r="I15" s="508"/>
      <c r="J15" s="508"/>
      <c r="K15" s="508"/>
      <c r="L15" s="508"/>
      <c r="M15" s="508"/>
      <c r="N15" s="508"/>
      <c r="O15" s="508"/>
      <c r="P15" s="508"/>
      <c r="Q15" s="508"/>
      <c r="R15" s="508"/>
      <c r="S15" s="508"/>
      <c r="T15" s="508"/>
      <c r="U15" s="508"/>
      <c r="V15" s="508"/>
      <c r="W15" s="508"/>
      <c r="X15" s="508"/>
      <c r="Y15" s="508"/>
      <c r="Z15" s="508"/>
    </row>
    <row r="16" ht="13.5" customHeight="1">
      <c r="A16" s="505"/>
      <c r="B16" s="520" t="s">
        <v>428</v>
      </c>
      <c r="C16" s="178"/>
      <c r="D16" s="521"/>
      <c r="E16" s="522" t="s">
        <v>429</v>
      </c>
      <c r="F16" s="522" t="s">
        <v>430</v>
      </c>
      <c r="G16" s="524" t="s">
        <v>431</v>
      </c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508"/>
    </row>
    <row r="17" ht="24.75" customHeight="1">
      <c r="A17" s="505"/>
      <c r="B17" s="525" t="s">
        <v>432</v>
      </c>
      <c r="C17" s="178"/>
      <c r="D17" s="521"/>
      <c r="E17" s="523">
        <v>1.0</v>
      </c>
      <c r="F17" s="523">
        <f>+F18</f>
        <v>15</v>
      </c>
      <c r="G17" s="526">
        <f>H18+H19</f>
        <v>0</v>
      </c>
      <c r="H17" s="508"/>
      <c r="I17" s="508"/>
      <c r="J17" s="508"/>
      <c r="K17" s="508"/>
      <c r="L17" s="508"/>
      <c r="M17" s="508"/>
      <c r="N17" s="508"/>
      <c r="O17" s="508"/>
      <c r="P17" s="508"/>
      <c r="Q17" s="508"/>
      <c r="R17" s="508"/>
      <c r="S17" s="508"/>
      <c r="T17" s="508"/>
      <c r="U17" s="508"/>
      <c r="V17" s="508"/>
      <c r="W17" s="508"/>
      <c r="X17" s="508"/>
      <c r="Y17" s="508"/>
      <c r="Z17" s="508"/>
    </row>
    <row r="18" ht="24.75" customHeight="1">
      <c r="A18" s="505"/>
      <c r="B18" s="527"/>
      <c r="C18" s="528" t="s">
        <v>433</v>
      </c>
      <c r="D18" s="521"/>
      <c r="E18" s="529">
        <v>2.0</v>
      </c>
      <c r="F18" s="530">
        <v>15.0</v>
      </c>
      <c r="G18" s="531">
        <f>+'ТТ-11-1'!AO26</f>
        <v>828461631.1</v>
      </c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</row>
    <row r="19" ht="26.25" customHeight="1">
      <c r="A19" s="505"/>
      <c r="B19" s="527"/>
      <c r="C19" s="528" t="s">
        <v>434</v>
      </c>
      <c r="D19" s="521"/>
      <c r="E19" s="523">
        <v>3.0</v>
      </c>
      <c r="F19" s="530"/>
      <c r="G19" s="531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</row>
    <row r="20" ht="13.5" customHeight="1">
      <c r="A20" s="505"/>
      <c r="B20" s="532" t="s">
        <v>435</v>
      </c>
      <c r="C20" s="178"/>
      <c r="D20" s="521"/>
      <c r="E20" s="529">
        <v>4.0</v>
      </c>
      <c r="F20" s="530">
        <f>+F18</f>
        <v>15</v>
      </c>
      <c r="G20" s="531">
        <f>+'ТТ-11-1'!AP26</f>
        <v>26795695.08</v>
      </c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</row>
    <row r="21" ht="13.5" customHeight="1">
      <c r="A21" s="505"/>
      <c r="B21" s="532" t="s">
        <v>436</v>
      </c>
      <c r="C21" s="178"/>
      <c r="D21" s="521"/>
      <c r="E21" s="523">
        <v>5.0</v>
      </c>
      <c r="F21" s="530">
        <f>+F20</f>
        <v>15</v>
      </c>
      <c r="G21" s="531">
        <f>+G18-G20</f>
        <v>801665936</v>
      </c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</row>
    <row r="22" ht="13.5" customHeight="1">
      <c r="A22" s="505"/>
      <c r="B22" s="532" t="s">
        <v>437</v>
      </c>
      <c r="C22" s="178"/>
      <c r="D22" s="521"/>
      <c r="E22" s="529">
        <v>6.0</v>
      </c>
      <c r="F22" s="530">
        <f>+F18</f>
        <v>15</v>
      </c>
      <c r="G22" s="531">
        <f>G21*0.1</f>
        <v>80166593.6</v>
      </c>
      <c r="H22" s="533"/>
      <c r="I22" s="508"/>
      <c r="J22" s="508"/>
      <c r="K22" s="508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  <c r="Z22" s="508"/>
    </row>
    <row r="23" ht="28.5" customHeight="1">
      <c r="A23" s="505"/>
      <c r="B23" s="525" t="s">
        <v>438</v>
      </c>
      <c r="C23" s="178"/>
      <c r="D23" s="521"/>
      <c r="E23" s="523">
        <v>7.0</v>
      </c>
      <c r="F23" s="523"/>
      <c r="G23" s="526">
        <f>H24*0.1</f>
        <v>0</v>
      </c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  <c r="Z23" s="508"/>
    </row>
    <row r="24" ht="28.5" customHeight="1">
      <c r="A24" s="505"/>
      <c r="B24" s="527"/>
      <c r="C24" s="528" t="s">
        <v>439</v>
      </c>
      <c r="D24" s="521"/>
      <c r="E24" s="529">
        <v>8.0</v>
      </c>
      <c r="F24" s="530"/>
      <c r="G24" s="531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</row>
    <row r="25" ht="13.5" customHeight="1">
      <c r="A25" s="505"/>
      <c r="B25" s="534" t="s">
        <v>440</v>
      </c>
      <c r="C25" s="527"/>
      <c r="D25" s="535"/>
      <c r="E25" s="523">
        <v>9.0</v>
      </c>
      <c r="F25" s="530"/>
      <c r="G25" s="531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</row>
    <row r="26" ht="16.5" customHeight="1">
      <c r="A26" s="505"/>
      <c r="B26" s="527"/>
      <c r="C26" s="527" t="s">
        <v>441</v>
      </c>
      <c r="D26" s="535"/>
      <c r="E26" s="529">
        <v>10.0</v>
      </c>
      <c r="F26" s="530"/>
      <c r="G26" s="531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</row>
    <row r="27" ht="42.75" customHeight="1">
      <c r="A27" s="505"/>
      <c r="B27" s="525" t="s">
        <v>442</v>
      </c>
      <c r="C27" s="178"/>
      <c r="D27" s="521"/>
      <c r="E27" s="523">
        <v>11.0</v>
      </c>
      <c r="F27" s="530"/>
      <c r="G27" s="531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</row>
    <row r="28" ht="40.5" customHeight="1">
      <c r="A28" s="505"/>
      <c r="B28" s="527"/>
      <c r="C28" s="528" t="s">
        <v>443</v>
      </c>
      <c r="D28" s="521"/>
      <c r="E28" s="529">
        <v>12.0</v>
      </c>
      <c r="F28" s="530"/>
      <c r="G28" s="531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</row>
    <row r="29" ht="40.5" customHeight="1">
      <c r="A29" s="505"/>
      <c r="B29" s="525" t="s">
        <v>444</v>
      </c>
      <c r="C29" s="178"/>
      <c r="D29" s="521"/>
      <c r="E29" s="523">
        <v>13.0</v>
      </c>
      <c r="F29" s="530"/>
      <c r="G29" s="531"/>
      <c r="H29" s="508"/>
      <c r="I29" s="508"/>
      <c r="J29" s="508"/>
      <c r="K29" s="508"/>
      <c r="L29" s="508"/>
      <c r="M29" s="508"/>
      <c r="N29" s="508"/>
      <c r="O29" s="508"/>
      <c r="P29" s="508"/>
      <c r="Q29" s="508"/>
      <c r="R29" s="508"/>
      <c r="S29" s="508"/>
      <c r="T29" s="508"/>
      <c r="U29" s="508"/>
      <c r="V29" s="508"/>
      <c r="W29" s="508"/>
      <c r="X29" s="508"/>
      <c r="Y29" s="508"/>
      <c r="Z29" s="508"/>
    </row>
    <row r="30" ht="23.25" customHeight="1">
      <c r="A30" s="505"/>
      <c r="B30" s="527"/>
      <c r="C30" s="528" t="s">
        <v>445</v>
      </c>
      <c r="D30" s="521"/>
      <c r="E30" s="529">
        <v>14.0</v>
      </c>
      <c r="F30" s="530"/>
      <c r="G30" s="531"/>
      <c r="H30" s="508"/>
      <c r="I30" s="508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  <c r="Z30" s="508"/>
    </row>
    <row r="31" ht="13.5" customHeight="1">
      <c r="A31" s="505"/>
      <c r="B31" s="534" t="s">
        <v>446</v>
      </c>
      <c r="C31" s="527"/>
      <c r="D31" s="527"/>
      <c r="E31" s="523">
        <v>15.0</v>
      </c>
      <c r="F31" s="530">
        <f>+F18</f>
        <v>15</v>
      </c>
      <c r="G31" s="536">
        <f>+G22</f>
        <v>80166593.6</v>
      </c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</row>
    <row r="32" ht="13.5" customHeight="1">
      <c r="A32" s="505"/>
      <c r="B32" s="537" t="s">
        <v>447</v>
      </c>
      <c r="C32" s="538"/>
      <c r="D32" s="539"/>
      <c r="E32" s="529">
        <v>16.0</v>
      </c>
      <c r="F32" s="530">
        <f>+F18</f>
        <v>15</v>
      </c>
      <c r="G32" s="536">
        <f>+'ТТ-11-1'!AS26</f>
        <v>1529180.948</v>
      </c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</row>
    <row r="33" ht="13.5" customHeight="1">
      <c r="A33" s="505"/>
      <c r="B33" s="540"/>
      <c r="C33" s="173"/>
      <c r="D33" s="541"/>
      <c r="E33" s="523">
        <v>17.0</v>
      </c>
      <c r="F33" s="530"/>
      <c r="G33" s="536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</row>
    <row r="34" ht="13.5" customHeight="1">
      <c r="A34" s="505"/>
      <c r="B34" s="532" t="s">
        <v>448</v>
      </c>
      <c r="C34" s="178"/>
      <c r="D34" s="521"/>
      <c r="E34" s="529">
        <v>18.0</v>
      </c>
      <c r="F34" s="523">
        <f>+F31</f>
        <v>15</v>
      </c>
      <c r="G34" s="542">
        <f>+G31-G32-G33</f>
        <v>78637412.65</v>
      </c>
      <c r="H34" s="543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</row>
    <row r="35" ht="13.5" customHeight="1">
      <c r="A35" s="505"/>
      <c r="B35" s="534" t="s">
        <v>449</v>
      </c>
      <c r="C35" s="527"/>
      <c r="D35" s="544"/>
      <c r="E35" s="523">
        <v>19.0</v>
      </c>
      <c r="F35" s="530"/>
      <c r="G35" s="545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</row>
    <row r="36" ht="24.75" customHeight="1">
      <c r="A36" s="505"/>
      <c r="B36" s="525" t="s">
        <v>450</v>
      </c>
      <c r="C36" s="178"/>
      <c r="D36" s="521"/>
      <c r="E36" s="529">
        <v>20.0</v>
      </c>
      <c r="F36" s="530"/>
      <c r="G36" s="531">
        <v>0.0</v>
      </c>
      <c r="H36" s="508"/>
      <c r="I36" s="508"/>
      <c r="J36" s="508"/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  <c r="Z36" s="508"/>
    </row>
    <row r="37" ht="27.75" customHeight="1">
      <c r="A37" s="505"/>
      <c r="B37" s="527"/>
      <c r="C37" s="528" t="s">
        <v>451</v>
      </c>
      <c r="D37" s="521"/>
      <c r="E37" s="523">
        <v>21.0</v>
      </c>
      <c r="F37" s="530"/>
      <c r="G37" s="531">
        <v>0.0</v>
      </c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</row>
    <row r="38" ht="24.75" customHeight="1">
      <c r="A38" s="505"/>
      <c r="B38" s="527"/>
      <c r="C38" s="528" t="s">
        <v>452</v>
      </c>
      <c r="D38" s="521"/>
      <c r="E38" s="529">
        <v>22.0</v>
      </c>
      <c r="F38" s="530"/>
      <c r="G38" s="531">
        <v>0.0</v>
      </c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Z38" s="508"/>
    </row>
    <row r="39" ht="13.5" customHeight="1">
      <c r="A39" s="505"/>
      <c r="B39" s="527"/>
      <c r="C39" s="546" t="s">
        <v>453</v>
      </c>
      <c r="D39" s="521"/>
      <c r="E39" s="523">
        <v>23.0</v>
      </c>
      <c r="F39" s="530"/>
      <c r="G39" s="531">
        <v>0.0</v>
      </c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</row>
    <row r="40" ht="13.5" customHeight="1">
      <c r="A40" s="505"/>
      <c r="B40" s="527"/>
      <c r="C40" s="546" t="s">
        <v>454</v>
      </c>
      <c r="D40" s="521"/>
      <c r="E40" s="529">
        <v>24.0</v>
      </c>
      <c r="F40" s="530"/>
      <c r="G40" s="531">
        <v>0.0</v>
      </c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</row>
    <row r="41" ht="13.5" customHeight="1">
      <c r="A41" s="505"/>
      <c r="B41" s="527"/>
      <c r="C41" s="546" t="s">
        <v>455</v>
      </c>
      <c r="D41" s="521"/>
      <c r="E41" s="523">
        <v>25.0</v>
      </c>
      <c r="F41" s="530"/>
      <c r="G41" s="531">
        <v>0.0</v>
      </c>
      <c r="H41" s="508"/>
      <c r="I41" s="508"/>
      <c r="J41" s="508"/>
      <c r="K41" s="508"/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08"/>
      <c r="Y41" s="508"/>
      <c r="Z41" s="508"/>
    </row>
    <row r="42" ht="13.5" customHeight="1">
      <c r="A42" s="505"/>
      <c r="B42" s="527"/>
      <c r="C42" s="546" t="s">
        <v>456</v>
      </c>
      <c r="D42" s="521"/>
      <c r="E42" s="529">
        <v>26.0</v>
      </c>
      <c r="F42" s="530"/>
      <c r="G42" s="531">
        <v>0.0</v>
      </c>
      <c r="H42" s="508"/>
      <c r="I42" s="508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  <c r="Z42" s="508"/>
    </row>
    <row r="43" ht="13.5" customHeight="1">
      <c r="A43" s="505"/>
      <c r="B43" s="527"/>
      <c r="C43" s="546" t="s">
        <v>457</v>
      </c>
      <c r="D43" s="521"/>
      <c r="E43" s="523">
        <v>27.0</v>
      </c>
      <c r="F43" s="530"/>
      <c r="G43" s="531">
        <v>0.0</v>
      </c>
      <c r="H43" s="508"/>
      <c r="I43" s="508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</row>
    <row r="44" ht="13.5" customHeight="1">
      <c r="A44" s="505"/>
      <c r="B44" s="547" t="s">
        <v>458</v>
      </c>
      <c r="C44" s="178"/>
      <c r="D44" s="521"/>
      <c r="E44" s="529">
        <v>28.0</v>
      </c>
      <c r="F44" s="530"/>
      <c r="G44" s="531">
        <f>H36*0.1</f>
        <v>0</v>
      </c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</row>
    <row r="45" ht="13.5" customHeight="1">
      <c r="A45" s="505"/>
      <c r="B45" s="547" t="s">
        <v>459</v>
      </c>
      <c r="C45" s="178"/>
      <c r="D45" s="521"/>
      <c r="E45" s="523">
        <v>29.0</v>
      </c>
      <c r="F45" s="530"/>
      <c r="G45" s="526">
        <f>H34+H44</f>
        <v>0</v>
      </c>
      <c r="H45" s="508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508"/>
      <c r="V45" s="508"/>
      <c r="W45" s="508"/>
      <c r="X45" s="508"/>
      <c r="Y45" s="508"/>
      <c r="Z45" s="508"/>
    </row>
    <row r="46" ht="13.5" customHeight="1">
      <c r="A46" s="505"/>
      <c r="B46" s="532" t="s">
        <v>460</v>
      </c>
      <c r="C46" s="521"/>
      <c r="D46" s="548"/>
      <c r="E46" s="529">
        <v>30.0</v>
      </c>
      <c r="F46" s="549"/>
      <c r="G46" s="550"/>
      <c r="H46" s="508"/>
      <c r="I46" s="508"/>
      <c r="J46" s="508"/>
      <c r="K46" s="508"/>
      <c r="L46" s="508"/>
      <c r="M46" s="508"/>
      <c r="N46" s="508"/>
      <c r="O46" s="508"/>
      <c r="P46" s="508"/>
      <c r="Q46" s="508"/>
      <c r="R46" s="508"/>
      <c r="S46" s="508"/>
      <c r="T46" s="508"/>
      <c r="U46" s="508"/>
      <c r="V46" s="508"/>
      <c r="W46" s="508"/>
      <c r="X46" s="508"/>
      <c r="Y46" s="508"/>
      <c r="Z46" s="508"/>
    </row>
    <row r="47" ht="13.5" customHeight="1">
      <c r="A47" s="505"/>
      <c r="B47" s="548"/>
      <c r="C47" s="551" t="s">
        <v>461</v>
      </c>
      <c r="D47" s="521"/>
      <c r="E47" s="523">
        <v>31.0</v>
      </c>
      <c r="F47" s="552">
        <v>0.0</v>
      </c>
      <c r="G47" s="553"/>
      <c r="H47" s="508"/>
      <c r="I47" s="508"/>
      <c r="J47" s="508"/>
      <c r="K47" s="508"/>
      <c r="L47" s="508"/>
      <c r="M47" s="508"/>
      <c r="N47" s="508"/>
      <c r="O47" s="508"/>
      <c r="P47" s="508"/>
      <c r="Q47" s="508"/>
      <c r="R47" s="508"/>
      <c r="S47" s="508"/>
      <c r="T47" s="508"/>
      <c r="U47" s="508"/>
      <c r="V47" s="508"/>
      <c r="W47" s="508"/>
      <c r="X47" s="508"/>
      <c r="Y47" s="508"/>
      <c r="Z47" s="508"/>
    </row>
    <row r="48" ht="13.5" customHeight="1">
      <c r="A48" s="505"/>
      <c r="B48" s="548"/>
      <c r="C48" s="551" t="s">
        <v>462</v>
      </c>
      <c r="D48" s="521"/>
      <c r="E48" s="529">
        <v>32.0</v>
      </c>
      <c r="F48" s="531">
        <f>+G34</f>
        <v>78637412.65</v>
      </c>
      <c r="G48" s="553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8"/>
      <c r="T48" s="508"/>
      <c r="U48" s="508"/>
      <c r="V48" s="508"/>
      <c r="W48" s="508"/>
      <c r="X48" s="508"/>
      <c r="Y48" s="508"/>
      <c r="Z48" s="508"/>
    </row>
    <row r="49" ht="13.5" customHeight="1">
      <c r="A49" s="505"/>
      <c r="B49" s="548"/>
      <c r="C49" s="551" t="s">
        <v>463</v>
      </c>
      <c r="D49" s="521"/>
      <c r="E49" s="523">
        <v>33.0</v>
      </c>
      <c r="F49" s="554"/>
      <c r="G49" s="531">
        <f>12300000+18000000</f>
        <v>30300000</v>
      </c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8"/>
      <c r="T49" s="508"/>
      <c r="U49" s="508"/>
      <c r="V49" s="508"/>
      <c r="W49" s="508"/>
      <c r="X49" s="508"/>
      <c r="Y49" s="508"/>
      <c r="Z49" s="508"/>
    </row>
    <row r="50" ht="13.5" customHeight="1">
      <c r="A50" s="505"/>
      <c r="B50" s="548"/>
      <c r="C50" s="551" t="s">
        <v>464</v>
      </c>
      <c r="D50" s="521"/>
      <c r="E50" s="529">
        <v>34.0</v>
      </c>
      <c r="F50" s="531">
        <f>F47+F48-G49</f>
        <v>48337412.65</v>
      </c>
      <c r="G50" s="553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8"/>
      <c r="T50" s="508"/>
      <c r="U50" s="508"/>
      <c r="V50" s="508"/>
      <c r="W50" s="508"/>
      <c r="X50" s="508"/>
      <c r="Y50" s="508"/>
      <c r="Z50" s="508"/>
    </row>
    <row r="51" ht="13.5" customHeight="1">
      <c r="A51" s="505"/>
      <c r="B51" s="555"/>
      <c r="C51" s="506"/>
      <c r="D51" s="506"/>
      <c r="E51" s="556"/>
      <c r="F51" s="557"/>
      <c r="G51" s="557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508"/>
      <c r="Y51" s="508"/>
      <c r="Z51" s="508"/>
    </row>
    <row r="52" ht="13.5" customHeight="1">
      <c r="A52" s="505"/>
      <c r="B52" s="506"/>
      <c r="C52" s="517" t="s">
        <v>465</v>
      </c>
      <c r="E52" s="517" t="s">
        <v>466</v>
      </c>
      <c r="G52" s="512"/>
      <c r="H52" s="508"/>
      <c r="I52" s="508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  <c r="U52" s="508"/>
      <c r="V52" s="508"/>
      <c r="W52" s="508"/>
      <c r="X52" s="508"/>
      <c r="Y52" s="508"/>
      <c r="Z52" s="508"/>
    </row>
    <row r="53" ht="13.5" customHeight="1">
      <c r="A53" s="505"/>
      <c r="B53" s="506"/>
      <c r="C53" s="517" t="s">
        <v>467</v>
      </c>
      <c r="E53" s="517" t="s">
        <v>468</v>
      </c>
      <c r="G53" s="512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</row>
    <row r="54" ht="13.5" customHeight="1">
      <c r="A54" s="505"/>
      <c r="B54" s="506"/>
      <c r="C54" s="506"/>
      <c r="D54" s="506"/>
      <c r="E54" s="506"/>
      <c r="F54" s="506"/>
      <c r="G54" s="512"/>
      <c r="H54" s="508"/>
      <c r="I54" s="508"/>
      <c r="J54" s="508"/>
      <c r="K54" s="508"/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508"/>
      <c r="W54" s="508"/>
      <c r="X54" s="508"/>
      <c r="Y54" s="508"/>
      <c r="Z54" s="508"/>
    </row>
    <row r="55" ht="13.5" customHeight="1">
      <c r="A55" s="505"/>
      <c r="B55" s="506"/>
      <c r="C55" s="517" t="str">
        <f>'[5]ZURUU-n tailan2011231'!C65</f>
        <v>#REF!</v>
      </c>
      <c r="H55" s="508"/>
      <c r="I55" s="508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08"/>
      <c r="U55" s="508"/>
      <c r="V55" s="508"/>
      <c r="W55" s="508"/>
      <c r="X55" s="508"/>
      <c r="Y55" s="508"/>
      <c r="Z55" s="508"/>
    </row>
    <row r="56" ht="13.5" customHeight="1">
      <c r="A56" s="505"/>
      <c r="B56" s="506"/>
      <c r="C56" s="517" t="s">
        <v>469</v>
      </c>
      <c r="E56" s="506"/>
      <c r="F56" s="506"/>
      <c r="G56" s="512"/>
      <c r="H56" s="508"/>
      <c r="I56" s="508"/>
      <c r="J56" s="508"/>
      <c r="K56" s="508"/>
      <c r="L56" s="508"/>
      <c r="M56" s="508"/>
      <c r="N56" s="508"/>
      <c r="O56" s="508"/>
      <c r="P56" s="508"/>
      <c r="Q56" s="508"/>
      <c r="R56" s="508"/>
      <c r="S56" s="508"/>
      <c r="T56" s="508"/>
      <c r="U56" s="508"/>
      <c r="V56" s="508"/>
      <c r="W56" s="508"/>
      <c r="X56" s="508"/>
      <c r="Y56" s="508"/>
      <c r="Z56" s="508"/>
    </row>
    <row r="57" ht="13.5" customHeight="1">
      <c r="A57" s="508"/>
      <c r="B57" s="508"/>
      <c r="C57" s="508"/>
      <c r="D57" s="508"/>
      <c r="E57" s="508"/>
      <c r="F57" s="508"/>
      <c r="G57" s="533"/>
      <c r="H57" s="508"/>
      <c r="I57" s="508"/>
      <c r="J57" s="508"/>
      <c r="K57" s="508"/>
      <c r="L57" s="508"/>
      <c r="M57" s="508"/>
      <c r="N57" s="508"/>
      <c r="O57" s="508"/>
      <c r="P57" s="508"/>
      <c r="Q57" s="508"/>
      <c r="R57" s="508"/>
      <c r="S57" s="508"/>
      <c r="T57" s="508"/>
      <c r="U57" s="508"/>
      <c r="V57" s="508"/>
      <c r="W57" s="508"/>
      <c r="X57" s="508"/>
      <c r="Y57" s="508"/>
      <c r="Z57" s="508"/>
    </row>
    <row r="58" ht="13.5" customHeight="1">
      <c r="A58" s="508"/>
      <c r="B58" s="508"/>
      <c r="C58" s="508"/>
      <c r="D58" s="508"/>
      <c r="E58" s="508"/>
      <c r="F58" s="508"/>
      <c r="G58" s="533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</row>
    <row r="59" ht="13.5" customHeight="1">
      <c r="A59" s="508"/>
      <c r="B59" s="508"/>
      <c r="C59" s="508"/>
      <c r="D59" s="508"/>
      <c r="E59" s="508"/>
      <c r="F59" s="508"/>
      <c r="G59" s="533"/>
      <c r="H59" s="508"/>
      <c r="I59" s="508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508"/>
      <c r="W59" s="508"/>
      <c r="X59" s="508"/>
      <c r="Y59" s="508"/>
      <c r="Z59" s="508"/>
    </row>
    <row r="60" ht="13.5" customHeight="1">
      <c r="A60" s="508"/>
      <c r="B60" s="508"/>
      <c r="C60" s="508"/>
      <c r="D60" s="508"/>
      <c r="E60" s="508"/>
      <c r="F60" s="508"/>
      <c r="G60" s="533"/>
      <c r="H60" s="508"/>
      <c r="I60" s="508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</row>
    <row r="61" ht="13.5" customHeight="1">
      <c r="A61" s="508"/>
      <c r="B61" s="508"/>
      <c r="C61" s="508"/>
      <c r="D61" s="508"/>
      <c r="E61" s="508"/>
      <c r="F61" s="508"/>
      <c r="G61" s="533"/>
      <c r="H61" s="508"/>
      <c r="I61" s="508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  <c r="Z61" s="508"/>
    </row>
    <row r="62" ht="13.5" customHeight="1">
      <c r="A62" s="508"/>
      <c r="B62" s="508"/>
      <c r="C62" s="508"/>
      <c r="D62" s="508"/>
      <c r="E62" s="508"/>
      <c r="F62" s="508"/>
      <c r="G62" s="533"/>
      <c r="H62" s="508"/>
      <c r="I62" s="508"/>
      <c r="J62" s="508"/>
      <c r="K62" s="508"/>
      <c r="L62" s="508"/>
      <c r="M62" s="508"/>
      <c r="N62" s="508"/>
      <c r="O62" s="508"/>
      <c r="P62" s="508"/>
      <c r="Q62" s="508"/>
      <c r="R62" s="508"/>
      <c r="S62" s="508"/>
      <c r="T62" s="508"/>
      <c r="U62" s="508"/>
      <c r="V62" s="508"/>
      <c r="W62" s="508"/>
      <c r="X62" s="508"/>
      <c r="Y62" s="508"/>
      <c r="Z62" s="508"/>
    </row>
    <row r="63" ht="13.5" customHeight="1">
      <c r="A63" s="508"/>
      <c r="B63" s="508"/>
      <c r="C63" s="508"/>
      <c r="D63" s="508"/>
      <c r="E63" s="508"/>
      <c r="F63" s="508"/>
      <c r="G63" s="533"/>
      <c r="H63" s="508"/>
      <c r="I63" s="508"/>
      <c r="J63" s="508"/>
      <c r="K63" s="508"/>
      <c r="L63" s="508"/>
      <c r="M63" s="508"/>
      <c r="N63" s="508"/>
      <c r="O63" s="508"/>
      <c r="P63" s="508"/>
      <c r="Q63" s="508"/>
      <c r="R63" s="508"/>
      <c r="S63" s="508"/>
      <c r="T63" s="508"/>
      <c r="U63" s="508"/>
      <c r="V63" s="508"/>
      <c r="W63" s="508"/>
      <c r="X63" s="508"/>
      <c r="Y63" s="508"/>
      <c r="Z63" s="508"/>
    </row>
    <row r="64" ht="13.5" customHeight="1">
      <c r="A64" s="508"/>
      <c r="B64" s="508"/>
      <c r="C64" s="508"/>
      <c r="D64" s="508"/>
      <c r="E64" s="508"/>
      <c r="F64" s="508"/>
      <c r="G64" s="533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508"/>
      <c r="T64" s="508"/>
      <c r="U64" s="508"/>
      <c r="V64" s="508"/>
      <c r="W64" s="508"/>
      <c r="X64" s="508"/>
      <c r="Y64" s="508"/>
      <c r="Z64" s="508"/>
    </row>
    <row r="65" ht="13.5" customHeight="1">
      <c r="A65" s="508"/>
      <c r="B65" s="508"/>
      <c r="C65" s="508"/>
      <c r="D65" s="508"/>
      <c r="E65" s="508"/>
      <c r="F65" s="508"/>
      <c r="G65" s="533"/>
      <c r="H65" s="508"/>
      <c r="I65" s="508"/>
      <c r="J65" s="508"/>
      <c r="K65" s="508"/>
      <c r="L65" s="508"/>
      <c r="M65" s="508"/>
      <c r="N65" s="508"/>
      <c r="O65" s="508"/>
      <c r="P65" s="508"/>
      <c r="Q65" s="508"/>
      <c r="R65" s="508"/>
      <c r="S65" s="508"/>
      <c r="T65" s="508"/>
      <c r="U65" s="508"/>
      <c r="V65" s="508"/>
      <c r="W65" s="508"/>
      <c r="X65" s="508"/>
      <c r="Y65" s="508"/>
      <c r="Z65" s="508"/>
    </row>
    <row r="66" ht="13.5" customHeight="1">
      <c r="A66" s="508"/>
      <c r="B66" s="508"/>
      <c r="C66" s="508"/>
      <c r="D66" s="508"/>
      <c r="E66" s="508"/>
      <c r="F66" s="508"/>
      <c r="G66" s="533"/>
      <c r="H66" s="508"/>
      <c r="I66" s="508"/>
      <c r="J66" s="508"/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  <c r="Z66" s="508"/>
    </row>
    <row r="67" ht="13.5" customHeight="1">
      <c r="A67" s="508"/>
      <c r="B67" s="508"/>
      <c r="C67" s="508"/>
      <c r="D67" s="508"/>
      <c r="E67" s="508"/>
      <c r="F67" s="508"/>
      <c r="G67" s="533"/>
      <c r="H67" s="508"/>
      <c r="I67" s="508"/>
      <c r="J67" s="508"/>
      <c r="K67" s="508"/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  <c r="Z67" s="508"/>
    </row>
    <row r="68" ht="13.5" customHeight="1">
      <c r="A68" s="508"/>
      <c r="B68" s="508"/>
      <c r="C68" s="508"/>
      <c r="D68" s="508"/>
      <c r="E68" s="508"/>
      <c r="F68" s="508"/>
      <c r="G68" s="533"/>
      <c r="H68" s="508"/>
      <c r="I68" s="508"/>
      <c r="J68" s="508"/>
      <c r="K68" s="508"/>
      <c r="L68" s="508"/>
      <c r="M68" s="508"/>
      <c r="N68" s="508"/>
      <c r="O68" s="508"/>
      <c r="P68" s="508"/>
      <c r="Q68" s="508"/>
      <c r="R68" s="508"/>
      <c r="S68" s="508"/>
      <c r="T68" s="508"/>
      <c r="U68" s="508"/>
      <c r="V68" s="508"/>
      <c r="W68" s="508"/>
      <c r="X68" s="508"/>
      <c r="Y68" s="508"/>
      <c r="Z68" s="508"/>
    </row>
    <row r="69" ht="13.5" customHeight="1">
      <c r="A69" s="508"/>
      <c r="B69" s="508"/>
      <c r="C69" s="508"/>
      <c r="D69" s="508"/>
      <c r="E69" s="508"/>
      <c r="F69" s="508"/>
      <c r="G69" s="533"/>
      <c r="H69" s="508"/>
      <c r="I69" s="508"/>
      <c r="J69" s="508"/>
      <c r="K69" s="508"/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  <c r="Y69" s="508"/>
      <c r="Z69" s="508"/>
    </row>
    <row r="70" ht="13.5" customHeight="1">
      <c r="A70" s="508"/>
      <c r="B70" s="508"/>
      <c r="C70" s="508"/>
      <c r="D70" s="508"/>
      <c r="E70" s="508"/>
      <c r="F70" s="508"/>
      <c r="G70" s="533"/>
      <c r="H70" s="508"/>
      <c r="I70" s="508"/>
      <c r="J70" s="508"/>
      <c r="K70" s="508"/>
      <c r="L70" s="508"/>
      <c r="M70" s="508"/>
      <c r="N70" s="508"/>
      <c r="O70" s="508"/>
      <c r="P70" s="508"/>
      <c r="Q70" s="508"/>
      <c r="R70" s="508"/>
      <c r="S70" s="508"/>
      <c r="T70" s="508"/>
      <c r="U70" s="508"/>
      <c r="V70" s="508"/>
      <c r="W70" s="508"/>
      <c r="X70" s="508"/>
      <c r="Y70" s="508"/>
      <c r="Z70" s="508"/>
    </row>
    <row r="71" ht="13.5" customHeight="1">
      <c r="A71" s="508"/>
      <c r="B71" s="508"/>
      <c r="C71" s="508"/>
      <c r="D71" s="508"/>
      <c r="E71" s="508"/>
      <c r="F71" s="508"/>
      <c r="G71" s="533"/>
      <c r="H71" s="508"/>
      <c r="I71" s="508"/>
      <c r="J71" s="508"/>
      <c r="K71" s="508"/>
      <c r="L71" s="508"/>
      <c r="M71" s="508"/>
      <c r="N71" s="508"/>
      <c r="O71" s="508"/>
      <c r="P71" s="508"/>
      <c r="Q71" s="508"/>
      <c r="R71" s="508"/>
      <c r="S71" s="508"/>
      <c r="T71" s="508"/>
      <c r="U71" s="508"/>
      <c r="V71" s="508"/>
      <c r="W71" s="508"/>
      <c r="X71" s="508"/>
      <c r="Y71" s="508"/>
      <c r="Z71" s="508"/>
    </row>
    <row r="72" ht="13.5" customHeight="1">
      <c r="A72" s="508"/>
      <c r="B72" s="508"/>
      <c r="C72" s="508"/>
      <c r="D72" s="508"/>
      <c r="E72" s="508"/>
      <c r="F72" s="508"/>
      <c r="G72" s="533"/>
      <c r="H72" s="508"/>
      <c r="I72" s="508"/>
      <c r="J72" s="508"/>
      <c r="K72" s="508"/>
      <c r="L72" s="508"/>
      <c r="M72" s="508"/>
      <c r="N72" s="508"/>
      <c r="O72" s="508"/>
      <c r="P72" s="508"/>
      <c r="Q72" s="508"/>
      <c r="R72" s="508"/>
      <c r="S72" s="508"/>
      <c r="T72" s="508"/>
      <c r="U72" s="508"/>
      <c r="V72" s="508"/>
      <c r="W72" s="508"/>
      <c r="X72" s="508"/>
      <c r="Y72" s="508"/>
      <c r="Z72" s="508"/>
    </row>
    <row r="73" ht="13.5" customHeight="1">
      <c r="A73" s="508"/>
      <c r="B73" s="508"/>
      <c r="C73" s="508"/>
      <c r="D73" s="508"/>
      <c r="E73" s="508"/>
      <c r="F73" s="508"/>
      <c r="G73" s="533"/>
      <c r="H73" s="508"/>
      <c r="I73" s="508"/>
      <c r="J73" s="508"/>
      <c r="K73" s="508"/>
      <c r="L73" s="508"/>
      <c r="M73" s="508"/>
      <c r="N73" s="508"/>
      <c r="O73" s="508"/>
      <c r="P73" s="508"/>
      <c r="Q73" s="508"/>
      <c r="R73" s="508"/>
      <c r="S73" s="508"/>
      <c r="T73" s="508"/>
      <c r="U73" s="508"/>
      <c r="V73" s="508"/>
      <c r="W73" s="508"/>
      <c r="X73" s="508"/>
      <c r="Y73" s="508"/>
      <c r="Z73" s="508"/>
    </row>
    <row r="74" ht="13.5" customHeight="1">
      <c r="A74" s="508"/>
      <c r="B74" s="508"/>
      <c r="C74" s="508"/>
      <c r="D74" s="508"/>
      <c r="E74" s="508"/>
      <c r="F74" s="508"/>
      <c r="G74" s="533"/>
      <c r="H74" s="508"/>
      <c r="I74" s="508"/>
      <c r="J74" s="508"/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</row>
    <row r="75" ht="13.5" customHeight="1">
      <c r="A75" s="508"/>
      <c r="B75" s="508"/>
      <c r="C75" s="508"/>
      <c r="D75" s="508"/>
      <c r="E75" s="508"/>
      <c r="F75" s="508"/>
      <c r="G75" s="533"/>
      <c r="H75" s="508"/>
      <c r="I75" s="508"/>
      <c r="J75" s="508"/>
      <c r="K75" s="508"/>
      <c r="L75" s="508"/>
      <c r="M75" s="508"/>
      <c r="N75" s="508"/>
      <c r="O75" s="508"/>
      <c r="P75" s="508"/>
      <c r="Q75" s="508"/>
      <c r="R75" s="508"/>
      <c r="S75" s="508"/>
      <c r="T75" s="508"/>
      <c r="U75" s="508"/>
      <c r="V75" s="508"/>
      <c r="W75" s="508"/>
      <c r="X75" s="508"/>
      <c r="Y75" s="508"/>
      <c r="Z75" s="508"/>
    </row>
    <row r="76" ht="13.5" customHeight="1">
      <c r="A76" s="508"/>
      <c r="B76" s="508"/>
      <c r="C76" s="508"/>
      <c r="D76" s="508"/>
      <c r="E76" s="508"/>
      <c r="F76" s="508"/>
      <c r="G76" s="533"/>
      <c r="H76" s="508"/>
      <c r="I76" s="508"/>
      <c r="J76" s="508"/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</row>
    <row r="77" ht="13.5" customHeight="1">
      <c r="A77" s="508"/>
      <c r="B77" s="508"/>
      <c r="C77" s="508"/>
      <c r="D77" s="508"/>
      <c r="E77" s="508"/>
      <c r="F77" s="508"/>
      <c r="G77" s="533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</row>
    <row r="78" ht="13.5" customHeight="1">
      <c r="A78" s="508"/>
      <c r="B78" s="508"/>
      <c r="C78" s="508"/>
      <c r="D78" s="508"/>
      <c r="E78" s="508"/>
      <c r="F78" s="508"/>
      <c r="G78" s="533"/>
      <c r="H78" s="508"/>
      <c r="I78" s="508"/>
      <c r="J78" s="508"/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</row>
    <row r="79" ht="13.5" customHeight="1">
      <c r="A79" s="508"/>
      <c r="B79" s="508"/>
      <c r="C79" s="508"/>
      <c r="D79" s="508"/>
      <c r="E79" s="508"/>
      <c r="F79" s="508"/>
      <c r="G79" s="533"/>
      <c r="H79" s="508"/>
      <c r="I79" s="508"/>
      <c r="J79" s="508"/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  <c r="Z79" s="508"/>
    </row>
    <row r="80" ht="13.5" customHeight="1">
      <c r="A80" s="508"/>
      <c r="B80" s="508"/>
      <c r="C80" s="508"/>
      <c r="D80" s="508"/>
      <c r="E80" s="508"/>
      <c r="F80" s="508"/>
      <c r="G80" s="533"/>
      <c r="H80" s="508"/>
      <c r="I80" s="508"/>
      <c r="J80" s="508"/>
      <c r="K80" s="508"/>
      <c r="L80" s="508"/>
      <c r="M80" s="508"/>
      <c r="N80" s="508"/>
      <c r="O80" s="508"/>
      <c r="P80" s="508"/>
      <c r="Q80" s="508"/>
      <c r="R80" s="508"/>
      <c r="S80" s="508"/>
      <c r="T80" s="508"/>
      <c r="U80" s="508"/>
      <c r="V80" s="508"/>
      <c r="W80" s="508"/>
      <c r="X80" s="508"/>
      <c r="Y80" s="508"/>
      <c r="Z80" s="508"/>
    </row>
    <row r="81" ht="13.5" customHeight="1">
      <c r="A81" s="508"/>
      <c r="B81" s="508"/>
      <c r="C81" s="508"/>
      <c r="D81" s="508"/>
      <c r="E81" s="508"/>
      <c r="F81" s="508"/>
      <c r="G81" s="533"/>
      <c r="H81" s="508"/>
      <c r="I81" s="508"/>
      <c r="J81" s="508"/>
      <c r="K81" s="508"/>
      <c r="L81" s="508"/>
      <c r="M81" s="508"/>
      <c r="N81" s="508"/>
      <c r="O81" s="508"/>
      <c r="P81" s="508"/>
      <c r="Q81" s="508"/>
      <c r="R81" s="508"/>
      <c r="S81" s="508"/>
      <c r="T81" s="508"/>
      <c r="U81" s="508"/>
      <c r="V81" s="508"/>
      <c r="W81" s="508"/>
      <c r="X81" s="508"/>
      <c r="Y81" s="508"/>
      <c r="Z81" s="508"/>
    </row>
    <row r="82" ht="13.5" customHeight="1">
      <c r="A82" s="508"/>
      <c r="B82" s="508"/>
      <c r="C82" s="508"/>
      <c r="D82" s="508"/>
      <c r="E82" s="508"/>
      <c r="F82" s="508"/>
      <c r="G82" s="533"/>
      <c r="H82" s="508"/>
      <c r="I82" s="508"/>
      <c r="J82" s="508"/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</row>
    <row r="83" ht="13.5" customHeight="1">
      <c r="A83" s="508"/>
      <c r="B83" s="508"/>
      <c r="C83" s="508"/>
      <c r="D83" s="508"/>
      <c r="E83" s="508"/>
      <c r="F83" s="508"/>
      <c r="G83" s="533"/>
      <c r="H83" s="508"/>
      <c r="I83" s="508"/>
      <c r="J83" s="508"/>
      <c r="K83" s="508"/>
      <c r="L83" s="508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  <c r="Z83" s="508"/>
    </row>
    <row r="84" ht="13.5" customHeight="1">
      <c r="A84" s="508"/>
      <c r="B84" s="508"/>
      <c r="C84" s="508"/>
      <c r="D84" s="508"/>
      <c r="E84" s="508"/>
      <c r="F84" s="508"/>
      <c r="G84" s="533"/>
      <c r="H84" s="508"/>
      <c r="I84" s="508"/>
      <c r="J84" s="508"/>
      <c r="K84" s="508"/>
      <c r="L84" s="508"/>
      <c r="M84" s="508"/>
      <c r="N84" s="508"/>
      <c r="O84" s="508"/>
      <c r="P84" s="508"/>
      <c r="Q84" s="508"/>
      <c r="R84" s="508"/>
      <c r="S84" s="508"/>
      <c r="T84" s="508"/>
      <c r="U84" s="508"/>
      <c r="V84" s="508"/>
      <c r="W84" s="508"/>
      <c r="X84" s="508"/>
      <c r="Y84" s="508"/>
      <c r="Z84" s="508"/>
    </row>
    <row r="85" ht="13.5" customHeight="1">
      <c r="A85" s="508"/>
      <c r="B85" s="508"/>
      <c r="C85" s="508"/>
      <c r="D85" s="508"/>
      <c r="E85" s="508"/>
      <c r="F85" s="508"/>
      <c r="G85" s="533"/>
      <c r="H85" s="508"/>
      <c r="I85" s="508"/>
      <c r="J85" s="508"/>
      <c r="K85" s="508"/>
      <c r="L85" s="508"/>
      <c r="M85" s="508"/>
      <c r="N85" s="508"/>
      <c r="O85" s="508"/>
      <c r="P85" s="508"/>
      <c r="Q85" s="508"/>
      <c r="R85" s="508"/>
      <c r="S85" s="508"/>
      <c r="T85" s="508"/>
      <c r="U85" s="508"/>
      <c r="V85" s="508"/>
      <c r="W85" s="508"/>
      <c r="X85" s="508"/>
      <c r="Y85" s="508"/>
      <c r="Z85" s="508"/>
    </row>
    <row r="86" ht="13.5" customHeight="1">
      <c r="A86" s="508"/>
      <c r="B86" s="508"/>
      <c r="C86" s="508"/>
      <c r="D86" s="508"/>
      <c r="E86" s="508"/>
      <c r="F86" s="508"/>
      <c r="G86" s="533"/>
      <c r="H86" s="508"/>
      <c r="I86" s="508"/>
      <c r="J86" s="508"/>
      <c r="K86" s="508"/>
      <c r="L86" s="508"/>
      <c r="M86" s="508"/>
      <c r="N86" s="508"/>
      <c r="O86" s="508"/>
      <c r="P86" s="508"/>
      <c r="Q86" s="508"/>
      <c r="R86" s="508"/>
      <c r="S86" s="508"/>
      <c r="T86" s="508"/>
      <c r="U86" s="508"/>
      <c r="V86" s="508"/>
      <c r="W86" s="508"/>
      <c r="X86" s="508"/>
      <c r="Y86" s="508"/>
      <c r="Z86" s="508"/>
    </row>
    <row r="87" ht="13.5" customHeight="1">
      <c r="A87" s="508"/>
      <c r="B87" s="508"/>
      <c r="C87" s="508"/>
      <c r="D87" s="508"/>
      <c r="E87" s="508"/>
      <c r="F87" s="508"/>
      <c r="G87" s="533"/>
      <c r="H87" s="508"/>
      <c r="I87" s="508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</row>
    <row r="88" ht="13.5" customHeight="1">
      <c r="A88" s="508"/>
      <c r="B88" s="508"/>
      <c r="C88" s="508"/>
      <c r="D88" s="508"/>
      <c r="E88" s="508"/>
      <c r="F88" s="508"/>
      <c r="G88" s="533"/>
      <c r="H88" s="508"/>
      <c r="I88" s="508"/>
      <c r="J88" s="508"/>
      <c r="K88" s="508"/>
      <c r="L88" s="508"/>
      <c r="M88" s="508"/>
      <c r="N88" s="508"/>
      <c r="O88" s="508"/>
      <c r="P88" s="508"/>
      <c r="Q88" s="508"/>
      <c r="R88" s="508"/>
      <c r="S88" s="508"/>
      <c r="T88" s="508"/>
      <c r="U88" s="508"/>
      <c r="V88" s="508"/>
      <c r="W88" s="508"/>
      <c r="X88" s="508"/>
      <c r="Y88" s="508"/>
      <c r="Z88" s="508"/>
    </row>
    <row r="89" ht="13.5" customHeight="1">
      <c r="A89" s="508"/>
      <c r="B89" s="508"/>
      <c r="C89" s="508"/>
      <c r="D89" s="508"/>
      <c r="E89" s="508"/>
      <c r="F89" s="508"/>
      <c r="G89" s="533"/>
      <c r="H89" s="508"/>
      <c r="I89" s="508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508"/>
      <c r="Y89" s="508"/>
      <c r="Z89" s="508"/>
    </row>
    <row r="90" ht="13.5" customHeight="1">
      <c r="A90" s="508"/>
      <c r="B90" s="508"/>
      <c r="C90" s="508"/>
      <c r="D90" s="508"/>
      <c r="E90" s="508"/>
      <c r="F90" s="508"/>
      <c r="G90" s="533"/>
      <c r="H90" s="508"/>
      <c r="I90" s="508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  <c r="Z90" s="508"/>
    </row>
    <row r="91" ht="13.5" customHeight="1">
      <c r="A91" s="508"/>
      <c r="B91" s="508"/>
      <c r="C91" s="508"/>
      <c r="D91" s="508"/>
      <c r="E91" s="508"/>
      <c r="F91" s="508"/>
      <c r="G91" s="533"/>
      <c r="H91" s="508"/>
      <c r="I91" s="508"/>
      <c r="J91" s="508"/>
      <c r="K91" s="508"/>
      <c r="L91" s="508"/>
      <c r="M91" s="508"/>
      <c r="N91" s="508"/>
      <c r="O91" s="508"/>
      <c r="P91" s="508"/>
      <c r="Q91" s="508"/>
      <c r="R91" s="508"/>
      <c r="S91" s="508"/>
      <c r="T91" s="508"/>
      <c r="U91" s="508"/>
      <c r="V91" s="508"/>
      <c r="W91" s="508"/>
      <c r="X91" s="508"/>
      <c r="Y91" s="508"/>
      <c r="Z91" s="508"/>
    </row>
    <row r="92" ht="13.5" customHeight="1">
      <c r="A92" s="508"/>
      <c r="B92" s="508"/>
      <c r="C92" s="508"/>
      <c r="D92" s="508"/>
      <c r="E92" s="508"/>
      <c r="F92" s="508"/>
      <c r="G92" s="533"/>
      <c r="H92" s="508"/>
      <c r="I92" s="508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508"/>
      <c r="Y92" s="508"/>
      <c r="Z92" s="508"/>
    </row>
    <row r="93" ht="13.5" customHeight="1">
      <c r="A93" s="508"/>
      <c r="B93" s="508"/>
      <c r="C93" s="508"/>
      <c r="D93" s="508"/>
      <c r="E93" s="508"/>
      <c r="F93" s="508"/>
      <c r="G93" s="533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</row>
    <row r="94" ht="13.5" customHeight="1">
      <c r="A94" s="508"/>
      <c r="B94" s="508"/>
      <c r="C94" s="508"/>
      <c r="D94" s="508"/>
      <c r="E94" s="508"/>
      <c r="F94" s="508"/>
      <c r="G94" s="533"/>
      <c r="H94" s="508"/>
      <c r="I94" s="508"/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  <c r="Z94" s="508"/>
    </row>
    <row r="95" ht="13.5" customHeight="1">
      <c r="A95" s="508"/>
      <c r="B95" s="508"/>
      <c r="C95" s="508"/>
      <c r="D95" s="508"/>
      <c r="E95" s="508"/>
      <c r="F95" s="508"/>
      <c r="G95" s="533"/>
      <c r="H95" s="508"/>
      <c r="I95" s="508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</row>
    <row r="96" ht="13.5" customHeight="1">
      <c r="A96" s="508"/>
      <c r="B96" s="508"/>
      <c r="C96" s="508"/>
      <c r="D96" s="508"/>
      <c r="E96" s="508"/>
      <c r="F96" s="508"/>
      <c r="G96" s="533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</row>
    <row r="97" ht="13.5" customHeight="1">
      <c r="A97" s="508"/>
      <c r="B97" s="508"/>
      <c r="C97" s="508"/>
      <c r="D97" s="508"/>
      <c r="E97" s="508"/>
      <c r="F97" s="508"/>
      <c r="G97" s="533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</row>
    <row r="98" ht="13.5" customHeight="1">
      <c r="A98" s="508"/>
      <c r="B98" s="508"/>
      <c r="C98" s="508"/>
      <c r="D98" s="508"/>
      <c r="E98" s="508"/>
      <c r="F98" s="508"/>
      <c r="G98" s="533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</row>
    <row r="99" ht="13.5" customHeight="1">
      <c r="A99" s="508"/>
      <c r="B99" s="508"/>
      <c r="C99" s="508"/>
      <c r="D99" s="508"/>
      <c r="E99" s="508"/>
      <c r="F99" s="508"/>
      <c r="G99" s="533"/>
      <c r="H99" s="508"/>
      <c r="I99" s="508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</row>
    <row r="100" ht="13.5" customHeight="1">
      <c r="A100" s="508"/>
      <c r="B100" s="508"/>
      <c r="C100" s="508"/>
      <c r="D100" s="508"/>
      <c r="E100" s="508"/>
      <c r="F100" s="508"/>
      <c r="G100" s="533"/>
      <c r="H100" s="508"/>
      <c r="I100" s="508"/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  <c r="Z100" s="508"/>
    </row>
    <row r="101" ht="13.5" customHeight="1">
      <c r="A101" s="508"/>
      <c r="B101" s="508"/>
      <c r="C101" s="508"/>
      <c r="D101" s="508"/>
      <c r="E101" s="508"/>
      <c r="F101" s="508"/>
      <c r="G101" s="533"/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  <c r="Z101" s="508"/>
    </row>
    <row r="102" ht="13.5" customHeight="1">
      <c r="A102" s="508"/>
      <c r="B102" s="508"/>
      <c r="C102" s="508"/>
      <c r="D102" s="508"/>
      <c r="E102" s="508"/>
      <c r="F102" s="508"/>
      <c r="G102" s="533"/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508"/>
      <c r="Y102" s="508"/>
      <c r="Z102" s="508"/>
    </row>
    <row r="103" ht="13.5" customHeight="1">
      <c r="A103" s="508"/>
      <c r="B103" s="508"/>
      <c r="C103" s="508"/>
      <c r="D103" s="508"/>
      <c r="E103" s="508"/>
      <c r="F103" s="508"/>
      <c r="G103" s="533"/>
      <c r="H103" s="508"/>
      <c r="I103" s="508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</row>
    <row r="104" ht="13.5" customHeight="1">
      <c r="A104" s="508"/>
      <c r="B104" s="508"/>
      <c r="C104" s="508"/>
      <c r="D104" s="508"/>
      <c r="E104" s="508"/>
      <c r="F104" s="508"/>
      <c r="G104" s="533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</row>
    <row r="105" ht="13.5" customHeight="1">
      <c r="A105" s="508"/>
      <c r="B105" s="508"/>
      <c r="C105" s="508"/>
      <c r="D105" s="508"/>
      <c r="E105" s="508"/>
      <c r="F105" s="508"/>
      <c r="G105" s="533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</row>
    <row r="106" ht="13.5" customHeight="1">
      <c r="A106" s="508"/>
      <c r="B106" s="508"/>
      <c r="C106" s="508"/>
      <c r="D106" s="508"/>
      <c r="E106" s="508"/>
      <c r="F106" s="508"/>
      <c r="G106" s="533"/>
      <c r="H106" s="508"/>
      <c r="I106" s="508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508"/>
      <c r="Y106" s="508"/>
      <c r="Z106" s="508"/>
    </row>
    <row r="107" ht="13.5" customHeight="1">
      <c r="A107" s="508"/>
      <c r="B107" s="508"/>
      <c r="C107" s="508"/>
      <c r="D107" s="508"/>
      <c r="E107" s="508"/>
      <c r="F107" s="508"/>
      <c r="G107" s="533"/>
      <c r="H107" s="508"/>
      <c r="I107" s="508"/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  <c r="Z107" s="508"/>
    </row>
    <row r="108" ht="13.5" customHeight="1">
      <c r="A108" s="508"/>
      <c r="B108" s="508"/>
      <c r="C108" s="508"/>
      <c r="D108" s="508"/>
      <c r="E108" s="508"/>
      <c r="F108" s="508"/>
      <c r="G108" s="533"/>
      <c r="H108" s="508"/>
      <c r="I108" s="508"/>
      <c r="J108" s="508"/>
      <c r="K108" s="508"/>
      <c r="L108" s="508"/>
      <c r="M108" s="508"/>
      <c r="N108" s="508"/>
      <c r="O108" s="508"/>
      <c r="P108" s="508"/>
      <c r="Q108" s="508"/>
      <c r="R108" s="508"/>
      <c r="S108" s="508"/>
      <c r="T108" s="508"/>
      <c r="U108" s="508"/>
      <c r="V108" s="508"/>
      <c r="W108" s="508"/>
      <c r="X108" s="508"/>
      <c r="Y108" s="508"/>
      <c r="Z108" s="508"/>
    </row>
    <row r="109" ht="13.5" customHeight="1">
      <c r="A109" s="508"/>
      <c r="B109" s="508"/>
      <c r="C109" s="508"/>
      <c r="D109" s="508"/>
      <c r="E109" s="508"/>
      <c r="F109" s="508"/>
      <c r="G109" s="533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</row>
    <row r="110" ht="13.5" customHeight="1">
      <c r="A110" s="508"/>
      <c r="B110" s="508"/>
      <c r="C110" s="508"/>
      <c r="D110" s="508"/>
      <c r="E110" s="508"/>
      <c r="F110" s="508"/>
      <c r="G110" s="533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</row>
    <row r="111" ht="13.5" customHeight="1">
      <c r="A111" s="508"/>
      <c r="B111" s="508"/>
      <c r="C111" s="508"/>
      <c r="D111" s="508"/>
      <c r="E111" s="508"/>
      <c r="F111" s="508"/>
      <c r="G111" s="533"/>
      <c r="H111" s="508"/>
      <c r="I111" s="508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  <c r="Z111" s="508"/>
    </row>
    <row r="112" ht="13.5" customHeight="1">
      <c r="A112" s="508"/>
      <c r="B112" s="508"/>
      <c r="C112" s="508"/>
      <c r="D112" s="508"/>
      <c r="E112" s="508"/>
      <c r="F112" s="508"/>
      <c r="G112" s="533"/>
      <c r="H112" s="508"/>
      <c r="I112" s="508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508"/>
      <c r="Y112" s="508"/>
      <c r="Z112" s="508"/>
    </row>
    <row r="113" ht="13.5" customHeight="1">
      <c r="A113" s="508"/>
      <c r="B113" s="508"/>
      <c r="C113" s="508"/>
      <c r="D113" s="508"/>
      <c r="E113" s="508"/>
      <c r="F113" s="508"/>
      <c r="G113" s="533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  <c r="Z113" s="508"/>
    </row>
    <row r="114" ht="13.5" customHeight="1">
      <c r="A114" s="508"/>
      <c r="B114" s="508"/>
      <c r="C114" s="508"/>
      <c r="D114" s="508"/>
      <c r="E114" s="508"/>
      <c r="F114" s="508"/>
      <c r="G114" s="533"/>
      <c r="H114" s="508"/>
      <c r="I114" s="508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</row>
    <row r="115" ht="13.5" customHeight="1">
      <c r="A115" s="508"/>
      <c r="B115" s="508"/>
      <c r="C115" s="508"/>
      <c r="D115" s="508"/>
      <c r="E115" s="508"/>
      <c r="F115" s="508"/>
      <c r="G115" s="533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</row>
    <row r="116" ht="13.5" customHeight="1">
      <c r="A116" s="508"/>
      <c r="B116" s="508"/>
      <c r="C116" s="508"/>
      <c r="D116" s="508"/>
      <c r="E116" s="508"/>
      <c r="F116" s="508"/>
      <c r="G116" s="533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  <c r="Z116" s="508"/>
    </row>
    <row r="117" ht="13.5" customHeight="1">
      <c r="A117" s="508"/>
      <c r="B117" s="508"/>
      <c r="C117" s="508"/>
      <c r="D117" s="508"/>
      <c r="E117" s="508"/>
      <c r="F117" s="508"/>
      <c r="G117" s="533"/>
      <c r="H117" s="508"/>
      <c r="I117" s="508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  <c r="Z117" s="508"/>
    </row>
    <row r="118" ht="13.5" customHeight="1">
      <c r="A118" s="508"/>
      <c r="B118" s="508"/>
      <c r="C118" s="508"/>
      <c r="D118" s="508"/>
      <c r="E118" s="508"/>
      <c r="F118" s="508"/>
      <c r="G118" s="533"/>
      <c r="H118" s="508"/>
      <c r="I118" s="508"/>
      <c r="J118" s="508"/>
      <c r="K118" s="508"/>
      <c r="L118" s="508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508"/>
      <c r="Y118" s="508"/>
      <c r="Z118" s="508"/>
    </row>
    <row r="119" ht="13.5" customHeight="1">
      <c r="A119" s="508"/>
      <c r="B119" s="508"/>
      <c r="C119" s="508"/>
      <c r="D119" s="508"/>
      <c r="E119" s="508"/>
      <c r="F119" s="508"/>
      <c r="G119" s="533"/>
      <c r="H119" s="508"/>
      <c r="I119" s="508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508"/>
      <c r="Y119" s="508"/>
      <c r="Z119" s="508"/>
    </row>
    <row r="120" ht="13.5" customHeight="1">
      <c r="A120" s="508"/>
      <c r="B120" s="508"/>
      <c r="C120" s="508"/>
      <c r="D120" s="508"/>
      <c r="E120" s="508"/>
      <c r="F120" s="508"/>
      <c r="G120" s="533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</row>
    <row r="121" ht="13.5" customHeight="1">
      <c r="A121" s="508"/>
      <c r="B121" s="508"/>
      <c r="C121" s="508"/>
      <c r="D121" s="508"/>
      <c r="E121" s="508"/>
      <c r="F121" s="508"/>
      <c r="G121" s="533"/>
      <c r="H121" s="508"/>
      <c r="I121" s="508"/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  <c r="Z121" s="508"/>
    </row>
    <row r="122" ht="13.5" customHeight="1">
      <c r="A122" s="508"/>
      <c r="B122" s="508"/>
      <c r="C122" s="508"/>
      <c r="D122" s="508"/>
      <c r="E122" s="508"/>
      <c r="F122" s="508"/>
      <c r="G122" s="533"/>
      <c r="H122" s="508"/>
      <c r="I122" s="508"/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  <c r="Z122" s="508"/>
    </row>
    <row r="123" ht="13.5" customHeight="1">
      <c r="A123" s="508"/>
      <c r="B123" s="508"/>
      <c r="C123" s="508"/>
      <c r="D123" s="508"/>
      <c r="E123" s="508"/>
      <c r="F123" s="508"/>
      <c r="G123" s="533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  <c r="Z123" s="508"/>
    </row>
    <row r="124" ht="13.5" customHeight="1">
      <c r="A124" s="508"/>
      <c r="B124" s="508"/>
      <c r="C124" s="508"/>
      <c r="D124" s="508"/>
      <c r="E124" s="508"/>
      <c r="F124" s="508"/>
      <c r="G124" s="533"/>
      <c r="H124" s="508"/>
      <c r="I124" s="508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508"/>
      <c r="Y124" s="508"/>
      <c r="Z124" s="508"/>
    </row>
    <row r="125" ht="13.5" customHeight="1">
      <c r="A125" s="508"/>
      <c r="B125" s="508"/>
      <c r="C125" s="508"/>
      <c r="D125" s="508"/>
      <c r="E125" s="508"/>
      <c r="F125" s="508"/>
      <c r="G125" s="533"/>
      <c r="H125" s="508"/>
      <c r="I125" s="508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  <c r="Z125" s="508"/>
    </row>
    <row r="126" ht="13.5" customHeight="1">
      <c r="A126" s="508"/>
      <c r="B126" s="508"/>
      <c r="C126" s="508"/>
      <c r="D126" s="508"/>
      <c r="E126" s="508"/>
      <c r="F126" s="508"/>
      <c r="G126" s="533"/>
      <c r="H126" s="508"/>
      <c r="I126" s="508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508"/>
      <c r="Y126" s="508"/>
      <c r="Z126" s="508"/>
    </row>
    <row r="127" ht="13.5" customHeight="1">
      <c r="A127" s="508"/>
      <c r="B127" s="508"/>
      <c r="C127" s="508"/>
      <c r="D127" s="508"/>
      <c r="E127" s="508"/>
      <c r="F127" s="508"/>
      <c r="G127" s="533"/>
      <c r="H127" s="508"/>
      <c r="I127" s="508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508"/>
      <c r="Y127" s="508"/>
      <c r="Z127" s="508"/>
    </row>
    <row r="128" ht="13.5" customHeight="1">
      <c r="A128" s="508"/>
      <c r="B128" s="508"/>
      <c r="C128" s="508"/>
      <c r="D128" s="508"/>
      <c r="E128" s="508"/>
      <c r="F128" s="508"/>
      <c r="G128" s="533"/>
      <c r="H128" s="508"/>
      <c r="I128" s="508"/>
      <c r="J128" s="508"/>
      <c r="K128" s="508"/>
      <c r="L128" s="508"/>
      <c r="M128" s="508"/>
      <c r="N128" s="508"/>
      <c r="O128" s="508"/>
      <c r="P128" s="508"/>
      <c r="Q128" s="508"/>
      <c r="R128" s="508"/>
      <c r="S128" s="508"/>
      <c r="T128" s="508"/>
      <c r="U128" s="508"/>
      <c r="V128" s="508"/>
      <c r="W128" s="508"/>
      <c r="X128" s="508"/>
      <c r="Y128" s="508"/>
      <c r="Z128" s="508"/>
    </row>
    <row r="129" ht="13.5" customHeight="1">
      <c r="A129" s="508"/>
      <c r="B129" s="508"/>
      <c r="C129" s="508"/>
      <c r="D129" s="508"/>
      <c r="E129" s="508"/>
      <c r="F129" s="508"/>
      <c r="G129" s="533"/>
      <c r="H129" s="508"/>
      <c r="I129" s="508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508"/>
      <c r="Y129" s="508"/>
      <c r="Z129" s="508"/>
    </row>
    <row r="130" ht="13.5" customHeight="1">
      <c r="A130" s="508"/>
      <c r="B130" s="508"/>
      <c r="C130" s="508"/>
      <c r="D130" s="508"/>
      <c r="E130" s="508"/>
      <c r="F130" s="508"/>
      <c r="G130" s="533"/>
      <c r="H130" s="508"/>
      <c r="I130" s="508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508"/>
      <c r="Y130" s="508"/>
      <c r="Z130" s="508"/>
    </row>
    <row r="131" ht="13.5" customHeight="1">
      <c r="A131" s="508"/>
      <c r="B131" s="508"/>
      <c r="C131" s="508"/>
      <c r="D131" s="508"/>
      <c r="E131" s="508"/>
      <c r="F131" s="508"/>
      <c r="G131" s="533"/>
      <c r="H131" s="508"/>
      <c r="I131" s="508"/>
      <c r="J131" s="508"/>
      <c r="K131" s="508"/>
      <c r="L131" s="508"/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508"/>
      <c r="Y131" s="508"/>
      <c r="Z131" s="508"/>
    </row>
    <row r="132" ht="13.5" customHeight="1">
      <c r="A132" s="508"/>
      <c r="B132" s="508"/>
      <c r="C132" s="508"/>
      <c r="D132" s="508"/>
      <c r="E132" s="508"/>
      <c r="F132" s="508"/>
      <c r="G132" s="533"/>
      <c r="H132" s="508"/>
      <c r="I132" s="508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</row>
    <row r="133" ht="13.5" customHeight="1">
      <c r="A133" s="508"/>
      <c r="B133" s="508"/>
      <c r="C133" s="508"/>
      <c r="D133" s="508"/>
      <c r="E133" s="508"/>
      <c r="F133" s="508"/>
      <c r="G133" s="533"/>
      <c r="H133" s="508"/>
      <c r="I133" s="508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508"/>
      <c r="Y133" s="508"/>
      <c r="Z133" s="508"/>
    </row>
    <row r="134" ht="13.5" customHeight="1">
      <c r="A134" s="508"/>
      <c r="B134" s="508"/>
      <c r="C134" s="508"/>
      <c r="D134" s="508"/>
      <c r="E134" s="508"/>
      <c r="F134" s="508"/>
      <c r="G134" s="533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</row>
    <row r="135" ht="13.5" customHeight="1">
      <c r="A135" s="508"/>
      <c r="B135" s="508"/>
      <c r="C135" s="508"/>
      <c r="D135" s="508"/>
      <c r="E135" s="508"/>
      <c r="F135" s="508"/>
      <c r="G135" s="533"/>
      <c r="H135" s="508"/>
      <c r="I135" s="508"/>
      <c r="J135" s="508"/>
      <c r="K135" s="508"/>
      <c r="L135" s="508"/>
      <c r="M135" s="508"/>
      <c r="N135" s="508"/>
      <c r="O135" s="508"/>
      <c r="P135" s="508"/>
      <c r="Q135" s="508"/>
      <c r="R135" s="508"/>
      <c r="S135" s="508"/>
      <c r="T135" s="508"/>
      <c r="U135" s="508"/>
      <c r="V135" s="508"/>
      <c r="W135" s="508"/>
      <c r="X135" s="508"/>
      <c r="Y135" s="508"/>
      <c r="Z135" s="508"/>
    </row>
    <row r="136" ht="13.5" customHeight="1">
      <c r="A136" s="508"/>
      <c r="B136" s="508"/>
      <c r="C136" s="508"/>
      <c r="D136" s="508"/>
      <c r="E136" s="508"/>
      <c r="F136" s="508"/>
      <c r="G136" s="533"/>
      <c r="H136" s="508"/>
      <c r="I136" s="508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508"/>
      <c r="Y136" s="508"/>
      <c r="Z136" s="508"/>
    </row>
    <row r="137" ht="13.5" customHeight="1">
      <c r="A137" s="508"/>
      <c r="B137" s="508"/>
      <c r="C137" s="508"/>
      <c r="D137" s="508"/>
      <c r="E137" s="508"/>
      <c r="F137" s="508"/>
      <c r="G137" s="533"/>
      <c r="H137" s="508"/>
      <c r="I137" s="508"/>
      <c r="J137" s="508"/>
      <c r="K137" s="508"/>
      <c r="L137" s="508"/>
      <c r="M137" s="508"/>
      <c r="N137" s="508"/>
      <c r="O137" s="508"/>
      <c r="P137" s="508"/>
      <c r="Q137" s="508"/>
      <c r="R137" s="508"/>
      <c r="S137" s="508"/>
      <c r="T137" s="508"/>
      <c r="U137" s="508"/>
      <c r="V137" s="508"/>
      <c r="W137" s="508"/>
      <c r="X137" s="508"/>
      <c r="Y137" s="508"/>
      <c r="Z137" s="508"/>
    </row>
    <row r="138" ht="13.5" customHeight="1">
      <c r="A138" s="508"/>
      <c r="B138" s="508"/>
      <c r="C138" s="508"/>
      <c r="D138" s="508"/>
      <c r="E138" s="508"/>
      <c r="F138" s="508"/>
      <c r="G138" s="533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  <c r="Z138" s="508"/>
    </row>
    <row r="139" ht="13.5" customHeight="1">
      <c r="A139" s="508"/>
      <c r="B139" s="508"/>
      <c r="C139" s="508"/>
      <c r="D139" s="508"/>
      <c r="E139" s="508"/>
      <c r="F139" s="508"/>
      <c r="G139" s="533"/>
      <c r="H139" s="508"/>
      <c r="I139" s="508"/>
      <c r="J139" s="508"/>
      <c r="K139" s="508"/>
      <c r="L139" s="508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Y139" s="508"/>
      <c r="Z139" s="508"/>
    </row>
    <row r="140" ht="13.5" customHeight="1">
      <c r="A140" s="508"/>
      <c r="B140" s="508"/>
      <c r="C140" s="508"/>
      <c r="D140" s="508"/>
      <c r="E140" s="508"/>
      <c r="F140" s="508"/>
      <c r="G140" s="533"/>
      <c r="H140" s="508"/>
      <c r="I140" s="508"/>
      <c r="J140" s="508"/>
      <c r="K140" s="508"/>
      <c r="L140" s="508"/>
      <c r="M140" s="508"/>
      <c r="N140" s="508"/>
      <c r="O140" s="508"/>
      <c r="P140" s="508"/>
      <c r="Q140" s="508"/>
      <c r="R140" s="508"/>
      <c r="S140" s="508"/>
      <c r="T140" s="508"/>
      <c r="U140" s="508"/>
      <c r="V140" s="508"/>
      <c r="W140" s="508"/>
      <c r="X140" s="508"/>
      <c r="Y140" s="508"/>
      <c r="Z140" s="508"/>
    </row>
    <row r="141" ht="13.5" customHeight="1">
      <c r="A141" s="508"/>
      <c r="B141" s="508"/>
      <c r="C141" s="508"/>
      <c r="D141" s="508"/>
      <c r="E141" s="508"/>
      <c r="F141" s="508"/>
      <c r="G141" s="533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  <c r="Z141" s="508"/>
    </row>
    <row r="142" ht="13.5" customHeight="1">
      <c r="A142" s="508"/>
      <c r="B142" s="508"/>
      <c r="C142" s="508"/>
      <c r="D142" s="508"/>
      <c r="E142" s="508"/>
      <c r="F142" s="508"/>
      <c r="G142" s="533"/>
      <c r="H142" s="508"/>
      <c r="I142" s="508"/>
      <c r="J142" s="508"/>
      <c r="K142" s="508"/>
      <c r="L142" s="508"/>
      <c r="M142" s="508"/>
      <c r="N142" s="508"/>
      <c r="O142" s="508"/>
      <c r="P142" s="508"/>
      <c r="Q142" s="508"/>
      <c r="R142" s="508"/>
      <c r="S142" s="508"/>
      <c r="T142" s="508"/>
      <c r="U142" s="508"/>
      <c r="V142" s="508"/>
      <c r="W142" s="508"/>
      <c r="X142" s="508"/>
      <c r="Y142" s="508"/>
      <c r="Z142" s="508"/>
    </row>
    <row r="143" ht="13.5" customHeight="1">
      <c r="A143" s="508"/>
      <c r="B143" s="508"/>
      <c r="C143" s="508"/>
      <c r="D143" s="508"/>
      <c r="E143" s="508"/>
      <c r="F143" s="508"/>
      <c r="G143" s="533"/>
      <c r="H143" s="508"/>
      <c r="I143" s="508"/>
      <c r="J143" s="508"/>
      <c r="K143" s="508"/>
      <c r="L143" s="508"/>
      <c r="M143" s="508"/>
      <c r="N143" s="508"/>
      <c r="O143" s="508"/>
      <c r="P143" s="508"/>
      <c r="Q143" s="508"/>
      <c r="R143" s="508"/>
      <c r="S143" s="508"/>
      <c r="T143" s="508"/>
      <c r="U143" s="508"/>
      <c r="V143" s="508"/>
      <c r="W143" s="508"/>
      <c r="X143" s="508"/>
      <c r="Y143" s="508"/>
      <c r="Z143" s="508"/>
    </row>
    <row r="144" ht="13.5" customHeight="1">
      <c r="A144" s="508"/>
      <c r="B144" s="508"/>
      <c r="C144" s="508"/>
      <c r="D144" s="508"/>
      <c r="E144" s="508"/>
      <c r="F144" s="508"/>
      <c r="G144" s="533"/>
      <c r="H144" s="508"/>
      <c r="I144" s="508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508"/>
      <c r="Y144" s="508"/>
      <c r="Z144" s="508"/>
    </row>
    <row r="145" ht="13.5" customHeight="1">
      <c r="A145" s="508"/>
      <c r="B145" s="508"/>
      <c r="C145" s="508"/>
      <c r="D145" s="508"/>
      <c r="E145" s="508"/>
      <c r="F145" s="508"/>
      <c r="G145" s="533"/>
      <c r="H145" s="508"/>
      <c r="I145" s="508"/>
      <c r="J145" s="508"/>
      <c r="K145" s="508"/>
      <c r="L145" s="508"/>
      <c r="M145" s="508"/>
      <c r="N145" s="508"/>
      <c r="O145" s="508"/>
      <c r="P145" s="508"/>
      <c r="Q145" s="508"/>
      <c r="R145" s="508"/>
      <c r="S145" s="508"/>
      <c r="T145" s="508"/>
      <c r="U145" s="508"/>
      <c r="V145" s="508"/>
      <c r="W145" s="508"/>
      <c r="X145" s="508"/>
      <c r="Y145" s="508"/>
      <c r="Z145" s="508"/>
    </row>
    <row r="146" ht="13.5" customHeight="1">
      <c r="A146" s="508"/>
      <c r="B146" s="508"/>
      <c r="C146" s="508"/>
      <c r="D146" s="508"/>
      <c r="E146" s="508"/>
      <c r="F146" s="508"/>
      <c r="G146" s="533"/>
      <c r="H146" s="508"/>
      <c r="I146" s="508"/>
      <c r="J146" s="508"/>
      <c r="K146" s="508"/>
      <c r="L146" s="508"/>
      <c r="M146" s="508"/>
      <c r="N146" s="508"/>
      <c r="O146" s="508"/>
      <c r="P146" s="508"/>
      <c r="Q146" s="508"/>
      <c r="R146" s="508"/>
      <c r="S146" s="508"/>
      <c r="T146" s="508"/>
      <c r="U146" s="508"/>
      <c r="V146" s="508"/>
      <c r="W146" s="508"/>
      <c r="X146" s="508"/>
      <c r="Y146" s="508"/>
      <c r="Z146" s="508"/>
    </row>
    <row r="147" ht="13.5" customHeight="1">
      <c r="A147" s="508"/>
      <c r="B147" s="508"/>
      <c r="C147" s="508"/>
      <c r="D147" s="508"/>
      <c r="E147" s="508"/>
      <c r="F147" s="508"/>
      <c r="G147" s="533"/>
      <c r="H147" s="508"/>
      <c r="I147" s="508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508"/>
      <c r="Y147" s="508"/>
      <c r="Z147" s="508"/>
    </row>
    <row r="148" ht="13.5" customHeight="1">
      <c r="A148" s="508"/>
      <c r="B148" s="508"/>
      <c r="C148" s="508"/>
      <c r="D148" s="508"/>
      <c r="E148" s="508"/>
      <c r="F148" s="508"/>
      <c r="G148" s="533"/>
      <c r="H148" s="508"/>
      <c r="I148" s="508"/>
      <c r="J148" s="508"/>
      <c r="K148" s="508"/>
      <c r="L148" s="508"/>
      <c r="M148" s="508"/>
      <c r="N148" s="508"/>
      <c r="O148" s="508"/>
      <c r="P148" s="508"/>
      <c r="Q148" s="508"/>
      <c r="R148" s="508"/>
      <c r="S148" s="508"/>
      <c r="T148" s="508"/>
      <c r="U148" s="508"/>
      <c r="V148" s="508"/>
      <c r="W148" s="508"/>
      <c r="X148" s="508"/>
      <c r="Y148" s="508"/>
      <c r="Z148" s="508"/>
    </row>
    <row r="149" ht="13.5" customHeight="1">
      <c r="A149" s="508"/>
      <c r="B149" s="508"/>
      <c r="C149" s="508"/>
      <c r="D149" s="508"/>
      <c r="E149" s="508"/>
      <c r="F149" s="508"/>
      <c r="G149" s="533"/>
      <c r="H149" s="508"/>
      <c r="I149" s="508"/>
      <c r="J149" s="508"/>
      <c r="K149" s="508"/>
      <c r="L149" s="508"/>
      <c r="M149" s="508"/>
      <c r="N149" s="508"/>
      <c r="O149" s="508"/>
      <c r="P149" s="508"/>
      <c r="Q149" s="508"/>
      <c r="R149" s="508"/>
      <c r="S149" s="508"/>
      <c r="T149" s="508"/>
      <c r="U149" s="508"/>
      <c r="V149" s="508"/>
      <c r="W149" s="508"/>
      <c r="X149" s="508"/>
      <c r="Y149" s="508"/>
      <c r="Z149" s="508"/>
    </row>
    <row r="150" ht="13.5" customHeight="1">
      <c r="A150" s="508"/>
      <c r="B150" s="508"/>
      <c r="C150" s="508"/>
      <c r="D150" s="508"/>
      <c r="E150" s="508"/>
      <c r="F150" s="508"/>
      <c r="G150" s="533"/>
      <c r="H150" s="508"/>
      <c r="I150" s="508"/>
      <c r="J150" s="508"/>
      <c r="K150" s="508"/>
      <c r="L150" s="508"/>
      <c r="M150" s="508"/>
      <c r="N150" s="508"/>
      <c r="O150" s="508"/>
      <c r="P150" s="508"/>
      <c r="Q150" s="508"/>
      <c r="R150" s="508"/>
      <c r="S150" s="508"/>
      <c r="T150" s="508"/>
      <c r="U150" s="508"/>
      <c r="V150" s="508"/>
      <c r="W150" s="508"/>
      <c r="X150" s="508"/>
      <c r="Y150" s="508"/>
      <c r="Z150" s="508"/>
    </row>
    <row r="151" ht="13.5" customHeight="1">
      <c r="A151" s="508"/>
      <c r="B151" s="508"/>
      <c r="C151" s="508"/>
      <c r="D151" s="508"/>
      <c r="E151" s="508"/>
      <c r="F151" s="508"/>
      <c r="G151" s="533"/>
      <c r="H151" s="508"/>
      <c r="I151" s="508"/>
      <c r="J151" s="508"/>
      <c r="K151" s="508"/>
      <c r="L151" s="508"/>
      <c r="M151" s="508"/>
      <c r="N151" s="508"/>
      <c r="O151" s="508"/>
      <c r="P151" s="508"/>
      <c r="Q151" s="508"/>
      <c r="R151" s="508"/>
      <c r="S151" s="508"/>
      <c r="T151" s="508"/>
      <c r="U151" s="508"/>
      <c r="V151" s="508"/>
      <c r="W151" s="508"/>
      <c r="X151" s="508"/>
      <c r="Y151" s="508"/>
      <c r="Z151" s="508"/>
    </row>
    <row r="152" ht="13.5" customHeight="1">
      <c r="A152" s="508"/>
      <c r="B152" s="508"/>
      <c r="C152" s="508"/>
      <c r="D152" s="508"/>
      <c r="E152" s="508"/>
      <c r="F152" s="508"/>
      <c r="G152" s="533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508"/>
      <c r="S152" s="508"/>
      <c r="T152" s="508"/>
      <c r="U152" s="508"/>
      <c r="V152" s="508"/>
      <c r="W152" s="508"/>
      <c r="X152" s="508"/>
      <c r="Y152" s="508"/>
      <c r="Z152" s="508"/>
    </row>
    <row r="153" ht="13.5" customHeight="1">
      <c r="A153" s="508"/>
      <c r="B153" s="508"/>
      <c r="C153" s="508"/>
      <c r="D153" s="508"/>
      <c r="E153" s="508"/>
      <c r="F153" s="508"/>
      <c r="G153" s="533"/>
      <c r="H153" s="508"/>
      <c r="I153" s="508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508"/>
      <c r="Y153" s="508"/>
      <c r="Z153" s="508"/>
    </row>
    <row r="154" ht="13.5" customHeight="1">
      <c r="A154" s="508"/>
      <c r="B154" s="508"/>
      <c r="C154" s="508"/>
      <c r="D154" s="508"/>
      <c r="E154" s="508"/>
      <c r="F154" s="508"/>
      <c r="G154" s="533"/>
      <c r="H154" s="508"/>
      <c r="I154" s="508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508"/>
      <c r="Y154" s="508"/>
      <c r="Z154" s="508"/>
    </row>
    <row r="155" ht="13.5" customHeight="1">
      <c r="A155" s="508"/>
      <c r="B155" s="508"/>
      <c r="C155" s="508"/>
      <c r="D155" s="508"/>
      <c r="E155" s="508"/>
      <c r="F155" s="508"/>
      <c r="G155" s="533"/>
      <c r="H155" s="508"/>
      <c r="I155" s="508"/>
      <c r="J155" s="508"/>
      <c r="K155" s="508"/>
      <c r="L155" s="508"/>
      <c r="M155" s="508"/>
      <c r="N155" s="508"/>
      <c r="O155" s="508"/>
      <c r="P155" s="508"/>
      <c r="Q155" s="508"/>
      <c r="R155" s="508"/>
      <c r="S155" s="508"/>
      <c r="T155" s="508"/>
      <c r="U155" s="508"/>
      <c r="V155" s="508"/>
      <c r="W155" s="508"/>
      <c r="X155" s="508"/>
      <c r="Y155" s="508"/>
      <c r="Z155" s="508"/>
    </row>
    <row r="156" ht="13.5" customHeight="1">
      <c r="A156" s="508"/>
      <c r="B156" s="508"/>
      <c r="C156" s="508"/>
      <c r="D156" s="508"/>
      <c r="E156" s="508"/>
      <c r="F156" s="508"/>
      <c r="G156" s="533"/>
      <c r="H156" s="508"/>
      <c r="I156" s="508"/>
      <c r="J156" s="508"/>
      <c r="K156" s="508"/>
      <c r="L156" s="508"/>
      <c r="M156" s="508"/>
      <c r="N156" s="508"/>
      <c r="O156" s="508"/>
      <c r="P156" s="508"/>
      <c r="Q156" s="508"/>
      <c r="R156" s="508"/>
      <c r="S156" s="508"/>
      <c r="T156" s="508"/>
      <c r="U156" s="508"/>
      <c r="V156" s="508"/>
      <c r="W156" s="508"/>
      <c r="X156" s="508"/>
      <c r="Y156" s="508"/>
      <c r="Z156" s="508"/>
    </row>
    <row r="157" ht="13.5" customHeight="1">
      <c r="A157" s="508"/>
      <c r="B157" s="508"/>
      <c r="C157" s="508"/>
      <c r="D157" s="508"/>
      <c r="E157" s="508"/>
      <c r="F157" s="508"/>
      <c r="G157" s="533"/>
      <c r="H157" s="508"/>
      <c r="I157" s="508"/>
      <c r="J157" s="508"/>
      <c r="K157" s="508"/>
      <c r="L157" s="508"/>
      <c r="M157" s="508"/>
      <c r="N157" s="508"/>
      <c r="O157" s="508"/>
      <c r="P157" s="508"/>
      <c r="Q157" s="508"/>
      <c r="R157" s="508"/>
      <c r="S157" s="508"/>
      <c r="T157" s="508"/>
      <c r="U157" s="508"/>
      <c r="V157" s="508"/>
      <c r="W157" s="508"/>
      <c r="X157" s="508"/>
      <c r="Y157" s="508"/>
      <c r="Z157" s="508"/>
    </row>
    <row r="158" ht="13.5" customHeight="1">
      <c r="A158" s="508"/>
      <c r="B158" s="508"/>
      <c r="C158" s="508"/>
      <c r="D158" s="508"/>
      <c r="E158" s="508"/>
      <c r="F158" s="508"/>
      <c r="G158" s="533"/>
      <c r="H158" s="508"/>
      <c r="I158" s="508"/>
      <c r="J158" s="508"/>
      <c r="K158" s="508"/>
      <c r="L158" s="508"/>
      <c r="M158" s="508"/>
      <c r="N158" s="508"/>
      <c r="O158" s="508"/>
      <c r="P158" s="508"/>
      <c r="Q158" s="508"/>
      <c r="R158" s="508"/>
      <c r="S158" s="508"/>
      <c r="T158" s="508"/>
      <c r="U158" s="508"/>
      <c r="V158" s="508"/>
      <c r="W158" s="508"/>
      <c r="X158" s="508"/>
      <c r="Y158" s="508"/>
      <c r="Z158" s="508"/>
    </row>
    <row r="159" ht="13.5" customHeight="1">
      <c r="A159" s="508"/>
      <c r="B159" s="508"/>
      <c r="C159" s="508"/>
      <c r="D159" s="508"/>
      <c r="E159" s="508"/>
      <c r="F159" s="508"/>
      <c r="G159" s="533"/>
      <c r="H159" s="508"/>
      <c r="I159" s="508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508"/>
      <c r="Y159" s="508"/>
      <c r="Z159" s="508"/>
    </row>
    <row r="160" ht="13.5" customHeight="1">
      <c r="A160" s="508"/>
      <c r="B160" s="508"/>
      <c r="C160" s="508"/>
      <c r="D160" s="508"/>
      <c r="E160" s="508"/>
      <c r="F160" s="508"/>
      <c r="G160" s="533"/>
      <c r="H160" s="508"/>
      <c r="I160" s="508"/>
      <c r="J160" s="508"/>
      <c r="K160" s="508"/>
      <c r="L160" s="508"/>
      <c r="M160" s="508"/>
      <c r="N160" s="508"/>
      <c r="O160" s="508"/>
      <c r="P160" s="508"/>
      <c r="Q160" s="508"/>
      <c r="R160" s="508"/>
      <c r="S160" s="508"/>
      <c r="T160" s="508"/>
      <c r="U160" s="508"/>
      <c r="V160" s="508"/>
      <c r="W160" s="508"/>
      <c r="X160" s="508"/>
      <c r="Y160" s="508"/>
      <c r="Z160" s="508"/>
    </row>
    <row r="161" ht="13.5" customHeight="1">
      <c r="A161" s="508"/>
      <c r="B161" s="508"/>
      <c r="C161" s="508"/>
      <c r="D161" s="508"/>
      <c r="E161" s="508"/>
      <c r="F161" s="508"/>
      <c r="G161" s="533"/>
      <c r="H161" s="508"/>
      <c r="I161" s="508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508"/>
      <c r="Y161" s="508"/>
      <c r="Z161" s="508"/>
    </row>
    <row r="162" ht="13.5" customHeight="1">
      <c r="A162" s="508"/>
      <c r="B162" s="508"/>
      <c r="C162" s="508"/>
      <c r="D162" s="508"/>
      <c r="E162" s="508"/>
      <c r="F162" s="508"/>
      <c r="G162" s="533"/>
      <c r="H162" s="508"/>
      <c r="I162" s="508"/>
      <c r="J162" s="508"/>
      <c r="K162" s="508"/>
      <c r="L162" s="508"/>
      <c r="M162" s="508"/>
      <c r="N162" s="508"/>
      <c r="O162" s="508"/>
      <c r="P162" s="508"/>
      <c r="Q162" s="508"/>
      <c r="R162" s="508"/>
      <c r="S162" s="508"/>
      <c r="T162" s="508"/>
      <c r="U162" s="508"/>
      <c r="V162" s="508"/>
      <c r="W162" s="508"/>
      <c r="X162" s="508"/>
      <c r="Y162" s="508"/>
      <c r="Z162" s="508"/>
    </row>
    <row r="163" ht="13.5" customHeight="1">
      <c r="A163" s="508"/>
      <c r="B163" s="508"/>
      <c r="C163" s="508"/>
      <c r="D163" s="508"/>
      <c r="E163" s="508"/>
      <c r="F163" s="508"/>
      <c r="G163" s="533"/>
      <c r="H163" s="508"/>
      <c r="I163" s="508"/>
      <c r="J163" s="508"/>
      <c r="K163" s="508"/>
      <c r="L163" s="508"/>
      <c r="M163" s="508"/>
      <c r="N163" s="508"/>
      <c r="O163" s="508"/>
      <c r="P163" s="508"/>
      <c r="Q163" s="508"/>
      <c r="R163" s="508"/>
      <c r="S163" s="508"/>
      <c r="T163" s="508"/>
      <c r="U163" s="508"/>
      <c r="V163" s="508"/>
      <c r="W163" s="508"/>
      <c r="X163" s="508"/>
      <c r="Y163" s="508"/>
      <c r="Z163" s="508"/>
    </row>
    <row r="164" ht="13.5" customHeight="1">
      <c r="A164" s="508"/>
      <c r="B164" s="508"/>
      <c r="C164" s="508"/>
      <c r="D164" s="508"/>
      <c r="E164" s="508"/>
      <c r="F164" s="508"/>
      <c r="G164" s="533"/>
      <c r="H164" s="508"/>
      <c r="I164" s="508"/>
      <c r="J164" s="508"/>
      <c r="K164" s="508"/>
      <c r="L164" s="508"/>
      <c r="M164" s="508"/>
      <c r="N164" s="508"/>
      <c r="O164" s="508"/>
      <c r="P164" s="508"/>
      <c r="Q164" s="508"/>
      <c r="R164" s="508"/>
      <c r="S164" s="508"/>
      <c r="T164" s="508"/>
      <c r="U164" s="508"/>
      <c r="V164" s="508"/>
      <c r="W164" s="508"/>
      <c r="X164" s="508"/>
      <c r="Y164" s="508"/>
      <c r="Z164" s="508"/>
    </row>
    <row r="165" ht="13.5" customHeight="1">
      <c r="A165" s="508"/>
      <c r="B165" s="508"/>
      <c r="C165" s="508"/>
      <c r="D165" s="508"/>
      <c r="E165" s="508"/>
      <c r="F165" s="508"/>
      <c r="G165" s="533"/>
      <c r="H165" s="508"/>
      <c r="I165" s="508"/>
      <c r="J165" s="508"/>
      <c r="K165" s="508"/>
      <c r="L165" s="508"/>
      <c r="M165" s="508"/>
      <c r="N165" s="508"/>
      <c r="O165" s="508"/>
      <c r="P165" s="508"/>
      <c r="Q165" s="508"/>
      <c r="R165" s="508"/>
      <c r="S165" s="508"/>
      <c r="T165" s="508"/>
      <c r="U165" s="508"/>
      <c r="V165" s="508"/>
      <c r="W165" s="508"/>
      <c r="X165" s="508"/>
      <c r="Y165" s="508"/>
      <c r="Z165" s="508"/>
    </row>
    <row r="166" ht="13.5" customHeight="1">
      <c r="A166" s="508"/>
      <c r="B166" s="508"/>
      <c r="C166" s="508"/>
      <c r="D166" s="508"/>
      <c r="E166" s="508"/>
      <c r="F166" s="508"/>
      <c r="G166" s="533"/>
      <c r="H166" s="508"/>
      <c r="I166" s="508"/>
      <c r="J166" s="508"/>
      <c r="K166" s="508"/>
      <c r="L166" s="508"/>
      <c r="M166" s="508"/>
      <c r="N166" s="508"/>
      <c r="O166" s="508"/>
      <c r="P166" s="508"/>
      <c r="Q166" s="508"/>
      <c r="R166" s="508"/>
      <c r="S166" s="508"/>
      <c r="T166" s="508"/>
      <c r="U166" s="508"/>
      <c r="V166" s="508"/>
      <c r="W166" s="508"/>
      <c r="X166" s="508"/>
      <c r="Y166" s="508"/>
      <c r="Z166" s="508"/>
    </row>
    <row r="167" ht="13.5" customHeight="1">
      <c r="A167" s="508"/>
      <c r="B167" s="508"/>
      <c r="C167" s="508"/>
      <c r="D167" s="508"/>
      <c r="E167" s="508"/>
      <c r="F167" s="508"/>
      <c r="G167" s="533"/>
      <c r="H167" s="508"/>
      <c r="I167" s="508"/>
      <c r="J167" s="508"/>
      <c r="K167" s="508"/>
      <c r="L167" s="508"/>
      <c r="M167" s="508"/>
      <c r="N167" s="508"/>
      <c r="O167" s="508"/>
      <c r="P167" s="508"/>
      <c r="Q167" s="508"/>
      <c r="R167" s="508"/>
      <c r="S167" s="508"/>
      <c r="T167" s="508"/>
      <c r="U167" s="508"/>
      <c r="V167" s="508"/>
      <c r="W167" s="508"/>
      <c r="X167" s="508"/>
      <c r="Y167" s="508"/>
      <c r="Z167" s="508"/>
    </row>
    <row r="168" ht="13.5" customHeight="1">
      <c r="A168" s="508"/>
      <c r="B168" s="508"/>
      <c r="C168" s="508"/>
      <c r="D168" s="508"/>
      <c r="E168" s="508"/>
      <c r="F168" s="508"/>
      <c r="G168" s="533"/>
      <c r="H168" s="508"/>
      <c r="I168" s="508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508"/>
      <c r="Y168" s="508"/>
      <c r="Z168" s="508"/>
    </row>
    <row r="169" ht="13.5" customHeight="1">
      <c r="A169" s="508"/>
      <c r="B169" s="508"/>
      <c r="C169" s="508"/>
      <c r="D169" s="508"/>
      <c r="E169" s="508"/>
      <c r="F169" s="508"/>
      <c r="G169" s="533"/>
      <c r="H169" s="508"/>
      <c r="I169" s="508"/>
      <c r="J169" s="508"/>
      <c r="K169" s="508"/>
      <c r="L169" s="508"/>
      <c r="M169" s="508"/>
      <c r="N169" s="508"/>
      <c r="O169" s="508"/>
      <c r="P169" s="508"/>
      <c r="Q169" s="508"/>
      <c r="R169" s="508"/>
      <c r="S169" s="508"/>
      <c r="T169" s="508"/>
      <c r="U169" s="508"/>
      <c r="V169" s="508"/>
      <c r="W169" s="508"/>
      <c r="X169" s="508"/>
      <c r="Y169" s="508"/>
      <c r="Z169" s="508"/>
    </row>
    <row r="170" ht="13.5" customHeight="1">
      <c r="A170" s="508"/>
      <c r="B170" s="508"/>
      <c r="C170" s="508"/>
      <c r="D170" s="508"/>
      <c r="E170" s="508"/>
      <c r="F170" s="508"/>
      <c r="G170" s="533"/>
      <c r="H170" s="508"/>
      <c r="I170" s="508"/>
      <c r="J170" s="508"/>
      <c r="K170" s="508"/>
      <c r="L170" s="508"/>
      <c r="M170" s="508"/>
      <c r="N170" s="508"/>
      <c r="O170" s="508"/>
      <c r="P170" s="508"/>
      <c r="Q170" s="508"/>
      <c r="R170" s="508"/>
      <c r="S170" s="508"/>
      <c r="T170" s="508"/>
      <c r="U170" s="508"/>
      <c r="V170" s="508"/>
      <c r="W170" s="508"/>
      <c r="X170" s="508"/>
      <c r="Y170" s="508"/>
      <c r="Z170" s="508"/>
    </row>
    <row r="171" ht="13.5" customHeight="1">
      <c r="A171" s="508"/>
      <c r="B171" s="508"/>
      <c r="C171" s="508"/>
      <c r="D171" s="508"/>
      <c r="E171" s="508"/>
      <c r="F171" s="508"/>
      <c r="G171" s="533"/>
      <c r="H171" s="508"/>
      <c r="I171" s="508"/>
      <c r="J171" s="508"/>
      <c r="K171" s="508"/>
      <c r="L171" s="508"/>
      <c r="M171" s="508"/>
      <c r="N171" s="508"/>
      <c r="O171" s="508"/>
      <c r="P171" s="508"/>
      <c r="Q171" s="508"/>
      <c r="R171" s="508"/>
      <c r="S171" s="508"/>
      <c r="T171" s="508"/>
      <c r="U171" s="508"/>
      <c r="V171" s="508"/>
      <c r="W171" s="508"/>
      <c r="X171" s="508"/>
      <c r="Y171" s="508"/>
      <c r="Z171" s="508"/>
    </row>
    <row r="172" ht="13.5" customHeight="1">
      <c r="A172" s="508"/>
      <c r="B172" s="508"/>
      <c r="C172" s="508"/>
      <c r="D172" s="508"/>
      <c r="E172" s="508"/>
      <c r="F172" s="508"/>
      <c r="G172" s="533"/>
      <c r="H172" s="508"/>
      <c r="I172" s="508"/>
      <c r="J172" s="508"/>
      <c r="K172" s="508"/>
      <c r="L172" s="508"/>
      <c r="M172" s="508"/>
      <c r="N172" s="508"/>
      <c r="O172" s="508"/>
      <c r="P172" s="508"/>
      <c r="Q172" s="508"/>
      <c r="R172" s="508"/>
      <c r="S172" s="508"/>
      <c r="T172" s="508"/>
      <c r="U172" s="508"/>
      <c r="V172" s="508"/>
      <c r="W172" s="508"/>
      <c r="X172" s="508"/>
      <c r="Y172" s="508"/>
      <c r="Z172" s="508"/>
    </row>
    <row r="173" ht="13.5" customHeight="1">
      <c r="A173" s="508"/>
      <c r="B173" s="508"/>
      <c r="C173" s="508"/>
      <c r="D173" s="508"/>
      <c r="E173" s="508"/>
      <c r="F173" s="508"/>
      <c r="G173" s="533"/>
      <c r="H173" s="508"/>
      <c r="I173" s="508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  <c r="W173" s="508"/>
      <c r="X173" s="508"/>
      <c r="Y173" s="508"/>
      <c r="Z173" s="508"/>
    </row>
    <row r="174" ht="13.5" customHeight="1">
      <c r="A174" s="508"/>
      <c r="B174" s="508"/>
      <c r="C174" s="508"/>
      <c r="D174" s="508"/>
      <c r="E174" s="508"/>
      <c r="F174" s="508"/>
      <c r="G174" s="533"/>
      <c r="H174" s="508"/>
      <c r="I174" s="508"/>
      <c r="J174" s="508"/>
      <c r="K174" s="508"/>
      <c r="L174" s="508"/>
      <c r="M174" s="508"/>
      <c r="N174" s="508"/>
      <c r="O174" s="508"/>
      <c r="P174" s="508"/>
      <c r="Q174" s="508"/>
      <c r="R174" s="508"/>
      <c r="S174" s="508"/>
      <c r="T174" s="508"/>
      <c r="U174" s="508"/>
      <c r="V174" s="508"/>
      <c r="W174" s="508"/>
      <c r="X174" s="508"/>
      <c r="Y174" s="508"/>
      <c r="Z174" s="508"/>
    </row>
    <row r="175" ht="13.5" customHeight="1">
      <c r="A175" s="508"/>
      <c r="B175" s="508"/>
      <c r="C175" s="508"/>
      <c r="D175" s="508"/>
      <c r="E175" s="508"/>
      <c r="F175" s="508"/>
      <c r="G175" s="533"/>
      <c r="H175" s="508"/>
      <c r="I175" s="508"/>
      <c r="J175" s="508"/>
      <c r="K175" s="508"/>
      <c r="L175" s="508"/>
      <c r="M175" s="508"/>
      <c r="N175" s="508"/>
      <c r="O175" s="508"/>
      <c r="P175" s="508"/>
      <c r="Q175" s="508"/>
      <c r="R175" s="508"/>
      <c r="S175" s="508"/>
      <c r="T175" s="508"/>
      <c r="U175" s="508"/>
      <c r="V175" s="508"/>
      <c r="W175" s="508"/>
      <c r="X175" s="508"/>
      <c r="Y175" s="508"/>
      <c r="Z175" s="508"/>
    </row>
    <row r="176" ht="13.5" customHeight="1">
      <c r="A176" s="508"/>
      <c r="B176" s="508"/>
      <c r="C176" s="508"/>
      <c r="D176" s="508"/>
      <c r="E176" s="508"/>
      <c r="F176" s="508"/>
      <c r="G176" s="533"/>
      <c r="H176" s="508"/>
      <c r="I176" s="508"/>
      <c r="J176" s="508"/>
      <c r="K176" s="508"/>
      <c r="L176" s="508"/>
      <c r="M176" s="508"/>
      <c r="N176" s="508"/>
      <c r="O176" s="508"/>
      <c r="P176" s="508"/>
      <c r="Q176" s="508"/>
      <c r="R176" s="508"/>
      <c r="S176" s="508"/>
      <c r="T176" s="508"/>
      <c r="U176" s="508"/>
      <c r="V176" s="508"/>
      <c r="W176" s="508"/>
      <c r="X176" s="508"/>
      <c r="Y176" s="508"/>
      <c r="Z176" s="508"/>
    </row>
    <row r="177" ht="13.5" customHeight="1">
      <c r="A177" s="508"/>
      <c r="B177" s="508"/>
      <c r="C177" s="508"/>
      <c r="D177" s="508"/>
      <c r="E177" s="508"/>
      <c r="F177" s="508"/>
      <c r="G177" s="533"/>
      <c r="H177" s="508"/>
      <c r="I177" s="508"/>
      <c r="J177" s="508"/>
      <c r="K177" s="508"/>
      <c r="L177" s="508"/>
      <c r="M177" s="508"/>
      <c r="N177" s="508"/>
      <c r="O177" s="508"/>
      <c r="P177" s="508"/>
      <c r="Q177" s="508"/>
      <c r="R177" s="508"/>
      <c r="S177" s="508"/>
      <c r="T177" s="508"/>
      <c r="U177" s="508"/>
      <c r="V177" s="508"/>
      <c r="W177" s="508"/>
      <c r="X177" s="508"/>
      <c r="Y177" s="508"/>
      <c r="Z177" s="508"/>
    </row>
    <row r="178" ht="13.5" customHeight="1">
      <c r="A178" s="508"/>
      <c r="B178" s="508"/>
      <c r="C178" s="508"/>
      <c r="D178" s="508"/>
      <c r="E178" s="508"/>
      <c r="F178" s="508"/>
      <c r="G178" s="533"/>
      <c r="H178" s="508"/>
      <c r="I178" s="508"/>
      <c r="J178" s="508"/>
      <c r="K178" s="508"/>
      <c r="L178" s="508"/>
      <c r="M178" s="508"/>
      <c r="N178" s="508"/>
      <c r="O178" s="508"/>
      <c r="P178" s="508"/>
      <c r="Q178" s="508"/>
      <c r="R178" s="508"/>
      <c r="S178" s="508"/>
      <c r="T178" s="508"/>
      <c r="U178" s="508"/>
      <c r="V178" s="508"/>
      <c r="W178" s="508"/>
      <c r="X178" s="508"/>
      <c r="Y178" s="508"/>
      <c r="Z178" s="508"/>
    </row>
    <row r="179" ht="13.5" customHeight="1">
      <c r="A179" s="508"/>
      <c r="B179" s="508"/>
      <c r="C179" s="508"/>
      <c r="D179" s="508"/>
      <c r="E179" s="508"/>
      <c r="F179" s="508"/>
      <c r="G179" s="533"/>
      <c r="H179" s="508"/>
      <c r="I179" s="508"/>
      <c r="J179" s="508"/>
      <c r="K179" s="508"/>
      <c r="L179" s="508"/>
      <c r="M179" s="508"/>
      <c r="N179" s="508"/>
      <c r="O179" s="508"/>
      <c r="P179" s="508"/>
      <c r="Q179" s="508"/>
      <c r="R179" s="508"/>
      <c r="S179" s="508"/>
      <c r="T179" s="508"/>
      <c r="U179" s="508"/>
      <c r="V179" s="508"/>
      <c r="W179" s="508"/>
      <c r="X179" s="508"/>
      <c r="Y179" s="508"/>
      <c r="Z179" s="508"/>
    </row>
    <row r="180" ht="13.5" customHeight="1">
      <c r="A180" s="508"/>
      <c r="B180" s="508"/>
      <c r="C180" s="508"/>
      <c r="D180" s="508"/>
      <c r="E180" s="508"/>
      <c r="F180" s="508"/>
      <c r="G180" s="533"/>
      <c r="H180" s="508"/>
      <c r="I180" s="508"/>
      <c r="J180" s="508"/>
      <c r="K180" s="508"/>
      <c r="L180" s="508"/>
      <c r="M180" s="508"/>
      <c r="N180" s="508"/>
      <c r="O180" s="508"/>
      <c r="P180" s="508"/>
      <c r="Q180" s="508"/>
      <c r="R180" s="508"/>
      <c r="S180" s="508"/>
      <c r="T180" s="508"/>
      <c r="U180" s="508"/>
      <c r="V180" s="508"/>
      <c r="W180" s="508"/>
      <c r="X180" s="508"/>
      <c r="Y180" s="508"/>
      <c r="Z180" s="508"/>
    </row>
    <row r="181" ht="13.5" customHeight="1">
      <c r="A181" s="508"/>
      <c r="B181" s="508"/>
      <c r="C181" s="508"/>
      <c r="D181" s="508"/>
      <c r="E181" s="508"/>
      <c r="F181" s="508"/>
      <c r="G181" s="533"/>
      <c r="H181" s="508"/>
      <c r="I181" s="508"/>
      <c r="J181" s="508"/>
      <c r="K181" s="508"/>
      <c r="L181" s="508"/>
      <c r="M181" s="508"/>
      <c r="N181" s="508"/>
      <c r="O181" s="508"/>
      <c r="P181" s="508"/>
      <c r="Q181" s="508"/>
      <c r="R181" s="508"/>
      <c r="S181" s="508"/>
      <c r="T181" s="508"/>
      <c r="U181" s="508"/>
      <c r="V181" s="508"/>
      <c r="W181" s="508"/>
      <c r="X181" s="508"/>
      <c r="Y181" s="508"/>
      <c r="Z181" s="508"/>
    </row>
    <row r="182" ht="13.5" customHeight="1">
      <c r="A182" s="508"/>
      <c r="B182" s="508"/>
      <c r="C182" s="508"/>
      <c r="D182" s="508"/>
      <c r="E182" s="508"/>
      <c r="F182" s="508"/>
      <c r="G182" s="533"/>
      <c r="H182" s="508"/>
      <c r="I182" s="508"/>
      <c r="J182" s="508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508"/>
    </row>
    <row r="183" ht="13.5" customHeight="1">
      <c r="A183" s="508"/>
      <c r="B183" s="508"/>
      <c r="C183" s="508"/>
      <c r="D183" s="508"/>
      <c r="E183" s="508"/>
      <c r="F183" s="508"/>
      <c r="G183" s="533"/>
      <c r="H183" s="508"/>
      <c r="I183" s="508"/>
      <c r="J183" s="508"/>
      <c r="K183" s="508"/>
      <c r="L183" s="508"/>
      <c r="M183" s="508"/>
      <c r="N183" s="508"/>
      <c r="O183" s="508"/>
      <c r="P183" s="508"/>
      <c r="Q183" s="508"/>
      <c r="R183" s="508"/>
      <c r="S183" s="508"/>
      <c r="T183" s="508"/>
      <c r="U183" s="508"/>
      <c r="V183" s="508"/>
      <c r="W183" s="508"/>
      <c r="X183" s="508"/>
      <c r="Y183" s="508"/>
      <c r="Z183" s="508"/>
    </row>
    <row r="184" ht="13.5" customHeight="1">
      <c r="A184" s="508"/>
      <c r="B184" s="508"/>
      <c r="C184" s="508"/>
      <c r="D184" s="508"/>
      <c r="E184" s="508"/>
      <c r="F184" s="508"/>
      <c r="G184" s="533"/>
      <c r="H184" s="508"/>
      <c r="I184" s="508"/>
      <c r="J184" s="508"/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  <c r="U184" s="508"/>
      <c r="V184" s="508"/>
      <c r="W184" s="508"/>
      <c r="X184" s="508"/>
      <c r="Y184" s="508"/>
      <c r="Z184" s="508"/>
    </row>
    <row r="185" ht="13.5" customHeight="1">
      <c r="A185" s="508"/>
      <c r="B185" s="508"/>
      <c r="C185" s="508"/>
      <c r="D185" s="508"/>
      <c r="E185" s="508"/>
      <c r="F185" s="508"/>
      <c r="G185" s="533"/>
      <c r="H185" s="508"/>
      <c r="I185" s="508"/>
      <c r="J185" s="508"/>
      <c r="K185" s="508"/>
      <c r="L185" s="508"/>
      <c r="M185" s="508"/>
      <c r="N185" s="508"/>
      <c r="O185" s="508"/>
      <c r="P185" s="508"/>
      <c r="Q185" s="508"/>
      <c r="R185" s="508"/>
      <c r="S185" s="508"/>
      <c r="T185" s="508"/>
      <c r="U185" s="508"/>
      <c r="V185" s="508"/>
      <c r="W185" s="508"/>
      <c r="X185" s="508"/>
      <c r="Y185" s="508"/>
      <c r="Z185" s="508"/>
    </row>
    <row r="186" ht="13.5" customHeight="1">
      <c r="A186" s="508"/>
      <c r="B186" s="508"/>
      <c r="C186" s="508"/>
      <c r="D186" s="508"/>
      <c r="E186" s="508"/>
      <c r="F186" s="508"/>
      <c r="G186" s="533"/>
      <c r="H186" s="508"/>
      <c r="I186" s="508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508"/>
      <c r="Y186" s="508"/>
      <c r="Z186" s="508"/>
    </row>
    <row r="187" ht="13.5" customHeight="1">
      <c r="A187" s="508"/>
      <c r="B187" s="508"/>
      <c r="C187" s="508"/>
      <c r="D187" s="508"/>
      <c r="E187" s="508"/>
      <c r="F187" s="508"/>
      <c r="G187" s="533"/>
      <c r="H187" s="508"/>
      <c r="I187" s="508"/>
      <c r="J187" s="508"/>
      <c r="K187" s="508"/>
      <c r="L187" s="508"/>
      <c r="M187" s="508"/>
      <c r="N187" s="508"/>
      <c r="O187" s="508"/>
      <c r="P187" s="508"/>
      <c r="Q187" s="508"/>
      <c r="R187" s="508"/>
      <c r="S187" s="508"/>
      <c r="T187" s="508"/>
      <c r="U187" s="508"/>
      <c r="V187" s="508"/>
      <c r="W187" s="508"/>
      <c r="X187" s="508"/>
      <c r="Y187" s="508"/>
      <c r="Z187" s="508"/>
    </row>
    <row r="188" ht="13.5" customHeight="1">
      <c r="A188" s="508"/>
      <c r="B188" s="508"/>
      <c r="C188" s="508"/>
      <c r="D188" s="508"/>
      <c r="E188" s="508"/>
      <c r="F188" s="508"/>
      <c r="G188" s="533"/>
      <c r="H188" s="508"/>
      <c r="I188" s="508"/>
      <c r="J188" s="508"/>
      <c r="K188" s="508"/>
      <c r="L188" s="508"/>
      <c r="M188" s="508"/>
      <c r="N188" s="508"/>
      <c r="O188" s="508"/>
      <c r="P188" s="508"/>
      <c r="Q188" s="508"/>
      <c r="R188" s="508"/>
      <c r="S188" s="508"/>
      <c r="T188" s="508"/>
      <c r="U188" s="508"/>
      <c r="V188" s="508"/>
      <c r="W188" s="508"/>
      <c r="X188" s="508"/>
      <c r="Y188" s="508"/>
      <c r="Z188" s="508"/>
    </row>
    <row r="189" ht="13.5" customHeight="1">
      <c r="A189" s="508"/>
      <c r="B189" s="508"/>
      <c r="C189" s="508"/>
      <c r="D189" s="508"/>
      <c r="E189" s="508"/>
      <c r="F189" s="508"/>
      <c r="G189" s="533"/>
      <c r="H189" s="508"/>
      <c r="I189" s="508"/>
      <c r="J189" s="508"/>
      <c r="K189" s="508"/>
      <c r="L189" s="508"/>
      <c r="M189" s="508"/>
      <c r="N189" s="508"/>
      <c r="O189" s="508"/>
      <c r="P189" s="508"/>
      <c r="Q189" s="508"/>
      <c r="R189" s="508"/>
      <c r="S189" s="508"/>
      <c r="T189" s="508"/>
      <c r="U189" s="508"/>
      <c r="V189" s="508"/>
      <c r="W189" s="508"/>
      <c r="X189" s="508"/>
      <c r="Y189" s="508"/>
      <c r="Z189" s="508"/>
    </row>
    <row r="190" ht="13.5" customHeight="1">
      <c r="A190" s="508"/>
      <c r="B190" s="508"/>
      <c r="C190" s="508"/>
      <c r="D190" s="508"/>
      <c r="E190" s="508"/>
      <c r="F190" s="508"/>
      <c r="G190" s="533"/>
      <c r="H190" s="508"/>
      <c r="I190" s="508"/>
      <c r="J190" s="508"/>
      <c r="K190" s="508"/>
      <c r="L190" s="508"/>
      <c r="M190" s="508"/>
      <c r="N190" s="508"/>
      <c r="O190" s="508"/>
      <c r="P190" s="508"/>
      <c r="Q190" s="508"/>
      <c r="R190" s="508"/>
      <c r="S190" s="508"/>
      <c r="T190" s="508"/>
      <c r="U190" s="508"/>
      <c r="V190" s="508"/>
      <c r="W190" s="508"/>
      <c r="X190" s="508"/>
      <c r="Y190" s="508"/>
      <c r="Z190" s="508"/>
    </row>
    <row r="191" ht="13.5" customHeight="1">
      <c r="A191" s="508"/>
      <c r="B191" s="508"/>
      <c r="C191" s="508"/>
      <c r="D191" s="508"/>
      <c r="E191" s="508"/>
      <c r="F191" s="508"/>
      <c r="G191" s="533"/>
      <c r="H191" s="508"/>
      <c r="I191" s="508"/>
      <c r="J191" s="508"/>
      <c r="K191" s="508"/>
      <c r="L191" s="508"/>
      <c r="M191" s="508"/>
      <c r="N191" s="508"/>
      <c r="O191" s="508"/>
      <c r="P191" s="508"/>
      <c r="Q191" s="508"/>
      <c r="R191" s="508"/>
      <c r="S191" s="508"/>
      <c r="T191" s="508"/>
      <c r="U191" s="508"/>
      <c r="V191" s="508"/>
      <c r="W191" s="508"/>
      <c r="X191" s="508"/>
      <c r="Y191" s="508"/>
      <c r="Z191" s="508"/>
    </row>
    <row r="192" ht="13.5" customHeight="1">
      <c r="A192" s="508"/>
      <c r="B192" s="508"/>
      <c r="C192" s="508"/>
      <c r="D192" s="508"/>
      <c r="E192" s="508"/>
      <c r="F192" s="508"/>
      <c r="G192" s="533"/>
      <c r="H192" s="508"/>
      <c r="I192" s="508"/>
      <c r="J192" s="508"/>
      <c r="K192" s="508"/>
      <c r="L192" s="508"/>
      <c r="M192" s="508"/>
      <c r="N192" s="508"/>
      <c r="O192" s="508"/>
      <c r="P192" s="508"/>
      <c r="Q192" s="508"/>
      <c r="R192" s="508"/>
      <c r="S192" s="508"/>
      <c r="T192" s="508"/>
      <c r="U192" s="508"/>
      <c r="V192" s="508"/>
      <c r="W192" s="508"/>
      <c r="X192" s="508"/>
      <c r="Y192" s="508"/>
      <c r="Z192" s="508"/>
    </row>
    <row r="193" ht="13.5" customHeight="1">
      <c r="A193" s="508"/>
      <c r="B193" s="508"/>
      <c r="C193" s="508"/>
      <c r="D193" s="508"/>
      <c r="E193" s="508"/>
      <c r="F193" s="508"/>
      <c r="G193" s="533"/>
      <c r="H193" s="508"/>
      <c r="I193" s="508"/>
      <c r="J193" s="508"/>
      <c r="K193" s="508"/>
      <c r="L193" s="508"/>
      <c r="M193" s="508"/>
      <c r="N193" s="508"/>
      <c r="O193" s="508"/>
      <c r="P193" s="508"/>
      <c r="Q193" s="508"/>
      <c r="R193" s="508"/>
      <c r="S193" s="508"/>
      <c r="T193" s="508"/>
      <c r="U193" s="508"/>
      <c r="V193" s="508"/>
      <c r="W193" s="508"/>
      <c r="X193" s="508"/>
      <c r="Y193" s="508"/>
      <c r="Z193" s="508"/>
    </row>
    <row r="194" ht="13.5" customHeight="1">
      <c r="A194" s="508"/>
      <c r="B194" s="508"/>
      <c r="C194" s="508"/>
      <c r="D194" s="508"/>
      <c r="E194" s="508"/>
      <c r="F194" s="508"/>
      <c r="G194" s="533"/>
      <c r="H194" s="508"/>
      <c r="I194" s="508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508"/>
      <c r="Y194" s="508"/>
      <c r="Z194" s="508"/>
    </row>
    <row r="195" ht="13.5" customHeight="1">
      <c r="A195" s="508"/>
      <c r="B195" s="508"/>
      <c r="C195" s="508"/>
      <c r="D195" s="508"/>
      <c r="E195" s="508"/>
      <c r="F195" s="508"/>
      <c r="G195" s="533"/>
      <c r="H195" s="508"/>
      <c r="I195" s="508"/>
      <c r="J195" s="508"/>
      <c r="K195" s="508"/>
      <c r="L195" s="508"/>
      <c r="M195" s="508"/>
      <c r="N195" s="508"/>
      <c r="O195" s="508"/>
      <c r="P195" s="508"/>
      <c r="Q195" s="508"/>
      <c r="R195" s="508"/>
      <c r="S195" s="508"/>
      <c r="T195" s="508"/>
      <c r="U195" s="508"/>
      <c r="V195" s="508"/>
      <c r="W195" s="508"/>
      <c r="X195" s="508"/>
      <c r="Y195" s="508"/>
      <c r="Z195" s="508"/>
    </row>
    <row r="196" ht="13.5" customHeight="1">
      <c r="A196" s="508"/>
      <c r="B196" s="508"/>
      <c r="C196" s="508"/>
      <c r="D196" s="508"/>
      <c r="E196" s="508"/>
      <c r="F196" s="508"/>
      <c r="G196" s="533"/>
      <c r="H196" s="508"/>
      <c r="I196" s="508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508"/>
      <c r="Y196" s="508"/>
      <c r="Z196" s="508"/>
    </row>
    <row r="197" ht="13.5" customHeight="1">
      <c r="A197" s="508"/>
      <c r="B197" s="508"/>
      <c r="C197" s="508"/>
      <c r="D197" s="508"/>
      <c r="E197" s="508"/>
      <c r="F197" s="508"/>
      <c r="G197" s="533"/>
      <c r="H197" s="508"/>
      <c r="I197" s="508"/>
      <c r="J197" s="508"/>
      <c r="K197" s="508"/>
      <c r="L197" s="508"/>
      <c r="M197" s="508"/>
      <c r="N197" s="508"/>
      <c r="O197" s="508"/>
      <c r="P197" s="508"/>
      <c r="Q197" s="508"/>
      <c r="R197" s="508"/>
      <c r="S197" s="508"/>
      <c r="T197" s="508"/>
      <c r="U197" s="508"/>
      <c r="V197" s="508"/>
      <c r="W197" s="508"/>
      <c r="X197" s="508"/>
      <c r="Y197" s="508"/>
      <c r="Z197" s="508"/>
    </row>
    <row r="198" ht="13.5" customHeight="1">
      <c r="A198" s="508"/>
      <c r="B198" s="508"/>
      <c r="C198" s="508"/>
      <c r="D198" s="508"/>
      <c r="E198" s="508"/>
      <c r="F198" s="508"/>
      <c r="G198" s="533"/>
      <c r="H198" s="508"/>
      <c r="I198" s="508"/>
      <c r="J198" s="508"/>
      <c r="K198" s="508"/>
      <c r="L198" s="508"/>
      <c r="M198" s="508"/>
      <c r="N198" s="508"/>
      <c r="O198" s="508"/>
      <c r="P198" s="508"/>
      <c r="Q198" s="508"/>
      <c r="R198" s="508"/>
      <c r="S198" s="508"/>
      <c r="T198" s="508"/>
      <c r="U198" s="508"/>
      <c r="V198" s="508"/>
      <c r="W198" s="508"/>
      <c r="X198" s="508"/>
      <c r="Y198" s="508"/>
      <c r="Z198" s="508"/>
    </row>
    <row r="199" ht="13.5" customHeight="1">
      <c r="A199" s="508"/>
      <c r="B199" s="508"/>
      <c r="C199" s="508"/>
      <c r="D199" s="508"/>
      <c r="E199" s="508"/>
      <c r="F199" s="508"/>
      <c r="G199" s="533"/>
      <c r="H199" s="508"/>
      <c r="I199" s="508"/>
      <c r="J199" s="508"/>
      <c r="K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508"/>
      <c r="V199" s="508"/>
      <c r="W199" s="508"/>
      <c r="X199" s="508"/>
      <c r="Y199" s="508"/>
      <c r="Z199" s="508"/>
    </row>
    <row r="200" ht="13.5" customHeight="1">
      <c r="A200" s="508"/>
      <c r="B200" s="508"/>
      <c r="C200" s="508"/>
      <c r="D200" s="508"/>
      <c r="E200" s="508"/>
      <c r="F200" s="508"/>
      <c r="G200" s="533"/>
      <c r="H200" s="508"/>
      <c r="I200" s="508"/>
      <c r="J200" s="508"/>
      <c r="K200" s="508"/>
      <c r="L200" s="508"/>
      <c r="M200" s="508"/>
      <c r="N200" s="508"/>
      <c r="O200" s="508"/>
      <c r="P200" s="508"/>
      <c r="Q200" s="508"/>
      <c r="R200" s="508"/>
      <c r="S200" s="508"/>
      <c r="T200" s="508"/>
      <c r="U200" s="508"/>
      <c r="V200" s="508"/>
      <c r="W200" s="508"/>
      <c r="X200" s="508"/>
      <c r="Y200" s="508"/>
      <c r="Z200" s="508"/>
    </row>
    <row r="201" ht="13.5" customHeight="1">
      <c r="A201" s="508"/>
      <c r="B201" s="508"/>
      <c r="C201" s="508"/>
      <c r="D201" s="508"/>
      <c r="E201" s="508"/>
      <c r="F201" s="508"/>
      <c r="G201" s="533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508"/>
      <c r="Y201" s="508"/>
      <c r="Z201" s="508"/>
    </row>
    <row r="202" ht="13.5" customHeight="1">
      <c r="A202" s="508"/>
      <c r="B202" s="508"/>
      <c r="C202" s="508"/>
      <c r="D202" s="508"/>
      <c r="E202" s="508"/>
      <c r="F202" s="508"/>
      <c r="G202" s="533"/>
      <c r="H202" s="508"/>
      <c r="I202" s="508"/>
      <c r="J202" s="508"/>
      <c r="K202" s="508"/>
      <c r="L202" s="508"/>
      <c r="M202" s="508"/>
      <c r="N202" s="508"/>
      <c r="O202" s="508"/>
      <c r="P202" s="508"/>
      <c r="Q202" s="508"/>
      <c r="R202" s="508"/>
      <c r="S202" s="508"/>
      <c r="T202" s="508"/>
      <c r="U202" s="508"/>
      <c r="V202" s="508"/>
      <c r="W202" s="508"/>
      <c r="X202" s="508"/>
      <c r="Y202" s="508"/>
      <c r="Z202" s="508"/>
    </row>
    <row r="203" ht="13.5" customHeight="1">
      <c r="A203" s="508"/>
      <c r="B203" s="508"/>
      <c r="C203" s="508"/>
      <c r="D203" s="508"/>
      <c r="E203" s="508"/>
      <c r="F203" s="508"/>
      <c r="G203" s="533"/>
      <c r="H203" s="508"/>
      <c r="I203" s="508"/>
      <c r="J203" s="508"/>
      <c r="K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8"/>
      <c r="V203" s="508"/>
      <c r="W203" s="508"/>
      <c r="X203" s="508"/>
      <c r="Y203" s="508"/>
      <c r="Z203" s="508"/>
    </row>
    <row r="204" ht="13.5" customHeight="1">
      <c r="A204" s="508"/>
      <c r="B204" s="508"/>
      <c r="C204" s="508"/>
      <c r="D204" s="508"/>
      <c r="E204" s="508"/>
      <c r="F204" s="508"/>
      <c r="G204" s="533"/>
      <c r="H204" s="508"/>
      <c r="I204" s="508"/>
      <c r="J204" s="508"/>
      <c r="K204" s="508"/>
      <c r="L204" s="508"/>
      <c r="M204" s="508"/>
      <c r="N204" s="508"/>
      <c r="O204" s="508"/>
      <c r="P204" s="508"/>
      <c r="Q204" s="508"/>
      <c r="R204" s="508"/>
      <c r="S204" s="508"/>
      <c r="T204" s="508"/>
      <c r="U204" s="508"/>
      <c r="V204" s="508"/>
      <c r="W204" s="508"/>
      <c r="X204" s="508"/>
      <c r="Y204" s="508"/>
      <c r="Z204" s="508"/>
    </row>
    <row r="205" ht="13.5" customHeight="1">
      <c r="A205" s="508"/>
      <c r="B205" s="508"/>
      <c r="C205" s="508"/>
      <c r="D205" s="508"/>
      <c r="E205" s="508"/>
      <c r="F205" s="508"/>
      <c r="G205" s="533"/>
      <c r="H205" s="508"/>
      <c r="I205" s="508"/>
      <c r="J205" s="508"/>
      <c r="K205" s="508"/>
      <c r="L205" s="508"/>
      <c r="M205" s="508"/>
      <c r="N205" s="508"/>
      <c r="O205" s="508"/>
      <c r="P205" s="508"/>
      <c r="Q205" s="508"/>
      <c r="R205" s="508"/>
      <c r="S205" s="508"/>
      <c r="T205" s="508"/>
      <c r="U205" s="508"/>
      <c r="V205" s="508"/>
      <c r="W205" s="508"/>
      <c r="X205" s="508"/>
      <c r="Y205" s="508"/>
      <c r="Z205" s="508"/>
    </row>
    <row r="206" ht="13.5" customHeight="1">
      <c r="A206" s="508"/>
      <c r="B206" s="508"/>
      <c r="C206" s="508"/>
      <c r="D206" s="508"/>
      <c r="E206" s="508"/>
      <c r="F206" s="508"/>
      <c r="G206" s="533"/>
      <c r="H206" s="508"/>
      <c r="I206" s="508"/>
      <c r="J206" s="508"/>
      <c r="K206" s="508"/>
      <c r="L206" s="508"/>
      <c r="M206" s="508"/>
      <c r="N206" s="508"/>
      <c r="O206" s="508"/>
      <c r="P206" s="508"/>
      <c r="Q206" s="508"/>
      <c r="R206" s="508"/>
      <c r="S206" s="508"/>
      <c r="T206" s="508"/>
      <c r="U206" s="508"/>
      <c r="V206" s="508"/>
      <c r="W206" s="508"/>
      <c r="X206" s="508"/>
      <c r="Y206" s="508"/>
      <c r="Z206" s="508"/>
    </row>
    <row r="207" ht="13.5" customHeight="1">
      <c r="A207" s="508"/>
      <c r="B207" s="508"/>
      <c r="C207" s="508"/>
      <c r="D207" s="508"/>
      <c r="E207" s="508"/>
      <c r="F207" s="508"/>
      <c r="G207" s="533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</row>
    <row r="208" ht="13.5" customHeight="1">
      <c r="A208" s="508"/>
      <c r="B208" s="508"/>
      <c r="C208" s="508"/>
      <c r="D208" s="508"/>
      <c r="E208" s="508"/>
      <c r="F208" s="508"/>
      <c r="G208" s="533"/>
      <c r="H208" s="508"/>
      <c r="I208" s="508"/>
      <c r="J208" s="508"/>
      <c r="K208" s="508"/>
      <c r="L208" s="508"/>
      <c r="M208" s="508"/>
      <c r="N208" s="508"/>
      <c r="O208" s="508"/>
      <c r="P208" s="508"/>
      <c r="Q208" s="508"/>
      <c r="R208" s="508"/>
      <c r="S208" s="508"/>
      <c r="T208" s="508"/>
      <c r="U208" s="508"/>
      <c r="V208" s="508"/>
      <c r="W208" s="508"/>
      <c r="X208" s="508"/>
      <c r="Y208" s="508"/>
      <c r="Z208" s="508"/>
    </row>
    <row r="209" ht="13.5" customHeight="1">
      <c r="A209" s="508"/>
      <c r="B209" s="508"/>
      <c r="C209" s="508"/>
      <c r="D209" s="508"/>
      <c r="E209" s="508"/>
      <c r="F209" s="508"/>
      <c r="G209" s="533"/>
      <c r="H209" s="508"/>
      <c r="I209" s="508"/>
      <c r="J209" s="508"/>
      <c r="K209" s="508"/>
      <c r="L209" s="508"/>
      <c r="M209" s="508"/>
      <c r="N209" s="508"/>
      <c r="O209" s="508"/>
      <c r="P209" s="508"/>
      <c r="Q209" s="508"/>
      <c r="R209" s="508"/>
      <c r="S209" s="508"/>
      <c r="T209" s="508"/>
      <c r="U209" s="508"/>
      <c r="V209" s="508"/>
      <c r="W209" s="508"/>
      <c r="X209" s="508"/>
      <c r="Y209" s="508"/>
      <c r="Z209" s="508"/>
    </row>
    <row r="210" ht="13.5" customHeight="1">
      <c r="A210" s="508"/>
      <c r="B210" s="508"/>
      <c r="C210" s="508"/>
      <c r="D210" s="508"/>
      <c r="E210" s="508"/>
      <c r="F210" s="508"/>
      <c r="G210" s="533"/>
      <c r="H210" s="508"/>
      <c r="I210" s="508"/>
      <c r="J210" s="508"/>
      <c r="K210" s="508"/>
      <c r="L210" s="508"/>
      <c r="M210" s="508"/>
      <c r="N210" s="508"/>
      <c r="O210" s="508"/>
      <c r="P210" s="508"/>
      <c r="Q210" s="508"/>
      <c r="R210" s="508"/>
      <c r="S210" s="508"/>
      <c r="T210" s="508"/>
      <c r="U210" s="508"/>
      <c r="V210" s="508"/>
      <c r="W210" s="508"/>
      <c r="X210" s="508"/>
      <c r="Y210" s="508"/>
      <c r="Z210" s="508"/>
    </row>
    <row r="211" ht="13.5" customHeight="1">
      <c r="A211" s="508"/>
      <c r="B211" s="508"/>
      <c r="C211" s="508"/>
      <c r="D211" s="508"/>
      <c r="E211" s="508"/>
      <c r="F211" s="508"/>
      <c r="G211" s="533"/>
      <c r="H211" s="508"/>
      <c r="I211" s="508"/>
      <c r="J211" s="508"/>
      <c r="K211" s="508"/>
      <c r="L211" s="508"/>
      <c r="M211" s="508"/>
      <c r="N211" s="508"/>
      <c r="O211" s="508"/>
      <c r="P211" s="508"/>
      <c r="Q211" s="508"/>
      <c r="R211" s="508"/>
      <c r="S211" s="508"/>
      <c r="T211" s="508"/>
      <c r="U211" s="508"/>
      <c r="V211" s="508"/>
      <c r="W211" s="508"/>
      <c r="X211" s="508"/>
      <c r="Y211" s="508"/>
      <c r="Z211" s="508"/>
    </row>
    <row r="212" ht="13.5" customHeight="1">
      <c r="A212" s="508"/>
      <c r="B212" s="508"/>
      <c r="C212" s="508"/>
      <c r="D212" s="508"/>
      <c r="E212" s="508"/>
      <c r="F212" s="508"/>
      <c r="G212" s="533"/>
      <c r="H212" s="508"/>
      <c r="I212" s="508"/>
      <c r="J212" s="508"/>
      <c r="K212" s="508"/>
      <c r="L212" s="508"/>
      <c r="M212" s="508"/>
      <c r="N212" s="508"/>
      <c r="O212" s="508"/>
      <c r="P212" s="508"/>
      <c r="Q212" s="508"/>
      <c r="R212" s="508"/>
      <c r="S212" s="508"/>
      <c r="T212" s="508"/>
      <c r="U212" s="508"/>
      <c r="V212" s="508"/>
      <c r="W212" s="508"/>
      <c r="X212" s="508"/>
      <c r="Y212" s="508"/>
      <c r="Z212" s="508"/>
    </row>
    <row r="213" ht="13.5" customHeight="1">
      <c r="A213" s="508"/>
      <c r="B213" s="508"/>
      <c r="C213" s="508"/>
      <c r="D213" s="508"/>
      <c r="E213" s="508"/>
      <c r="F213" s="508"/>
      <c r="G213" s="533"/>
      <c r="H213" s="508"/>
      <c r="I213" s="508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508"/>
      <c r="Y213" s="508"/>
      <c r="Z213" s="508"/>
    </row>
    <row r="214" ht="13.5" customHeight="1">
      <c r="A214" s="508"/>
      <c r="B214" s="508"/>
      <c r="C214" s="508"/>
      <c r="D214" s="508"/>
      <c r="E214" s="508"/>
      <c r="F214" s="508"/>
      <c r="G214" s="533"/>
      <c r="H214" s="508"/>
      <c r="I214" s="508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508"/>
      <c r="Y214" s="508"/>
      <c r="Z214" s="508"/>
    </row>
    <row r="215" ht="13.5" customHeight="1">
      <c r="A215" s="508"/>
      <c r="B215" s="508"/>
      <c r="C215" s="508"/>
      <c r="D215" s="508"/>
      <c r="E215" s="508"/>
      <c r="F215" s="508"/>
      <c r="G215" s="533"/>
      <c r="H215" s="508"/>
      <c r="I215" s="508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508"/>
      <c r="Y215" s="508"/>
      <c r="Z215" s="508"/>
    </row>
    <row r="216" ht="13.5" customHeight="1">
      <c r="A216" s="508"/>
      <c r="B216" s="508"/>
      <c r="C216" s="508"/>
      <c r="D216" s="508"/>
      <c r="E216" s="508"/>
      <c r="F216" s="508"/>
      <c r="G216" s="533"/>
      <c r="H216" s="508"/>
      <c r="I216" s="508"/>
      <c r="J216" s="508"/>
      <c r="K216" s="508"/>
      <c r="L216" s="508"/>
      <c r="M216" s="508"/>
      <c r="N216" s="508"/>
      <c r="O216" s="508"/>
      <c r="P216" s="508"/>
      <c r="Q216" s="508"/>
      <c r="R216" s="508"/>
      <c r="S216" s="508"/>
      <c r="T216" s="508"/>
      <c r="U216" s="508"/>
      <c r="V216" s="508"/>
      <c r="W216" s="508"/>
      <c r="X216" s="508"/>
      <c r="Y216" s="508"/>
      <c r="Z216" s="508"/>
    </row>
    <row r="217" ht="13.5" customHeight="1">
      <c r="A217" s="508"/>
      <c r="B217" s="508"/>
      <c r="C217" s="508"/>
      <c r="D217" s="508"/>
      <c r="E217" s="508"/>
      <c r="F217" s="508"/>
      <c r="G217" s="533"/>
      <c r="H217" s="508"/>
      <c r="I217" s="508"/>
      <c r="J217" s="508"/>
      <c r="K217" s="508"/>
      <c r="L217" s="508"/>
      <c r="M217" s="508"/>
      <c r="N217" s="508"/>
      <c r="O217" s="508"/>
      <c r="P217" s="508"/>
      <c r="Q217" s="508"/>
      <c r="R217" s="508"/>
      <c r="S217" s="508"/>
      <c r="T217" s="508"/>
      <c r="U217" s="508"/>
      <c r="V217" s="508"/>
      <c r="W217" s="508"/>
      <c r="X217" s="508"/>
      <c r="Y217" s="508"/>
      <c r="Z217" s="508"/>
    </row>
    <row r="218" ht="13.5" customHeight="1">
      <c r="A218" s="508"/>
      <c r="B218" s="508"/>
      <c r="C218" s="508"/>
      <c r="D218" s="508"/>
      <c r="E218" s="508"/>
      <c r="F218" s="508"/>
      <c r="G218" s="533"/>
      <c r="H218" s="508"/>
      <c r="I218" s="508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508"/>
      <c r="W218" s="508"/>
      <c r="X218" s="508"/>
      <c r="Y218" s="508"/>
      <c r="Z218" s="508"/>
    </row>
    <row r="219" ht="13.5" customHeight="1">
      <c r="A219" s="508"/>
      <c r="B219" s="508"/>
      <c r="C219" s="508"/>
      <c r="D219" s="508"/>
      <c r="E219" s="508"/>
      <c r="F219" s="508"/>
      <c r="G219" s="533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508"/>
      <c r="Y219" s="508"/>
      <c r="Z219" s="508"/>
    </row>
    <row r="220" ht="13.5" customHeight="1">
      <c r="A220" s="508"/>
      <c r="B220" s="508"/>
      <c r="C220" s="508"/>
      <c r="D220" s="508"/>
      <c r="E220" s="508"/>
      <c r="F220" s="508"/>
      <c r="G220" s="533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508"/>
      <c r="Y220" s="508"/>
      <c r="Z220" s="508"/>
    </row>
    <row r="221" ht="13.5" customHeight="1">
      <c r="A221" s="508"/>
      <c r="B221" s="508"/>
      <c r="C221" s="508"/>
      <c r="D221" s="508"/>
      <c r="E221" s="508"/>
      <c r="F221" s="508"/>
      <c r="G221" s="533"/>
      <c r="H221" s="508"/>
      <c r="I221" s="508"/>
      <c r="J221" s="508"/>
      <c r="K221" s="508"/>
      <c r="L221" s="508"/>
      <c r="M221" s="508"/>
      <c r="N221" s="508"/>
      <c r="O221" s="508"/>
      <c r="P221" s="508"/>
      <c r="Q221" s="508"/>
      <c r="R221" s="508"/>
      <c r="S221" s="508"/>
      <c r="T221" s="508"/>
      <c r="U221" s="508"/>
      <c r="V221" s="508"/>
      <c r="W221" s="508"/>
      <c r="X221" s="508"/>
      <c r="Y221" s="508"/>
      <c r="Z221" s="508"/>
    </row>
    <row r="222" ht="13.5" customHeight="1">
      <c r="A222" s="508"/>
      <c r="B222" s="508"/>
      <c r="C222" s="508"/>
      <c r="D222" s="508"/>
      <c r="E222" s="508"/>
      <c r="F222" s="508"/>
      <c r="G222" s="533"/>
      <c r="H222" s="508"/>
      <c r="I222" s="508"/>
      <c r="J222" s="508"/>
      <c r="K222" s="508"/>
      <c r="L222" s="508"/>
      <c r="M222" s="508"/>
      <c r="N222" s="508"/>
      <c r="O222" s="508"/>
      <c r="P222" s="508"/>
      <c r="Q222" s="508"/>
      <c r="R222" s="508"/>
      <c r="S222" s="508"/>
      <c r="T222" s="508"/>
      <c r="U222" s="508"/>
      <c r="V222" s="508"/>
      <c r="W222" s="508"/>
      <c r="X222" s="508"/>
      <c r="Y222" s="508"/>
      <c r="Z222" s="508"/>
    </row>
    <row r="223" ht="13.5" customHeight="1">
      <c r="A223" s="508"/>
      <c r="B223" s="508"/>
      <c r="C223" s="508"/>
      <c r="D223" s="508"/>
      <c r="E223" s="508"/>
      <c r="F223" s="508"/>
      <c r="G223" s="533"/>
      <c r="H223" s="508"/>
      <c r="I223" s="508"/>
      <c r="J223" s="508"/>
      <c r="K223" s="508"/>
      <c r="L223" s="508"/>
      <c r="M223" s="508"/>
      <c r="N223" s="508"/>
      <c r="O223" s="508"/>
      <c r="P223" s="508"/>
      <c r="Q223" s="508"/>
      <c r="R223" s="508"/>
      <c r="S223" s="508"/>
      <c r="T223" s="508"/>
      <c r="U223" s="508"/>
      <c r="V223" s="508"/>
      <c r="W223" s="508"/>
      <c r="X223" s="508"/>
      <c r="Y223" s="508"/>
      <c r="Z223" s="508"/>
    </row>
    <row r="224" ht="13.5" customHeight="1">
      <c r="A224" s="508"/>
      <c r="B224" s="508"/>
      <c r="C224" s="508"/>
      <c r="D224" s="508"/>
      <c r="E224" s="508"/>
      <c r="F224" s="508"/>
      <c r="G224" s="533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8"/>
      <c r="Z224" s="508"/>
    </row>
    <row r="225" ht="13.5" customHeight="1">
      <c r="A225" s="508"/>
      <c r="B225" s="508"/>
      <c r="C225" s="508"/>
      <c r="D225" s="508"/>
      <c r="E225" s="508"/>
      <c r="F225" s="508"/>
      <c r="G225" s="533"/>
      <c r="H225" s="508"/>
      <c r="I225" s="508"/>
      <c r="J225" s="508"/>
      <c r="K225" s="508"/>
      <c r="L225" s="508"/>
      <c r="M225" s="508"/>
      <c r="N225" s="508"/>
      <c r="O225" s="508"/>
      <c r="P225" s="508"/>
      <c r="Q225" s="508"/>
      <c r="R225" s="508"/>
      <c r="S225" s="508"/>
      <c r="T225" s="508"/>
      <c r="U225" s="508"/>
      <c r="V225" s="508"/>
      <c r="W225" s="508"/>
      <c r="X225" s="508"/>
      <c r="Y225" s="508"/>
      <c r="Z225" s="508"/>
    </row>
    <row r="226" ht="13.5" customHeight="1">
      <c r="A226" s="508"/>
      <c r="B226" s="508"/>
      <c r="C226" s="508"/>
      <c r="D226" s="508"/>
      <c r="E226" s="508"/>
      <c r="F226" s="508"/>
      <c r="G226" s="533"/>
      <c r="H226" s="508"/>
      <c r="I226" s="508"/>
      <c r="J226" s="508"/>
      <c r="K226" s="508"/>
      <c r="L226" s="508"/>
      <c r="M226" s="508"/>
      <c r="N226" s="508"/>
      <c r="O226" s="508"/>
      <c r="P226" s="508"/>
      <c r="Q226" s="508"/>
      <c r="R226" s="508"/>
      <c r="S226" s="508"/>
      <c r="T226" s="508"/>
      <c r="U226" s="508"/>
      <c r="V226" s="508"/>
      <c r="W226" s="508"/>
      <c r="X226" s="508"/>
      <c r="Y226" s="508"/>
      <c r="Z226" s="508"/>
    </row>
    <row r="227" ht="13.5" customHeight="1">
      <c r="A227" s="508"/>
      <c r="B227" s="508"/>
      <c r="C227" s="508"/>
      <c r="D227" s="508"/>
      <c r="E227" s="508"/>
      <c r="F227" s="508"/>
      <c r="G227" s="533"/>
      <c r="H227" s="508"/>
      <c r="I227" s="508"/>
      <c r="J227" s="508"/>
      <c r="K227" s="508"/>
      <c r="L227" s="508"/>
      <c r="M227" s="508"/>
      <c r="N227" s="508"/>
      <c r="O227" s="508"/>
      <c r="P227" s="508"/>
      <c r="Q227" s="508"/>
      <c r="R227" s="508"/>
      <c r="S227" s="508"/>
      <c r="T227" s="508"/>
      <c r="U227" s="508"/>
      <c r="V227" s="508"/>
      <c r="W227" s="508"/>
      <c r="X227" s="508"/>
      <c r="Y227" s="508"/>
      <c r="Z227" s="508"/>
    </row>
    <row r="228" ht="13.5" customHeight="1">
      <c r="A228" s="508"/>
      <c r="B228" s="508"/>
      <c r="C228" s="508"/>
      <c r="D228" s="508"/>
      <c r="E228" s="508"/>
      <c r="F228" s="508"/>
      <c r="G228" s="533"/>
      <c r="H228" s="508"/>
      <c r="I228" s="508"/>
      <c r="J228" s="508"/>
      <c r="K228" s="508"/>
      <c r="L228" s="508"/>
      <c r="M228" s="508"/>
      <c r="N228" s="508"/>
      <c r="O228" s="508"/>
      <c r="P228" s="508"/>
      <c r="Q228" s="508"/>
      <c r="R228" s="508"/>
      <c r="S228" s="508"/>
      <c r="T228" s="508"/>
      <c r="U228" s="508"/>
      <c r="V228" s="508"/>
      <c r="W228" s="508"/>
      <c r="X228" s="508"/>
      <c r="Y228" s="508"/>
      <c r="Z228" s="508"/>
    </row>
    <row r="229" ht="13.5" customHeight="1">
      <c r="A229" s="508"/>
      <c r="B229" s="508"/>
      <c r="C229" s="508"/>
      <c r="D229" s="508"/>
      <c r="E229" s="508"/>
      <c r="F229" s="508"/>
      <c r="G229" s="533"/>
      <c r="H229" s="508"/>
      <c r="I229" s="508"/>
      <c r="J229" s="508"/>
      <c r="K229" s="508"/>
      <c r="L229" s="508"/>
      <c r="M229" s="508"/>
      <c r="N229" s="508"/>
      <c r="O229" s="508"/>
      <c r="P229" s="508"/>
      <c r="Q229" s="508"/>
      <c r="R229" s="508"/>
      <c r="S229" s="508"/>
      <c r="T229" s="508"/>
      <c r="U229" s="508"/>
      <c r="V229" s="508"/>
      <c r="W229" s="508"/>
      <c r="X229" s="508"/>
      <c r="Y229" s="508"/>
      <c r="Z229" s="508"/>
    </row>
    <row r="230" ht="13.5" customHeight="1">
      <c r="A230" s="508"/>
      <c r="B230" s="508"/>
      <c r="C230" s="508"/>
      <c r="D230" s="508"/>
      <c r="E230" s="508"/>
      <c r="F230" s="508"/>
      <c r="G230" s="533"/>
      <c r="H230" s="508"/>
      <c r="I230" s="508"/>
      <c r="J230" s="508"/>
      <c r="K230" s="508"/>
      <c r="L230" s="508"/>
      <c r="M230" s="508"/>
      <c r="N230" s="508"/>
      <c r="O230" s="508"/>
      <c r="P230" s="508"/>
      <c r="Q230" s="508"/>
      <c r="R230" s="508"/>
      <c r="S230" s="508"/>
      <c r="T230" s="508"/>
      <c r="U230" s="508"/>
      <c r="V230" s="508"/>
      <c r="W230" s="508"/>
      <c r="X230" s="508"/>
      <c r="Y230" s="508"/>
      <c r="Z230" s="508"/>
    </row>
    <row r="231" ht="13.5" customHeight="1">
      <c r="A231" s="508"/>
      <c r="B231" s="508"/>
      <c r="C231" s="508"/>
      <c r="D231" s="508"/>
      <c r="E231" s="508"/>
      <c r="F231" s="508"/>
      <c r="G231" s="533"/>
      <c r="H231" s="508"/>
      <c r="I231" s="508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  <c r="Z231" s="508"/>
    </row>
    <row r="232" ht="13.5" customHeight="1">
      <c r="A232" s="508"/>
      <c r="B232" s="508"/>
      <c r="C232" s="508"/>
      <c r="D232" s="508"/>
      <c r="E232" s="508"/>
      <c r="F232" s="508"/>
      <c r="G232" s="533"/>
      <c r="H232" s="508"/>
      <c r="I232" s="508"/>
      <c r="J232" s="508"/>
      <c r="K232" s="508"/>
      <c r="L232" s="508"/>
      <c r="M232" s="508"/>
      <c r="N232" s="508"/>
      <c r="O232" s="508"/>
      <c r="P232" s="508"/>
      <c r="Q232" s="508"/>
      <c r="R232" s="508"/>
      <c r="S232" s="508"/>
      <c r="T232" s="508"/>
      <c r="U232" s="508"/>
      <c r="V232" s="508"/>
      <c r="W232" s="508"/>
      <c r="X232" s="508"/>
      <c r="Y232" s="508"/>
      <c r="Z232" s="508"/>
    </row>
    <row r="233" ht="13.5" customHeight="1">
      <c r="A233" s="508"/>
      <c r="B233" s="508"/>
      <c r="C233" s="508"/>
      <c r="D233" s="508"/>
      <c r="E233" s="508"/>
      <c r="F233" s="508"/>
      <c r="G233" s="533"/>
      <c r="H233" s="508"/>
      <c r="I233" s="508"/>
      <c r="J233" s="508"/>
      <c r="K233" s="508"/>
      <c r="L233" s="508"/>
      <c r="M233" s="508"/>
      <c r="N233" s="508"/>
      <c r="O233" s="508"/>
      <c r="P233" s="508"/>
      <c r="Q233" s="508"/>
      <c r="R233" s="508"/>
      <c r="S233" s="508"/>
      <c r="T233" s="508"/>
      <c r="U233" s="508"/>
      <c r="V233" s="508"/>
      <c r="W233" s="508"/>
      <c r="X233" s="508"/>
      <c r="Y233" s="508"/>
      <c r="Z233" s="508"/>
    </row>
    <row r="234" ht="13.5" customHeight="1">
      <c r="A234" s="508"/>
      <c r="B234" s="508"/>
      <c r="C234" s="508"/>
      <c r="D234" s="508"/>
      <c r="E234" s="508"/>
      <c r="F234" s="508"/>
      <c r="G234" s="533"/>
      <c r="H234" s="508"/>
      <c r="I234" s="508"/>
      <c r="J234" s="508"/>
      <c r="K234" s="508"/>
      <c r="L234" s="508"/>
      <c r="M234" s="508"/>
      <c r="N234" s="508"/>
      <c r="O234" s="508"/>
      <c r="P234" s="508"/>
      <c r="Q234" s="508"/>
      <c r="R234" s="508"/>
      <c r="S234" s="508"/>
      <c r="T234" s="508"/>
      <c r="U234" s="508"/>
      <c r="V234" s="508"/>
      <c r="W234" s="508"/>
      <c r="X234" s="508"/>
      <c r="Y234" s="508"/>
      <c r="Z234" s="508"/>
    </row>
    <row r="235" ht="13.5" customHeight="1">
      <c r="A235" s="508"/>
      <c r="B235" s="508"/>
      <c r="C235" s="508"/>
      <c r="D235" s="508"/>
      <c r="E235" s="508"/>
      <c r="F235" s="508"/>
      <c r="G235" s="533"/>
      <c r="H235" s="508"/>
      <c r="I235" s="508"/>
      <c r="J235" s="508"/>
      <c r="K235" s="508"/>
      <c r="L235" s="508"/>
      <c r="M235" s="508"/>
      <c r="N235" s="508"/>
      <c r="O235" s="508"/>
      <c r="P235" s="508"/>
      <c r="Q235" s="508"/>
      <c r="R235" s="508"/>
      <c r="S235" s="508"/>
      <c r="T235" s="508"/>
      <c r="U235" s="508"/>
      <c r="V235" s="508"/>
      <c r="W235" s="508"/>
      <c r="X235" s="508"/>
      <c r="Y235" s="508"/>
      <c r="Z235" s="508"/>
    </row>
    <row r="236" ht="13.5" customHeight="1">
      <c r="A236" s="508"/>
      <c r="B236" s="508"/>
      <c r="C236" s="508"/>
      <c r="D236" s="508"/>
      <c r="E236" s="508"/>
      <c r="F236" s="508"/>
      <c r="G236" s="533"/>
      <c r="H236" s="508"/>
      <c r="I236" s="508"/>
      <c r="J236" s="508"/>
      <c r="K236" s="508"/>
      <c r="L236" s="508"/>
      <c r="M236" s="508"/>
      <c r="N236" s="508"/>
      <c r="O236" s="508"/>
      <c r="P236" s="508"/>
      <c r="Q236" s="508"/>
      <c r="R236" s="508"/>
      <c r="S236" s="508"/>
      <c r="T236" s="508"/>
      <c r="U236" s="508"/>
      <c r="V236" s="508"/>
      <c r="W236" s="508"/>
      <c r="X236" s="508"/>
      <c r="Y236" s="508"/>
      <c r="Z236" s="508"/>
    </row>
    <row r="237" ht="13.5" customHeight="1">
      <c r="A237" s="508"/>
      <c r="B237" s="508"/>
      <c r="C237" s="508"/>
      <c r="D237" s="508"/>
      <c r="E237" s="508"/>
      <c r="F237" s="508"/>
      <c r="G237" s="533"/>
      <c r="H237" s="508"/>
      <c r="I237" s="508"/>
      <c r="J237" s="508"/>
      <c r="K237" s="508"/>
      <c r="L237" s="508"/>
      <c r="M237" s="508"/>
      <c r="N237" s="508"/>
      <c r="O237" s="508"/>
      <c r="P237" s="508"/>
      <c r="Q237" s="508"/>
      <c r="R237" s="508"/>
      <c r="S237" s="508"/>
      <c r="T237" s="508"/>
      <c r="U237" s="508"/>
      <c r="V237" s="508"/>
      <c r="W237" s="508"/>
      <c r="X237" s="508"/>
      <c r="Y237" s="508"/>
      <c r="Z237" s="508"/>
    </row>
    <row r="238" ht="13.5" customHeight="1">
      <c r="A238" s="508"/>
      <c r="B238" s="508"/>
      <c r="C238" s="508"/>
      <c r="D238" s="508"/>
      <c r="E238" s="508"/>
      <c r="F238" s="508"/>
      <c r="G238" s="533"/>
      <c r="H238" s="508"/>
      <c r="I238" s="508"/>
      <c r="J238" s="508"/>
      <c r="K238" s="508"/>
      <c r="L238" s="508"/>
      <c r="M238" s="508"/>
      <c r="N238" s="508"/>
      <c r="O238" s="508"/>
      <c r="P238" s="508"/>
      <c r="Q238" s="508"/>
      <c r="R238" s="508"/>
      <c r="S238" s="508"/>
      <c r="T238" s="508"/>
      <c r="U238" s="508"/>
      <c r="V238" s="508"/>
      <c r="W238" s="508"/>
      <c r="X238" s="508"/>
      <c r="Y238" s="508"/>
      <c r="Z238" s="508"/>
    </row>
    <row r="239" ht="13.5" customHeight="1">
      <c r="A239" s="508"/>
      <c r="B239" s="508"/>
      <c r="C239" s="508"/>
      <c r="D239" s="508"/>
      <c r="E239" s="508"/>
      <c r="F239" s="508"/>
      <c r="G239" s="533"/>
      <c r="H239" s="508"/>
      <c r="I239" s="508"/>
      <c r="J239" s="508"/>
      <c r="K239" s="508"/>
      <c r="L239" s="508"/>
      <c r="M239" s="508"/>
      <c r="N239" s="508"/>
      <c r="O239" s="508"/>
      <c r="P239" s="508"/>
      <c r="Q239" s="508"/>
      <c r="R239" s="508"/>
      <c r="S239" s="508"/>
      <c r="T239" s="508"/>
      <c r="U239" s="508"/>
      <c r="V239" s="508"/>
      <c r="W239" s="508"/>
      <c r="X239" s="508"/>
      <c r="Y239" s="508"/>
      <c r="Z239" s="508"/>
    </row>
    <row r="240" ht="13.5" customHeight="1">
      <c r="A240" s="508"/>
      <c r="B240" s="508"/>
      <c r="C240" s="508"/>
      <c r="D240" s="508"/>
      <c r="E240" s="508"/>
      <c r="F240" s="508"/>
      <c r="G240" s="533"/>
      <c r="H240" s="508"/>
      <c r="I240" s="508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508"/>
      <c r="Y240" s="508"/>
      <c r="Z240" s="508"/>
    </row>
    <row r="241" ht="13.5" customHeight="1">
      <c r="A241" s="508"/>
      <c r="B241" s="508"/>
      <c r="C241" s="508"/>
      <c r="D241" s="508"/>
      <c r="E241" s="508"/>
      <c r="F241" s="508"/>
      <c r="G241" s="533"/>
      <c r="H241" s="508"/>
      <c r="I241" s="508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508"/>
      <c r="Y241" s="508"/>
      <c r="Z241" s="508"/>
    </row>
    <row r="242" ht="13.5" customHeight="1">
      <c r="A242" s="508"/>
      <c r="B242" s="508"/>
      <c r="C242" s="508"/>
      <c r="D242" s="508"/>
      <c r="E242" s="508"/>
      <c r="F242" s="508"/>
      <c r="G242" s="533"/>
      <c r="H242" s="508"/>
      <c r="I242" s="508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508"/>
      <c r="Y242" s="508"/>
      <c r="Z242" s="508"/>
    </row>
    <row r="243" ht="13.5" customHeight="1">
      <c r="A243" s="508"/>
      <c r="B243" s="508"/>
      <c r="C243" s="508"/>
      <c r="D243" s="508"/>
      <c r="E243" s="508"/>
      <c r="F243" s="508"/>
      <c r="G243" s="533"/>
      <c r="H243" s="508"/>
      <c r="I243" s="508"/>
      <c r="J243" s="508"/>
      <c r="K243" s="508"/>
      <c r="L243" s="508"/>
      <c r="M243" s="508"/>
      <c r="N243" s="508"/>
      <c r="O243" s="508"/>
      <c r="P243" s="508"/>
      <c r="Q243" s="508"/>
      <c r="R243" s="508"/>
      <c r="S243" s="508"/>
      <c r="T243" s="508"/>
      <c r="U243" s="508"/>
      <c r="V243" s="508"/>
      <c r="W243" s="508"/>
      <c r="X243" s="508"/>
      <c r="Y243" s="508"/>
      <c r="Z243" s="508"/>
    </row>
    <row r="244" ht="13.5" customHeight="1">
      <c r="A244" s="508"/>
      <c r="B244" s="508"/>
      <c r="C244" s="508"/>
      <c r="D244" s="508"/>
      <c r="E244" s="508"/>
      <c r="F244" s="508"/>
      <c r="G244" s="533"/>
      <c r="H244" s="508"/>
      <c r="I244" s="508"/>
      <c r="J244" s="508"/>
      <c r="K244" s="508"/>
      <c r="L244" s="508"/>
      <c r="M244" s="508"/>
      <c r="N244" s="508"/>
      <c r="O244" s="508"/>
      <c r="P244" s="508"/>
      <c r="Q244" s="508"/>
      <c r="R244" s="508"/>
      <c r="S244" s="508"/>
      <c r="T244" s="508"/>
      <c r="U244" s="508"/>
      <c r="V244" s="508"/>
      <c r="W244" s="508"/>
      <c r="X244" s="508"/>
      <c r="Y244" s="508"/>
      <c r="Z244" s="508"/>
    </row>
    <row r="245" ht="13.5" customHeight="1">
      <c r="A245" s="508"/>
      <c r="B245" s="508"/>
      <c r="C245" s="508"/>
      <c r="D245" s="508"/>
      <c r="E245" s="508"/>
      <c r="F245" s="508"/>
      <c r="G245" s="533"/>
      <c r="H245" s="508"/>
      <c r="I245" s="508"/>
      <c r="J245" s="508"/>
      <c r="K245" s="508"/>
      <c r="L245" s="508"/>
      <c r="M245" s="508"/>
      <c r="N245" s="508"/>
      <c r="O245" s="508"/>
      <c r="P245" s="508"/>
      <c r="Q245" s="508"/>
      <c r="R245" s="508"/>
      <c r="S245" s="508"/>
      <c r="T245" s="508"/>
      <c r="U245" s="508"/>
      <c r="V245" s="508"/>
      <c r="W245" s="508"/>
      <c r="X245" s="508"/>
      <c r="Y245" s="508"/>
      <c r="Z245" s="508"/>
    </row>
    <row r="246" ht="13.5" customHeight="1">
      <c r="A246" s="508"/>
      <c r="B246" s="508"/>
      <c r="C246" s="508"/>
      <c r="D246" s="508"/>
      <c r="E246" s="508"/>
      <c r="F246" s="508"/>
      <c r="G246" s="533"/>
      <c r="H246" s="508"/>
      <c r="I246" s="508"/>
      <c r="J246" s="508"/>
      <c r="K246" s="508"/>
      <c r="L246" s="508"/>
      <c r="M246" s="508"/>
      <c r="N246" s="508"/>
      <c r="O246" s="508"/>
      <c r="P246" s="508"/>
      <c r="Q246" s="508"/>
      <c r="R246" s="508"/>
      <c r="S246" s="508"/>
      <c r="T246" s="508"/>
      <c r="U246" s="508"/>
      <c r="V246" s="508"/>
      <c r="W246" s="508"/>
      <c r="X246" s="508"/>
      <c r="Y246" s="508"/>
      <c r="Z246" s="508"/>
    </row>
    <row r="247" ht="13.5" customHeight="1">
      <c r="A247" s="508"/>
      <c r="B247" s="508"/>
      <c r="C247" s="508"/>
      <c r="D247" s="508"/>
      <c r="E247" s="508"/>
      <c r="F247" s="508"/>
      <c r="G247" s="533"/>
      <c r="H247" s="508"/>
      <c r="I247" s="508"/>
      <c r="J247" s="508"/>
      <c r="K247" s="508"/>
      <c r="L247" s="508"/>
      <c r="M247" s="508"/>
      <c r="N247" s="508"/>
      <c r="O247" s="508"/>
      <c r="P247" s="508"/>
      <c r="Q247" s="508"/>
      <c r="R247" s="508"/>
      <c r="S247" s="508"/>
      <c r="T247" s="508"/>
      <c r="U247" s="508"/>
      <c r="V247" s="508"/>
      <c r="W247" s="508"/>
      <c r="X247" s="508"/>
      <c r="Y247" s="508"/>
      <c r="Z247" s="508"/>
    </row>
    <row r="248" ht="13.5" customHeight="1">
      <c r="A248" s="508"/>
      <c r="B248" s="508"/>
      <c r="C248" s="508"/>
      <c r="D248" s="508"/>
      <c r="E248" s="508"/>
      <c r="F248" s="508"/>
      <c r="G248" s="533"/>
      <c r="H248" s="508"/>
      <c r="I248" s="508"/>
      <c r="J248" s="508"/>
      <c r="K248" s="508"/>
      <c r="L248" s="508"/>
      <c r="M248" s="508"/>
      <c r="N248" s="508"/>
      <c r="O248" s="508"/>
      <c r="P248" s="508"/>
      <c r="Q248" s="508"/>
      <c r="R248" s="508"/>
      <c r="S248" s="508"/>
      <c r="T248" s="508"/>
      <c r="U248" s="508"/>
      <c r="V248" s="508"/>
      <c r="W248" s="508"/>
      <c r="X248" s="508"/>
      <c r="Y248" s="508"/>
      <c r="Z248" s="508"/>
    </row>
    <row r="249" ht="13.5" customHeight="1">
      <c r="A249" s="508"/>
      <c r="B249" s="508"/>
      <c r="C249" s="508"/>
      <c r="D249" s="508"/>
      <c r="E249" s="508"/>
      <c r="F249" s="508"/>
      <c r="G249" s="533"/>
      <c r="H249" s="508"/>
      <c r="I249" s="508"/>
      <c r="J249" s="508"/>
      <c r="K249" s="508"/>
      <c r="L249" s="508"/>
      <c r="M249" s="508"/>
      <c r="N249" s="508"/>
      <c r="O249" s="508"/>
      <c r="P249" s="508"/>
      <c r="Q249" s="508"/>
      <c r="R249" s="508"/>
      <c r="S249" s="508"/>
      <c r="T249" s="508"/>
      <c r="U249" s="508"/>
      <c r="V249" s="508"/>
      <c r="W249" s="508"/>
      <c r="X249" s="508"/>
      <c r="Y249" s="508"/>
      <c r="Z249" s="508"/>
    </row>
    <row r="250" ht="13.5" customHeight="1">
      <c r="A250" s="508"/>
      <c r="B250" s="508"/>
      <c r="C250" s="508"/>
      <c r="D250" s="508"/>
      <c r="E250" s="508"/>
      <c r="F250" s="508"/>
      <c r="G250" s="533"/>
      <c r="H250" s="508"/>
      <c r="I250" s="508"/>
      <c r="J250" s="508"/>
      <c r="K250" s="508"/>
      <c r="L250" s="508"/>
      <c r="M250" s="508"/>
      <c r="N250" s="508"/>
      <c r="O250" s="508"/>
      <c r="P250" s="508"/>
      <c r="Q250" s="508"/>
      <c r="R250" s="508"/>
      <c r="S250" s="508"/>
      <c r="T250" s="508"/>
      <c r="U250" s="508"/>
      <c r="V250" s="508"/>
      <c r="W250" s="508"/>
      <c r="X250" s="508"/>
      <c r="Y250" s="508"/>
      <c r="Z250" s="508"/>
    </row>
    <row r="251" ht="13.5" customHeight="1">
      <c r="A251" s="508"/>
      <c r="B251" s="508"/>
      <c r="C251" s="508"/>
      <c r="D251" s="508"/>
      <c r="E251" s="508"/>
      <c r="F251" s="508"/>
      <c r="G251" s="533"/>
      <c r="H251" s="508"/>
      <c r="I251" s="508"/>
      <c r="J251" s="508"/>
      <c r="K251" s="508"/>
      <c r="L251" s="508"/>
      <c r="M251" s="508"/>
      <c r="N251" s="508"/>
      <c r="O251" s="508"/>
      <c r="P251" s="508"/>
      <c r="Q251" s="508"/>
      <c r="R251" s="508"/>
      <c r="S251" s="508"/>
      <c r="T251" s="508"/>
      <c r="U251" s="508"/>
      <c r="V251" s="508"/>
      <c r="W251" s="508"/>
      <c r="X251" s="508"/>
      <c r="Y251" s="508"/>
      <c r="Z251" s="508"/>
    </row>
    <row r="252" ht="13.5" customHeight="1">
      <c r="A252" s="508"/>
      <c r="B252" s="508"/>
      <c r="C252" s="508"/>
      <c r="D252" s="508"/>
      <c r="E252" s="508"/>
      <c r="F252" s="508"/>
      <c r="G252" s="533"/>
      <c r="H252" s="508"/>
      <c r="I252" s="508"/>
      <c r="J252" s="508"/>
      <c r="K252" s="508"/>
      <c r="L252" s="508"/>
      <c r="M252" s="508"/>
      <c r="N252" s="508"/>
      <c r="O252" s="508"/>
      <c r="P252" s="508"/>
      <c r="Q252" s="508"/>
      <c r="R252" s="508"/>
      <c r="S252" s="508"/>
      <c r="T252" s="508"/>
      <c r="U252" s="508"/>
      <c r="V252" s="508"/>
      <c r="W252" s="508"/>
      <c r="X252" s="508"/>
      <c r="Y252" s="508"/>
      <c r="Z252" s="508"/>
    </row>
    <row r="253" ht="13.5" customHeight="1">
      <c r="A253" s="508"/>
      <c r="B253" s="508"/>
      <c r="C253" s="508"/>
      <c r="D253" s="508"/>
      <c r="E253" s="508"/>
      <c r="F253" s="508"/>
      <c r="G253" s="533"/>
      <c r="H253" s="508"/>
      <c r="I253" s="508"/>
      <c r="J253" s="508"/>
      <c r="K253" s="508"/>
      <c r="L253" s="508"/>
      <c r="M253" s="508"/>
      <c r="N253" s="508"/>
      <c r="O253" s="508"/>
      <c r="P253" s="508"/>
      <c r="Q253" s="508"/>
      <c r="R253" s="508"/>
      <c r="S253" s="508"/>
      <c r="T253" s="508"/>
      <c r="U253" s="508"/>
      <c r="V253" s="508"/>
      <c r="W253" s="508"/>
      <c r="X253" s="508"/>
      <c r="Y253" s="508"/>
      <c r="Z253" s="508"/>
    </row>
    <row r="254" ht="13.5" customHeight="1">
      <c r="A254" s="508"/>
      <c r="B254" s="508"/>
      <c r="C254" s="508"/>
      <c r="D254" s="508"/>
      <c r="E254" s="508"/>
      <c r="F254" s="508"/>
      <c r="G254" s="533"/>
      <c r="H254" s="508"/>
      <c r="I254" s="508"/>
      <c r="J254" s="508"/>
      <c r="K254" s="508"/>
      <c r="L254" s="508"/>
      <c r="M254" s="508"/>
      <c r="N254" s="508"/>
      <c r="O254" s="508"/>
      <c r="P254" s="508"/>
      <c r="Q254" s="508"/>
      <c r="R254" s="508"/>
      <c r="S254" s="508"/>
      <c r="T254" s="508"/>
      <c r="U254" s="508"/>
      <c r="V254" s="508"/>
      <c r="W254" s="508"/>
      <c r="X254" s="508"/>
      <c r="Y254" s="508"/>
      <c r="Z254" s="508"/>
    </row>
    <row r="255" ht="13.5" customHeight="1">
      <c r="A255" s="508"/>
      <c r="B255" s="508"/>
      <c r="C255" s="508"/>
      <c r="D255" s="508"/>
      <c r="E255" s="508"/>
      <c r="F255" s="508"/>
      <c r="G255" s="533"/>
      <c r="H255" s="508"/>
      <c r="I255" s="508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508"/>
      <c r="Y255" s="508"/>
      <c r="Z255" s="508"/>
    </row>
    <row r="256" ht="13.5" customHeight="1">
      <c r="A256" s="508"/>
      <c r="B256" s="508"/>
      <c r="C256" s="508"/>
      <c r="D256" s="508"/>
      <c r="E256" s="508"/>
      <c r="F256" s="508"/>
      <c r="G256" s="533"/>
      <c r="H256" s="508"/>
      <c r="I256" s="508"/>
      <c r="J256" s="508"/>
      <c r="K256" s="508"/>
      <c r="L256" s="508"/>
      <c r="M256" s="508"/>
      <c r="N256" s="508"/>
      <c r="O256" s="508"/>
      <c r="P256" s="508"/>
      <c r="Q256" s="508"/>
      <c r="R256" s="508"/>
      <c r="S256" s="508"/>
      <c r="T256" s="508"/>
      <c r="U256" s="508"/>
      <c r="V256" s="508"/>
      <c r="W256" s="508"/>
      <c r="X256" s="508"/>
      <c r="Y256" s="508"/>
      <c r="Z256" s="508"/>
    </row>
    <row r="257" ht="13.5" customHeight="1">
      <c r="A257" s="508"/>
      <c r="B257" s="508"/>
      <c r="C257" s="508"/>
      <c r="D257" s="508"/>
      <c r="E257" s="508"/>
      <c r="F257" s="508"/>
      <c r="G257" s="533"/>
      <c r="H257" s="508"/>
      <c r="I257" s="508"/>
      <c r="J257" s="508"/>
      <c r="K257" s="508"/>
      <c r="L257" s="508"/>
      <c r="M257" s="508"/>
      <c r="N257" s="508"/>
      <c r="O257" s="508"/>
      <c r="P257" s="508"/>
      <c r="Q257" s="508"/>
      <c r="R257" s="508"/>
      <c r="S257" s="508"/>
      <c r="T257" s="508"/>
      <c r="U257" s="508"/>
      <c r="V257" s="508"/>
      <c r="W257" s="508"/>
      <c r="X257" s="508"/>
      <c r="Y257" s="508"/>
      <c r="Z257" s="508"/>
    </row>
    <row r="258" ht="13.5" customHeight="1">
      <c r="A258" s="508"/>
      <c r="B258" s="508"/>
      <c r="C258" s="508"/>
      <c r="D258" s="508"/>
      <c r="E258" s="508"/>
      <c r="F258" s="508"/>
      <c r="G258" s="533"/>
      <c r="H258" s="508"/>
      <c r="I258" s="508"/>
      <c r="J258" s="508"/>
      <c r="K258" s="508"/>
      <c r="L258" s="508"/>
      <c r="M258" s="508"/>
      <c r="N258" s="508"/>
      <c r="O258" s="508"/>
      <c r="P258" s="508"/>
      <c r="Q258" s="508"/>
      <c r="R258" s="508"/>
      <c r="S258" s="508"/>
      <c r="T258" s="508"/>
      <c r="U258" s="508"/>
      <c r="V258" s="508"/>
      <c r="W258" s="508"/>
      <c r="X258" s="508"/>
      <c r="Y258" s="508"/>
      <c r="Z258" s="508"/>
    </row>
    <row r="259" ht="13.5" customHeight="1">
      <c r="A259" s="508"/>
      <c r="B259" s="508"/>
      <c r="C259" s="508"/>
      <c r="D259" s="508"/>
      <c r="E259" s="508"/>
      <c r="F259" s="508"/>
      <c r="G259" s="533"/>
      <c r="H259" s="508"/>
      <c r="I259" s="508"/>
      <c r="J259" s="508"/>
      <c r="K259" s="508"/>
      <c r="L259" s="508"/>
      <c r="M259" s="508"/>
      <c r="N259" s="508"/>
      <c r="O259" s="508"/>
      <c r="P259" s="508"/>
      <c r="Q259" s="508"/>
      <c r="R259" s="508"/>
      <c r="S259" s="508"/>
      <c r="T259" s="508"/>
      <c r="U259" s="508"/>
      <c r="V259" s="508"/>
      <c r="W259" s="508"/>
      <c r="X259" s="508"/>
      <c r="Y259" s="508"/>
      <c r="Z259" s="508"/>
    </row>
    <row r="260" ht="13.5" customHeight="1">
      <c r="A260" s="508"/>
      <c r="B260" s="508"/>
      <c r="C260" s="508"/>
      <c r="D260" s="508"/>
      <c r="E260" s="508"/>
      <c r="F260" s="508"/>
      <c r="G260" s="533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8"/>
      <c r="Z260" s="508"/>
    </row>
    <row r="261" ht="13.5" customHeight="1">
      <c r="A261" s="508"/>
      <c r="B261" s="508"/>
      <c r="C261" s="508"/>
      <c r="D261" s="508"/>
      <c r="E261" s="508"/>
      <c r="F261" s="508"/>
      <c r="G261" s="533"/>
      <c r="H261" s="508"/>
      <c r="I261" s="508"/>
      <c r="J261" s="508"/>
      <c r="K261" s="508"/>
      <c r="L261" s="508"/>
      <c r="M261" s="508"/>
      <c r="N261" s="508"/>
      <c r="O261" s="508"/>
      <c r="P261" s="508"/>
      <c r="Q261" s="508"/>
      <c r="R261" s="508"/>
      <c r="S261" s="508"/>
      <c r="T261" s="508"/>
      <c r="U261" s="508"/>
      <c r="V261" s="508"/>
      <c r="W261" s="508"/>
      <c r="X261" s="508"/>
      <c r="Y261" s="508"/>
      <c r="Z261" s="508"/>
    </row>
    <row r="262" ht="13.5" customHeight="1">
      <c r="A262" s="508"/>
      <c r="B262" s="508"/>
      <c r="C262" s="508"/>
      <c r="D262" s="508"/>
      <c r="E262" s="508"/>
      <c r="F262" s="508"/>
      <c r="G262" s="533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508"/>
      <c r="Y262" s="508"/>
      <c r="Z262" s="508"/>
    </row>
    <row r="263" ht="13.5" customHeight="1">
      <c r="A263" s="508"/>
      <c r="B263" s="508"/>
      <c r="C263" s="508"/>
      <c r="D263" s="508"/>
      <c r="E263" s="508"/>
      <c r="F263" s="508"/>
      <c r="G263" s="533"/>
      <c r="H263" s="508"/>
      <c r="I263" s="508"/>
      <c r="J263" s="508"/>
      <c r="K263" s="508"/>
      <c r="L263" s="508"/>
      <c r="M263" s="508"/>
      <c r="N263" s="508"/>
      <c r="O263" s="508"/>
      <c r="P263" s="508"/>
      <c r="Q263" s="508"/>
      <c r="R263" s="508"/>
      <c r="S263" s="508"/>
      <c r="T263" s="508"/>
      <c r="U263" s="508"/>
      <c r="V263" s="508"/>
      <c r="W263" s="508"/>
      <c r="X263" s="508"/>
      <c r="Y263" s="508"/>
      <c r="Z263" s="508"/>
    </row>
    <row r="264" ht="13.5" customHeight="1">
      <c r="A264" s="508"/>
      <c r="B264" s="508"/>
      <c r="C264" s="508"/>
      <c r="D264" s="508"/>
      <c r="E264" s="508"/>
      <c r="F264" s="508"/>
      <c r="G264" s="533"/>
      <c r="H264" s="508"/>
      <c r="I264" s="508"/>
      <c r="J264" s="508"/>
      <c r="K264" s="508"/>
      <c r="L264" s="508"/>
      <c r="M264" s="508"/>
      <c r="N264" s="508"/>
      <c r="O264" s="508"/>
      <c r="P264" s="508"/>
      <c r="Q264" s="508"/>
      <c r="R264" s="508"/>
      <c r="S264" s="508"/>
      <c r="T264" s="508"/>
      <c r="U264" s="508"/>
      <c r="V264" s="508"/>
      <c r="W264" s="508"/>
      <c r="X264" s="508"/>
      <c r="Y264" s="508"/>
      <c r="Z264" s="508"/>
    </row>
    <row r="265" ht="13.5" customHeight="1">
      <c r="A265" s="508"/>
      <c r="B265" s="508"/>
      <c r="C265" s="508"/>
      <c r="D265" s="508"/>
      <c r="E265" s="508"/>
      <c r="F265" s="508"/>
      <c r="G265" s="533"/>
      <c r="H265" s="508"/>
      <c r="I265" s="508"/>
      <c r="J265" s="508"/>
      <c r="K265" s="508"/>
      <c r="L265" s="508"/>
      <c r="M265" s="508"/>
      <c r="N265" s="508"/>
      <c r="O265" s="508"/>
      <c r="P265" s="508"/>
      <c r="Q265" s="508"/>
      <c r="R265" s="508"/>
      <c r="S265" s="508"/>
      <c r="T265" s="508"/>
      <c r="U265" s="508"/>
      <c r="V265" s="508"/>
      <c r="W265" s="508"/>
      <c r="X265" s="508"/>
      <c r="Y265" s="508"/>
      <c r="Z265" s="508"/>
    </row>
    <row r="266" ht="13.5" customHeight="1">
      <c r="A266" s="508"/>
      <c r="B266" s="508"/>
      <c r="C266" s="508"/>
      <c r="D266" s="508"/>
      <c r="E266" s="508"/>
      <c r="F266" s="508"/>
      <c r="G266" s="533"/>
      <c r="H266" s="508"/>
      <c r="I266" s="508"/>
      <c r="J266" s="508"/>
      <c r="K266" s="508"/>
      <c r="L266" s="508"/>
      <c r="M266" s="508"/>
      <c r="N266" s="508"/>
      <c r="O266" s="508"/>
      <c r="P266" s="508"/>
      <c r="Q266" s="508"/>
      <c r="R266" s="508"/>
      <c r="S266" s="508"/>
      <c r="T266" s="508"/>
      <c r="U266" s="508"/>
      <c r="V266" s="508"/>
      <c r="W266" s="508"/>
      <c r="X266" s="508"/>
      <c r="Y266" s="508"/>
      <c r="Z266" s="508"/>
    </row>
    <row r="267" ht="13.5" customHeight="1">
      <c r="A267" s="508"/>
      <c r="B267" s="508"/>
      <c r="C267" s="508"/>
      <c r="D267" s="508"/>
      <c r="E267" s="508"/>
      <c r="F267" s="508"/>
      <c r="G267" s="533"/>
      <c r="H267" s="508"/>
      <c r="I267" s="508"/>
      <c r="J267" s="508"/>
      <c r="K267" s="508"/>
      <c r="L267" s="508"/>
      <c r="M267" s="508"/>
      <c r="N267" s="508"/>
      <c r="O267" s="508"/>
      <c r="P267" s="508"/>
      <c r="Q267" s="508"/>
      <c r="R267" s="508"/>
      <c r="S267" s="508"/>
      <c r="T267" s="508"/>
      <c r="U267" s="508"/>
      <c r="V267" s="508"/>
      <c r="W267" s="508"/>
      <c r="X267" s="508"/>
      <c r="Y267" s="508"/>
      <c r="Z267" s="508"/>
    </row>
    <row r="268" ht="13.5" customHeight="1">
      <c r="A268" s="508"/>
      <c r="B268" s="508"/>
      <c r="C268" s="508"/>
      <c r="D268" s="508"/>
      <c r="E268" s="508"/>
      <c r="F268" s="508"/>
      <c r="G268" s="533"/>
      <c r="H268" s="508"/>
      <c r="I268" s="508"/>
      <c r="J268" s="508"/>
      <c r="K268" s="508"/>
      <c r="L268" s="508"/>
      <c r="M268" s="508"/>
      <c r="N268" s="508"/>
      <c r="O268" s="508"/>
      <c r="P268" s="508"/>
      <c r="Q268" s="508"/>
      <c r="R268" s="508"/>
      <c r="S268" s="508"/>
      <c r="T268" s="508"/>
      <c r="U268" s="508"/>
      <c r="V268" s="508"/>
      <c r="W268" s="508"/>
      <c r="X268" s="508"/>
      <c r="Y268" s="508"/>
      <c r="Z268" s="508"/>
    </row>
    <row r="269" ht="13.5" customHeight="1">
      <c r="A269" s="508"/>
      <c r="B269" s="508"/>
      <c r="C269" s="508"/>
      <c r="D269" s="508"/>
      <c r="E269" s="508"/>
      <c r="F269" s="508"/>
      <c r="G269" s="533"/>
      <c r="H269" s="508"/>
      <c r="I269" s="508"/>
      <c r="J269" s="508"/>
      <c r="K269" s="508"/>
      <c r="L269" s="508"/>
      <c r="M269" s="508"/>
      <c r="N269" s="508"/>
      <c r="O269" s="508"/>
      <c r="P269" s="508"/>
      <c r="Q269" s="508"/>
      <c r="R269" s="508"/>
      <c r="S269" s="508"/>
      <c r="T269" s="508"/>
      <c r="U269" s="508"/>
      <c r="V269" s="508"/>
      <c r="W269" s="508"/>
      <c r="X269" s="508"/>
      <c r="Y269" s="508"/>
      <c r="Z269" s="508"/>
    </row>
    <row r="270" ht="13.5" customHeight="1">
      <c r="A270" s="508"/>
      <c r="B270" s="508"/>
      <c r="C270" s="508"/>
      <c r="D270" s="508"/>
      <c r="E270" s="508"/>
      <c r="F270" s="508"/>
      <c r="G270" s="533"/>
      <c r="H270" s="508"/>
      <c r="I270" s="508"/>
      <c r="J270" s="508"/>
      <c r="K270" s="508"/>
      <c r="L270" s="508"/>
      <c r="M270" s="508"/>
      <c r="N270" s="508"/>
      <c r="O270" s="508"/>
      <c r="P270" s="508"/>
      <c r="Q270" s="508"/>
      <c r="R270" s="508"/>
      <c r="S270" s="508"/>
      <c r="T270" s="508"/>
      <c r="U270" s="508"/>
      <c r="V270" s="508"/>
      <c r="W270" s="508"/>
      <c r="X270" s="508"/>
      <c r="Y270" s="508"/>
      <c r="Z270" s="508"/>
    </row>
    <row r="271" ht="13.5" customHeight="1">
      <c r="A271" s="508"/>
      <c r="B271" s="508"/>
      <c r="C271" s="508"/>
      <c r="D271" s="508"/>
      <c r="E271" s="508"/>
      <c r="F271" s="508"/>
      <c r="G271" s="533"/>
      <c r="H271" s="508"/>
      <c r="I271" s="508"/>
      <c r="J271" s="508"/>
      <c r="K271" s="508"/>
      <c r="L271" s="508"/>
      <c r="M271" s="508"/>
      <c r="N271" s="508"/>
      <c r="O271" s="508"/>
      <c r="P271" s="508"/>
      <c r="Q271" s="508"/>
      <c r="R271" s="508"/>
      <c r="S271" s="508"/>
      <c r="T271" s="508"/>
      <c r="U271" s="508"/>
      <c r="V271" s="508"/>
      <c r="W271" s="508"/>
      <c r="X271" s="508"/>
      <c r="Y271" s="508"/>
      <c r="Z271" s="508"/>
    </row>
    <row r="272" ht="13.5" customHeight="1">
      <c r="A272" s="508"/>
      <c r="B272" s="508"/>
      <c r="C272" s="508"/>
      <c r="D272" s="508"/>
      <c r="E272" s="508"/>
      <c r="F272" s="508"/>
      <c r="G272" s="533"/>
      <c r="H272" s="508"/>
      <c r="I272" s="508"/>
      <c r="J272" s="508"/>
      <c r="K272" s="508"/>
      <c r="L272" s="508"/>
      <c r="M272" s="508"/>
      <c r="N272" s="508"/>
      <c r="O272" s="508"/>
      <c r="P272" s="508"/>
      <c r="Q272" s="508"/>
      <c r="R272" s="508"/>
      <c r="S272" s="508"/>
      <c r="T272" s="508"/>
      <c r="U272" s="508"/>
      <c r="V272" s="508"/>
      <c r="W272" s="508"/>
      <c r="X272" s="508"/>
      <c r="Y272" s="508"/>
      <c r="Z272" s="508"/>
    </row>
    <row r="273" ht="13.5" customHeight="1">
      <c r="A273" s="508"/>
      <c r="B273" s="508"/>
      <c r="C273" s="508"/>
      <c r="D273" s="508"/>
      <c r="E273" s="508"/>
      <c r="F273" s="508"/>
      <c r="G273" s="533"/>
      <c r="H273" s="508"/>
      <c r="I273" s="508"/>
      <c r="J273" s="508"/>
      <c r="K273" s="508"/>
      <c r="L273" s="508"/>
      <c r="M273" s="508"/>
      <c r="N273" s="508"/>
      <c r="O273" s="508"/>
      <c r="P273" s="508"/>
      <c r="Q273" s="508"/>
      <c r="R273" s="508"/>
      <c r="S273" s="508"/>
      <c r="T273" s="508"/>
      <c r="U273" s="508"/>
      <c r="V273" s="508"/>
      <c r="W273" s="508"/>
      <c r="X273" s="508"/>
      <c r="Y273" s="508"/>
      <c r="Z273" s="508"/>
    </row>
    <row r="274" ht="13.5" customHeight="1">
      <c r="A274" s="508"/>
      <c r="B274" s="508"/>
      <c r="C274" s="508"/>
      <c r="D274" s="508"/>
      <c r="E274" s="508"/>
      <c r="F274" s="508"/>
      <c r="G274" s="533"/>
      <c r="H274" s="508"/>
      <c r="I274" s="508"/>
      <c r="J274" s="508"/>
      <c r="K274" s="508"/>
      <c r="L274" s="508"/>
      <c r="M274" s="508"/>
      <c r="N274" s="508"/>
      <c r="O274" s="508"/>
      <c r="P274" s="508"/>
      <c r="Q274" s="508"/>
      <c r="R274" s="508"/>
      <c r="S274" s="508"/>
      <c r="T274" s="508"/>
      <c r="U274" s="508"/>
      <c r="V274" s="508"/>
      <c r="W274" s="508"/>
      <c r="X274" s="508"/>
      <c r="Y274" s="508"/>
      <c r="Z274" s="508"/>
    </row>
    <row r="275" ht="13.5" customHeight="1">
      <c r="A275" s="508"/>
      <c r="B275" s="508"/>
      <c r="C275" s="508"/>
      <c r="D275" s="508"/>
      <c r="E275" s="508"/>
      <c r="F275" s="508"/>
      <c r="G275" s="533"/>
      <c r="H275" s="508"/>
      <c r="I275" s="508"/>
      <c r="J275" s="508"/>
      <c r="K275" s="508"/>
      <c r="L275" s="508"/>
      <c r="M275" s="508"/>
      <c r="N275" s="508"/>
      <c r="O275" s="508"/>
      <c r="P275" s="508"/>
      <c r="Q275" s="508"/>
      <c r="R275" s="508"/>
      <c r="S275" s="508"/>
      <c r="T275" s="508"/>
      <c r="U275" s="508"/>
      <c r="V275" s="508"/>
      <c r="W275" s="508"/>
      <c r="X275" s="508"/>
      <c r="Y275" s="508"/>
      <c r="Z275" s="508"/>
    </row>
    <row r="276" ht="13.5" customHeight="1">
      <c r="A276" s="508"/>
      <c r="B276" s="508"/>
      <c r="C276" s="508"/>
      <c r="D276" s="508"/>
      <c r="E276" s="508"/>
      <c r="F276" s="508"/>
      <c r="G276" s="533"/>
      <c r="H276" s="508"/>
      <c r="I276" s="508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  <c r="Z276" s="508"/>
    </row>
    <row r="277" ht="13.5" customHeight="1">
      <c r="A277" s="508"/>
      <c r="B277" s="508"/>
      <c r="C277" s="508"/>
      <c r="D277" s="508"/>
      <c r="E277" s="508"/>
      <c r="F277" s="508"/>
      <c r="G277" s="533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</row>
    <row r="278" ht="13.5" customHeight="1">
      <c r="A278" s="508"/>
      <c r="B278" s="508"/>
      <c r="C278" s="508"/>
      <c r="D278" s="508"/>
      <c r="E278" s="508"/>
      <c r="F278" s="508"/>
      <c r="G278" s="533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</row>
    <row r="279" ht="13.5" customHeight="1">
      <c r="A279" s="508"/>
      <c r="B279" s="508"/>
      <c r="C279" s="508"/>
      <c r="D279" s="508"/>
      <c r="E279" s="508"/>
      <c r="F279" s="508"/>
      <c r="G279" s="533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  <c r="Z279" s="508"/>
    </row>
    <row r="280" ht="13.5" customHeight="1">
      <c r="A280" s="508"/>
      <c r="B280" s="508"/>
      <c r="C280" s="508"/>
      <c r="D280" s="508"/>
      <c r="E280" s="508"/>
      <c r="F280" s="508"/>
      <c r="G280" s="533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  <c r="Z280" s="508"/>
    </row>
    <row r="281" ht="13.5" customHeight="1">
      <c r="A281" s="508"/>
      <c r="B281" s="508"/>
      <c r="C281" s="508"/>
      <c r="D281" s="508"/>
      <c r="E281" s="508"/>
      <c r="F281" s="508"/>
      <c r="G281" s="533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</row>
    <row r="282" ht="13.5" customHeight="1">
      <c r="A282" s="508"/>
      <c r="B282" s="508"/>
      <c r="C282" s="508"/>
      <c r="D282" s="508"/>
      <c r="E282" s="508"/>
      <c r="F282" s="508"/>
      <c r="G282" s="533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</row>
    <row r="283" ht="13.5" customHeight="1">
      <c r="A283" s="508"/>
      <c r="B283" s="508"/>
      <c r="C283" s="508"/>
      <c r="D283" s="508"/>
      <c r="E283" s="508"/>
      <c r="F283" s="508"/>
      <c r="G283" s="533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</row>
    <row r="284" ht="13.5" customHeight="1">
      <c r="A284" s="508"/>
      <c r="B284" s="508"/>
      <c r="C284" s="508"/>
      <c r="D284" s="508"/>
      <c r="E284" s="508"/>
      <c r="F284" s="508"/>
      <c r="G284" s="533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</row>
    <row r="285" ht="13.5" customHeight="1">
      <c r="A285" s="508"/>
      <c r="B285" s="508"/>
      <c r="C285" s="508"/>
      <c r="D285" s="508"/>
      <c r="E285" s="508"/>
      <c r="F285" s="508"/>
      <c r="G285" s="533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</row>
    <row r="286" ht="13.5" customHeight="1">
      <c r="A286" s="508"/>
      <c r="B286" s="508"/>
      <c r="C286" s="508"/>
      <c r="D286" s="508"/>
      <c r="E286" s="508"/>
      <c r="F286" s="508"/>
      <c r="G286" s="533"/>
      <c r="H286" s="508"/>
      <c r="I286" s="508"/>
      <c r="J286" s="508"/>
      <c r="K286" s="508"/>
      <c r="L286" s="508"/>
      <c r="M286" s="508"/>
      <c r="N286" s="508"/>
      <c r="O286" s="508"/>
      <c r="P286" s="508"/>
      <c r="Q286" s="508"/>
      <c r="R286" s="508"/>
      <c r="S286" s="508"/>
      <c r="T286" s="508"/>
      <c r="U286" s="508"/>
      <c r="V286" s="508"/>
      <c r="W286" s="508"/>
      <c r="X286" s="508"/>
      <c r="Y286" s="508"/>
      <c r="Z286" s="508"/>
    </row>
    <row r="287" ht="13.5" customHeight="1">
      <c r="A287" s="508"/>
      <c r="B287" s="508"/>
      <c r="C287" s="508"/>
      <c r="D287" s="508"/>
      <c r="E287" s="508"/>
      <c r="F287" s="508"/>
      <c r="G287" s="533"/>
      <c r="H287" s="508"/>
      <c r="I287" s="508"/>
      <c r="J287" s="508"/>
      <c r="K287" s="508"/>
      <c r="L287" s="508"/>
      <c r="M287" s="508"/>
      <c r="N287" s="508"/>
      <c r="O287" s="508"/>
      <c r="P287" s="508"/>
      <c r="Q287" s="508"/>
      <c r="R287" s="508"/>
      <c r="S287" s="508"/>
      <c r="T287" s="508"/>
      <c r="U287" s="508"/>
      <c r="V287" s="508"/>
      <c r="W287" s="508"/>
      <c r="X287" s="508"/>
      <c r="Y287" s="508"/>
      <c r="Z287" s="508"/>
    </row>
    <row r="288" ht="13.5" customHeight="1">
      <c r="A288" s="508"/>
      <c r="B288" s="508"/>
      <c r="C288" s="508"/>
      <c r="D288" s="508"/>
      <c r="E288" s="508"/>
      <c r="F288" s="508"/>
      <c r="G288" s="533"/>
      <c r="H288" s="508"/>
      <c r="I288" s="508"/>
      <c r="J288" s="508"/>
      <c r="K288" s="508"/>
      <c r="L288" s="508"/>
      <c r="M288" s="508"/>
      <c r="N288" s="508"/>
      <c r="O288" s="508"/>
      <c r="P288" s="508"/>
      <c r="Q288" s="508"/>
      <c r="R288" s="508"/>
      <c r="S288" s="508"/>
      <c r="T288" s="508"/>
      <c r="U288" s="508"/>
      <c r="V288" s="508"/>
      <c r="W288" s="508"/>
      <c r="X288" s="508"/>
      <c r="Y288" s="508"/>
      <c r="Z288" s="508"/>
    </row>
    <row r="289" ht="13.5" customHeight="1">
      <c r="A289" s="508"/>
      <c r="B289" s="508"/>
      <c r="C289" s="508"/>
      <c r="D289" s="508"/>
      <c r="E289" s="508"/>
      <c r="F289" s="508"/>
      <c r="G289" s="533"/>
      <c r="H289" s="508"/>
      <c r="I289" s="508"/>
      <c r="J289" s="508"/>
      <c r="K289" s="508"/>
      <c r="L289" s="508"/>
      <c r="M289" s="508"/>
      <c r="N289" s="508"/>
      <c r="O289" s="508"/>
      <c r="P289" s="508"/>
      <c r="Q289" s="508"/>
      <c r="R289" s="508"/>
      <c r="S289" s="508"/>
      <c r="T289" s="508"/>
      <c r="U289" s="508"/>
      <c r="V289" s="508"/>
      <c r="W289" s="508"/>
      <c r="X289" s="508"/>
      <c r="Y289" s="508"/>
      <c r="Z289" s="508"/>
    </row>
    <row r="290" ht="13.5" customHeight="1">
      <c r="A290" s="508"/>
      <c r="B290" s="508"/>
      <c r="C290" s="508"/>
      <c r="D290" s="508"/>
      <c r="E290" s="508"/>
      <c r="F290" s="508"/>
      <c r="G290" s="533"/>
      <c r="H290" s="508"/>
      <c r="I290" s="508"/>
      <c r="J290" s="508"/>
      <c r="K290" s="508"/>
      <c r="L290" s="508"/>
      <c r="M290" s="508"/>
      <c r="N290" s="508"/>
      <c r="O290" s="508"/>
      <c r="P290" s="508"/>
      <c r="Q290" s="508"/>
      <c r="R290" s="508"/>
      <c r="S290" s="508"/>
      <c r="T290" s="508"/>
      <c r="U290" s="508"/>
      <c r="V290" s="508"/>
      <c r="W290" s="508"/>
      <c r="X290" s="508"/>
      <c r="Y290" s="508"/>
      <c r="Z290" s="508"/>
    </row>
    <row r="291" ht="13.5" customHeight="1">
      <c r="A291" s="508"/>
      <c r="B291" s="508"/>
      <c r="C291" s="508"/>
      <c r="D291" s="508"/>
      <c r="E291" s="508"/>
      <c r="F291" s="508"/>
      <c r="G291" s="533"/>
      <c r="H291" s="508"/>
      <c r="I291" s="508"/>
      <c r="J291" s="508"/>
      <c r="K291" s="508"/>
      <c r="L291" s="508"/>
      <c r="M291" s="508"/>
      <c r="N291" s="508"/>
      <c r="O291" s="508"/>
      <c r="P291" s="508"/>
      <c r="Q291" s="508"/>
      <c r="R291" s="508"/>
      <c r="S291" s="508"/>
      <c r="T291" s="508"/>
      <c r="U291" s="508"/>
      <c r="V291" s="508"/>
      <c r="W291" s="508"/>
      <c r="X291" s="508"/>
      <c r="Y291" s="508"/>
      <c r="Z291" s="508"/>
    </row>
    <row r="292" ht="13.5" customHeight="1">
      <c r="A292" s="508"/>
      <c r="B292" s="508"/>
      <c r="C292" s="508"/>
      <c r="D292" s="508"/>
      <c r="E292" s="508"/>
      <c r="F292" s="508"/>
      <c r="G292" s="533"/>
      <c r="H292" s="508"/>
      <c r="I292" s="508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508"/>
      <c r="Y292" s="508"/>
      <c r="Z292" s="508"/>
    </row>
    <row r="293" ht="13.5" customHeight="1">
      <c r="A293" s="508"/>
      <c r="B293" s="508"/>
      <c r="C293" s="508"/>
      <c r="D293" s="508"/>
      <c r="E293" s="508"/>
      <c r="F293" s="508"/>
      <c r="G293" s="533"/>
      <c r="H293" s="508"/>
      <c r="I293" s="508"/>
      <c r="J293" s="508"/>
      <c r="K293" s="508"/>
      <c r="L293" s="508"/>
      <c r="M293" s="508"/>
      <c r="N293" s="508"/>
      <c r="O293" s="508"/>
      <c r="P293" s="508"/>
      <c r="Q293" s="508"/>
      <c r="R293" s="508"/>
      <c r="S293" s="508"/>
      <c r="T293" s="508"/>
      <c r="U293" s="508"/>
      <c r="V293" s="508"/>
      <c r="W293" s="508"/>
      <c r="X293" s="508"/>
      <c r="Y293" s="508"/>
      <c r="Z293" s="508"/>
    </row>
    <row r="294" ht="13.5" customHeight="1">
      <c r="A294" s="508"/>
      <c r="B294" s="508"/>
      <c r="C294" s="508"/>
      <c r="D294" s="508"/>
      <c r="E294" s="508"/>
      <c r="F294" s="508"/>
      <c r="G294" s="533"/>
      <c r="H294" s="508"/>
      <c r="I294" s="508"/>
      <c r="J294" s="508"/>
      <c r="K294" s="508"/>
      <c r="L294" s="508"/>
      <c r="M294" s="508"/>
      <c r="N294" s="508"/>
      <c r="O294" s="508"/>
      <c r="P294" s="508"/>
      <c r="Q294" s="508"/>
      <c r="R294" s="508"/>
      <c r="S294" s="508"/>
      <c r="T294" s="508"/>
      <c r="U294" s="508"/>
      <c r="V294" s="508"/>
      <c r="W294" s="508"/>
      <c r="X294" s="508"/>
      <c r="Y294" s="508"/>
      <c r="Z294" s="508"/>
    </row>
    <row r="295" ht="13.5" customHeight="1">
      <c r="A295" s="508"/>
      <c r="B295" s="508"/>
      <c r="C295" s="508"/>
      <c r="D295" s="508"/>
      <c r="E295" s="508"/>
      <c r="F295" s="508"/>
      <c r="G295" s="533"/>
      <c r="H295" s="508"/>
      <c r="I295" s="508"/>
      <c r="J295" s="508"/>
      <c r="K295" s="508"/>
      <c r="L295" s="508"/>
      <c r="M295" s="508"/>
      <c r="N295" s="508"/>
      <c r="O295" s="508"/>
      <c r="P295" s="508"/>
      <c r="Q295" s="508"/>
      <c r="R295" s="508"/>
      <c r="S295" s="508"/>
      <c r="T295" s="508"/>
      <c r="U295" s="508"/>
      <c r="V295" s="508"/>
      <c r="W295" s="508"/>
      <c r="X295" s="508"/>
      <c r="Y295" s="508"/>
      <c r="Z295" s="508"/>
    </row>
    <row r="296" ht="13.5" customHeight="1">
      <c r="A296" s="508"/>
      <c r="B296" s="508"/>
      <c r="C296" s="508"/>
      <c r="D296" s="508"/>
      <c r="E296" s="508"/>
      <c r="F296" s="508"/>
      <c r="G296" s="533"/>
      <c r="H296" s="508"/>
      <c r="I296" s="508"/>
      <c r="J296" s="508"/>
      <c r="K296" s="508"/>
      <c r="L296" s="508"/>
      <c r="M296" s="508"/>
      <c r="N296" s="508"/>
      <c r="O296" s="508"/>
      <c r="P296" s="508"/>
      <c r="Q296" s="508"/>
      <c r="R296" s="508"/>
      <c r="S296" s="508"/>
      <c r="T296" s="508"/>
      <c r="U296" s="508"/>
      <c r="V296" s="508"/>
      <c r="W296" s="508"/>
      <c r="X296" s="508"/>
      <c r="Y296" s="508"/>
      <c r="Z296" s="508"/>
    </row>
    <row r="297" ht="13.5" customHeight="1">
      <c r="A297" s="508"/>
      <c r="B297" s="508"/>
      <c r="C297" s="508"/>
      <c r="D297" s="508"/>
      <c r="E297" s="508"/>
      <c r="F297" s="508"/>
      <c r="G297" s="533"/>
      <c r="H297" s="508"/>
      <c r="I297" s="508"/>
      <c r="J297" s="508"/>
      <c r="K297" s="508"/>
      <c r="L297" s="508"/>
      <c r="M297" s="508"/>
      <c r="N297" s="508"/>
      <c r="O297" s="508"/>
      <c r="P297" s="508"/>
      <c r="Q297" s="508"/>
      <c r="R297" s="508"/>
      <c r="S297" s="508"/>
      <c r="T297" s="508"/>
      <c r="U297" s="508"/>
      <c r="V297" s="508"/>
      <c r="W297" s="508"/>
      <c r="X297" s="508"/>
      <c r="Y297" s="508"/>
      <c r="Z297" s="508"/>
    </row>
    <row r="298" ht="13.5" customHeight="1">
      <c r="A298" s="508"/>
      <c r="B298" s="508"/>
      <c r="C298" s="508"/>
      <c r="D298" s="508"/>
      <c r="E298" s="508"/>
      <c r="F298" s="508"/>
      <c r="G298" s="533"/>
      <c r="H298" s="508"/>
      <c r="I298" s="508"/>
      <c r="J298" s="508"/>
      <c r="K298" s="508"/>
      <c r="L298" s="508"/>
      <c r="M298" s="508"/>
      <c r="N298" s="508"/>
      <c r="O298" s="508"/>
      <c r="P298" s="508"/>
      <c r="Q298" s="508"/>
      <c r="R298" s="508"/>
      <c r="S298" s="508"/>
      <c r="T298" s="508"/>
      <c r="U298" s="508"/>
      <c r="V298" s="508"/>
      <c r="W298" s="508"/>
      <c r="X298" s="508"/>
      <c r="Y298" s="508"/>
      <c r="Z298" s="508"/>
    </row>
    <row r="299" ht="13.5" customHeight="1">
      <c r="A299" s="508"/>
      <c r="B299" s="508"/>
      <c r="C299" s="508"/>
      <c r="D299" s="508"/>
      <c r="E299" s="508"/>
      <c r="F299" s="508"/>
      <c r="G299" s="533"/>
      <c r="H299" s="508"/>
      <c r="I299" s="508"/>
      <c r="J299" s="508"/>
      <c r="K299" s="508"/>
      <c r="L299" s="508"/>
      <c r="M299" s="508"/>
      <c r="N299" s="508"/>
      <c r="O299" s="508"/>
      <c r="P299" s="508"/>
      <c r="Q299" s="508"/>
      <c r="R299" s="508"/>
      <c r="S299" s="508"/>
      <c r="T299" s="508"/>
      <c r="U299" s="508"/>
      <c r="V299" s="508"/>
      <c r="W299" s="508"/>
      <c r="X299" s="508"/>
      <c r="Y299" s="508"/>
      <c r="Z299" s="508"/>
    </row>
    <row r="300" ht="13.5" customHeight="1">
      <c r="A300" s="508"/>
      <c r="B300" s="508"/>
      <c r="C300" s="508"/>
      <c r="D300" s="508"/>
      <c r="E300" s="508"/>
      <c r="F300" s="508"/>
      <c r="G300" s="533"/>
      <c r="H300" s="508"/>
      <c r="I300" s="508"/>
      <c r="J300" s="508"/>
      <c r="K300" s="508"/>
      <c r="L300" s="508"/>
      <c r="M300" s="508"/>
      <c r="N300" s="508"/>
      <c r="O300" s="508"/>
      <c r="P300" s="508"/>
      <c r="Q300" s="508"/>
      <c r="R300" s="508"/>
      <c r="S300" s="508"/>
      <c r="T300" s="508"/>
      <c r="U300" s="508"/>
      <c r="V300" s="508"/>
      <c r="W300" s="508"/>
      <c r="X300" s="508"/>
      <c r="Y300" s="508"/>
      <c r="Z300" s="508"/>
    </row>
    <row r="301" ht="13.5" customHeight="1">
      <c r="A301" s="508"/>
      <c r="B301" s="508"/>
      <c r="C301" s="508"/>
      <c r="D301" s="508"/>
      <c r="E301" s="508"/>
      <c r="F301" s="508"/>
      <c r="G301" s="533"/>
      <c r="H301" s="508"/>
      <c r="I301" s="508"/>
      <c r="J301" s="508"/>
      <c r="K301" s="508"/>
      <c r="L301" s="508"/>
      <c r="M301" s="508"/>
      <c r="N301" s="508"/>
      <c r="O301" s="508"/>
      <c r="P301" s="508"/>
      <c r="Q301" s="508"/>
      <c r="R301" s="508"/>
      <c r="S301" s="508"/>
      <c r="T301" s="508"/>
      <c r="U301" s="508"/>
      <c r="V301" s="508"/>
      <c r="W301" s="508"/>
      <c r="X301" s="508"/>
      <c r="Y301" s="508"/>
      <c r="Z301" s="508"/>
    </row>
    <row r="302" ht="13.5" customHeight="1">
      <c r="A302" s="508"/>
      <c r="B302" s="508"/>
      <c r="C302" s="508"/>
      <c r="D302" s="508"/>
      <c r="E302" s="508"/>
      <c r="F302" s="508"/>
      <c r="G302" s="533"/>
      <c r="H302" s="508"/>
      <c r="I302" s="508"/>
      <c r="J302" s="508"/>
      <c r="K302" s="508"/>
      <c r="L302" s="508"/>
      <c r="M302" s="508"/>
      <c r="N302" s="508"/>
      <c r="O302" s="508"/>
      <c r="P302" s="508"/>
      <c r="Q302" s="508"/>
      <c r="R302" s="508"/>
      <c r="S302" s="508"/>
      <c r="T302" s="508"/>
      <c r="U302" s="508"/>
      <c r="V302" s="508"/>
      <c r="W302" s="508"/>
      <c r="X302" s="508"/>
      <c r="Y302" s="508"/>
      <c r="Z302" s="508"/>
    </row>
    <row r="303" ht="13.5" customHeight="1">
      <c r="A303" s="508"/>
      <c r="B303" s="508"/>
      <c r="C303" s="508"/>
      <c r="D303" s="508"/>
      <c r="E303" s="508"/>
      <c r="F303" s="508"/>
      <c r="G303" s="533"/>
      <c r="H303" s="508"/>
      <c r="I303" s="508"/>
      <c r="J303" s="508"/>
      <c r="K303" s="508"/>
      <c r="L303" s="508"/>
      <c r="M303" s="508"/>
      <c r="N303" s="508"/>
      <c r="O303" s="508"/>
      <c r="P303" s="508"/>
      <c r="Q303" s="508"/>
      <c r="R303" s="508"/>
      <c r="S303" s="508"/>
      <c r="T303" s="508"/>
      <c r="U303" s="508"/>
      <c r="V303" s="508"/>
      <c r="W303" s="508"/>
      <c r="X303" s="508"/>
      <c r="Y303" s="508"/>
      <c r="Z303" s="508"/>
    </row>
    <row r="304" ht="13.5" customHeight="1">
      <c r="A304" s="508"/>
      <c r="B304" s="508"/>
      <c r="C304" s="508"/>
      <c r="D304" s="508"/>
      <c r="E304" s="508"/>
      <c r="F304" s="508"/>
      <c r="G304" s="533"/>
      <c r="H304" s="508"/>
      <c r="I304" s="508"/>
      <c r="J304" s="508"/>
      <c r="K304" s="508"/>
      <c r="L304" s="508"/>
      <c r="M304" s="508"/>
      <c r="N304" s="508"/>
      <c r="O304" s="508"/>
      <c r="P304" s="508"/>
      <c r="Q304" s="508"/>
      <c r="R304" s="508"/>
      <c r="S304" s="508"/>
      <c r="T304" s="508"/>
      <c r="U304" s="508"/>
      <c r="V304" s="508"/>
      <c r="W304" s="508"/>
      <c r="X304" s="508"/>
      <c r="Y304" s="508"/>
      <c r="Z304" s="508"/>
    </row>
    <row r="305" ht="13.5" customHeight="1">
      <c r="A305" s="508"/>
      <c r="B305" s="508"/>
      <c r="C305" s="508"/>
      <c r="D305" s="508"/>
      <c r="E305" s="508"/>
      <c r="F305" s="508"/>
      <c r="G305" s="533"/>
      <c r="H305" s="508"/>
      <c r="I305" s="508"/>
      <c r="J305" s="508"/>
      <c r="K305" s="508"/>
      <c r="L305" s="508"/>
      <c r="M305" s="508"/>
      <c r="N305" s="508"/>
      <c r="O305" s="508"/>
      <c r="P305" s="508"/>
      <c r="Q305" s="508"/>
      <c r="R305" s="508"/>
      <c r="S305" s="508"/>
      <c r="T305" s="508"/>
      <c r="U305" s="508"/>
      <c r="V305" s="508"/>
      <c r="W305" s="508"/>
      <c r="X305" s="508"/>
      <c r="Y305" s="508"/>
      <c r="Z305" s="508"/>
    </row>
    <row r="306" ht="13.5" customHeight="1">
      <c r="A306" s="508"/>
      <c r="B306" s="508"/>
      <c r="C306" s="508"/>
      <c r="D306" s="508"/>
      <c r="E306" s="508"/>
      <c r="F306" s="508"/>
      <c r="G306" s="533"/>
      <c r="H306" s="508"/>
      <c r="I306" s="508"/>
      <c r="J306" s="508"/>
      <c r="K306" s="508"/>
      <c r="L306" s="508"/>
      <c r="M306" s="508"/>
      <c r="N306" s="508"/>
      <c r="O306" s="508"/>
      <c r="P306" s="508"/>
      <c r="Q306" s="508"/>
      <c r="R306" s="508"/>
      <c r="S306" s="508"/>
      <c r="T306" s="508"/>
      <c r="U306" s="508"/>
      <c r="V306" s="508"/>
      <c r="W306" s="508"/>
      <c r="X306" s="508"/>
      <c r="Y306" s="508"/>
      <c r="Z306" s="508"/>
    </row>
    <row r="307" ht="13.5" customHeight="1">
      <c r="A307" s="508"/>
      <c r="B307" s="508"/>
      <c r="C307" s="508"/>
      <c r="D307" s="508"/>
      <c r="E307" s="508"/>
      <c r="F307" s="508"/>
      <c r="G307" s="533"/>
      <c r="H307" s="508"/>
      <c r="I307" s="508"/>
      <c r="J307" s="508"/>
      <c r="K307" s="508"/>
      <c r="L307" s="508"/>
      <c r="M307" s="508"/>
      <c r="N307" s="508"/>
      <c r="O307" s="508"/>
      <c r="P307" s="508"/>
      <c r="Q307" s="508"/>
      <c r="R307" s="508"/>
      <c r="S307" s="508"/>
      <c r="T307" s="508"/>
      <c r="U307" s="508"/>
      <c r="V307" s="508"/>
      <c r="W307" s="508"/>
      <c r="X307" s="508"/>
      <c r="Y307" s="508"/>
      <c r="Z307" s="508"/>
    </row>
    <row r="308" ht="13.5" customHeight="1">
      <c r="A308" s="508"/>
      <c r="B308" s="508"/>
      <c r="C308" s="508"/>
      <c r="D308" s="508"/>
      <c r="E308" s="508"/>
      <c r="F308" s="508"/>
      <c r="G308" s="533"/>
      <c r="H308" s="508"/>
      <c r="I308" s="508"/>
      <c r="J308" s="508"/>
      <c r="K308" s="508"/>
      <c r="L308" s="508"/>
      <c r="M308" s="508"/>
      <c r="N308" s="508"/>
      <c r="O308" s="508"/>
      <c r="P308" s="508"/>
      <c r="Q308" s="508"/>
      <c r="R308" s="508"/>
      <c r="S308" s="508"/>
      <c r="T308" s="508"/>
      <c r="U308" s="508"/>
      <c r="V308" s="508"/>
      <c r="W308" s="508"/>
      <c r="X308" s="508"/>
      <c r="Y308" s="508"/>
      <c r="Z308" s="508"/>
    </row>
    <row r="309" ht="13.5" customHeight="1">
      <c r="A309" s="508"/>
      <c r="B309" s="508"/>
      <c r="C309" s="508"/>
      <c r="D309" s="508"/>
      <c r="E309" s="508"/>
      <c r="F309" s="508"/>
      <c r="G309" s="533"/>
      <c r="H309" s="508"/>
      <c r="I309" s="508"/>
      <c r="J309" s="508"/>
      <c r="K309" s="508"/>
      <c r="L309" s="508"/>
      <c r="M309" s="508"/>
      <c r="N309" s="508"/>
      <c r="O309" s="508"/>
      <c r="P309" s="508"/>
      <c r="Q309" s="508"/>
      <c r="R309" s="508"/>
      <c r="S309" s="508"/>
      <c r="T309" s="508"/>
      <c r="U309" s="508"/>
      <c r="V309" s="508"/>
      <c r="W309" s="508"/>
      <c r="X309" s="508"/>
      <c r="Y309" s="508"/>
      <c r="Z309" s="508"/>
    </row>
    <row r="310" ht="13.5" customHeight="1">
      <c r="A310" s="508"/>
      <c r="B310" s="508"/>
      <c r="C310" s="508"/>
      <c r="D310" s="508"/>
      <c r="E310" s="508"/>
      <c r="F310" s="508"/>
      <c r="G310" s="533"/>
      <c r="H310" s="508"/>
      <c r="I310" s="508"/>
      <c r="J310" s="508"/>
      <c r="K310" s="508"/>
      <c r="L310" s="508"/>
      <c r="M310" s="508"/>
      <c r="N310" s="508"/>
      <c r="O310" s="508"/>
      <c r="P310" s="508"/>
      <c r="Q310" s="508"/>
      <c r="R310" s="508"/>
      <c r="S310" s="508"/>
      <c r="T310" s="508"/>
      <c r="U310" s="508"/>
      <c r="V310" s="508"/>
      <c r="W310" s="508"/>
      <c r="X310" s="508"/>
      <c r="Y310" s="508"/>
      <c r="Z310" s="508"/>
    </row>
    <row r="311" ht="13.5" customHeight="1">
      <c r="A311" s="508"/>
      <c r="B311" s="508"/>
      <c r="C311" s="508"/>
      <c r="D311" s="508"/>
      <c r="E311" s="508"/>
      <c r="F311" s="508"/>
      <c r="G311" s="533"/>
      <c r="H311" s="508"/>
      <c r="I311" s="508"/>
      <c r="J311" s="508"/>
      <c r="K311" s="508"/>
      <c r="L311" s="508"/>
      <c r="M311" s="508"/>
      <c r="N311" s="508"/>
      <c r="O311" s="508"/>
      <c r="P311" s="508"/>
      <c r="Q311" s="508"/>
      <c r="R311" s="508"/>
      <c r="S311" s="508"/>
      <c r="T311" s="508"/>
      <c r="U311" s="508"/>
      <c r="V311" s="508"/>
      <c r="W311" s="508"/>
      <c r="X311" s="508"/>
      <c r="Y311" s="508"/>
      <c r="Z311" s="508"/>
    </row>
    <row r="312" ht="13.5" customHeight="1">
      <c r="A312" s="508"/>
      <c r="B312" s="508"/>
      <c r="C312" s="508"/>
      <c r="D312" s="508"/>
      <c r="E312" s="508"/>
      <c r="F312" s="508"/>
      <c r="G312" s="533"/>
      <c r="H312" s="508"/>
      <c r="I312" s="508"/>
      <c r="J312" s="508"/>
      <c r="K312" s="508"/>
      <c r="L312" s="508"/>
      <c r="M312" s="508"/>
      <c r="N312" s="508"/>
      <c r="O312" s="508"/>
      <c r="P312" s="508"/>
      <c r="Q312" s="508"/>
      <c r="R312" s="508"/>
      <c r="S312" s="508"/>
      <c r="T312" s="508"/>
      <c r="U312" s="508"/>
      <c r="V312" s="508"/>
      <c r="W312" s="508"/>
      <c r="X312" s="508"/>
      <c r="Y312" s="508"/>
      <c r="Z312" s="508"/>
    </row>
    <row r="313" ht="13.5" customHeight="1">
      <c r="A313" s="508"/>
      <c r="B313" s="508"/>
      <c r="C313" s="508"/>
      <c r="D313" s="508"/>
      <c r="E313" s="508"/>
      <c r="F313" s="508"/>
      <c r="G313" s="533"/>
      <c r="H313" s="508"/>
      <c r="I313" s="508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  <c r="Z313" s="508"/>
    </row>
    <row r="314" ht="13.5" customHeight="1">
      <c r="A314" s="508"/>
      <c r="B314" s="508"/>
      <c r="C314" s="508"/>
      <c r="D314" s="508"/>
      <c r="E314" s="508"/>
      <c r="F314" s="508"/>
      <c r="G314" s="533"/>
      <c r="H314" s="508"/>
      <c r="I314" s="508"/>
      <c r="J314" s="508"/>
      <c r="K314" s="508"/>
      <c r="L314" s="508"/>
      <c r="M314" s="508"/>
      <c r="N314" s="508"/>
      <c r="O314" s="508"/>
      <c r="P314" s="508"/>
      <c r="Q314" s="508"/>
      <c r="R314" s="508"/>
      <c r="S314" s="508"/>
      <c r="T314" s="508"/>
      <c r="U314" s="508"/>
      <c r="V314" s="508"/>
      <c r="W314" s="508"/>
      <c r="X314" s="508"/>
      <c r="Y314" s="508"/>
      <c r="Z314" s="508"/>
    </row>
    <row r="315" ht="13.5" customHeight="1">
      <c r="A315" s="508"/>
      <c r="B315" s="508"/>
      <c r="C315" s="508"/>
      <c r="D315" s="508"/>
      <c r="E315" s="508"/>
      <c r="F315" s="508"/>
      <c r="G315" s="533"/>
      <c r="H315" s="508"/>
      <c r="I315" s="508"/>
      <c r="J315" s="508"/>
      <c r="K315" s="508"/>
      <c r="L315" s="508"/>
      <c r="M315" s="508"/>
      <c r="N315" s="508"/>
      <c r="O315" s="508"/>
      <c r="P315" s="508"/>
      <c r="Q315" s="508"/>
      <c r="R315" s="508"/>
      <c r="S315" s="508"/>
      <c r="T315" s="508"/>
      <c r="U315" s="508"/>
      <c r="V315" s="508"/>
      <c r="W315" s="508"/>
      <c r="X315" s="508"/>
      <c r="Y315" s="508"/>
      <c r="Z315" s="508"/>
    </row>
    <row r="316" ht="13.5" customHeight="1">
      <c r="A316" s="508"/>
      <c r="B316" s="508"/>
      <c r="C316" s="508"/>
      <c r="D316" s="508"/>
      <c r="E316" s="508"/>
      <c r="F316" s="508"/>
      <c r="G316" s="533"/>
      <c r="H316" s="508"/>
      <c r="I316" s="508"/>
      <c r="J316" s="508"/>
      <c r="K316" s="508"/>
      <c r="L316" s="508"/>
      <c r="M316" s="508"/>
      <c r="N316" s="508"/>
      <c r="O316" s="508"/>
      <c r="P316" s="508"/>
      <c r="Q316" s="508"/>
      <c r="R316" s="508"/>
      <c r="S316" s="508"/>
      <c r="T316" s="508"/>
      <c r="U316" s="508"/>
      <c r="V316" s="508"/>
      <c r="W316" s="508"/>
      <c r="X316" s="508"/>
      <c r="Y316" s="508"/>
      <c r="Z316" s="508"/>
    </row>
    <row r="317" ht="13.5" customHeight="1">
      <c r="A317" s="508"/>
      <c r="B317" s="508"/>
      <c r="C317" s="508"/>
      <c r="D317" s="508"/>
      <c r="E317" s="508"/>
      <c r="F317" s="508"/>
      <c r="G317" s="533"/>
      <c r="H317" s="508"/>
      <c r="I317" s="508"/>
      <c r="J317" s="508"/>
      <c r="K317" s="508"/>
      <c r="L317" s="508"/>
      <c r="M317" s="508"/>
      <c r="N317" s="508"/>
      <c r="O317" s="508"/>
      <c r="P317" s="508"/>
      <c r="Q317" s="508"/>
      <c r="R317" s="508"/>
      <c r="S317" s="508"/>
      <c r="T317" s="508"/>
      <c r="U317" s="508"/>
      <c r="V317" s="508"/>
      <c r="W317" s="508"/>
      <c r="X317" s="508"/>
      <c r="Y317" s="508"/>
      <c r="Z317" s="508"/>
    </row>
    <row r="318" ht="13.5" customHeight="1">
      <c r="A318" s="508"/>
      <c r="B318" s="508"/>
      <c r="C318" s="508"/>
      <c r="D318" s="508"/>
      <c r="E318" s="508"/>
      <c r="F318" s="508"/>
      <c r="G318" s="533"/>
      <c r="H318" s="508"/>
      <c r="I318" s="508"/>
      <c r="J318" s="508"/>
      <c r="K318" s="508"/>
      <c r="L318" s="508"/>
      <c r="M318" s="508"/>
      <c r="N318" s="508"/>
      <c r="O318" s="508"/>
      <c r="P318" s="508"/>
      <c r="Q318" s="508"/>
      <c r="R318" s="508"/>
      <c r="S318" s="508"/>
      <c r="T318" s="508"/>
      <c r="U318" s="508"/>
      <c r="V318" s="508"/>
      <c r="W318" s="508"/>
      <c r="X318" s="508"/>
      <c r="Y318" s="508"/>
      <c r="Z318" s="508"/>
    </row>
    <row r="319" ht="13.5" customHeight="1">
      <c r="A319" s="508"/>
      <c r="B319" s="508"/>
      <c r="C319" s="508"/>
      <c r="D319" s="508"/>
      <c r="E319" s="508"/>
      <c r="F319" s="508"/>
      <c r="G319" s="533"/>
      <c r="H319" s="508"/>
      <c r="I319" s="508"/>
      <c r="J319" s="508"/>
      <c r="K319" s="508"/>
      <c r="L319" s="508"/>
      <c r="M319" s="508"/>
      <c r="N319" s="508"/>
      <c r="O319" s="508"/>
      <c r="P319" s="508"/>
      <c r="Q319" s="508"/>
      <c r="R319" s="508"/>
      <c r="S319" s="508"/>
      <c r="T319" s="508"/>
      <c r="U319" s="508"/>
      <c r="V319" s="508"/>
      <c r="W319" s="508"/>
      <c r="X319" s="508"/>
      <c r="Y319" s="508"/>
      <c r="Z319" s="508"/>
    </row>
    <row r="320" ht="13.5" customHeight="1">
      <c r="A320" s="508"/>
      <c r="B320" s="508"/>
      <c r="C320" s="508"/>
      <c r="D320" s="508"/>
      <c r="E320" s="508"/>
      <c r="F320" s="508"/>
      <c r="G320" s="533"/>
      <c r="H320" s="508"/>
      <c r="I320" s="508"/>
      <c r="J320" s="508"/>
      <c r="K320" s="508"/>
      <c r="L320" s="508"/>
      <c r="M320" s="508"/>
      <c r="N320" s="508"/>
      <c r="O320" s="508"/>
      <c r="P320" s="508"/>
      <c r="Q320" s="508"/>
      <c r="R320" s="508"/>
      <c r="S320" s="508"/>
      <c r="T320" s="508"/>
      <c r="U320" s="508"/>
      <c r="V320" s="508"/>
      <c r="W320" s="508"/>
      <c r="X320" s="508"/>
      <c r="Y320" s="508"/>
      <c r="Z320" s="508"/>
    </row>
    <row r="321" ht="13.5" customHeight="1">
      <c r="A321" s="508"/>
      <c r="B321" s="508"/>
      <c r="C321" s="508"/>
      <c r="D321" s="508"/>
      <c r="E321" s="508"/>
      <c r="F321" s="508"/>
      <c r="G321" s="533"/>
      <c r="H321" s="508"/>
      <c r="I321" s="508"/>
      <c r="J321" s="508"/>
      <c r="K321" s="508"/>
      <c r="L321" s="508"/>
      <c r="M321" s="508"/>
      <c r="N321" s="508"/>
      <c r="O321" s="508"/>
      <c r="P321" s="508"/>
      <c r="Q321" s="508"/>
      <c r="R321" s="508"/>
      <c r="S321" s="508"/>
      <c r="T321" s="508"/>
      <c r="U321" s="508"/>
      <c r="V321" s="508"/>
      <c r="W321" s="508"/>
      <c r="X321" s="508"/>
      <c r="Y321" s="508"/>
      <c r="Z321" s="508"/>
    </row>
    <row r="322" ht="13.5" customHeight="1">
      <c r="A322" s="508"/>
      <c r="B322" s="508"/>
      <c r="C322" s="508"/>
      <c r="D322" s="508"/>
      <c r="E322" s="508"/>
      <c r="F322" s="508"/>
      <c r="G322" s="533"/>
      <c r="H322" s="508"/>
      <c r="I322" s="508"/>
      <c r="J322" s="508"/>
      <c r="K322" s="508"/>
      <c r="L322" s="508"/>
      <c r="M322" s="508"/>
      <c r="N322" s="508"/>
      <c r="O322" s="508"/>
      <c r="P322" s="508"/>
      <c r="Q322" s="508"/>
      <c r="R322" s="508"/>
      <c r="S322" s="508"/>
      <c r="T322" s="508"/>
      <c r="U322" s="508"/>
      <c r="V322" s="508"/>
      <c r="W322" s="508"/>
      <c r="X322" s="508"/>
      <c r="Y322" s="508"/>
      <c r="Z322" s="508"/>
    </row>
    <row r="323" ht="13.5" customHeight="1">
      <c r="A323" s="508"/>
      <c r="B323" s="508"/>
      <c r="C323" s="508"/>
      <c r="D323" s="508"/>
      <c r="E323" s="508"/>
      <c r="F323" s="508"/>
      <c r="G323" s="533"/>
      <c r="H323" s="508"/>
      <c r="I323" s="508"/>
      <c r="J323" s="508"/>
      <c r="K323" s="508"/>
      <c r="L323" s="508"/>
      <c r="M323" s="508"/>
      <c r="N323" s="508"/>
      <c r="O323" s="508"/>
      <c r="P323" s="508"/>
      <c r="Q323" s="508"/>
      <c r="R323" s="508"/>
      <c r="S323" s="508"/>
      <c r="T323" s="508"/>
      <c r="U323" s="508"/>
      <c r="V323" s="508"/>
      <c r="W323" s="508"/>
      <c r="X323" s="508"/>
      <c r="Y323" s="508"/>
      <c r="Z323" s="508"/>
    </row>
    <row r="324" ht="13.5" customHeight="1">
      <c r="A324" s="508"/>
      <c r="B324" s="508"/>
      <c r="C324" s="508"/>
      <c r="D324" s="508"/>
      <c r="E324" s="508"/>
      <c r="F324" s="508"/>
      <c r="G324" s="533"/>
      <c r="H324" s="508"/>
      <c r="I324" s="508"/>
      <c r="J324" s="508"/>
      <c r="K324" s="508"/>
      <c r="L324" s="508"/>
      <c r="M324" s="508"/>
      <c r="N324" s="508"/>
      <c r="O324" s="508"/>
      <c r="P324" s="508"/>
      <c r="Q324" s="508"/>
      <c r="R324" s="508"/>
      <c r="S324" s="508"/>
      <c r="T324" s="508"/>
      <c r="U324" s="508"/>
      <c r="V324" s="508"/>
      <c r="W324" s="508"/>
      <c r="X324" s="508"/>
      <c r="Y324" s="508"/>
      <c r="Z324" s="508"/>
    </row>
    <row r="325" ht="13.5" customHeight="1">
      <c r="A325" s="508"/>
      <c r="B325" s="508"/>
      <c r="C325" s="508"/>
      <c r="D325" s="508"/>
      <c r="E325" s="508"/>
      <c r="F325" s="508"/>
      <c r="G325" s="533"/>
      <c r="H325" s="508"/>
      <c r="I325" s="508"/>
      <c r="J325" s="508"/>
      <c r="K325" s="508"/>
      <c r="L325" s="508"/>
      <c r="M325" s="508"/>
      <c r="N325" s="508"/>
      <c r="O325" s="508"/>
      <c r="P325" s="508"/>
      <c r="Q325" s="508"/>
      <c r="R325" s="508"/>
      <c r="S325" s="508"/>
      <c r="T325" s="508"/>
      <c r="U325" s="508"/>
      <c r="V325" s="508"/>
      <c r="W325" s="508"/>
      <c r="X325" s="508"/>
      <c r="Y325" s="508"/>
      <c r="Z325" s="508"/>
    </row>
    <row r="326" ht="13.5" customHeight="1">
      <c r="A326" s="508"/>
      <c r="B326" s="508"/>
      <c r="C326" s="508"/>
      <c r="D326" s="508"/>
      <c r="E326" s="508"/>
      <c r="F326" s="508"/>
      <c r="G326" s="533"/>
      <c r="H326" s="508"/>
      <c r="I326" s="508"/>
      <c r="J326" s="508"/>
      <c r="K326" s="508"/>
      <c r="L326" s="508"/>
      <c r="M326" s="508"/>
      <c r="N326" s="508"/>
      <c r="O326" s="508"/>
      <c r="P326" s="508"/>
      <c r="Q326" s="508"/>
      <c r="R326" s="508"/>
      <c r="S326" s="508"/>
      <c r="T326" s="508"/>
      <c r="U326" s="508"/>
      <c r="V326" s="508"/>
      <c r="W326" s="508"/>
      <c r="X326" s="508"/>
      <c r="Y326" s="508"/>
      <c r="Z326" s="508"/>
    </row>
    <row r="327" ht="13.5" customHeight="1">
      <c r="A327" s="508"/>
      <c r="B327" s="508"/>
      <c r="C327" s="508"/>
      <c r="D327" s="508"/>
      <c r="E327" s="508"/>
      <c r="F327" s="508"/>
      <c r="G327" s="533"/>
      <c r="H327" s="508"/>
      <c r="I327" s="508"/>
      <c r="J327" s="508"/>
      <c r="K327" s="508"/>
      <c r="L327" s="508"/>
      <c r="M327" s="508"/>
      <c r="N327" s="508"/>
      <c r="O327" s="508"/>
      <c r="P327" s="508"/>
      <c r="Q327" s="508"/>
      <c r="R327" s="508"/>
      <c r="S327" s="508"/>
      <c r="T327" s="508"/>
      <c r="U327" s="508"/>
      <c r="V327" s="508"/>
      <c r="W327" s="508"/>
      <c r="X327" s="508"/>
      <c r="Y327" s="508"/>
      <c r="Z327" s="508"/>
    </row>
    <row r="328" ht="13.5" customHeight="1">
      <c r="A328" s="508"/>
      <c r="B328" s="508"/>
      <c r="C328" s="508"/>
      <c r="D328" s="508"/>
      <c r="E328" s="508"/>
      <c r="F328" s="508"/>
      <c r="G328" s="533"/>
      <c r="H328" s="508"/>
      <c r="I328" s="508"/>
      <c r="J328" s="508"/>
      <c r="K328" s="508"/>
      <c r="L328" s="508"/>
      <c r="M328" s="508"/>
      <c r="N328" s="508"/>
      <c r="O328" s="508"/>
      <c r="P328" s="508"/>
      <c r="Q328" s="508"/>
      <c r="R328" s="508"/>
      <c r="S328" s="508"/>
      <c r="T328" s="508"/>
      <c r="U328" s="508"/>
      <c r="V328" s="508"/>
      <c r="W328" s="508"/>
      <c r="X328" s="508"/>
      <c r="Y328" s="508"/>
      <c r="Z328" s="508"/>
    </row>
    <row r="329" ht="13.5" customHeight="1">
      <c r="A329" s="508"/>
      <c r="B329" s="508"/>
      <c r="C329" s="508"/>
      <c r="D329" s="508"/>
      <c r="E329" s="508"/>
      <c r="F329" s="508"/>
      <c r="G329" s="533"/>
      <c r="H329" s="508"/>
      <c r="I329" s="508"/>
      <c r="J329" s="508"/>
      <c r="K329" s="508"/>
      <c r="L329" s="508"/>
      <c r="M329" s="508"/>
      <c r="N329" s="508"/>
      <c r="O329" s="508"/>
      <c r="P329" s="508"/>
      <c r="Q329" s="508"/>
      <c r="R329" s="508"/>
      <c r="S329" s="508"/>
      <c r="T329" s="508"/>
      <c r="U329" s="508"/>
      <c r="V329" s="508"/>
      <c r="W329" s="508"/>
      <c r="X329" s="508"/>
      <c r="Y329" s="508"/>
      <c r="Z329" s="508"/>
    </row>
    <row r="330" ht="13.5" customHeight="1">
      <c r="A330" s="508"/>
      <c r="B330" s="508"/>
      <c r="C330" s="508"/>
      <c r="D330" s="508"/>
      <c r="E330" s="508"/>
      <c r="F330" s="508"/>
      <c r="G330" s="533"/>
      <c r="H330" s="508"/>
      <c r="I330" s="508"/>
      <c r="J330" s="508"/>
      <c r="K330" s="508"/>
      <c r="L330" s="508"/>
      <c r="M330" s="508"/>
      <c r="N330" s="508"/>
      <c r="O330" s="508"/>
      <c r="P330" s="508"/>
      <c r="Q330" s="508"/>
      <c r="R330" s="508"/>
      <c r="S330" s="508"/>
      <c r="T330" s="508"/>
      <c r="U330" s="508"/>
      <c r="V330" s="508"/>
      <c r="W330" s="508"/>
      <c r="X330" s="508"/>
      <c r="Y330" s="508"/>
      <c r="Z330" s="508"/>
    </row>
    <row r="331" ht="13.5" customHeight="1">
      <c r="A331" s="508"/>
      <c r="B331" s="508"/>
      <c r="C331" s="508"/>
      <c r="D331" s="508"/>
      <c r="E331" s="508"/>
      <c r="F331" s="508"/>
      <c r="G331" s="533"/>
      <c r="H331" s="508"/>
      <c r="I331" s="508"/>
      <c r="J331" s="508"/>
      <c r="K331" s="508"/>
      <c r="L331" s="508"/>
      <c r="M331" s="508"/>
      <c r="N331" s="508"/>
      <c r="O331" s="508"/>
      <c r="P331" s="508"/>
      <c r="Q331" s="508"/>
      <c r="R331" s="508"/>
      <c r="S331" s="508"/>
      <c r="T331" s="508"/>
      <c r="U331" s="508"/>
      <c r="V331" s="508"/>
      <c r="W331" s="508"/>
      <c r="X331" s="508"/>
      <c r="Y331" s="508"/>
      <c r="Z331" s="508"/>
    </row>
    <row r="332" ht="13.5" customHeight="1">
      <c r="A332" s="508"/>
      <c r="B332" s="508"/>
      <c r="C332" s="508"/>
      <c r="D332" s="508"/>
      <c r="E332" s="508"/>
      <c r="F332" s="508"/>
      <c r="G332" s="533"/>
      <c r="H332" s="508"/>
      <c r="I332" s="508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508"/>
      <c r="Y332" s="508"/>
      <c r="Z332" s="508"/>
    </row>
    <row r="333" ht="13.5" customHeight="1">
      <c r="A333" s="508"/>
      <c r="B333" s="508"/>
      <c r="C333" s="508"/>
      <c r="D333" s="508"/>
      <c r="E333" s="508"/>
      <c r="F333" s="508"/>
      <c r="G333" s="533"/>
      <c r="H333" s="508"/>
      <c r="I333" s="508"/>
      <c r="J333" s="508"/>
      <c r="K333" s="508"/>
      <c r="L333" s="508"/>
      <c r="M333" s="508"/>
      <c r="N333" s="508"/>
      <c r="O333" s="508"/>
      <c r="P333" s="508"/>
      <c r="Q333" s="508"/>
      <c r="R333" s="508"/>
      <c r="S333" s="508"/>
      <c r="T333" s="508"/>
      <c r="U333" s="508"/>
      <c r="V333" s="508"/>
      <c r="W333" s="508"/>
      <c r="X333" s="508"/>
      <c r="Y333" s="508"/>
      <c r="Z333" s="508"/>
    </row>
    <row r="334" ht="13.5" customHeight="1">
      <c r="A334" s="508"/>
      <c r="B334" s="508"/>
      <c r="C334" s="508"/>
      <c r="D334" s="508"/>
      <c r="E334" s="508"/>
      <c r="F334" s="508"/>
      <c r="G334" s="533"/>
      <c r="H334" s="508"/>
      <c r="I334" s="508"/>
      <c r="J334" s="508"/>
      <c r="K334" s="508"/>
      <c r="L334" s="508"/>
      <c r="M334" s="508"/>
      <c r="N334" s="508"/>
      <c r="O334" s="508"/>
      <c r="P334" s="508"/>
      <c r="Q334" s="508"/>
      <c r="R334" s="508"/>
      <c r="S334" s="508"/>
      <c r="T334" s="508"/>
      <c r="U334" s="508"/>
      <c r="V334" s="508"/>
      <c r="W334" s="508"/>
      <c r="X334" s="508"/>
      <c r="Y334" s="508"/>
      <c r="Z334" s="508"/>
    </row>
    <row r="335" ht="13.5" customHeight="1">
      <c r="A335" s="508"/>
      <c r="B335" s="508"/>
      <c r="C335" s="508"/>
      <c r="D335" s="508"/>
      <c r="E335" s="508"/>
      <c r="F335" s="508"/>
      <c r="G335" s="533"/>
      <c r="H335" s="508"/>
      <c r="I335" s="508"/>
      <c r="J335" s="508"/>
      <c r="K335" s="508"/>
      <c r="L335" s="508"/>
      <c r="M335" s="508"/>
      <c r="N335" s="508"/>
      <c r="O335" s="508"/>
      <c r="P335" s="508"/>
      <c r="Q335" s="508"/>
      <c r="R335" s="508"/>
      <c r="S335" s="508"/>
      <c r="T335" s="508"/>
      <c r="U335" s="508"/>
      <c r="V335" s="508"/>
      <c r="W335" s="508"/>
      <c r="X335" s="508"/>
      <c r="Y335" s="508"/>
      <c r="Z335" s="508"/>
    </row>
    <row r="336" ht="13.5" customHeight="1">
      <c r="A336" s="508"/>
      <c r="B336" s="508"/>
      <c r="C336" s="508"/>
      <c r="D336" s="508"/>
      <c r="E336" s="508"/>
      <c r="F336" s="508"/>
      <c r="G336" s="533"/>
      <c r="H336" s="508"/>
      <c r="I336" s="508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  <c r="Z336" s="508"/>
    </row>
    <row r="337" ht="13.5" customHeight="1">
      <c r="A337" s="508"/>
      <c r="B337" s="508"/>
      <c r="C337" s="508"/>
      <c r="D337" s="508"/>
      <c r="E337" s="508"/>
      <c r="F337" s="508"/>
      <c r="G337" s="533"/>
      <c r="H337" s="508"/>
      <c r="I337" s="508"/>
      <c r="J337" s="508"/>
      <c r="K337" s="508"/>
      <c r="L337" s="508"/>
      <c r="M337" s="508"/>
      <c r="N337" s="508"/>
      <c r="O337" s="508"/>
      <c r="P337" s="508"/>
      <c r="Q337" s="508"/>
      <c r="R337" s="508"/>
      <c r="S337" s="508"/>
      <c r="T337" s="508"/>
      <c r="U337" s="508"/>
      <c r="V337" s="508"/>
      <c r="W337" s="508"/>
      <c r="X337" s="508"/>
      <c r="Y337" s="508"/>
      <c r="Z337" s="508"/>
    </row>
    <row r="338" ht="13.5" customHeight="1">
      <c r="A338" s="508"/>
      <c r="B338" s="508"/>
      <c r="C338" s="508"/>
      <c r="D338" s="508"/>
      <c r="E338" s="508"/>
      <c r="F338" s="508"/>
      <c r="G338" s="533"/>
      <c r="H338" s="508"/>
      <c r="I338" s="508"/>
      <c r="J338" s="508"/>
      <c r="K338" s="508"/>
      <c r="L338" s="508"/>
      <c r="M338" s="508"/>
      <c r="N338" s="508"/>
      <c r="O338" s="508"/>
      <c r="P338" s="508"/>
      <c r="Q338" s="508"/>
      <c r="R338" s="508"/>
      <c r="S338" s="508"/>
      <c r="T338" s="508"/>
      <c r="U338" s="508"/>
      <c r="V338" s="508"/>
      <c r="W338" s="508"/>
      <c r="X338" s="508"/>
      <c r="Y338" s="508"/>
      <c r="Z338" s="508"/>
    </row>
    <row r="339" ht="13.5" customHeight="1">
      <c r="A339" s="508"/>
      <c r="B339" s="508"/>
      <c r="C339" s="508"/>
      <c r="D339" s="508"/>
      <c r="E339" s="508"/>
      <c r="F339" s="508"/>
      <c r="G339" s="533"/>
      <c r="H339" s="508"/>
      <c r="I339" s="508"/>
      <c r="J339" s="508"/>
      <c r="K339" s="508"/>
      <c r="L339" s="508"/>
      <c r="M339" s="508"/>
      <c r="N339" s="508"/>
      <c r="O339" s="508"/>
      <c r="P339" s="508"/>
      <c r="Q339" s="508"/>
      <c r="R339" s="508"/>
      <c r="S339" s="508"/>
      <c r="T339" s="508"/>
      <c r="U339" s="508"/>
      <c r="V339" s="508"/>
      <c r="W339" s="508"/>
      <c r="X339" s="508"/>
      <c r="Y339" s="508"/>
      <c r="Z339" s="508"/>
    </row>
    <row r="340" ht="13.5" customHeight="1">
      <c r="A340" s="508"/>
      <c r="B340" s="508"/>
      <c r="C340" s="508"/>
      <c r="D340" s="508"/>
      <c r="E340" s="508"/>
      <c r="F340" s="508"/>
      <c r="G340" s="533"/>
      <c r="H340" s="508"/>
      <c r="I340" s="508"/>
      <c r="J340" s="508"/>
      <c r="K340" s="508"/>
      <c r="L340" s="508"/>
      <c r="M340" s="508"/>
      <c r="N340" s="508"/>
      <c r="O340" s="508"/>
      <c r="P340" s="508"/>
      <c r="Q340" s="508"/>
      <c r="R340" s="508"/>
      <c r="S340" s="508"/>
      <c r="T340" s="508"/>
      <c r="U340" s="508"/>
      <c r="V340" s="508"/>
      <c r="W340" s="508"/>
      <c r="X340" s="508"/>
      <c r="Y340" s="508"/>
      <c r="Z340" s="508"/>
    </row>
    <row r="341" ht="13.5" customHeight="1">
      <c r="A341" s="508"/>
      <c r="B341" s="508"/>
      <c r="C341" s="508"/>
      <c r="D341" s="508"/>
      <c r="E341" s="508"/>
      <c r="F341" s="508"/>
      <c r="G341" s="533"/>
      <c r="H341" s="508"/>
      <c r="I341" s="508"/>
      <c r="J341" s="508"/>
      <c r="K341" s="508"/>
      <c r="L341" s="508"/>
      <c r="M341" s="508"/>
      <c r="N341" s="508"/>
      <c r="O341" s="508"/>
      <c r="P341" s="508"/>
      <c r="Q341" s="508"/>
      <c r="R341" s="508"/>
      <c r="S341" s="508"/>
      <c r="T341" s="508"/>
      <c r="U341" s="508"/>
      <c r="V341" s="508"/>
      <c r="W341" s="508"/>
      <c r="X341" s="508"/>
      <c r="Y341" s="508"/>
      <c r="Z341" s="508"/>
    </row>
    <row r="342" ht="13.5" customHeight="1">
      <c r="A342" s="508"/>
      <c r="B342" s="508"/>
      <c r="C342" s="508"/>
      <c r="D342" s="508"/>
      <c r="E342" s="508"/>
      <c r="F342" s="508"/>
      <c r="G342" s="533"/>
      <c r="H342" s="508"/>
      <c r="I342" s="508"/>
      <c r="J342" s="508"/>
      <c r="K342" s="508"/>
      <c r="L342" s="508"/>
      <c r="M342" s="508"/>
      <c r="N342" s="508"/>
      <c r="O342" s="508"/>
      <c r="P342" s="508"/>
      <c r="Q342" s="508"/>
      <c r="R342" s="508"/>
      <c r="S342" s="508"/>
      <c r="T342" s="508"/>
      <c r="U342" s="508"/>
      <c r="V342" s="508"/>
      <c r="W342" s="508"/>
      <c r="X342" s="508"/>
      <c r="Y342" s="508"/>
      <c r="Z342" s="508"/>
    </row>
    <row r="343" ht="13.5" customHeight="1">
      <c r="A343" s="508"/>
      <c r="B343" s="508"/>
      <c r="C343" s="508"/>
      <c r="D343" s="508"/>
      <c r="E343" s="508"/>
      <c r="F343" s="508"/>
      <c r="G343" s="533"/>
      <c r="H343" s="508"/>
      <c r="I343" s="508"/>
      <c r="J343" s="508"/>
      <c r="K343" s="508"/>
      <c r="L343" s="508"/>
      <c r="M343" s="508"/>
      <c r="N343" s="508"/>
      <c r="O343" s="508"/>
      <c r="P343" s="508"/>
      <c r="Q343" s="508"/>
      <c r="R343" s="508"/>
      <c r="S343" s="508"/>
      <c r="T343" s="508"/>
      <c r="U343" s="508"/>
      <c r="V343" s="508"/>
      <c r="W343" s="508"/>
      <c r="X343" s="508"/>
      <c r="Y343" s="508"/>
      <c r="Z343" s="508"/>
    </row>
    <row r="344" ht="13.5" customHeight="1">
      <c r="A344" s="508"/>
      <c r="B344" s="508"/>
      <c r="C344" s="508"/>
      <c r="D344" s="508"/>
      <c r="E344" s="508"/>
      <c r="F344" s="508"/>
      <c r="G344" s="533"/>
      <c r="H344" s="508"/>
      <c r="I344" s="508"/>
      <c r="J344" s="508"/>
      <c r="K344" s="508"/>
      <c r="L344" s="508"/>
      <c r="M344" s="508"/>
      <c r="N344" s="508"/>
      <c r="O344" s="508"/>
      <c r="P344" s="508"/>
      <c r="Q344" s="508"/>
      <c r="R344" s="508"/>
      <c r="S344" s="508"/>
      <c r="T344" s="508"/>
      <c r="U344" s="508"/>
      <c r="V344" s="508"/>
      <c r="W344" s="508"/>
      <c r="X344" s="508"/>
      <c r="Y344" s="508"/>
      <c r="Z344" s="508"/>
    </row>
    <row r="345" ht="13.5" customHeight="1">
      <c r="A345" s="508"/>
      <c r="B345" s="508"/>
      <c r="C345" s="508"/>
      <c r="D345" s="508"/>
      <c r="E345" s="508"/>
      <c r="F345" s="508"/>
      <c r="G345" s="533"/>
      <c r="H345" s="508"/>
      <c r="I345" s="508"/>
      <c r="J345" s="508"/>
      <c r="K345" s="508"/>
      <c r="L345" s="508"/>
      <c r="M345" s="508"/>
      <c r="N345" s="508"/>
      <c r="O345" s="508"/>
      <c r="P345" s="508"/>
      <c r="Q345" s="508"/>
      <c r="R345" s="508"/>
      <c r="S345" s="508"/>
      <c r="T345" s="508"/>
      <c r="U345" s="508"/>
      <c r="V345" s="508"/>
      <c r="W345" s="508"/>
      <c r="X345" s="508"/>
      <c r="Y345" s="508"/>
      <c r="Z345" s="508"/>
    </row>
    <row r="346" ht="13.5" customHeight="1">
      <c r="A346" s="508"/>
      <c r="B346" s="508"/>
      <c r="C346" s="508"/>
      <c r="D346" s="508"/>
      <c r="E346" s="508"/>
      <c r="F346" s="508"/>
      <c r="G346" s="533"/>
      <c r="H346" s="508"/>
      <c r="I346" s="508"/>
      <c r="J346" s="508"/>
      <c r="K346" s="508"/>
      <c r="L346" s="508"/>
      <c r="M346" s="508"/>
      <c r="N346" s="508"/>
      <c r="O346" s="508"/>
      <c r="P346" s="508"/>
      <c r="Q346" s="508"/>
      <c r="R346" s="508"/>
      <c r="S346" s="508"/>
      <c r="T346" s="508"/>
      <c r="U346" s="508"/>
      <c r="V346" s="508"/>
      <c r="W346" s="508"/>
      <c r="X346" s="508"/>
      <c r="Y346" s="508"/>
      <c r="Z346" s="508"/>
    </row>
    <row r="347" ht="13.5" customHeight="1">
      <c r="A347" s="508"/>
      <c r="B347" s="508"/>
      <c r="C347" s="508"/>
      <c r="D347" s="508"/>
      <c r="E347" s="508"/>
      <c r="F347" s="508"/>
      <c r="G347" s="533"/>
      <c r="H347" s="508"/>
      <c r="I347" s="508"/>
      <c r="J347" s="508"/>
      <c r="K347" s="508"/>
      <c r="L347" s="508"/>
      <c r="M347" s="508"/>
      <c r="N347" s="508"/>
      <c r="O347" s="508"/>
      <c r="P347" s="508"/>
      <c r="Q347" s="508"/>
      <c r="R347" s="508"/>
      <c r="S347" s="508"/>
      <c r="T347" s="508"/>
      <c r="U347" s="508"/>
      <c r="V347" s="508"/>
      <c r="W347" s="508"/>
      <c r="X347" s="508"/>
      <c r="Y347" s="508"/>
      <c r="Z347" s="508"/>
    </row>
    <row r="348" ht="13.5" customHeight="1">
      <c r="A348" s="508"/>
      <c r="B348" s="508"/>
      <c r="C348" s="508"/>
      <c r="D348" s="508"/>
      <c r="E348" s="508"/>
      <c r="F348" s="508"/>
      <c r="G348" s="533"/>
      <c r="H348" s="508"/>
      <c r="I348" s="508"/>
      <c r="J348" s="508"/>
      <c r="K348" s="508"/>
      <c r="L348" s="508"/>
      <c r="M348" s="508"/>
      <c r="N348" s="508"/>
      <c r="O348" s="508"/>
      <c r="P348" s="508"/>
      <c r="Q348" s="508"/>
      <c r="R348" s="508"/>
      <c r="S348" s="508"/>
      <c r="T348" s="508"/>
      <c r="U348" s="508"/>
      <c r="V348" s="508"/>
      <c r="W348" s="508"/>
      <c r="X348" s="508"/>
      <c r="Y348" s="508"/>
      <c r="Z348" s="508"/>
    </row>
    <row r="349" ht="13.5" customHeight="1">
      <c r="A349" s="508"/>
      <c r="B349" s="508"/>
      <c r="C349" s="508"/>
      <c r="D349" s="508"/>
      <c r="E349" s="508"/>
      <c r="F349" s="508"/>
      <c r="G349" s="533"/>
      <c r="H349" s="508"/>
      <c r="I349" s="508"/>
      <c r="J349" s="508"/>
      <c r="K349" s="508"/>
      <c r="L349" s="508"/>
      <c r="M349" s="508"/>
      <c r="N349" s="508"/>
      <c r="O349" s="508"/>
      <c r="P349" s="508"/>
      <c r="Q349" s="508"/>
      <c r="R349" s="508"/>
      <c r="S349" s="508"/>
      <c r="T349" s="508"/>
      <c r="U349" s="508"/>
      <c r="V349" s="508"/>
      <c r="W349" s="508"/>
      <c r="X349" s="508"/>
      <c r="Y349" s="508"/>
      <c r="Z349" s="508"/>
    </row>
    <row r="350" ht="13.5" customHeight="1">
      <c r="A350" s="508"/>
      <c r="B350" s="508"/>
      <c r="C350" s="508"/>
      <c r="D350" s="508"/>
      <c r="E350" s="508"/>
      <c r="F350" s="508"/>
      <c r="G350" s="533"/>
      <c r="H350" s="508"/>
      <c r="I350" s="508"/>
      <c r="J350" s="508"/>
      <c r="K350" s="508"/>
      <c r="L350" s="508"/>
      <c r="M350" s="508"/>
      <c r="N350" s="508"/>
      <c r="O350" s="508"/>
      <c r="P350" s="508"/>
      <c r="Q350" s="508"/>
      <c r="R350" s="508"/>
      <c r="S350" s="508"/>
      <c r="T350" s="508"/>
      <c r="U350" s="508"/>
      <c r="V350" s="508"/>
      <c r="W350" s="508"/>
      <c r="X350" s="508"/>
      <c r="Y350" s="508"/>
      <c r="Z350" s="508"/>
    </row>
    <row r="351" ht="13.5" customHeight="1">
      <c r="A351" s="508"/>
      <c r="B351" s="508"/>
      <c r="C351" s="508"/>
      <c r="D351" s="508"/>
      <c r="E351" s="508"/>
      <c r="F351" s="508"/>
      <c r="G351" s="533"/>
      <c r="H351" s="508"/>
      <c r="I351" s="508"/>
      <c r="J351" s="508"/>
      <c r="K351" s="508"/>
      <c r="L351" s="508"/>
      <c r="M351" s="508"/>
      <c r="N351" s="508"/>
      <c r="O351" s="508"/>
      <c r="P351" s="508"/>
      <c r="Q351" s="508"/>
      <c r="R351" s="508"/>
      <c r="S351" s="508"/>
      <c r="T351" s="508"/>
      <c r="U351" s="508"/>
      <c r="V351" s="508"/>
      <c r="W351" s="508"/>
      <c r="X351" s="508"/>
      <c r="Y351" s="508"/>
      <c r="Z351" s="508"/>
    </row>
    <row r="352" ht="13.5" customHeight="1">
      <c r="A352" s="508"/>
      <c r="B352" s="508"/>
      <c r="C352" s="508"/>
      <c r="D352" s="508"/>
      <c r="E352" s="508"/>
      <c r="F352" s="508"/>
      <c r="G352" s="533"/>
      <c r="H352" s="508"/>
      <c r="I352" s="508"/>
      <c r="J352" s="508"/>
      <c r="K352" s="508"/>
      <c r="L352" s="508"/>
      <c r="M352" s="508"/>
      <c r="N352" s="508"/>
      <c r="O352" s="508"/>
      <c r="P352" s="508"/>
      <c r="Q352" s="508"/>
      <c r="R352" s="508"/>
      <c r="S352" s="508"/>
      <c r="T352" s="508"/>
      <c r="U352" s="508"/>
      <c r="V352" s="508"/>
      <c r="W352" s="508"/>
      <c r="X352" s="508"/>
      <c r="Y352" s="508"/>
      <c r="Z352" s="508"/>
    </row>
    <row r="353" ht="13.5" customHeight="1">
      <c r="A353" s="508"/>
      <c r="B353" s="508"/>
      <c r="C353" s="508"/>
      <c r="D353" s="508"/>
      <c r="E353" s="508"/>
      <c r="F353" s="508"/>
      <c r="G353" s="533"/>
      <c r="H353" s="508"/>
      <c r="I353" s="508"/>
      <c r="J353" s="508"/>
      <c r="K353" s="508"/>
      <c r="L353" s="508"/>
      <c r="M353" s="508"/>
      <c r="N353" s="508"/>
      <c r="O353" s="508"/>
      <c r="P353" s="508"/>
      <c r="Q353" s="508"/>
      <c r="R353" s="508"/>
      <c r="S353" s="508"/>
      <c r="T353" s="508"/>
      <c r="U353" s="508"/>
      <c r="V353" s="508"/>
      <c r="W353" s="508"/>
      <c r="X353" s="508"/>
      <c r="Y353" s="508"/>
      <c r="Z353" s="508"/>
    </row>
    <row r="354" ht="13.5" customHeight="1">
      <c r="A354" s="508"/>
      <c r="B354" s="508"/>
      <c r="C354" s="508"/>
      <c r="D354" s="508"/>
      <c r="E354" s="508"/>
      <c r="F354" s="508"/>
      <c r="G354" s="533"/>
      <c r="H354" s="508"/>
      <c r="I354" s="508"/>
      <c r="J354" s="508"/>
      <c r="K354" s="508"/>
      <c r="L354" s="508"/>
      <c r="M354" s="508"/>
      <c r="N354" s="508"/>
      <c r="O354" s="508"/>
      <c r="P354" s="508"/>
      <c r="Q354" s="508"/>
      <c r="R354" s="508"/>
      <c r="S354" s="508"/>
      <c r="T354" s="508"/>
      <c r="U354" s="508"/>
      <c r="V354" s="508"/>
      <c r="W354" s="508"/>
      <c r="X354" s="508"/>
      <c r="Y354" s="508"/>
      <c r="Z354" s="508"/>
    </row>
    <row r="355" ht="13.5" customHeight="1">
      <c r="A355" s="508"/>
      <c r="B355" s="508"/>
      <c r="C355" s="508"/>
      <c r="D355" s="508"/>
      <c r="E355" s="508"/>
      <c r="F355" s="508"/>
      <c r="G355" s="533"/>
      <c r="H355" s="508"/>
      <c r="I355" s="508"/>
      <c r="J355" s="508"/>
      <c r="K355" s="508"/>
      <c r="L355" s="508"/>
      <c r="M355" s="508"/>
      <c r="N355" s="508"/>
      <c r="O355" s="508"/>
      <c r="P355" s="508"/>
      <c r="Q355" s="508"/>
      <c r="R355" s="508"/>
      <c r="S355" s="508"/>
      <c r="T355" s="508"/>
      <c r="U355" s="508"/>
      <c r="V355" s="508"/>
      <c r="W355" s="508"/>
      <c r="X355" s="508"/>
      <c r="Y355" s="508"/>
      <c r="Z355" s="508"/>
    </row>
    <row r="356" ht="13.5" customHeight="1">
      <c r="A356" s="508"/>
      <c r="B356" s="508"/>
      <c r="C356" s="508"/>
      <c r="D356" s="508"/>
      <c r="E356" s="508"/>
      <c r="F356" s="508"/>
      <c r="G356" s="533"/>
      <c r="H356" s="508"/>
      <c r="I356" s="508"/>
      <c r="J356" s="508"/>
      <c r="K356" s="508"/>
      <c r="L356" s="508"/>
      <c r="M356" s="508"/>
      <c r="N356" s="508"/>
      <c r="O356" s="508"/>
      <c r="P356" s="508"/>
      <c r="Q356" s="508"/>
      <c r="R356" s="508"/>
      <c r="S356" s="508"/>
      <c r="T356" s="508"/>
      <c r="U356" s="508"/>
      <c r="V356" s="508"/>
      <c r="W356" s="508"/>
      <c r="X356" s="508"/>
      <c r="Y356" s="508"/>
      <c r="Z356" s="508"/>
    </row>
    <row r="357" ht="13.5" customHeight="1">
      <c r="A357" s="508"/>
      <c r="B357" s="508"/>
      <c r="C357" s="508"/>
      <c r="D357" s="508"/>
      <c r="E357" s="508"/>
      <c r="F357" s="508"/>
      <c r="G357" s="533"/>
      <c r="H357" s="508"/>
      <c r="I357" s="508"/>
      <c r="J357" s="508"/>
      <c r="K357" s="508"/>
      <c r="L357" s="508"/>
      <c r="M357" s="508"/>
      <c r="N357" s="508"/>
      <c r="O357" s="508"/>
      <c r="P357" s="508"/>
      <c r="Q357" s="508"/>
      <c r="R357" s="508"/>
      <c r="S357" s="508"/>
      <c r="T357" s="508"/>
      <c r="U357" s="508"/>
      <c r="V357" s="508"/>
      <c r="W357" s="508"/>
      <c r="X357" s="508"/>
      <c r="Y357" s="508"/>
      <c r="Z357" s="508"/>
    </row>
    <row r="358" ht="13.5" customHeight="1">
      <c r="A358" s="508"/>
      <c r="B358" s="508"/>
      <c r="C358" s="508"/>
      <c r="D358" s="508"/>
      <c r="E358" s="508"/>
      <c r="F358" s="508"/>
      <c r="G358" s="533"/>
      <c r="H358" s="508"/>
      <c r="I358" s="508"/>
      <c r="J358" s="508"/>
      <c r="K358" s="508"/>
      <c r="L358" s="508"/>
      <c r="M358" s="508"/>
      <c r="N358" s="508"/>
      <c r="O358" s="508"/>
      <c r="P358" s="508"/>
      <c r="Q358" s="508"/>
      <c r="R358" s="508"/>
      <c r="S358" s="508"/>
      <c r="T358" s="508"/>
      <c r="U358" s="508"/>
      <c r="V358" s="508"/>
      <c r="W358" s="508"/>
      <c r="X358" s="508"/>
      <c r="Y358" s="508"/>
      <c r="Z358" s="508"/>
    </row>
    <row r="359" ht="13.5" customHeight="1">
      <c r="A359" s="508"/>
      <c r="B359" s="508"/>
      <c r="C359" s="508"/>
      <c r="D359" s="508"/>
      <c r="E359" s="508"/>
      <c r="F359" s="508"/>
      <c r="G359" s="533"/>
      <c r="H359" s="508"/>
      <c r="I359" s="508"/>
      <c r="J359" s="508"/>
      <c r="K359" s="508"/>
      <c r="L359" s="508"/>
      <c r="M359" s="508"/>
      <c r="N359" s="508"/>
      <c r="O359" s="508"/>
      <c r="P359" s="508"/>
      <c r="Q359" s="508"/>
      <c r="R359" s="508"/>
      <c r="S359" s="508"/>
      <c r="T359" s="508"/>
      <c r="U359" s="508"/>
      <c r="V359" s="508"/>
      <c r="W359" s="508"/>
      <c r="X359" s="508"/>
      <c r="Y359" s="508"/>
      <c r="Z359" s="508"/>
    </row>
    <row r="360" ht="13.5" customHeight="1">
      <c r="A360" s="508"/>
      <c r="B360" s="508"/>
      <c r="C360" s="508"/>
      <c r="D360" s="508"/>
      <c r="E360" s="508"/>
      <c r="F360" s="508"/>
      <c r="G360" s="533"/>
      <c r="H360" s="508"/>
      <c r="I360" s="508"/>
      <c r="J360" s="508"/>
      <c r="K360" s="508"/>
      <c r="L360" s="508"/>
      <c r="M360" s="508"/>
      <c r="N360" s="508"/>
      <c r="O360" s="508"/>
      <c r="P360" s="508"/>
      <c r="Q360" s="508"/>
      <c r="R360" s="508"/>
      <c r="S360" s="508"/>
      <c r="T360" s="508"/>
      <c r="U360" s="508"/>
      <c r="V360" s="508"/>
      <c r="W360" s="508"/>
      <c r="X360" s="508"/>
      <c r="Y360" s="508"/>
      <c r="Z360" s="508"/>
    </row>
    <row r="361" ht="13.5" customHeight="1">
      <c r="A361" s="508"/>
      <c r="B361" s="508"/>
      <c r="C361" s="508"/>
      <c r="D361" s="508"/>
      <c r="E361" s="508"/>
      <c r="F361" s="508"/>
      <c r="G361" s="533"/>
      <c r="H361" s="508"/>
      <c r="I361" s="508"/>
      <c r="J361" s="508"/>
      <c r="K361" s="508"/>
      <c r="L361" s="508"/>
      <c r="M361" s="508"/>
      <c r="N361" s="508"/>
      <c r="O361" s="508"/>
      <c r="P361" s="508"/>
      <c r="Q361" s="508"/>
      <c r="R361" s="508"/>
      <c r="S361" s="508"/>
      <c r="T361" s="508"/>
      <c r="U361" s="508"/>
      <c r="V361" s="508"/>
      <c r="W361" s="508"/>
      <c r="X361" s="508"/>
      <c r="Y361" s="508"/>
      <c r="Z361" s="508"/>
    </row>
    <row r="362" ht="13.5" customHeight="1">
      <c r="A362" s="508"/>
      <c r="B362" s="508"/>
      <c r="C362" s="508"/>
      <c r="D362" s="508"/>
      <c r="E362" s="508"/>
      <c r="F362" s="508"/>
      <c r="G362" s="533"/>
      <c r="H362" s="508"/>
      <c r="I362" s="508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  <c r="Z362" s="508"/>
    </row>
    <row r="363" ht="13.5" customHeight="1">
      <c r="A363" s="508"/>
      <c r="B363" s="508"/>
      <c r="C363" s="508"/>
      <c r="D363" s="508"/>
      <c r="E363" s="508"/>
      <c r="F363" s="508"/>
      <c r="G363" s="533"/>
      <c r="H363" s="508"/>
      <c r="I363" s="508"/>
      <c r="J363" s="508"/>
      <c r="K363" s="508"/>
      <c r="L363" s="508"/>
      <c r="M363" s="508"/>
      <c r="N363" s="508"/>
      <c r="O363" s="508"/>
      <c r="P363" s="508"/>
      <c r="Q363" s="508"/>
      <c r="R363" s="508"/>
      <c r="S363" s="508"/>
      <c r="T363" s="508"/>
      <c r="U363" s="508"/>
      <c r="V363" s="508"/>
      <c r="W363" s="508"/>
      <c r="X363" s="508"/>
      <c r="Y363" s="508"/>
      <c r="Z363" s="508"/>
    </row>
    <row r="364" ht="13.5" customHeight="1">
      <c r="A364" s="508"/>
      <c r="B364" s="508"/>
      <c r="C364" s="508"/>
      <c r="D364" s="508"/>
      <c r="E364" s="508"/>
      <c r="F364" s="508"/>
      <c r="G364" s="533"/>
      <c r="H364" s="508"/>
      <c r="I364" s="508"/>
      <c r="J364" s="508"/>
      <c r="K364" s="508"/>
      <c r="L364" s="508"/>
      <c r="M364" s="508"/>
      <c r="N364" s="508"/>
      <c r="O364" s="508"/>
      <c r="P364" s="508"/>
      <c r="Q364" s="508"/>
      <c r="R364" s="508"/>
      <c r="S364" s="508"/>
      <c r="T364" s="508"/>
      <c r="U364" s="508"/>
      <c r="V364" s="508"/>
      <c r="W364" s="508"/>
      <c r="X364" s="508"/>
      <c r="Y364" s="508"/>
      <c r="Z364" s="508"/>
    </row>
    <row r="365" ht="13.5" customHeight="1">
      <c r="A365" s="508"/>
      <c r="B365" s="508"/>
      <c r="C365" s="508"/>
      <c r="D365" s="508"/>
      <c r="E365" s="508"/>
      <c r="F365" s="508"/>
      <c r="G365" s="533"/>
      <c r="H365" s="508"/>
      <c r="I365" s="508"/>
      <c r="J365" s="508"/>
      <c r="K365" s="508"/>
      <c r="L365" s="508"/>
      <c r="M365" s="508"/>
      <c r="N365" s="508"/>
      <c r="O365" s="508"/>
      <c r="P365" s="508"/>
      <c r="Q365" s="508"/>
      <c r="R365" s="508"/>
      <c r="S365" s="508"/>
      <c r="T365" s="508"/>
      <c r="U365" s="508"/>
      <c r="V365" s="508"/>
      <c r="W365" s="508"/>
      <c r="X365" s="508"/>
      <c r="Y365" s="508"/>
      <c r="Z365" s="508"/>
    </row>
    <row r="366" ht="13.5" customHeight="1">
      <c r="A366" s="508"/>
      <c r="B366" s="508"/>
      <c r="C366" s="508"/>
      <c r="D366" s="508"/>
      <c r="E366" s="508"/>
      <c r="F366" s="508"/>
      <c r="G366" s="533"/>
      <c r="H366" s="508"/>
      <c r="I366" s="508"/>
      <c r="J366" s="508"/>
      <c r="K366" s="508"/>
      <c r="L366" s="508"/>
      <c r="M366" s="508"/>
      <c r="N366" s="508"/>
      <c r="O366" s="508"/>
      <c r="P366" s="508"/>
      <c r="Q366" s="508"/>
      <c r="R366" s="508"/>
      <c r="S366" s="508"/>
      <c r="T366" s="508"/>
      <c r="U366" s="508"/>
      <c r="V366" s="508"/>
      <c r="W366" s="508"/>
      <c r="X366" s="508"/>
      <c r="Y366" s="508"/>
      <c r="Z366" s="508"/>
    </row>
    <row r="367" ht="13.5" customHeight="1">
      <c r="A367" s="508"/>
      <c r="B367" s="508"/>
      <c r="C367" s="508"/>
      <c r="D367" s="508"/>
      <c r="E367" s="508"/>
      <c r="F367" s="508"/>
      <c r="G367" s="533"/>
      <c r="H367" s="508"/>
      <c r="I367" s="508"/>
      <c r="J367" s="508"/>
      <c r="K367" s="508"/>
      <c r="L367" s="508"/>
      <c r="M367" s="508"/>
      <c r="N367" s="508"/>
      <c r="O367" s="508"/>
      <c r="P367" s="508"/>
      <c r="Q367" s="508"/>
      <c r="R367" s="508"/>
      <c r="S367" s="508"/>
      <c r="T367" s="508"/>
      <c r="U367" s="508"/>
      <c r="V367" s="508"/>
      <c r="W367" s="508"/>
      <c r="X367" s="508"/>
      <c r="Y367" s="508"/>
      <c r="Z367" s="508"/>
    </row>
    <row r="368" ht="13.5" customHeight="1">
      <c r="A368" s="508"/>
      <c r="B368" s="508"/>
      <c r="C368" s="508"/>
      <c r="D368" s="508"/>
      <c r="E368" s="508"/>
      <c r="F368" s="508"/>
      <c r="G368" s="533"/>
      <c r="H368" s="508"/>
      <c r="I368" s="508"/>
      <c r="J368" s="508"/>
      <c r="K368" s="508"/>
      <c r="L368" s="508"/>
      <c r="M368" s="508"/>
      <c r="N368" s="508"/>
      <c r="O368" s="508"/>
      <c r="P368" s="508"/>
      <c r="Q368" s="508"/>
      <c r="R368" s="508"/>
      <c r="S368" s="508"/>
      <c r="T368" s="508"/>
      <c r="U368" s="508"/>
      <c r="V368" s="508"/>
      <c r="W368" s="508"/>
      <c r="X368" s="508"/>
      <c r="Y368" s="508"/>
      <c r="Z368" s="508"/>
    </row>
    <row r="369" ht="13.5" customHeight="1">
      <c r="A369" s="508"/>
      <c r="B369" s="508"/>
      <c r="C369" s="508"/>
      <c r="D369" s="508"/>
      <c r="E369" s="508"/>
      <c r="F369" s="508"/>
      <c r="G369" s="533"/>
      <c r="H369" s="508"/>
      <c r="I369" s="508"/>
      <c r="J369" s="508"/>
      <c r="K369" s="508"/>
      <c r="L369" s="508"/>
      <c r="M369" s="508"/>
      <c r="N369" s="508"/>
      <c r="O369" s="508"/>
      <c r="P369" s="508"/>
      <c r="Q369" s="508"/>
      <c r="R369" s="508"/>
      <c r="S369" s="508"/>
      <c r="T369" s="508"/>
      <c r="U369" s="508"/>
      <c r="V369" s="508"/>
      <c r="W369" s="508"/>
      <c r="X369" s="508"/>
      <c r="Y369" s="508"/>
      <c r="Z369" s="508"/>
    </row>
    <row r="370" ht="13.5" customHeight="1">
      <c r="A370" s="508"/>
      <c r="B370" s="508"/>
      <c r="C370" s="508"/>
      <c r="D370" s="508"/>
      <c r="E370" s="508"/>
      <c r="F370" s="508"/>
      <c r="G370" s="533"/>
      <c r="H370" s="508"/>
      <c r="I370" s="508"/>
      <c r="J370" s="508"/>
      <c r="K370" s="508"/>
      <c r="L370" s="508"/>
      <c r="M370" s="508"/>
      <c r="N370" s="508"/>
      <c r="O370" s="508"/>
      <c r="P370" s="508"/>
      <c r="Q370" s="508"/>
      <c r="R370" s="508"/>
      <c r="S370" s="508"/>
      <c r="T370" s="508"/>
      <c r="U370" s="508"/>
      <c r="V370" s="508"/>
      <c r="W370" s="508"/>
      <c r="X370" s="508"/>
      <c r="Y370" s="508"/>
      <c r="Z370" s="508"/>
    </row>
    <row r="371" ht="13.5" customHeight="1">
      <c r="A371" s="508"/>
      <c r="B371" s="508"/>
      <c r="C371" s="508"/>
      <c r="D371" s="508"/>
      <c r="E371" s="508"/>
      <c r="F371" s="508"/>
      <c r="G371" s="533"/>
      <c r="H371" s="508"/>
      <c r="I371" s="508"/>
      <c r="J371" s="508"/>
      <c r="K371" s="508"/>
      <c r="L371" s="508"/>
      <c r="M371" s="508"/>
      <c r="N371" s="508"/>
      <c r="O371" s="508"/>
      <c r="P371" s="508"/>
      <c r="Q371" s="508"/>
      <c r="R371" s="508"/>
      <c r="S371" s="508"/>
      <c r="T371" s="508"/>
      <c r="U371" s="508"/>
      <c r="V371" s="508"/>
      <c r="W371" s="508"/>
      <c r="X371" s="508"/>
      <c r="Y371" s="508"/>
      <c r="Z371" s="508"/>
    </row>
    <row r="372" ht="13.5" customHeight="1">
      <c r="A372" s="508"/>
      <c r="B372" s="508"/>
      <c r="C372" s="508"/>
      <c r="D372" s="508"/>
      <c r="E372" s="508"/>
      <c r="F372" s="508"/>
      <c r="G372" s="533"/>
      <c r="H372" s="508"/>
      <c r="I372" s="508"/>
      <c r="J372" s="508"/>
      <c r="K372" s="508"/>
      <c r="L372" s="508"/>
      <c r="M372" s="508"/>
      <c r="N372" s="508"/>
      <c r="O372" s="508"/>
      <c r="P372" s="508"/>
      <c r="Q372" s="508"/>
      <c r="R372" s="508"/>
      <c r="S372" s="508"/>
      <c r="T372" s="508"/>
      <c r="U372" s="508"/>
      <c r="V372" s="508"/>
      <c r="W372" s="508"/>
      <c r="X372" s="508"/>
      <c r="Y372" s="508"/>
      <c r="Z372" s="508"/>
    </row>
    <row r="373" ht="13.5" customHeight="1">
      <c r="A373" s="508"/>
      <c r="B373" s="508"/>
      <c r="C373" s="508"/>
      <c r="D373" s="508"/>
      <c r="E373" s="508"/>
      <c r="F373" s="508"/>
      <c r="G373" s="533"/>
      <c r="H373" s="508"/>
      <c r="I373" s="508"/>
      <c r="J373" s="508"/>
      <c r="K373" s="508"/>
      <c r="L373" s="508"/>
      <c r="M373" s="508"/>
      <c r="N373" s="508"/>
      <c r="O373" s="508"/>
      <c r="P373" s="508"/>
      <c r="Q373" s="508"/>
      <c r="R373" s="508"/>
      <c r="S373" s="508"/>
      <c r="T373" s="508"/>
      <c r="U373" s="508"/>
      <c r="V373" s="508"/>
      <c r="W373" s="508"/>
      <c r="X373" s="508"/>
      <c r="Y373" s="508"/>
      <c r="Z373" s="508"/>
    </row>
    <row r="374" ht="13.5" customHeight="1">
      <c r="A374" s="508"/>
      <c r="B374" s="508"/>
      <c r="C374" s="508"/>
      <c r="D374" s="508"/>
      <c r="E374" s="508"/>
      <c r="F374" s="508"/>
      <c r="G374" s="533"/>
      <c r="H374" s="508"/>
      <c r="I374" s="508"/>
      <c r="J374" s="508"/>
      <c r="K374" s="508"/>
      <c r="L374" s="508"/>
      <c r="M374" s="508"/>
      <c r="N374" s="508"/>
      <c r="O374" s="508"/>
      <c r="P374" s="508"/>
      <c r="Q374" s="508"/>
      <c r="R374" s="508"/>
      <c r="S374" s="508"/>
      <c r="T374" s="508"/>
      <c r="U374" s="508"/>
      <c r="V374" s="508"/>
      <c r="W374" s="508"/>
      <c r="X374" s="508"/>
      <c r="Y374" s="508"/>
      <c r="Z374" s="508"/>
    </row>
    <row r="375" ht="13.5" customHeight="1">
      <c r="A375" s="508"/>
      <c r="B375" s="508"/>
      <c r="C375" s="508"/>
      <c r="D375" s="508"/>
      <c r="E375" s="508"/>
      <c r="F375" s="508"/>
      <c r="G375" s="533"/>
      <c r="H375" s="508"/>
      <c r="I375" s="508"/>
      <c r="J375" s="508"/>
      <c r="K375" s="508"/>
      <c r="L375" s="508"/>
      <c r="M375" s="508"/>
      <c r="N375" s="508"/>
      <c r="O375" s="508"/>
      <c r="P375" s="508"/>
      <c r="Q375" s="508"/>
      <c r="R375" s="508"/>
      <c r="S375" s="508"/>
      <c r="T375" s="508"/>
      <c r="U375" s="508"/>
      <c r="V375" s="508"/>
      <c r="W375" s="508"/>
      <c r="X375" s="508"/>
      <c r="Y375" s="508"/>
      <c r="Z375" s="508"/>
    </row>
    <row r="376" ht="13.5" customHeight="1">
      <c r="A376" s="508"/>
      <c r="B376" s="508"/>
      <c r="C376" s="508"/>
      <c r="D376" s="508"/>
      <c r="E376" s="508"/>
      <c r="F376" s="508"/>
      <c r="G376" s="533"/>
      <c r="H376" s="508"/>
      <c r="I376" s="508"/>
      <c r="J376" s="508"/>
      <c r="K376" s="508"/>
      <c r="L376" s="508"/>
      <c r="M376" s="508"/>
      <c r="N376" s="508"/>
      <c r="O376" s="508"/>
      <c r="P376" s="508"/>
      <c r="Q376" s="508"/>
      <c r="R376" s="508"/>
      <c r="S376" s="508"/>
      <c r="T376" s="508"/>
      <c r="U376" s="508"/>
      <c r="V376" s="508"/>
      <c r="W376" s="508"/>
      <c r="X376" s="508"/>
      <c r="Y376" s="508"/>
      <c r="Z376" s="508"/>
    </row>
    <row r="377" ht="13.5" customHeight="1">
      <c r="A377" s="508"/>
      <c r="B377" s="508"/>
      <c r="C377" s="508"/>
      <c r="D377" s="508"/>
      <c r="E377" s="508"/>
      <c r="F377" s="508"/>
      <c r="G377" s="533"/>
      <c r="H377" s="508"/>
      <c r="I377" s="508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508"/>
      <c r="Y377" s="508"/>
      <c r="Z377" s="508"/>
    </row>
    <row r="378" ht="13.5" customHeight="1">
      <c r="A378" s="508"/>
      <c r="B378" s="508"/>
      <c r="C378" s="508"/>
      <c r="D378" s="508"/>
      <c r="E378" s="508"/>
      <c r="F378" s="508"/>
      <c r="G378" s="533"/>
      <c r="H378" s="508"/>
      <c r="I378" s="508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508"/>
      <c r="Y378" s="508"/>
      <c r="Z378" s="508"/>
    </row>
    <row r="379" ht="13.5" customHeight="1">
      <c r="A379" s="508"/>
      <c r="B379" s="508"/>
      <c r="C379" s="508"/>
      <c r="D379" s="508"/>
      <c r="E379" s="508"/>
      <c r="F379" s="508"/>
      <c r="G379" s="533"/>
      <c r="H379" s="508"/>
      <c r="I379" s="508"/>
      <c r="J379" s="508"/>
      <c r="K379" s="508"/>
      <c r="L379" s="508"/>
      <c r="M379" s="508"/>
      <c r="N379" s="508"/>
      <c r="O379" s="508"/>
      <c r="P379" s="508"/>
      <c r="Q379" s="508"/>
      <c r="R379" s="508"/>
      <c r="S379" s="508"/>
      <c r="T379" s="508"/>
      <c r="U379" s="508"/>
      <c r="V379" s="508"/>
      <c r="W379" s="508"/>
      <c r="X379" s="508"/>
      <c r="Y379" s="508"/>
      <c r="Z379" s="508"/>
    </row>
    <row r="380" ht="13.5" customHeight="1">
      <c r="A380" s="508"/>
      <c r="B380" s="508"/>
      <c r="C380" s="508"/>
      <c r="D380" s="508"/>
      <c r="E380" s="508"/>
      <c r="F380" s="508"/>
      <c r="G380" s="533"/>
      <c r="H380" s="508"/>
      <c r="I380" s="508"/>
      <c r="J380" s="508"/>
      <c r="K380" s="508"/>
      <c r="L380" s="508"/>
      <c r="M380" s="508"/>
      <c r="N380" s="508"/>
      <c r="O380" s="508"/>
      <c r="P380" s="508"/>
      <c r="Q380" s="508"/>
      <c r="R380" s="508"/>
      <c r="S380" s="508"/>
      <c r="T380" s="508"/>
      <c r="U380" s="508"/>
      <c r="V380" s="508"/>
      <c r="W380" s="508"/>
      <c r="X380" s="508"/>
      <c r="Y380" s="508"/>
      <c r="Z380" s="508"/>
    </row>
    <row r="381" ht="13.5" customHeight="1">
      <c r="A381" s="508"/>
      <c r="B381" s="508"/>
      <c r="C381" s="508"/>
      <c r="D381" s="508"/>
      <c r="E381" s="508"/>
      <c r="F381" s="508"/>
      <c r="G381" s="533"/>
      <c r="H381" s="508"/>
      <c r="I381" s="508"/>
      <c r="J381" s="508"/>
      <c r="K381" s="508"/>
      <c r="L381" s="508"/>
      <c r="M381" s="508"/>
      <c r="N381" s="508"/>
      <c r="O381" s="508"/>
      <c r="P381" s="508"/>
      <c r="Q381" s="508"/>
      <c r="R381" s="508"/>
      <c r="S381" s="508"/>
      <c r="T381" s="508"/>
      <c r="U381" s="508"/>
      <c r="V381" s="508"/>
      <c r="W381" s="508"/>
      <c r="X381" s="508"/>
      <c r="Y381" s="508"/>
      <c r="Z381" s="508"/>
    </row>
    <row r="382" ht="13.5" customHeight="1">
      <c r="A382" s="508"/>
      <c r="B382" s="508"/>
      <c r="C382" s="508"/>
      <c r="D382" s="508"/>
      <c r="E382" s="508"/>
      <c r="F382" s="508"/>
      <c r="G382" s="533"/>
      <c r="H382" s="508"/>
      <c r="I382" s="508"/>
      <c r="J382" s="508"/>
      <c r="K382" s="508"/>
      <c r="L382" s="508"/>
      <c r="M382" s="508"/>
      <c r="N382" s="508"/>
      <c r="O382" s="508"/>
      <c r="P382" s="508"/>
      <c r="Q382" s="508"/>
      <c r="R382" s="508"/>
      <c r="S382" s="508"/>
      <c r="T382" s="508"/>
      <c r="U382" s="508"/>
      <c r="V382" s="508"/>
      <c r="W382" s="508"/>
      <c r="X382" s="508"/>
      <c r="Y382" s="508"/>
      <c r="Z382" s="508"/>
    </row>
    <row r="383" ht="13.5" customHeight="1">
      <c r="A383" s="508"/>
      <c r="B383" s="508"/>
      <c r="C383" s="508"/>
      <c r="D383" s="508"/>
      <c r="E383" s="508"/>
      <c r="F383" s="508"/>
      <c r="G383" s="533"/>
      <c r="H383" s="508"/>
      <c r="I383" s="508"/>
      <c r="J383" s="508"/>
      <c r="K383" s="508"/>
      <c r="L383" s="508"/>
      <c r="M383" s="508"/>
      <c r="N383" s="508"/>
      <c r="O383" s="508"/>
      <c r="P383" s="508"/>
      <c r="Q383" s="508"/>
      <c r="R383" s="508"/>
      <c r="S383" s="508"/>
      <c r="T383" s="508"/>
      <c r="U383" s="508"/>
      <c r="V383" s="508"/>
      <c r="W383" s="508"/>
      <c r="X383" s="508"/>
      <c r="Y383" s="508"/>
      <c r="Z383" s="508"/>
    </row>
    <row r="384" ht="13.5" customHeight="1">
      <c r="A384" s="508"/>
      <c r="B384" s="508"/>
      <c r="C384" s="508"/>
      <c r="D384" s="508"/>
      <c r="E384" s="508"/>
      <c r="F384" s="508"/>
      <c r="G384" s="533"/>
      <c r="H384" s="508"/>
      <c r="I384" s="508"/>
      <c r="J384" s="508"/>
      <c r="K384" s="508"/>
      <c r="L384" s="508"/>
      <c r="M384" s="508"/>
      <c r="N384" s="508"/>
      <c r="O384" s="508"/>
      <c r="P384" s="508"/>
      <c r="Q384" s="508"/>
      <c r="R384" s="508"/>
      <c r="S384" s="508"/>
      <c r="T384" s="508"/>
      <c r="U384" s="508"/>
      <c r="V384" s="508"/>
      <c r="W384" s="508"/>
      <c r="X384" s="508"/>
      <c r="Y384" s="508"/>
      <c r="Z384" s="508"/>
    </row>
    <row r="385" ht="13.5" customHeight="1">
      <c r="A385" s="508"/>
      <c r="B385" s="508"/>
      <c r="C385" s="508"/>
      <c r="D385" s="508"/>
      <c r="E385" s="508"/>
      <c r="F385" s="508"/>
      <c r="G385" s="533"/>
      <c r="H385" s="508"/>
      <c r="I385" s="508"/>
      <c r="J385" s="508"/>
      <c r="K385" s="508"/>
      <c r="L385" s="508"/>
      <c r="M385" s="508"/>
      <c r="N385" s="508"/>
      <c r="O385" s="508"/>
      <c r="P385" s="508"/>
      <c r="Q385" s="508"/>
      <c r="R385" s="508"/>
      <c r="S385" s="508"/>
      <c r="T385" s="508"/>
      <c r="U385" s="508"/>
      <c r="V385" s="508"/>
      <c r="W385" s="508"/>
      <c r="X385" s="508"/>
      <c r="Y385" s="508"/>
      <c r="Z385" s="508"/>
    </row>
    <row r="386" ht="13.5" customHeight="1">
      <c r="A386" s="508"/>
      <c r="B386" s="508"/>
      <c r="C386" s="508"/>
      <c r="D386" s="508"/>
      <c r="E386" s="508"/>
      <c r="F386" s="508"/>
      <c r="G386" s="533"/>
      <c r="H386" s="508"/>
      <c r="I386" s="508"/>
      <c r="J386" s="508"/>
      <c r="K386" s="508"/>
      <c r="L386" s="508"/>
      <c r="M386" s="508"/>
      <c r="N386" s="508"/>
      <c r="O386" s="508"/>
      <c r="P386" s="508"/>
      <c r="Q386" s="508"/>
      <c r="R386" s="508"/>
      <c r="S386" s="508"/>
      <c r="T386" s="508"/>
      <c r="U386" s="508"/>
      <c r="V386" s="508"/>
      <c r="W386" s="508"/>
      <c r="X386" s="508"/>
      <c r="Y386" s="508"/>
      <c r="Z386" s="508"/>
    </row>
    <row r="387" ht="13.5" customHeight="1">
      <c r="A387" s="508"/>
      <c r="B387" s="508"/>
      <c r="C387" s="508"/>
      <c r="D387" s="508"/>
      <c r="E387" s="508"/>
      <c r="F387" s="508"/>
      <c r="G387" s="533"/>
      <c r="H387" s="508"/>
      <c r="I387" s="508"/>
      <c r="J387" s="508"/>
      <c r="K387" s="508"/>
      <c r="L387" s="508"/>
      <c r="M387" s="508"/>
      <c r="N387" s="508"/>
      <c r="O387" s="508"/>
      <c r="P387" s="508"/>
      <c r="Q387" s="508"/>
      <c r="R387" s="508"/>
      <c r="S387" s="508"/>
      <c r="T387" s="508"/>
      <c r="U387" s="508"/>
      <c r="V387" s="508"/>
      <c r="W387" s="508"/>
      <c r="X387" s="508"/>
      <c r="Y387" s="508"/>
      <c r="Z387" s="508"/>
    </row>
    <row r="388" ht="13.5" customHeight="1">
      <c r="A388" s="508"/>
      <c r="B388" s="508"/>
      <c r="C388" s="508"/>
      <c r="D388" s="508"/>
      <c r="E388" s="508"/>
      <c r="F388" s="508"/>
      <c r="G388" s="533"/>
      <c r="H388" s="508"/>
      <c r="I388" s="508"/>
      <c r="J388" s="508"/>
      <c r="K388" s="508"/>
      <c r="L388" s="508"/>
      <c r="M388" s="508"/>
      <c r="N388" s="508"/>
      <c r="O388" s="508"/>
      <c r="P388" s="508"/>
      <c r="Q388" s="508"/>
      <c r="R388" s="508"/>
      <c r="S388" s="508"/>
      <c r="T388" s="508"/>
      <c r="U388" s="508"/>
      <c r="V388" s="508"/>
      <c r="W388" s="508"/>
      <c r="X388" s="508"/>
      <c r="Y388" s="508"/>
      <c r="Z388" s="508"/>
    </row>
    <row r="389" ht="13.5" customHeight="1">
      <c r="A389" s="508"/>
      <c r="B389" s="508"/>
      <c r="C389" s="508"/>
      <c r="D389" s="508"/>
      <c r="E389" s="508"/>
      <c r="F389" s="508"/>
      <c r="G389" s="533"/>
      <c r="H389" s="508"/>
      <c r="I389" s="508"/>
      <c r="J389" s="508"/>
      <c r="K389" s="508"/>
      <c r="L389" s="508"/>
      <c r="M389" s="508"/>
      <c r="N389" s="508"/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</row>
    <row r="390" ht="13.5" customHeight="1">
      <c r="A390" s="508"/>
      <c r="B390" s="508"/>
      <c r="C390" s="508"/>
      <c r="D390" s="508"/>
      <c r="E390" s="508"/>
      <c r="F390" s="508"/>
      <c r="G390" s="533"/>
      <c r="H390" s="508"/>
      <c r="I390" s="508"/>
      <c r="J390" s="508"/>
      <c r="K390" s="508"/>
      <c r="L390" s="508"/>
      <c r="M390" s="508"/>
      <c r="N390" s="508"/>
      <c r="O390" s="508"/>
      <c r="P390" s="508"/>
      <c r="Q390" s="508"/>
      <c r="R390" s="508"/>
      <c r="S390" s="508"/>
      <c r="T390" s="508"/>
      <c r="U390" s="508"/>
      <c r="V390" s="508"/>
      <c r="W390" s="508"/>
      <c r="X390" s="508"/>
      <c r="Y390" s="508"/>
      <c r="Z390" s="508"/>
    </row>
    <row r="391" ht="13.5" customHeight="1">
      <c r="A391" s="508"/>
      <c r="B391" s="508"/>
      <c r="C391" s="508"/>
      <c r="D391" s="508"/>
      <c r="E391" s="508"/>
      <c r="F391" s="508"/>
      <c r="G391" s="533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8"/>
      <c r="V391" s="508"/>
      <c r="W391" s="508"/>
      <c r="X391" s="508"/>
      <c r="Y391" s="508"/>
      <c r="Z391" s="508"/>
    </row>
    <row r="392" ht="13.5" customHeight="1">
      <c r="A392" s="508"/>
      <c r="B392" s="508"/>
      <c r="C392" s="508"/>
      <c r="D392" s="508"/>
      <c r="E392" s="508"/>
      <c r="F392" s="508"/>
      <c r="G392" s="533"/>
      <c r="H392" s="508"/>
      <c r="I392" s="508"/>
      <c r="J392" s="508"/>
      <c r="K392" s="508"/>
      <c r="L392" s="508"/>
      <c r="M392" s="508"/>
      <c r="N392" s="508"/>
      <c r="O392" s="508"/>
      <c r="P392" s="508"/>
      <c r="Q392" s="508"/>
      <c r="R392" s="508"/>
      <c r="S392" s="508"/>
      <c r="T392" s="508"/>
      <c r="U392" s="508"/>
      <c r="V392" s="508"/>
      <c r="W392" s="508"/>
      <c r="X392" s="508"/>
      <c r="Y392" s="508"/>
      <c r="Z392" s="508"/>
    </row>
    <row r="393" ht="13.5" customHeight="1">
      <c r="A393" s="508"/>
      <c r="B393" s="508"/>
      <c r="C393" s="508"/>
      <c r="D393" s="508"/>
      <c r="E393" s="508"/>
      <c r="F393" s="508"/>
      <c r="G393" s="533"/>
      <c r="H393" s="508"/>
      <c r="I393" s="508"/>
      <c r="J393" s="508"/>
      <c r="K393" s="508"/>
      <c r="L393" s="508"/>
      <c r="M393" s="508"/>
      <c r="N393" s="508"/>
      <c r="O393" s="508"/>
      <c r="P393" s="508"/>
      <c r="Q393" s="508"/>
      <c r="R393" s="508"/>
      <c r="S393" s="508"/>
      <c r="T393" s="508"/>
      <c r="U393" s="508"/>
      <c r="V393" s="508"/>
      <c r="W393" s="508"/>
      <c r="X393" s="508"/>
      <c r="Y393" s="508"/>
      <c r="Z393" s="508"/>
    </row>
    <row r="394" ht="13.5" customHeight="1">
      <c r="A394" s="508"/>
      <c r="B394" s="508"/>
      <c r="C394" s="508"/>
      <c r="D394" s="508"/>
      <c r="E394" s="508"/>
      <c r="F394" s="508"/>
      <c r="G394" s="533"/>
      <c r="H394" s="508"/>
      <c r="I394" s="508"/>
      <c r="J394" s="508"/>
      <c r="K394" s="508"/>
      <c r="L394" s="508"/>
      <c r="M394" s="508"/>
      <c r="N394" s="508"/>
      <c r="O394" s="508"/>
      <c r="P394" s="508"/>
      <c r="Q394" s="508"/>
      <c r="R394" s="508"/>
      <c r="S394" s="508"/>
      <c r="T394" s="508"/>
      <c r="U394" s="508"/>
      <c r="V394" s="508"/>
      <c r="W394" s="508"/>
      <c r="X394" s="508"/>
      <c r="Y394" s="508"/>
      <c r="Z394" s="508"/>
    </row>
    <row r="395" ht="13.5" customHeight="1">
      <c r="A395" s="508"/>
      <c r="B395" s="508"/>
      <c r="C395" s="508"/>
      <c r="D395" s="508"/>
      <c r="E395" s="508"/>
      <c r="F395" s="508"/>
      <c r="G395" s="533"/>
      <c r="H395" s="508"/>
      <c r="I395" s="508"/>
      <c r="J395" s="508"/>
      <c r="K395" s="508"/>
      <c r="L395" s="508"/>
      <c r="M395" s="508"/>
      <c r="N395" s="508"/>
      <c r="O395" s="508"/>
      <c r="P395" s="508"/>
      <c r="Q395" s="508"/>
      <c r="R395" s="508"/>
      <c r="S395" s="508"/>
      <c r="T395" s="508"/>
      <c r="U395" s="508"/>
      <c r="V395" s="508"/>
      <c r="W395" s="508"/>
      <c r="X395" s="508"/>
      <c r="Y395" s="508"/>
      <c r="Z395" s="508"/>
    </row>
    <row r="396" ht="13.5" customHeight="1">
      <c r="A396" s="508"/>
      <c r="B396" s="508"/>
      <c r="C396" s="508"/>
      <c r="D396" s="508"/>
      <c r="E396" s="508"/>
      <c r="F396" s="508"/>
      <c r="G396" s="533"/>
      <c r="H396" s="508"/>
      <c r="I396" s="508"/>
      <c r="J396" s="508"/>
      <c r="K396" s="508"/>
      <c r="L396" s="508"/>
      <c r="M396" s="508"/>
      <c r="N396" s="508"/>
      <c r="O396" s="508"/>
      <c r="P396" s="508"/>
      <c r="Q396" s="508"/>
      <c r="R396" s="508"/>
      <c r="S396" s="508"/>
      <c r="T396" s="508"/>
      <c r="U396" s="508"/>
      <c r="V396" s="508"/>
      <c r="W396" s="508"/>
      <c r="X396" s="508"/>
      <c r="Y396" s="508"/>
      <c r="Z396" s="508"/>
    </row>
    <row r="397" ht="13.5" customHeight="1">
      <c r="A397" s="508"/>
      <c r="B397" s="508"/>
      <c r="C397" s="508"/>
      <c r="D397" s="508"/>
      <c r="E397" s="508"/>
      <c r="F397" s="508"/>
      <c r="G397" s="533"/>
      <c r="H397" s="508"/>
      <c r="I397" s="508"/>
      <c r="J397" s="508"/>
      <c r="K397" s="508"/>
      <c r="L397" s="508"/>
      <c r="M397" s="508"/>
      <c r="N397" s="508"/>
      <c r="O397" s="508"/>
      <c r="P397" s="508"/>
      <c r="Q397" s="508"/>
      <c r="R397" s="508"/>
      <c r="S397" s="508"/>
      <c r="T397" s="508"/>
      <c r="U397" s="508"/>
      <c r="V397" s="508"/>
      <c r="W397" s="508"/>
      <c r="X397" s="508"/>
      <c r="Y397" s="508"/>
      <c r="Z397" s="508"/>
    </row>
    <row r="398" ht="13.5" customHeight="1">
      <c r="A398" s="508"/>
      <c r="B398" s="508"/>
      <c r="C398" s="508"/>
      <c r="D398" s="508"/>
      <c r="E398" s="508"/>
      <c r="F398" s="508"/>
      <c r="G398" s="533"/>
      <c r="H398" s="508"/>
      <c r="I398" s="508"/>
      <c r="J398" s="508"/>
      <c r="K398" s="508"/>
      <c r="L398" s="508"/>
      <c r="M398" s="508"/>
      <c r="N398" s="508"/>
      <c r="O398" s="508"/>
      <c r="P398" s="508"/>
      <c r="Q398" s="508"/>
      <c r="R398" s="508"/>
      <c r="S398" s="508"/>
      <c r="T398" s="508"/>
      <c r="U398" s="508"/>
      <c r="V398" s="508"/>
      <c r="W398" s="508"/>
      <c r="X398" s="508"/>
      <c r="Y398" s="508"/>
      <c r="Z398" s="508"/>
    </row>
    <row r="399" ht="13.5" customHeight="1">
      <c r="A399" s="508"/>
      <c r="B399" s="508"/>
      <c r="C399" s="508"/>
      <c r="D399" s="508"/>
      <c r="E399" s="508"/>
      <c r="F399" s="508"/>
      <c r="G399" s="533"/>
      <c r="H399" s="508"/>
      <c r="I399" s="508"/>
      <c r="J399" s="508"/>
      <c r="K399" s="508"/>
      <c r="L399" s="508"/>
      <c r="M399" s="508"/>
      <c r="N399" s="508"/>
      <c r="O399" s="508"/>
      <c r="P399" s="508"/>
      <c r="Q399" s="508"/>
      <c r="R399" s="508"/>
      <c r="S399" s="508"/>
      <c r="T399" s="508"/>
      <c r="U399" s="508"/>
      <c r="V399" s="508"/>
      <c r="W399" s="508"/>
      <c r="X399" s="508"/>
      <c r="Y399" s="508"/>
      <c r="Z399" s="508"/>
    </row>
    <row r="400" ht="13.5" customHeight="1">
      <c r="A400" s="508"/>
      <c r="B400" s="508"/>
      <c r="C400" s="508"/>
      <c r="D400" s="508"/>
      <c r="E400" s="508"/>
      <c r="F400" s="508"/>
      <c r="G400" s="533"/>
      <c r="H400" s="508"/>
      <c r="I400" s="508"/>
      <c r="J400" s="508"/>
      <c r="K400" s="508"/>
      <c r="L400" s="508"/>
      <c r="M400" s="508"/>
      <c r="N400" s="508"/>
      <c r="O400" s="508"/>
      <c r="P400" s="508"/>
      <c r="Q400" s="508"/>
      <c r="R400" s="508"/>
      <c r="S400" s="508"/>
      <c r="T400" s="508"/>
      <c r="U400" s="508"/>
      <c r="V400" s="508"/>
      <c r="W400" s="508"/>
      <c r="X400" s="508"/>
      <c r="Y400" s="508"/>
      <c r="Z400" s="508"/>
    </row>
    <row r="401" ht="13.5" customHeight="1">
      <c r="A401" s="508"/>
      <c r="B401" s="508"/>
      <c r="C401" s="508"/>
      <c r="D401" s="508"/>
      <c r="E401" s="508"/>
      <c r="F401" s="508"/>
      <c r="G401" s="533"/>
      <c r="H401" s="508"/>
      <c r="I401" s="508"/>
      <c r="J401" s="508"/>
      <c r="K401" s="508"/>
      <c r="L401" s="508"/>
      <c r="M401" s="508"/>
      <c r="N401" s="508"/>
      <c r="O401" s="508"/>
      <c r="P401" s="508"/>
      <c r="Q401" s="508"/>
      <c r="R401" s="508"/>
      <c r="S401" s="508"/>
      <c r="T401" s="508"/>
      <c r="U401" s="508"/>
      <c r="V401" s="508"/>
      <c r="W401" s="508"/>
      <c r="X401" s="508"/>
      <c r="Y401" s="508"/>
      <c r="Z401" s="508"/>
    </row>
    <row r="402" ht="13.5" customHeight="1">
      <c r="A402" s="508"/>
      <c r="B402" s="508"/>
      <c r="C402" s="508"/>
      <c r="D402" s="508"/>
      <c r="E402" s="508"/>
      <c r="F402" s="508"/>
      <c r="G402" s="533"/>
      <c r="H402" s="508"/>
      <c r="I402" s="508"/>
      <c r="J402" s="508"/>
      <c r="K402" s="508"/>
      <c r="L402" s="508"/>
      <c r="M402" s="508"/>
      <c r="N402" s="508"/>
      <c r="O402" s="508"/>
      <c r="P402" s="508"/>
      <c r="Q402" s="508"/>
      <c r="R402" s="508"/>
      <c r="S402" s="508"/>
      <c r="T402" s="508"/>
      <c r="U402" s="508"/>
      <c r="V402" s="508"/>
      <c r="W402" s="508"/>
      <c r="X402" s="508"/>
      <c r="Y402" s="508"/>
      <c r="Z402" s="508"/>
    </row>
    <row r="403" ht="13.5" customHeight="1">
      <c r="A403" s="508"/>
      <c r="B403" s="508"/>
      <c r="C403" s="508"/>
      <c r="D403" s="508"/>
      <c r="E403" s="508"/>
      <c r="F403" s="508"/>
      <c r="G403" s="533"/>
      <c r="H403" s="508"/>
      <c r="I403" s="508"/>
      <c r="J403" s="508"/>
      <c r="K403" s="508"/>
      <c r="L403" s="508"/>
      <c r="M403" s="508"/>
      <c r="N403" s="508"/>
      <c r="O403" s="508"/>
      <c r="P403" s="508"/>
      <c r="Q403" s="508"/>
      <c r="R403" s="508"/>
      <c r="S403" s="508"/>
      <c r="T403" s="508"/>
      <c r="U403" s="508"/>
      <c r="V403" s="508"/>
      <c r="W403" s="508"/>
      <c r="X403" s="508"/>
      <c r="Y403" s="508"/>
      <c r="Z403" s="508"/>
    </row>
    <row r="404" ht="13.5" customHeight="1">
      <c r="A404" s="508"/>
      <c r="B404" s="508"/>
      <c r="C404" s="508"/>
      <c r="D404" s="508"/>
      <c r="E404" s="508"/>
      <c r="F404" s="508"/>
      <c r="G404" s="533"/>
      <c r="H404" s="508"/>
      <c r="I404" s="508"/>
      <c r="J404" s="508"/>
      <c r="K404" s="508"/>
      <c r="L404" s="508"/>
      <c r="M404" s="508"/>
      <c r="N404" s="508"/>
      <c r="O404" s="508"/>
      <c r="P404" s="508"/>
      <c r="Q404" s="508"/>
      <c r="R404" s="508"/>
      <c r="S404" s="508"/>
      <c r="T404" s="508"/>
      <c r="U404" s="508"/>
      <c r="V404" s="508"/>
      <c r="W404" s="508"/>
      <c r="X404" s="508"/>
      <c r="Y404" s="508"/>
      <c r="Z404" s="508"/>
    </row>
    <row r="405" ht="13.5" customHeight="1">
      <c r="A405" s="508"/>
      <c r="B405" s="508"/>
      <c r="C405" s="508"/>
      <c r="D405" s="508"/>
      <c r="E405" s="508"/>
      <c r="F405" s="508"/>
      <c r="G405" s="533"/>
      <c r="H405" s="508"/>
      <c r="I405" s="508"/>
      <c r="J405" s="508"/>
      <c r="K405" s="508"/>
      <c r="L405" s="508"/>
      <c r="M405" s="508"/>
      <c r="N405" s="508"/>
      <c r="O405" s="508"/>
      <c r="P405" s="508"/>
      <c r="Q405" s="508"/>
      <c r="R405" s="508"/>
      <c r="S405" s="508"/>
      <c r="T405" s="508"/>
      <c r="U405" s="508"/>
      <c r="V405" s="508"/>
      <c r="W405" s="508"/>
      <c r="X405" s="508"/>
      <c r="Y405" s="508"/>
      <c r="Z405" s="508"/>
    </row>
    <row r="406" ht="13.5" customHeight="1">
      <c r="A406" s="508"/>
      <c r="B406" s="508"/>
      <c r="C406" s="508"/>
      <c r="D406" s="508"/>
      <c r="E406" s="508"/>
      <c r="F406" s="508"/>
      <c r="G406" s="533"/>
      <c r="H406" s="508"/>
      <c r="I406" s="508"/>
      <c r="J406" s="508"/>
      <c r="K406" s="508"/>
      <c r="L406" s="508"/>
      <c r="M406" s="508"/>
      <c r="N406" s="508"/>
      <c r="O406" s="508"/>
      <c r="P406" s="508"/>
      <c r="Q406" s="508"/>
      <c r="R406" s="508"/>
      <c r="S406" s="508"/>
      <c r="T406" s="508"/>
      <c r="U406" s="508"/>
      <c r="V406" s="508"/>
      <c r="W406" s="508"/>
      <c r="X406" s="508"/>
      <c r="Y406" s="508"/>
      <c r="Z406" s="508"/>
    </row>
    <row r="407" ht="13.5" customHeight="1">
      <c r="A407" s="508"/>
      <c r="B407" s="508"/>
      <c r="C407" s="508"/>
      <c r="D407" s="508"/>
      <c r="E407" s="508"/>
      <c r="F407" s="508"/>
      <c r="G407" s="533"/>
      <c r="H407" s="508"/>
      <c r="I407" s="508"/>
      <c r="J407" s="508"/>
      <c r="K407" s="508"/>
      <c r="L407" s="508"/>
      <c r="M407" s="508"/>
      <c r="N407" s="508"/>
      <c r="O407" s="508"/>
      <c r="P407" s="508"/>
      <c r="Q407" s="508"/>
      <c r="R407" s="508"/>
      <c r="S407" s="508"/>
      <c r="T407" s="508"/>
      <c r="U407" s="508"/>
      <c r="V407" s="508"/>
      <c r="W407" s="508"/>
      <c r="X407" s="508"/>
      <c r="Y407" s="508"/>
      <c r="Z407" s="508"/>
    </row>
    <row r="408" ht="13.5" customHeight="1">
      <c r="A408" s="508"/>
      <c r="B408" s="508"/>
      <c r="C408" s="508"/>
      <c r="D408" s="508"/>
      <c r="E408" s="508"/>
      <c r="F408" s="508"/>
      <c r="G408" s="533"/>
      <c r="H408" s="508"/>
      <c r="I408" s="508"/>
      <c r="J408" s="508"/>
      <c r="K408" s="508"/>
      <c r="L408" s="508"/>
      <c r="M408" s="508"/>
      <c r="N408" s="508"/>
      <c r="O408" s="508"/>
      <c r="P408" s="508"/>
      <c r="Q408" s="508"/>
      <c r="R408" s="508"/>
      <c r="S408" s="508"/>
      <c r="T408" s="508"/>
      <c r="U408" s="508"/>
      <c r="V408" s="508"/>
      <c r="W408" s="508"/>
      <c r="X408" s="508"/>
      <c r="Y408" s="508"/>
      <c r="Z408" s="508"/>
    </row>
    <row r="409" ht="13.5" customHeight="1">
      <c r="A409" s="508"/>
      <c r="B409" s="508"/>
      <c r="C409" s="508"/>
      <c r="D409" s="508"/>
      <c r="E409" s="508"/>
      <c r="F409" s="508"/>
      <c r="G409" s="533"/>
      <c r="H409" s="508"/>
      <c r="I409" s="508"/>
      <c r="J409" s="508"/>
      <c r="K409" s="508"/>
      <c r="L409" s="508"/>
      <c r="M409" s="508"/>
      <c r="N409" s="508"/>
      <c r="O409" s="508"/>
      <c r="P409" s="508"/>
      <c r="Q409" s="508"/>
      <c r="R409" s="508"/>
      <c r="S409" s="508"/>
      <c r="T409" s="508"/>
      <c r="U409" s="508"/>
      <c r="V409" s="508"/>
      <c r="W409" s="508"/>
      <c r="X409" s="508"/>
      <c r="Y409" s="508"/>
      <c r="Z409" s="508"/>
    </row>
    <row r="410" ht="13.5" customHeight="1">
      <c r="A410" s="508"/>
      <c r="B410" s="508"/>
      <c r="C410" s="508"/>
      <c r="D410" s="508"/>
      <c r="E410" s="508"/>
      <c r="F410" s="508"/>
      <c r="G410" s="533"/>
      <c r="H410" s="508"/>
      <c r="I410" s="508"/>
      <c r="J410" s="508"/>
      <c r="K410" s="508"/>
      <c r="L410" s="508"/>
      <c r="M410" s="508"/>
      <c r="N410" s="508"/>
      <c r="O410" s="508"/>
      <c r="P410" s="508"/>
      <c r="Q410" s="508"/>
      <c r="R410" s="508"/>
      <c r="S410" s="508"/>
      <c r="T410" s="508"/>
      <c r="U410" s="508"/>
      <c r="V410" s="508"/>
      <c r="W410" s="508"/>
      <c r="X410" s="508"/>
      <c r="Y410" s="508"/>
      <c r="Z410" s="508"/>
    </row>
    <row r="411" ht="13.5" customHeight="1">
      <c r="A411" s="508"/>
      <c r="B411" s="508"/>
      <c r="C411" s="508"/>
      <c r="D411" s="508"/>
      <c r="E411" s="508"/>
      <c r="F411" s="508"/>
      <c r="G411" s="533"/>
      <c r="H411" s="508"/>
      <c r="I411" s="508"/>
      <c r="J411" s="508"/>
      <c r="K411" s="508"/>
      <c r="L411" s="508"/>
      <c r="M411" s="508"/>
      <c r="N411" s="508"/>
      <c r="O411" s="508"/>
      <c r="P411" s="508"/>
      <c r="Q411" s="508"/>
      <c r="R411" s="508"/>
      <c r="S411" s="508"/>
      <c r="T411" s="508"/>
      <c r="U411" s="508"/>
      <c r="V411" s="508"/>
      <c r="W411" s="508"/>
      <c r="X411" s="508"/>
      <c r="Y411" s="508"/>
      <c r="Z411" s="508"/>
    </row>
    <row r="412" ht="13.5" customHeight="1">
      <c r="A412" s="508"/>
      <c r="B412" s="508"/>
      <c r="C412" s="508"/>
      <c r="D412" s="508"/>
      <c r="E412" s="508"/>
      <c r="F412" s="508"/>
      <c r="G412" s="533"/>
      <c r="H412" s="508"/>
      <c r="I412" s="508"/>
      <c r="J412" s="508"/>
      <c r="K412" s="508"/>
      <c r="L412" s="508"/>
      <c r="M412" s="508"/>
      <c r="N412" s="508"/>
      <c r="O412" s="508"/>
      <c r="P412" s="508"/>
      <c r="Q412" s="508"/>
      <c r="R412" s="508"/>
      <c r="S412" s="508"/>
      <c r="T412" s="508"/>
      <c r="U412" s="508"/>
      <c r="V412" s="508"/>
      <c r="W412" s="508"/>
      <c r="X412" s="508"/>
      <c r="Y412" s="508"/>
      <c r="Z412" s="508"/>
    </row>
    <row r="413" ht="13.5" customHeight="1">
      <c r="A413" s="508"/>
      <c r="B413" s="508"/>
      <c r="C413" s="508"/>
      <c r="D413" s="508"/>
      <c r="E413" s="508"/>
      <c r="F413" s="508"/>
      <c r="G413" s="533"/>
      <c r="H413" s="508"/>
      <c r="I413" s="508"/>
      <c r="J413" s="508"/>
      <c r="K413" s="508"/>
      <c r="L413" s="508"/>
      <c r="M413" s="508"/>
      <c r="N413" s="508"/>
      <c r="O413" s="508"/>
      <c r="P413" s="508"/>
      <c r="Q413" s="508"/>
      <c r="R413" s="508"/>
      <c r="S413" s="508"/>
      <c r="T413" s="508"/>
      <c r="U413" s="508"/>
      <c r="V413" s="508"/>
      <c r="W413" s="508"/>
      <c r="X413" s="508"/>
      <c r="Y413" s="508"/>
      <c r="Z413" s="508"/>
    </row>
    <row r="414" ht="13.5" customHeight="1">
      <c r="A414" s="508"/>
      <c r="B414" s="508"/>
      <c r="C414" s="508"/>
      <c r="D414" s="508"/>
      <c r="E414" s="508"/>
      <c r="F414" s="508"/>
      <c r="G414" s="533"/>
      <c r="H414" s="508"/>
      <c r="I414" s="508"/>
      <c r="J414" s="508"/>
      <c r="K414" s="508"/>
      <c r="L414" s="508"/>
      <c r="M414" s="508"/>
      <c r="N414" s="508"/>
      <c r="O414" s="508"/>
      <c r="P414" s="508"/>
      <c r="Q414" s="508"/>
      <c r="R414" s="508"/>
      <c r="S414" s="508"/>
      <c r="T414" s="508"/>
      <c r="U414" s="508"/>
      <c r="V414" s="508"/>
      <c r="W414" s="508"/>
      <c r="X414" s="508"/>
      <c r="Y414" s="508"/>
      <c r="Z414" s="508"/>
    </row>
    <row r="415" ht="13.5" customHeight="1">
      <c r="A415" s="508"/>
      <c r="B415" s="508"/>
      <c r="C415" s="508"/>
      <c r="D415" s="508"/>
      <c r="E415" s="508"/>
      <c r="F415" s="508"/>
      <c r="G415" s="533"/>
      <c r="H415" s="508"/>
      <c r="I415" s="508"/>
      <c r="J415" s="508"/>
      <c r="K415" s="508"/>
      <c r="L415" s="508"/>
      <c r="M415" s="508"/>
      <c r="N415" s="508"/>
      <c r="O415" s="508"/>
      <c r="P415" s="508"/>
      <c r="Q415" s="508"/>
      <c r="R415" s="508"/>
      <c r="S415" s="508"/>
      <c r="T415" s="508"/>
      <c r="U415" s="508"/>
      <c r="V415" s="508"/>
      <c r="W415" s="508"/>
      <c r="X415" s="508"/>
      <c r="Y415" s="508"/>
      <c r="Z415" s="508"/>
    </row>
    <row r="416" ht="13.5" customHeight="1">
      <c r="A416" s="508"/>
      <c r="B416" s="508"/>
      <c r="C416" s="508"/>
      <c r="D416" s="508"/>
      <c r="E416" s="508"/>
      <c r="F416" s="508"/>
      <c r="G416" s="533"/>
      <c r="H416" s="508"/>
      <c r="I416" s="508"/>
      <c r="J416" s="508"/>
      <c r="K416" s="508"/>
      <c r="L416" s="508"/>
      <c r="M416" s="508"/>
      <c r="N416" s="508"/>
      <c r="O416" s="508"/>
      <c r="P416" s="508"/>
      <c r="Q416" s="508"/>
      <c r="R416" s="508"/>
      <c r="S416" s="508"/>
      <c r="T416" s="508"/>
      <c r="U416" s="508"/>
      <c r="V416" s="508"/>
      <c r="W416" s="508"/>
      <c r="X416" s="508"/>
      <c r="Y416" s="508"/>
      <c r="Z416" s="508"/>
    </row>
    <row r="417" ht="13.5" customHeight="1">
      <c r="A417" s="508"/>
      <c r="B417" s="508"/>
      <c r="C417" s="508"/>
      <c r="D417" s="508"/>
      <c r="E417" s="508"/>
      <c r="F417" s="508"/>
      <c r="G417" s="533"/>
      <c r="H417" s="508"/>
      <c r="I417" s="508"/>
      <c r="J417" s="508"/>
      <c r="K417" s="508"/>
      <c r="L417" s="508"/>
      <c r="M417" s="508"/>
      <c r="N417" s="508"/>
      <c r="O417" s="508"/>
      <c r="P417" s="508"/>
      <c r="Q417" s="508"/>
      <c r="R417" s="508"/>
      <c r="S417" s="508"/>
      <c r="T417" s="508"/>
      <c r="U417" s="508"/>
      <c r="V417" s="508"/>
      <c r="W417" s="508"/>
      <c r="X417" s="508"/>
      <c r="Y417" s="508"/>
      <c r="Z417" s="508"/>
    </row>
    <row r="418" ht="13.5" customHeight="1">
      <c r="A418" s="508"/>
      <c r="B418" s="508"/>
      <c r="C418" s="508"/>
      <c r="D418" s="508"/>
      <c r="E418" s="508"/>
      <c r="F418" s="508"/>
      <c r="G418" s="533"/>
      <c r="H418" s="508"/>
      <c r="I418" s="508"/>
      <c r="J418" s="508"/>
      <c r="K418" s="508"/>
      <c r="L418" s="508"/>
      <c r="M418" s="508"/>
      <c r="N418" s="508"/>
      <c r="O418" s="508"/>
      <c r="P418" s="508"/>
      <c r="Q418" s="508"/>
      <c r="R418" s="508"/>
      <c r="S418" s="508"/>
      <c r="T418" s="508"/>
      <c r="U418" s="508"/>
      <c r="V418" s="508"/>
      <c r="W418" s="508"/>
      <c r="X418" s="508"/>
      <c r="Y418" s="508"/>
      <c r="Z418" s="508"/>
    </row>
    <row r="419" ht="13.5" customHeight="1">
      <c r="A419" s="508"/>
      <c r="B419" s="508"/>
      <c r="C419" s="508"/>
      <c r="D419" s="508"/>
      <c r="E419" s="508"/>
      <c r="F419" s="508"/>
      <c r="G419" s="533"/>
      <c r="H419" s="508"/>
      <c r="I419" s="508"/>
      <c r="J419" s="508"/>
      <c r="K419" s="508"/>
      <c r="L419" s="508"/>
      <c r="M419" s="508"/>
      <c r="N419" s="508"/>
      <c r="O419" s="508"/>
      <c r="P419" s="508"/>
      <c r="Q419" s="508"/>
      <c r="R419" s="508"/>
      <c r="S419" s="508"/>
      <c r="T419" s="508"/>
      <c r="U419" s="508"/>
      <c r="V419" s="508"/>
      <c r="W419" s="508"/>
      <c r="X419" s="508"/>
      <c r="Y419" s="508"/>
      <c r="Z419" s="508"/>
    </row>
    <row r="420" ht="13.5" customHeight="1">
      <c r="A420" s="508"/>
      <c r="B420" s="508"/>
      <c r="C420" s="508"/>
      <c r="D420" s="508"/>
      <c r="E420" s="508"/>
      <c r="F420" s="508"/>
      <c r="G420" s="533"/>
      <c r="H420" s="508"/>
      <c r="I420" s="508"/>
      <c r="J420" s="508"/>
      <c r="K420" s="508"/>
      <c r="L420" s="508"/>
      <c r="M420" s="508"/>
      <c r="N420" s="508"/>
      <c r="O420" s="508"/>
      <c r="P420" s="508"/>
      <c r="Q420" s="508"/>
      <c r="R420" s="508"/>
      <c r="S420" s="508"/>
      <c r="T420" s="508"/>
      <c r="U420" s="508"/>
      <c r="V420" s="508"/>
      <c r="W420" s="508"/>
      <c r="X420" s="508"/>
      <c r="Y420" s="508"/>
      <c r="Z420" s="508"/>
    </row>
    <row r="421" ht="13.5" customHeight="1">
      <c r="A421" s="508"/>
      <c r="B421" s="508"/>
      <c r="C421" s="508"/>
      <c r="D421" s="508"/>
      <c r="E421" s="508"/>
      <c r="F421" s="508"/>
      <c r="G421" s="533"/>
      <c r="H421" s="508"/>
      <c r="I421" s="508"/>
      <c r="J421" s="508"/>
      <c r="K421" s="508"/>
      <c r="L421" s="508"/>
      <c r="M421" s="508"/>
      <c r="N421" s="508"/>
      <c r="O421" s="508"/>
      <c r="P421" s="508"/>
      <c r="Q421" s="508"/>
      <c r="R421" s="508"/>
      <c r="S421" s="508"/>
      <c r="T421" s="508"/>
      <c r="U421" s="508"/>
      <c r="V421" s="508"/>
      <c r="W421" s="508"/>
      <c r="X421" s="508"/>
      <c r="Y421" s="508"/>
      <c r="Z421" s="508"/>
    </row>
    <row r="422" ht="13.5" customHeight="1">
      <c r="A422" s="508"/>
      <c r="B422" s="508"/>
      <c r="C422" s="508"/>
      <c r="D422" s="508"/>
      <c r="E422" s="508"/>
      <c r="F422" s="508"/>
      <c r="G422" s="533"/>
      <c r="H422" s="508"/>
      <c r="I422" s="508"/>
      <c r="J422" s="508"/>
      <c r="K422" s="508"/>
      <c r="L422" s="508"/>
      <c r="M422" s="508"/>
      <c r="N422" s="508"/>
      <c r="O422" s="508"/>
      <c r="P422" s="508"/>
      <c r="Q422" s="508"/>
      <c r="R422" s="508"/>
      <c r="S422" s="508"/>
      <c r="T422" s="508"/>
      <c r="U422" s="508"/>
      <c r="V422" s="508"/>
      <c r="W422" s="508"/>
      <c r="X422" s="508"/>
      <c r="Y422" s="508"/>
      <c r="Z422" s="508"/>
    </row>
    <row r="423" ht="13.5" customHeight="1">
      <c r="A423" s="508"/>
      <c r="B423" s="508"/>
      <c r="C423" s="508"/>
      <c r="D423" s="508"/>
      <c r="E423" s="508"/>
      <c r="F423" s="508"/>
      <c r="G423" s="533"/>
      <c r="H423" s="508"/>
      <c r="I423" s="508"/>
      <c r="J423" s="508"/>
      <c r="K423" s="508"/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  <c r="V423" s="508"/>
      <c r="W423" s="508"/>
      <c r="X423" s="508"/>
      <c r="Y423" s="508"/>
      <c r="Z423" s="508"/>
    </row>
    <row r="424" ht="13.5" customHeight="1">
      <c r="A424" s="508"/>
      <c r="B424" s="508"/>
      <c r="C424" s="508"/>
      <c r="D424" s="508"/>
      <c r="E424" s="508"/>
      <c r="F424" s="508"/>
      <c r="G424" s="533"/>
      <c r="H424" s="508"/>
      <c r="I424" s="508"/>
      <c r="J424" s="508"/>
      <c r="K424" s="508"/>
      <c r="L424" s="508"/>
      <c r="M424" s="508"/>
      <c r="N424" s="508"/>
      <c r="O424" s="508"/>
      <c r="P424" s="508"/>
      <c r="Q424" s="508"/>
      <c r="R424" s="508"/>
      <c r="S424" s="508"/>
      <c r="T424" s="508"/>
      <c r="U424" s="508"/>
      <c r="V424" s="508"/>
      <c r="W424" s="508"/>
      <c r="X424" s="508"/>
      <c r="Y424" s="508"/>
      <c r="Z424" s="508"/>
    </row>
    <row r="425" ht="13.5" customHeight="1">
      <c r="A425" s="508"/>
      <c r="B425" s="508"/>
      <c r="C425" s="508"/>
      <c r="D425" s="508"/>
      <c r="E425" s="508"/>
      <c r="F425" s="508"/>
      <c r="G425" s="533"/>
      <c r="H425" s="508"/>
      <c r="I425" s="508"/>
      <c r="J425" s="508"/>
      <c r="K425" s="508"/>
      <c r="L425" s="508"/>
      <c r="M425" s="508"/>
      <c r="N425" s="508"/>
      <c r="O425" s="508"/>
      <c r="P425" s="508"/>
      <c r="Q425" s="508"/>
      <c r="R425" s="508"/>
      <c r="S425" s="508"/>
      <c r="T425" s="508"/>
      <c r="U425" s="508"/>
      <c r="V425" s="508"/>
      <c r="W425" s="508"/>
      <c r="X425" s="508"/>
      <c r="Y425" s="508"/>
      <c r="Z425" s="508"/>
    </row>
    <row r="426" ht="13.5" customHeight="1">
      <c r="A426" s="508"/>
      <c r="B426" s="508"/>
      <c r="C426" s="508"/>
      <c r="D426" s="508"/>
      <c r="E426" s="508"/>
      <c r="F426" s="508"/>
      <c r="G426" s="533"/>
      <c r="H426" s="508"/>
      <c r="I426" s="508"/>
      <c r="J426" s="508"/>
      <c r="K426" s="508"/>
      <c r="L426" s="508"/>
      <c r="M426" s="508"/>
      <c r="N426" s="508"/>
      <c r="O426" s="508"/>
      <c r="P426" s="508"/>
      <c r="Q426" s="508"/>
      <c r="R426" s="508"/>
      <c r="S426" s="508"/>
      <c r="T426" s="508"/>
      <c r="U426" s="508"/>
      <c r="V426" s="508"/>
      <c r="W426" s="508"/>
      <c r="X426" s="508"/>
      <c r="Y426" s="508"/>
      <c r="Z426" s="508"/>
    </row>
    <row r="427" ht="13.5" customHeight="1">
      <c r="A427" s="508"/>
      <c r="B427" s="508"/>
      <c r="C427" s="508"/>
      <c r="D427" s="508"/>
      <c r="E427" s="508"/>
      <c r="F427" s="508"/>
      <c r="G427" s="533"/>
      <c r="H427" s="508"/>
      <c r="I427" s="508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508"/>
      <c r="Y427" s="508"/>
      <c r="Z427" s="508"/>
    </row>
    <row r="428" ht="13.5" customHeight="1">
      <c r="A428" s="508"/>
      <c r="B428" s="508"/>
      <c r="C428" s="508"/>
      <c r="D428" s="508"/>
      <c r="E428" s="508"/>
      <c r="F428" s="508"/>
      <c r="G428" s="533"/>
      <c r="H428" s="508"/>
      <c r="I428" s="508"/>
      <c r="J428" s="508"/>
      <c r="K428" s="508"/>
      <c r="L428" s="508"/>
      <c r="M428" s="508"/>
      <c r="N428" s="508"/>
      <c r="O428" s="508"/>
      <c r="P428" s="508"/>
      <c r="Q428" s="508"/>
      <c r="R428" s="508"/>
      <c r="S428" s="508"/>
      <c r="T428" s="508"/>
      <c r="U428" s="508"/>
      <c r="V428" s="508"/>
      <c r="W428" s="508"/>
      <c r="X428" s="508"/>
      <c r="Y428" s="508"/>
      <c r="Z428" s="508"/>
    </row>
    <row r="429" ht="13.5" customHeight="1">
      <c r="A429" s="508"/>
      <c r="B429" s="508"/>
      <c r="C429" s="508"/>
      <c r="D429" s="508"/>
      <c r="E429" s="508"/>
      <c r="F429" s="508"/>
      <c r="G429" s="533"/>
      <c r="H429" s="508"/>
      <c r="I429" s="508"/>
      <c r="J429" s="508"/>
      <c r="K429" s="508"/>
      <c r="L429" s="508"/>
      <c r="M429" s="508"/>
      <c r="N429" s="508"/>
      <c r="O429" s="508"/>
      <c r="P429" s="508"/>
      <c r="Q429" s="508"/>
      <c r="R429" s="508"/>
      <c r="S429" s="508"/>
      <c r="T429" s="508"/>
      <c r="U429" s="508"/>
      <c r="V429" s="508"/>
      <c r="W429" s="508"/>
      <c r="X429" s="508"/>
      <c r="Y429" s="508"/>
      <c r="Z429" s="508"/>
    </row>
    <row r="430" ht="13.5" customHeight="1">
      <c r="A430" s="508"/>
      <c r="B430" s="508"/>
      <c r="C430" s="508"/>
      <c r="D430" s="508"/>
      <c r="E430" s="508"/>
      <c r="F430" s="508"/>
      <c r="G430" s="533"/>
      <c r="H430" s="508"/>
      <c r="I430" s="508"/>
      <c r="J430" s="508"/>
      <c r="K430" s="508"/>
      <c r="L430" s="508"/>
      <c r="M430" s="508"/>
      <c r="N430" s="508"/>
      <c r="O430" s="508"/>
      <c r="P430" s="508"/>
      <c r="Q430" s="508"/>
      <c r="R430" s="508"/>
      <c r="S430" s="508"/>
      <c r="T430" s="508"/>
      <c r="U430" s="508"/>
      <c r="V430" s="508"/>
      <c r="W430" s="508"/>
      <c r="X430" s="508"/>
      <c r="Y430" s="508"/>
      <c r="Z430" s="508"/>
    </row>
    <row r="431" ht="13.5" customHeight="1">
      <c r="A431" s="508"/>
      <c r="B431" s="508"/>
      <c r="C431" s="508"/>
      <c r="D431" s="508"/>
      <c r="E431" s="508"/>
      <c r="F431" s="508"/>
      <c r="G431" s="533"/>
      <c r="H431" s="508"/>
      <c r="I431" s="508"/>
      <c r="J431" s="508"/>
      <c r="K431" s="508"/>
      <c r="L431" s="508"/>
      <c r="M431" s="508"/>
      <c r="N431" s="508"/>
      <c r="O431" s="508"/>
      <c r="P431" s="508"/>
      <c r="Q431" s="508"/>
      <c r="R431" s="508"/>
      <c r="S431" s="508"/>
      <c r="T431" s="508"/>
      <c r="U431" s="508"/>
      <c r="V431" s="508"/>
      <c r="W431" s="508"/>
      <c r="X431" s="508"/>
      <c r="Y431" s="508"/>
      <c r="Z431" s="508"/>
    </row>
    <row r="432" ht="13.5" customHeight="1">
      <c r="A432" s="508"/>
      <c r="B432" s="508"/>
      <c r="C432" s="508"/>
      <c r="D432" s="508"/>
      <c r="E432" s="508"/>
      <c r="F432" s="508"/>
      <c r="G432" s="533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8"/>
      <c r="V432" s="508"/>
      <c r="W432" s="508"/>
      <c r="X432" s="508"/>
      <c r="Y432" s="508"/>
      <c r="Z432" s="508"/>
    </row>
    <row r="433" ht="13.5" customHeight="1">
      <c r="A433" s="508"/>
      <c r="B433" s="508"/>
      <c r="C433" s="508"/>
      <c r="D433" s="508"/>
      <c r="E433" s="508"/>
      <c r="F433" s="508"/>
      <c r="G433" s="533"/>
      <c r="H433" s="508"/>
      <c r="I433" s="508"/>
      <c r="J433" s="508"/>
      <c r="K433" s="508"/>
      <c r="L433" s="508"/>
      <c r="M433" s="508"/>
      <c r="N433" s="508"/>
      <c r="O433" s="508"/>
      <c r="P433" s="508"/>
      <c r="Q433" s="508"/>
      <c r="R433" s="508"/>
      <c r="S433" s="508"/>
      <c r="T433" s="508"/>
      <c r="U433" s="508"/>
      <c r="V433" s="508"/>
      <c r="W433" s="508"/>
      <c r="X433" s="508"/>
      <c r="Y433" s="508"/>
      <c r="Z433" s="508"/>
    </row>
    <row r="434" ht="13.5" customHeight="1">
      <c r="A434" s="508"/>
      <c r="B434" s="508"/>
      <c r="C434" s="508"/>
      <c r="D434" s="508"/>
      <c r="E434" s="508"/>
      <c r="F434" s="508"/>
      <c r="G434" s="533"/>
      <c r="H434" s="508"/>
      <c r="I434" s="508"/>
      <c r="J434" s="508"/>
      <c r="K434" s="508"/>
      <c r="L434" s="508"/>
      <c r="M434" s="508"/>
      <c r="N434" s="508"/>
      <c r="O434" s="508"/>
      <c r="P434" s="508"/>
      <c r="Q434" s="508"/>
      <c r="R434" s="508"/>
      <c r="S434" s="508"/>
      <c r="T434" s="508"/>
      <c r="U434" s="508"/>
      <c r="V434" s="508"/>
      <c r="W434" s="508"/>
      <c r="X434" s="508"/>
      <c r="Y434" s="508"/>
      <c r="Z434" s="508"/>
    </row>
    <row r="435" ht="13.5" customHeight="1">
      <c r="A435" s="508"/>
      <c r="B435" s="508"/>
      <c r="C435" s="508"/>
      <c r="D435" s="508"/>
      <c r="E435" s="508"/>
      <c r="F435" s="508"/>
      <c r="G435" s="533"/>
      <c r="H435" s="508"/>
      <c r="I435" s="508"/>
      <c r="J435" s="508"/>
      <c r="K435" s="508"/>
      <c r="L435" s="508"/>
      <c r="M435" s="508"/>
      <c r="N435" s="508"/>
      <c r="O435" s="508"/>
      <c r="P435" s="508"/>
      <c r="Q435" s="508"/>
      <c r="R435" s="508"/>
      <c r="S435" s="508"/>
      <c r="T435" s="508"/>
      <c r="U435" s="508"/>
      <c r="V435" s="508"/>
      <c r="W435" s="508"/>
      <c r="X435" s="508"/>
      <c r="Y435" s="508"/>
      <c r="Z435" s="508"/>
    </row>
    <row r="436" ht="13.5" customHeight="1">
      <c r="A436" s="508"/>
      <c r="B436" s="508"/>
      <c r="C436" s="508"/>
      <c r="D436" s="508"/>
      <c r="E436" s="508"/>
      <c r="F436" s="508"/>
      <c r="G436" s="533"/>
      <c r="H436" s="508"/>
      <c r="I436" s="508"/>
      <c r="J436" s="508"/>
      <c r="K436" s="508"/>
      <c r="L436" s="508"/>
      <c r="M436" s="508"/>
      <c r="N436" s="508"/>
      <c r="O436" s="508"/>
      <c r="P436" s="508"/>
      <c r="Q436" s="508"/>
      <c r="R436" s="508"/>
      <c r="S436" s="508"/>
      <c r="T436" s="508"/>
      <c r="U436" s="508"/>
      <c r="V436" s="508"/>
      <c r="W436" s="508"/>
      <c r="X436" s="508"/>
      <c r="Y436" s="508"/>
      <c r="Z436" s="508"/>
    </row>
    <row r="437" ht="13.5" customHeight="1">
      <c r="A437" s="508"/>
      <c r="B437" s="508"/>
      <c r="C437" s="508"/>
      <c r="D437" s="508"/>
      <c r="E437" s="508"/>
      <c r="F437" s="508"/>
      <c r="G437" s="533"/>
      <c r="H437" s="508"/>
      <c r="I437" s="508"/>
      <c r="J437" s="508"/>
      <c r="K437" s="508"/>
      <c r="L437" s="508"/>
      <c r="M437" s="508"/>
      <c r="N437" s="508"/>
      <c r="O437" s="508"/>
      <c r="P437" s="508"/>
      <c r="Q437" s="508"/>
      <c r="R437" s="508"/>
      <c r="S437" s="508"/>
      <c r="T437" s="508"/>
      <c r="U437" s="508"/>
      <c r="V437" s="508"/>
      <c r="W437" s="508"/>
      <c r="X437" s="508"/>
      <c r="Y437" s="508"/>
      <c r="Z437" s="508"/>
    </row>
    <row r="438" ht="13.5" customHeight="1">
      <c r="A438" s="508"/>
      <c r="B438" s="508"/>
      <c r="C438" s="508"/>
      <c r="D438" s="508"/>
      <c r="E438" s="508"/>
      <c r="F438" s="508"/>
      <c r="G438" s="533"/>
      <c r="H438" s="508"/>
      <c r="I438" s="508"/>
      <c r="J438" s="508"/>
      <c r="K438" s="508"/>
      <c r="L438" s="508"/>
      <c r="M438" s="508"/>
      <c r="N438" s="508"/>
      <c r="O438" s="508"/>
      <c r="P438" s="508"/>
      <c r="Q438" s="508"/>
      <c r="R438" s="508"/>
      <c r="S438" s="508"/>
      <c r="T438" s="508"/>
      <c r="U438" s="508"/>
      <c r="V438" s="508"/>
      <c r="W438" s="508"/>
      <c r="X438" s="508"/>
      <c r="Y438" s="508"/>
      <c r="Z438" s="508"/>
    </row>
    <row r="439" ht="13.5" customHeight="1">
      <c r="A439" s="508"/>
      <c r="B439" s="508"/>
      <c r="C439" s="508"/>
      <c r="D439" s="508"/>
      <c r="E439" s="508"/>
      <c r="F439" s="508"/>
      <c r="G439" s="533"/>
      <c r="H439" s="508"/>
      <c r="I439" s="508"/>
      <c r="J439" s="508"/>
      <c r="K439" s="508"/>
      <c r="L439" s="508"/>
      <c r="M439" s="508"/>
      <c r="N439" s="508"/>
      <c r="O439" s="508"/>
      <c r="P439" s="508"/>
      <c r="Q439" s="508"/>
      <c r="R439" s="508"/>
      <c r="S439" s="508"/>
      <c r="T439" s="508"/>
      <c r="U439" s="508"/>
      <c r="V439" s="508"/>
      <c r="W439" s="508"/>
      <c r="X439" s="508"/>
      <c r="Y439" s="508"/>
      <c r="Z439" s="508"/>
    </row>
    <row r="440" ht="13.5" customHeight="1">
      <c r="A440" s="508"/>
      <c r="B440" s="508"/>
      <c r="C440" s="508"/>
      <c r="D440" s="508"/>
      <c r="E440" s="508"/>
      <c r="F440" s="508"/>
      <c r="G440" s="533"/>
      <c r="H440" s="508"/>
      <c r="I440" s="508"/>
      <c r="J440" s="508"/>
      <c r="K440" s="508"/>
      <c r="L440" s="508"/>
      <c r="M440" s="508"/>
      <c r="N440" s="508"/>
      <c r="O440" s="508"/>
      <c r="P440" s="508"/>
      <c r="Q440" s="508"/>
      <c r="R440" s="508"/>
      <c r="S440" s="508"/>
      <c r="T440" s="508"/>
      <c r="U440" s="508"/>
      <c r="V440" s="508"/>
      <c r="W440" s="508"/>
      <c r="X440" s="508"/>
      <c r="Y440" s="508"/>
      <c r="Z440" s="508"/>
    </row>
    <row r="441" ht="13.5" customHeight="1">
      <c r="A441" s="508"/>
      <c r="B441" s="508"/>
      <c r="C441" s="508"/>
      <c r="D441" s="508"/>
      <c r="E441" s="508"/>
      <c r="F441" s="508"/>
      <c r="G441" s="533"/>
      <c r="H441" s="508"/>
      <c r="I441" s="508"/>
      <c r="J441" s="508"/>
      <c r="K441" s="508"/>
      <c r="L441" s="508"/>
      <c r="M441" s="508"/>
      <c r="N441" s="508"/>
      <c r="O441" s="508"/>
      <c r="P441" s="508"/>
      <c r="Q441" s="508"/>
      <c r="R441" s="508"/>
      <c r="S441" s="508"/>
      <c r="T441" s="508"/>
      <c r="U441" s="508"/>
      <c r="V441" s="508"/>
      <c r="W441" s="508"/>
      <c r="X441" s="508"/>
      <c r="Y441" s="508"/>
      <c r="Z441" s="508"/>
    </row>
    <row r="442" ht="13.5" customHeight="1">
      <c r="A442" s="508"/>
      <c r="B442" s="508"/>
      <c r="C442" s="508"/>
      <c r="D442" s="508"/>
      <c r="E442" s="508"/>
      <c r="F442" s="508"/>
      <c r="G442" s="533"/>
      <c r="H442" s="508"/>
      <c r="I442" s="508"/>
      <c r="J442" s="508"/>
      <c r="K442" s="508"/>
      <c r="L442" s="508"/>
      <c r="M442" s="508"/>
      <c r="N442" s="508"/>
      <c r="O442" s="508"/>
      <c r="P442" s="508"/>
      <c r="Q442" s="508"/>
      <c r="R442" s="508"/>
      <c r="S442" s="508"/>
      <c r="T442" s="508"/>
      <c r="U442" s="508"/>
      <c r="V442" s="508"/>
      <c r="W442" s="508"/>
      <c r="X442" s="508"/>
      <c r="Y442" s="508"/>
      <c r="Z442" s="508"/>
    </row>
    <row r="443" ht="13.5" customHeight="1">
      <c r="A443" s="508"/>
      <c r="B443" s="508"/>
      <c r="C443" s="508"/>
      <c r="D443" s="508"/>
      <c r="E443" s="508"/>
      <c r="F443" s="508"/>
      <c r="G443" s="533"/>
      <c r="H443" s="508"/>
      <c r="I443" s="508"/>
      <c r="J443" s="508"/>
      <c r="K443" s="508"/>
      <c r="L443" s="508"/>
      <c r="M443" s="508"/>
      <c r="N443" s="508"/>
      <c r="O443" s="508"/>
      <c r="P443" s="508"/>
      <c r="Q443" s="508"/>
      <c r="R443" s="508"/>
      <c r="S443" s="508"/>
      <c r="T443" s="508"/>
      <c r="U443" s="508"/>
      <c r="V443" s="508"/>
      <c r="W443" s="508"/>
      <c r="X443" s="508"/>
      <c r="Y443" s="508"/>
      <c r="Z443" s="508"/>
    </row>
    <row r="444" ht="13.5" customHeight="1">
      <c r="A444" s="508"/>
      <c r="B444" s="508"/>
      <c r="C444" s="508"/>
      <c r="D444" s="508"/>
      <c r="E444" s="508"/>
      <c r="F444" s="508"/>
      <c r="G444" s="533"/>
      <c r="H444" s="508"/>
      <c r="I444" s="508"/>
      <c r="J444" s="508"/>
      <c r="K444" s="508"/>
      <c r="L444" s="508"/>
      <c r="M444" s="508"/>
      <c r="N444" s="508"/>
      <c r="O444" s="508"/>
      <c r="P444" s="508"/>
      <c r="Q444" s="508"/>
      <c r="R444" s="508"/>
      <c r="S444" s="508"/>
      <c r="T444" s="508"/>
      <c r="U444" s="508"/>
      <c r="V444" s="508"/>
      <c r="W444" s="508"/>
      <c r="X444" s="508"/>
      <c r="Y444" s="508"/>
      <c r="Z444" s="508"/>
    </row>
    <row r="445" ht="13.5" customHeight="1">
      <c r="A445" s="508"/>
      <c r="B445" s="508"/>
      <c r="C445" s="508"/>
      <c r="D445" s="508"/>
      <c r="E445" s="508"/>
      <c r="F445" s="508"/>
      <c r="G445" s="533"/>
      <c r="H445" s="508"/>
      <c r="I445" s="508"/>
      <c r="J445" s="508"/>
      <c r="K445" s="508"/>
      <c r="L445" s="508"/>
      <c r="M445" s="508"/>
      <c r="N445" s="508"/>
      <c r="O445" s="508"/>
      <c r="P445" s="508"/>
      <c r="Q445" s="508"/>
      <c r="R445" s="508"/>
      <c r="S445" s="508"/>
      <c r="T445" s="508"/>
      <c r="U445" s="508"/>
      <c r="V445" s="508"/>
      <c r="W445" s="508"/>
      <c r="X445" s="508"/>
      <c r="Y445" s="508"/>
      <c r="Z445" s="508"/>
    </row>
    <row r="446" ht="13.5" customHeight="1">
      <c r="A446" s="508"/>
      <c r="B446" s="508"/>
      <c r="C446" s="508"/>
      <c r="D446" s="508"/>
      <c r="E446" s="508"/>
      <c r="F446" s="508"/>
      <c r="G446" s="533"/>
      <c r="H446" s="508"/>
      <c r="I446" s="508"/>
      <c r="J446" s="508"/>
      <c r="K446" s="508"/>
      <c r="L446" s="508"/>
      <c r="M446" s="508"/>
      <c r="N446" s="508"/>
      <c r="O446" s="508"/>
      <c r="P446" s="508"/>
      <c r="Q446" s="508"/>
      <c r="R446" s="508"/>
      <c r="S446" s="508"/>
      <c r="T446" s="508"/>
      <c r="U446" s="508"/>
      <c r="V446" s="508"/>
      <c r="W446" s="508"/>
      <c r="X446" s="508"/>
      <c r="Y446" s="508"/>
      <c r="Z446" s="508"/>
    </row>
    <row r="447" ht="13.5" customHeight="1">
      <c r="A447" s="508"/>
      <c r="B447" s="508"/>
      <c r="C447" s="508"/>
      <c r="D447" s="508"/>
      <c r="E447" s="508"/>
      <c r="F447" s="508"/>
      <c r="G447" s="533"/>
      <c r="H447" s="508"/>
      <c r="I447" s="508"/>
      <c r="J447" s="508"/>
      <c r="K447" s="508"/>
      <c r="L447" s="508"/>
      <c r="M447" s="508"/>
      <c r="N447" s="508"/>
      <c r="O447" s="508"/>
      <c r="P447" s="508"/>
      <c r="Q447" s="508"/>
      <c r="R447" s="508"/>
      <c r="S447" s="508"/>
      <c r="T447" s="508"/>
      <c r="U447" s="508"/>
      <c r="V447" s="508"/>
      <c r="W447" s="508"/>
      <c r="X447" s="508"/>
      <c r="Y447" s="508"/>
      <c r="Z447" s="508"/>
    </row>
    <row r="448" ht="13.5" customHeight="1">
      <c r="A448" s="508"/>
      <c r="B448" s="508"/>
      <c r="C448" s="508"/>
      <c r="D448" s="508"/>
      <c r="E448" s="508"/>
      <c r="F448" s="508"/>
      <c r="G448" s="533"/>
      <c r="H448" s="508"/>
      <c r="I448" s="508"/>
      <c r="J448" s="508"/>
      <c r="K448" s="508"/>
      <c r="L448" s="508"/>
      <c r="M448" s="508"/>
      <c r="N448" s="508"/>
      <c r="O448" s="508"/>
      <c r="P448" s="508"/>
      <c r="Q448" s="508"/>
      <c r="R448" s="508"/>
      <c r="S448" s="508"/>
      <c r="T448" s="508"/>
      <c r="U448" s="508"/>
      <c r="V448" s="508"/>
      <c r="W448" s="508"/>
      <c r="X448" s="508"/>
      <c r="Y448" s="508"/>
      <c r="Z448" s="508"/>
    </row>
    <row r="449" ht="13.5" customHeight="1">
      <c r="A449" s="508"/>
      <c r="B449" s="508"/>
      <c r="C449" s="508"/>
      <c r="D449" s="508"/>
      <c r="E449" s="508"/>
      <c r="F449" s="508"/>
      <c r="G449" s="533"/>
      <c r="H449" s="508"/>
      <c r="I449" s="508"/>
      <c r="J449" s="508"/>
      <c r="K449" s="508"/>
      <c r="L449" s="508"/>
      <c r="M449" s="508"/>
      <c r="N449" s="508"/>
      <c r="O449" s="508"/>
      <c r="P449" s="508"/>
      <c r="Q449" s="508"/>
      <c r="R449" s="508"/>
      <c r="S449" s="508"/>
      <c r="T449" s="508"/>
      <c r="U449" s="508"/>
      <c r="V449" s="508"/>
      <c r="W449" s="508"/>
      <c r="X449" s="508"/>
      <c r="Y449" s="508"/>
      <c r="Z449" s="508"/>
    </row>
    <row r="450" ht="13.5" customHeight="1">
      <c r="A450" s="508"/>
      <c r="B450" s="508"/>
      <c r="C450" s="508"/>
      <c r="D450" s="508"/>
      <c r="E450" s="508"/>
      <c r="F450" s="508"/>
      <c r="G450" s="533"/>
      <c r="H450" s="508"/>
      <c r="I450" s="508"/>
      <c r="J450" s="508"/>
      <c r="K450" s="508"/>
      <c r="L450" s="508"/>
      <c r="M450" s="508"/>
      <c r="N450" s="508"/>
      <c r="O450" s="508"/>
      <c r="P450" s="508"/>
      <c r="Q450" s="508"/>
      <c r="R450" s="508"/>
      <c r="S450" s="508"/>
      <c r="T450" s="508"/>
      <c r="U450" s="508"/>
      <c r="V450" s="508"/>
      <c r="W450" s="508"/>
      <c r="X450" s="508"/>
      <c r="Y450" s="508"/>
      <c r="Z450" s="508"/>
    </row>
    <row r="451" ht="13.5" customHeight="1">
      <c r="A451" s="508"/>
      <c r="B451" s="508"/>
      <c r="C451" s="508"/>
      <c r="D451" s="508"/>
      <c r="E451" s="508"/>
      <c r="F451" s="508"/>
      <c r="G451" s="533"/>
      <c r="H451" s="508"/>
      <c r="I451" s="508"/>
      <c r="J451" s="508"/>
      <c r="K451" s="508"/>
      <c r="L451" s="508"/>
      <c r="M451" s="508"/>
      <c r="N451" s="508"/>
      <c r="O451" s="508"/>
      <c r="P451" s="508"/>
      <c r="Q451" s="508"/>
      <c r="R451" s="508"/>
      <c r="S451" s="508"/>
      <c r="T451" s="508"/>
      <c r="U451" s="508"/>
      <c r="V451" s="508"/>
      <c r="W451" s="508"/>
      <c r="X451" s="508"/>
      <c r="Y451" s="508"/>
      <c r="Z451" s="508"/>
    </row>
    <row r="452" ht="13.5" customHeight="1">
      <c r="A452" s="508"/>
      <c r="B452" s="508"/>
      <c r="C452" s="508"/>
      <c r="D452" s="508"/>
      <c r="E452" s="508"/>
      <c r="F452" s="508"/>
      <c r="G452" s="533"/>
      <c r="H452" s="508"/>
      <c r="I452" s="508"/>
      <c r="J452" s="508"/>
      <c r="K452" s="508"/>
      <c r="L452" s="508"/>
      <c r="M452" s="508"/>
      <c r="N452" s="508"/>
      <c r="O452" s="508"/>
      <c r="P452" s="508"/>
      <c r="Q452" s="508"/>
      <c r="R452" s="508"/>
      <c r="S452" s="508"/>
      <c r="T452" s="508"/>
      <c r="U452" s="508"/>
      <c r="V452" s="508"/>
      <c r="W452" s="508"/>
      <c r="X452" s="508"/>
      <c r="Y452" s="508"/>
      <c r="Z452" s="508"/>
    </row>
    <row r="453" ht="13.5" customHeight="1">
      <c r="A453" s="508"/>
      <c r="B453" s="508"/>
      <c r="C453" s="508"/>
      <c r="D453" s="508"/>
      <c r="E453" s="508"/>
      <c r="F453" s="508"/>
      <c r="G453" s="533"/>
      <c r="H453" s="508"/>
      <c r="I453" s="508"/>
      <c r="J453" s="508"/>
      <c r="K453" s="508"/>
      <c r="L453" s="508"/>
      <c r="M453" s="508"/>
      <c r="N453" s="508"/>
      <c r="O453" s="508"/>
      <c r="P453" s="508"/>
      <c r="Q453" s="508"/>
      <c r="R453" s="508"/>
      <c r="S453" s="508"/>
      <c r="T453" s="508"/>
      <c r="U453" s="508"/>
      <c r="V453" s="508"/>
      <c r="W453" s="508"/>
      <c r="X453" s="508"/>
      <c r="Y453" s="508"/>
      <c r="Z453" s="508"/>
    </row>
    <row r="454" ht="13.5" customHeight="1">
      <c r="A454" s="508"/>
      <c r="B454" s="508"/>
      <c r="C454" s="508"/>
      <c r="D454" s="508"/>
      <c r="E454" s="508"/>
      <c r="F454" s="508"/>
      <c r="G454" s="533"/>
      <c r="H454" s="508"/>
      <c r="I454" s="508"/>
      <c r="J454" s="508"/>
      <c r="K454" s="508"/>
      <c r="L454" s="508"/>
      <c r="M454" s="508"/>
      <c r="N454" s="508"/>
      <c r="O454" s="508"/>
      <c r="P454" s="508"/>
      <c r="Q454" s="508"/>
      <c r="R454" s="508"/>
      <c r="S454" s="508"/>
      <c r="T454" s="508"/>
      <c r="U454" s="508"/>
      <c r="V454" s="508"/>
      <c r="W454" s="508"/>
      <c r="X454" s="508"/>
      <c r="Y454" s="508"/>
      <c r="Z454" s="508"/>
    </row>
    <row r="455" ht="13.5" customHeight="1">
      <c r="A455" s="508"/>
      <c r="B455" s="508"/>
      <c r="C455" s="508"/>
      <c r="D455" s="508"/>
      <c r="E455" s="508"/>
      <c r="F455" s="508"/>
      <c r="G455" s="533"/>
      <c r="H455" s="508"/>
      <c r="I455" s="508"/>
      <c r="J455" s="508"/>
      <c r="K455" s="508"/>
      <c r="L455" s="508"/>
      <c r="M455" s="508"/>
      <c r="N455" s="508"/>
      <c r="O455" s="508"/>
      <c r="P455" s="508"/>
      <c r="Q455" s="508"/>
      <c r="R455" s="508"/>
      <c r="S455" s="508"/>
      <c r="T455" s="508"/>
      <c r="U455" s="508"/>
      <c r="V455" s="508"/>
      <c r="W455" s="508"/>
      <c r="X455" s="508"/>
      <c r="Y455" s="508"/>
      <c r="Z455" s="508"/>
    </row>
    <row r="456" ht="13.5" customHeight="1">
      <c r="A456" s="508"/>
      <c r="B456" s="508"/>
      <c r="C456" s="508"/>
      <c r="D456" s="508"/>
      <c r="E456" s="508"/>
      <c r="F456" s="508"/>
      <c r="G456" s="533"/>
      <c r="H456" s="508"/>
      <c r="I456" s="508"/>
      <c r="J456" s="508"/>
      <c r="K456" s="508"/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  <c r="V456" s="508"/>
      <c r="W456" s="508"/>
      <c r="X456" s="508"/>
      <c r="Y456" s="508"/>
      <c r="Z456" s="508"/>
    </row>
    <row r="457" ht="13.5" customHeight="1">
      <c r="A457" s="508"/>
      <c r="B457" s="508"/>
      <c r="C457" s="508"/>
      <c r="D457" s="508"/>
      <c r="E457" s="508"/>
      <c r="F457" s="508"/>
      <c r="G457" s="533"/>
      <c r="H457" s="508"/>
      <c r="I457" s="508"/>
      <c r="J457" s="508"/>
      <c r="K457" s="508"/>
      <c r="L457" s="508"/>
      <c r="M457" s="508"/>
      <c r="N457" s="508"/>
      <c r="O457" s="508"/>
      <c r="P457" s="508"/>
      <c r="Q457" s="508"/>
      <c r="R457" s="508"/>
      <c r="S457" s="508"/>
      <c r="T457" s="508"/>
      <c r="U457" s="508"/>
      <c r="V457" s="508"/>
      <c r="W457" s="508"/>
      <c r="X457" s="508"/>
      <c r="Y457" s="508"/>
      <c r="Z457" s="508"/>
    </row>
    <row r="458" ht="13.5" customHeight="1">
      <c r="A458" s="508"/>
      <c r="B458" s="508"/>
      <c r="C458" s="508"/>
      <c r="D458" s="508"/>
      <c r="E458" s="508"/>
      <c r="F458" s="508"/>
      <c r="G458" s="533"/>
      <c r="H458" s="508"/>
      <c r="I458" s="508"/>
      <c r="J458" s="508"/>
      <c r="K458" s="508"/>
      <c r="L458" s="508"/>
      <c r="M458" s="508"/>
      <c r="N458" s="508"/>
      <c r="O458" s="508"/>
      <c r="P458" s="508"/>
      <c r="Q458" s="508"/>
      <c r="R458" s="508"/>
      <c r="S458" s="508"/>
      <c r="T458" s="508"/>
      <c r="U458" s="508"/>
      <c r="V458" s="508"/>
      <c r="W458" s="508"/>
      <c r="X458" s="508"/>
      <c r="Y458" s="508"/>
      <c r="Z458" s="508"/>
    </row>
    <row r="459" ht="13.5" customHeight="1">
      <c r="A459" s="508"/>
      <c r="B459" s="508"/>
      <c r="C459" s="508"/>
      <c r="D459" s="508"/>
      <c r="E459" s="508"/>
      <c r="F459" s="508"/>
      <c r="G459" s="533"/>
      <c r="H459" s="508"/>
      <c r="I459" s="508"/>
      <c r="J459" s="508"/>
      <c r="K459" s="508"/>
      <c r="L459" s="508"/>
      <c r="M459" s="508"/>
      <c r="N459" s="508"/>
      <c r="O459" s="508"/>
      <c r="P459" s="508"/>
      <c r="Q459" s="508"/>
      <c r="R459" s="508"/>
      <c r="S459" s="508"/>
      <c r="T459" s="508"/>
      <c r="U459" s="508"/>
      <c r="V459" s="508"/>
      <c r="W459" s="508"/>
      <c r="X459" s="508"/>
      <c r="Y459" s="508"/>
      <c r="Z459" s="508"/>
    </row>
    <row r="460" ht="13.5" customHeight="1">
      <c r="A460" s="508"/>
      <c r="B460" s="508"/>
      <c r="C460" s="508"/>
      <c r="D460" s="508"/>
      <c r="E460" s="508"/>
      <c r="F460" s="508"/>
      <c r="G460" s="533"/>
      <c r="H460" s="508"/>
      <c r="I460" s="508"/>
      <c r="J460" s="508"/>
      <c r="K460" s="508"/>
      <c r="L460" s="508"/>
      <c r="M460" s="508"/>
      <c r="N460" s="508"/>
      <c r="O460" s="508"/>
      <c r="P460" s="508"/>
      <c r="Q460" s="508"/>
      <c r="R460" s="508"/>
      <c r="S460" s="508"/>
      <c r="T460" s="508"/>
      <c r="U460" s="508"/>
      <c r="V460" s="508"/>
      <c r="W460" s="508"/>
      <c r="X460" s="508"/>
      <c r="Y460" s="508"/>
      <c r="Z460" s="508"/>
    </row>
    <row r="461" ht="13.5" customHeight="1">
      <c r="A461" s="508"/>
      <c r="B461" s="508"/>
      <c r="C461" s="508"/>
      <c r="D461" s="508"/>
      <c r="E461" s="508"/>
      <c r="F461" s="508"/>
      <c r="G461" s="533"/>
      <c r="H461" s="508"/>
      <c r="I461" s="508"/>
      <c r="J461" s="508"/>
      <c r="K461" s="508"/>
      <c r="L461" s="508"/>
      <c r="M461" s="508"/>
      <c r="N461" s="508"/>
      <c r="O461" s="508"/>
      <c r="P461" s="508"/>
      <c r="Q461" s="508"/>
      <c r="R461" s="508"/>
      <c r="S461" s="508"/>
      <c r="T461" s="508"/>
      <c r="U461" s="508"/>
      <c r="V461" s="508"/>
      <c r="W461" s="508"/>
      <c r="X461" s="508"/>
      <c r="Y461" s="508"/>
      <c r="Z461" s="508"/>
    </row>
    <row r="462" ht="13.5" customHeight="1">
      <c r="A462" s="508"/>
      <c r="B462" s="508"/>
      <c r="C462" s="508"/>
      <c r="D462" s="508"/>
      <c r="E462" s="508"/>
      <c r="F462" s="508"/>
      <c r="G462" s="533"/>
      <c r="H462" s="508"/>
      <c r="I462" s="508"/>
      <c r="J462" s="508"/>
      <c r="K462" s="508"/>
      <c r="L462" s="508"/>
      <c r="M462" s="508"/>
      <c r="N462" s="508"/>
      <c r="O462" s="508"/>
      <c r="P462" s="508"/>
      <c r="Q462" s="508"/>
      <c r="R462" s="508"/>
      <c r="S462" s="508"/>
      <c r="T462" s="508"/>
      <c r="U462" s="508"/>
      <c r="V462" s="508"/>
      <c r="W462" s="508"/>
      <c r="X462" s="508"/>
      <c r="Y462" s="508"/>
      <c r="Z462" s="508"/>
    </row>
    <row r="463" ht="13.5" customHeight="1">
      <c r="A463" s="508"/>
      <c r="B463" s="508"/>
      <c r="C463" s="508"/>
      <c r="D463" s="508"/>
      <c r="E463" s="508"/>
      <c r="F463" s="508"/>
      <c r="G463" s="533"/>
      <c r="H463" s="508"/>
      <c r="I463" s="508"/>
      <c r="J463" s="508"/>
      <c r="K463" s="508"/>
      <c r="L463" s="508"/>
      <c r="M463" s="508"/>
      <c r="N463" s="508"/>
      <c r="O463" s="508"/>
      <c r="P463" s="508"/>
      <c r="Q463" s="508"/>
      <c r="R463" s="508"/>
      <c r="S463" s="508"/>
      <c r="T463" s="508"/>
      <c r="U463" s="508"/>
      <c r="V463" s="508"/>
      <c r="W463" s="508"/>
      <c r="X463" s="508"/>
      <c r="Y463" s="508"/>
      <c r="Z463" s="508"/>
    </row>
    <row r="464" ht="13.5" customHeight="1">
      <c r="A464" s="508"/>
      <c r="B464" s="508"/>
      <c r="C464" s="508"/>
      <c r="D464" s="508"/>
      <c r="E464" s="508"/>
      <c r="F464" s="508"/>
      <c r="G464" s="533"/>
      <c r="H464" s="508"/>
      <c r="I464" s="508"/>
      <c r="J464" s="508"/>
      <c r="K464" s="508"/>
      <c r="L464" s="508"/>
      <c r="M464" s="508"/>
      <c r="N464" s="508"/>
      <c r="O464" s="508"/>
      <c r="P464" s="508"/>
      <c r="Q464" s="508"/>
      <c r="R464" s="508"/>
      <c r="S464" s="508"/>
      <c r="T464" s="508"/>
      <c r="U464" s="508"/>
      <c r="V464" s="508"/>
      <c r="W464" s="508"/>
      <c r="X464" s="508"/>
      <c r="Y464" s="508"/>
      <c r="Z464" s="508"/>
    </row>
    <row r="465" ht="13.5" customHeight="1">
      <c r="A465" s="508"/>
      <c r="B465" s="508"/>
      <c r="C465" s="508"/>
      <c r="D465" s="508"/>
      <c r="E465" s="508"/>
      <c r="F465" s="508"/>
      <c r="G465" s="533"/>
      <c r="H465" s="508"/>
      <c r="I465" s="508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508"/>
      <c r="Y465" s="508"/>
      <c r="Z465" s="508"/>
    </row>
    <row r="466" ht="13.5" customHeight="1">
      <c r="A466" s="508"/>
      <c r="B466" s="508"/>
      <c r="C466" s="508"/>
      <c r="D466" s="508"/>
      <c r="E466" s="508"/>
      <c r="F466" s="508"/>
      <c r="G466" s="533"/>
      <c r="H466" s="508"/>
      <c r="I466" s="508"/>
      <c r="J466" s="508"/>
      <c r="K466" s="508"/>
      <c r="L466" s="508"/>
      <c r="M466" s="508"/>
      <c r="N466" s="508"/>
      <c r="O466" s="508"/>
      <c r="P466" s="508"/>
      <c r="Q466" s="508"/>
      <c r="R466" s="508"/>
      <c r="S466" s="508"/>
      <c r="T466" s="508"/>
      <c r="U466" s="508"/>
      <c r="V466" s="508"/>
      <c r="W466" s="508"/>
      <c r="X466" s="508"/>
      <c r="Y466" s="508"/>
      <c r="Z466" s="508"/>
    </row>
    <row r="467" ht="13.5" customHeight="1">
      <c r="A467" s="508"/>
      <c r="B467" s="508"/>
      <c r="C467" s="508"/>
      <c r="D467" s="508"/>
      <c r="E467" s="508"/>
      <c r="F467" s="508"/>
      <c r="G467" s="533"/>
      <c r="H467" s="508"/>
      <c r="I467" s="508"/>
      <c r="J467" s="508"/>
      <c r="K467" s="508"/>
      <c r="L467" s="508"/>
      <c r="M467" s="508"/>
      <c r="N467" s="508"/>
      <c r="O467" s="508"/>
      <c r="P467" s="508"/>
      <c r="Q467" s="508"/>
      <c r="R467" s="508"/>
      <c r="S467" s="508"/>
      <c r="T467" s="508"/>
      <c r="U467" s="508"/>
      <c r="V467" s="508"/>
      <c r="W467" s="508"/>
      <c r="X467" s="508"/>
      <c r="Y467" s="508"/>
      <c r="Z467" s="508"/>
    </row>
    <row r="468" ht="13.5" customHeight="1">
      <c r="A468" s="508"/>
      <c r="B468" s="508"/>
      <c r="C468" s="508"/>
      <c r="D468" s="508"/>
      <c r="E468" s="508"/>
      <c r="F468" s="508"/>
      <c r="G468" s="533"/>
      <c r="H468" s="508"/>
      <c r="I468" s="508"/>
      <c r="J468" s="508"/>
      <c r="K468" s="508"/>
      <c r="L468" s="508"/>
      <c r="M468" s="508"/>
      <c r="N468" s="508"/>
      <c r="O468" s="508"/>
      <c r="P468" s="508"/>
      <c r="Q468" s="508"/>
      <c r="R468" s="508"/>
      <c r="S468" s="508"/>
      <c r="T468" s="508"/>
      <c r="U468" s="508"/>
      <c r="V468" s="508"/>
      <c r="W468" s="508"/>
      <c r="X468" s="508"/>
      <c r="Y468" s="508"/>
      <c r="Z468" s="508"/>
    </row>
    <row r="469" ht="13.5" customHeight="1">
      <c r="A469" s="508"/>
      <c r="B469" s="508"/>
      <c r="C469" s="508"/>
      <c r="D469" s="508"/>
      <c r="E469" s="508"/>
      <c r="F469" s="508"/>
      <c r="G469" s="533"/>
      <c r="H469" s="508"/>
      <c r="I469" s="508"/>
      <c r="J469" s="508"/>
      <c r="K469" s="508"/>
      <c r="L469" s="508"/>
      <c r="M469" s="508"/>
      <c r="N469" s="508"/>
      <c r="O469" s="508"/>
      <c r="P469" s="508"/>
      <c r="Q469" s="508"/>
      <c r="R469" s="508"/>
      <c r="S469" s="508"/>
      <c r="T469" s="508"/>
      <c r="U469" s="508"/>
      <c r="V469" s="508"/>
      <c r="W469" s="508"/>
      <c r="X469" s="508"/>
      <c r="Y469" s="508"/>
      <c r="Z469" s="508"/>
    </row>
    <row r="470" ht="13.5" customHeight="1">
      <c r="A470" s="508"/>
      <c r="B470" s="508"/>
      <c r="C470" s="508"/>
      <c r="D470" s="508"/>
      <c r="E470" s="508"/>
      <c r="F470" s="508"/>
      <c r="G470" s="533"/>
      <c r="H470" s="508"/>
      <c r="I470" s="508"/>
      <c r="J470" s="508"/>
      <c r="K470" s="508"/>
      <c r="L470" s="508"/>
      <c r="M470" s="508"/>
      <c r="N470" s="508"/>
      <c r="O470" s="508"/>
      <c r="P470" s="508"/>
      <c r="Q470" s="508"/>
      <c r="R470" s="508"/>
      <c r="S470" s="508"/>
      <c r="T470" s="508"/>
      <c r="U470" s="508"/>
      <c r="V470" s="508"/>
      <c r="W470" s="508"/>
      <c r="X470" s="508"/>
      <c r="Y470" s="508"/>
      <c r="Z470" s="508"/>
    </row>
    <row r="471" ht="13.5" customHeight="1">
      <c r="A471" s="508"/>
      <c r="B471" s="508"/>
      <c r="C471" s="508"/>
      <c r="D471" s="508"/>
      <c r="E471" s="508"/>
      <c r="F471" s="508"/>
      <c r="G471" s="533"/>
      <c r="H471" s="508"/>
      <c r="I471" s="508"/>
      <c r="J471" s="508"/>
      <c r="K471" s="508"/>
      <c r="L471" s="508"/>
      <c r="M471" s="508"/>
      <c r="N471" s="508"/>
      <c r="O471" s="508"/>
      <c r="P471" s="508"/>
      <c r="Q471" s="508"/>
      <c r="R471" s="508"/>
      <c r="S471" s="508"/>
      <c r="T471" s="508"/>
      <c r="U471" s="508"/>
      <c r="V471" s="508"/>
      <c r="W471" s="508"/>
      <c r="X471" s="508"/>
      <c r="Y471" s="508"/>
      <c r="Z471" s="508"/>
    </row>
    <row r="472" ht="13.5" customHeight="1">
      <c r="A472" s="508"/>
      <c r="B472" s="508"/>
      <c r="C472" s="508"/>
      <c r="D472" s="508"/>
      <c r="E472" s="508"/>
      <c r="F472" s="508"/>
      <c r="G472" s="533"/>
      <c r="H472" s="508"/>
      <c r="I472" s="508"/>
      <c r="J472" s="508"/>
      <c r="K472" s="508"/>
      <c r="L472" s="508"/>
      <c r="M472" s="508"/>
      <c r="N472" s="508"/>
      <c r="O472" s="508"/>
      <c r="P472" s="508"/>
      <c r="Q472" s="508"/>
      <c r="R472" s="508"/>
      <c r="S472" s="508"/>
      <c r="T472" s="508"/>
      <c r="U472" s="508"/>
      <c r="V472" s="508"/>
      <c r="W472" s="508"/>
      <c r="X472" s="508"/>
      <c r="Y472" s="508"/>
      <c r="Z472" s="508"/>
    </row>
    <row r="473" ht="13.5" customHeight="1">
      <c r="A473" s="508"/>
      <c r="B473" s="508"/>
      <c r="C473" s="508"/>
      <c r="D473" s="508"/>
      <c r="E473" s="508"/>
      <c r="F473" s="508"/>
      <c r="G473" s="533"/>
      <c r="H473" s="508"/>
      <c r="I473" s="508"/>
      <c r="J473" s="508"/>
      <c r="K473" s="508"/>
      <c r="L473" s="508"/>
      <c r="M473" s="508"/>
      <c r="N473" s="508"/>
      <c r="O473" s="508"/>
      <c r="P473" s="508"/>
      <c r="Q473" s="508"/>
      <c r="R473" s="508"/>
      <c r="S473" s="508"/>
      <c r="T473" s="508"/>
      <c r="U473" s="508"/>
      <c r="V473" s="508"/>
      <c r="W473" s="508"/>
      <c r="X473" s="508"/>
      <c r="Y473" s="508"/>
      <c r="Z473" s="508"/>
    </row>
    <row r="474" ht="13.5" customHeight="1">
      <c r="A474" s="508"/>
      <c r="B474" s="508"/>
      <c r="C474" s="508"/>
      <c r="D474" s="508"/>
      <c r="E474" s="508"/>
      <c r="F474" s="508"/>
      <c r="G474" s="533"/>
      <c r="H474" s="508"/>
      <c r="I474" s="508"/>
      <c r="J474" s="508"/>
      <c r="K474" s="508"/>
      <c r="L474" s="508"/>
      <c r="M474" s="508"/>
      <c r="N474" s="508"/>
      <c r="O474" s="508"/>
      <c r="P474" s="508"/>
      <c r="Q474" s="508"/>
      <c r="R474" s="508"/>
      <c r="S474" s="508"/>
      <c r="T474" s="508"/>
      <c r="U474" s="508"/>
      <c r="V474" s="508"/>
      <c r="W474" s="508"/>
      <c r="X474" s="508"/>
      <c r="Y474" s="508"/>
      <c r="Z474" s="508"/>
    </row>
    <row r="475" ht="13.5" customHeight="1">
      <c r="A475" s="508"/>
      <c r="B475" s="508"/>
      <c r="C475" s="508"/>
      <c r="D475" s="508"/>
      <c r="E475" s="508"/>
      <c r="F475" s="508"/>
      <c r="G475" s="533"/>
      <c r="H475" s="508"/>
      <c r="I475" s="508"/>
      <c r="J475" s="508"/>
      <c r="K475" s="508"/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  <c r="V475" s="508"/>
      <c r="W475" s="508"/>
      <c r="X475" s="508"/>
      <c r="Y475" s="508"/>
      <c r="Z475" s="508"/>
    </row>
    <row r="476" ht="13.5" customHeight="1">
      <c r="A476" s="508"/>
      <c r="B476" s="508"/>
      <c r="C476" s="508"/>
      <c r="D476" s="508"/>
      <c r="E476" s="508"/>
      <c r="F476" s="508"/>
      <c r="G476" s="533"/>
      <c r="H476" s="508"/>
      <c r="I476" s="508"/>
      <c r="J476" s="508"/>
      <c r="K476" s="508"/>
      <c r="L476" s="508"/>
      <c r="M476" s="508"/>
      <c r="N476" s="508"/>
      <c r="O476" s="508"/>
      <c r="P476" s="508"/>
      <c r="Q476" s="508"/>
      <c r="R476" s="508"/>
      <c r="S476" s="508"/>
      <c r="T476" s="508"/>
      <c r="U476" s="508"/>
      <c r="V476" s="508"/>
      <c r="W476" s="508"/>
      <c r="X476" s="508"/>
      <c r="Y476" s="508"/>
      <c r="Z476" s="508"/>
    </row>
    <row r="477" ht="13.5" customHeight="1">
      <c r="A477" s="508"/>
      <c r="B477" s="508"/>
      <c r="C477" s="508"/>
      <c r="D477" s="508"/>
      <c r="E477" s="508"/>
      <c r="F477" s="508"/>
      <c r="G477" s="533"/>
      <c r="H477" s="508"/>
      <c r="I477" s="508"/>
      <c r="J477" s="508"/>
      <c r="K477" s="508"/>
      <c r="L477" s="508"/>
      <c r="M477" s="508"/>
      <c r="N477" s="508"/>
      <c r="O477" s="508"/>
      <c r="P477" s="508"/>
      <c r="Q477" s="508"/>
      <c r="R477" s="508"/>
      <c r="S477" s="508"/>
      <c r="T477" s="508"/>
      <c r="U477" s="508"/>
      <c r="V477" s="508"/>
      <c r="W477" s="508"/>
      <c r="X477" s="508"/>
      <c r="Y477" s="508"/>
      <c r="Z477" s="508"/>
    </row>
    <row r="478" ht="13.5" customHeight="1">
      <c r="A478" s="508"/>
      <c r="B478" s="508"/>
      <c r="C478" s="508"/>
      <c r="D478" s="508"/>
      <c r="E478" s="508"/>
      <c r="F478" s="508"/>
      <c r="G478" s="533"/>
      <c r="H478" s="508"/>
      <c r="I478" s="508"/>
      <c r="J478" s="508"/>
      <c r="K478" s="508"/>
      <c r="L478" s="508"/>
      <c r="M478" s="508"/>
      <c r="N478" s="508"/>
      <c r="O478" s="508"/>
      <c r="P478" s="508"/>
      <c r="Q478" s="508"/>
      <c r="R478" s="508"/>
      <c r="S478" s="508"/>
      <c r="T478" s="508"/>
      <c r="U478" s="508"/>
      <c r="V478" s="508"/>
      <c r="W478" s="508"/>
      <c r="X478" s="508"/>
      <c r="Y478" s="508"/>
      <c r="Z478" s="508"/>
    </row>
    <row r="479" ht="13.5" customHeight="1">
      <c r="A479" s="508"/>
      <c r="B479" s="508"/>
      <c r="C479" s="508"/>
      <c r="D479" s="508"/>
      <c r="E479" s="508"/>
      <c r="F479" s="508"/>
      <c r="G479" s="533"/>
      <c r="H479" s="508"/>
      <c r="I479" s="508"/>
      <c r="J479" s="508"/>
      <c r="K479" s="508"/>
      <c r="L479" s="508"/>
      <c r="M479" s="508"/>
      <c r="N479" s="508"/>
      <c r="O479" s="508"/>
      <c r="P479" s="508"/>
      <c r="Q479" s="508"/>
      <c r="R479" s="508"/>
      <c r="S479" s="508"/>
      <c r="T479" s="508"/>
      <c r="U479" s="508"/>
      <c r="V479" s="508"/>
      <c r="W479" s="508"/>
      <c r="X479" s="508"/>
      <c r="Y479" s="508"/>
      <c r="Z479" s="508"/>
    </row>
    <row r="480" ht="13.5" customHeight="1">
      <c r="A480" s="508"/>
      <c r="B480" s="508"/>
      <c r="C480" s="508"/>
      <c r="D480" s="508"/>
      <c r="E480" s="508"/>
      <c r="F480" s="508"/>
      <c r="G480" s="533"/>
      <c r="H480" s="508"/>
      <c r="I480" s="508"/>
      <c r="J480" s="508"/>
      <c r="K480" s="508"/>
      <c r="L480" s="508"/>
      <c r="M480" s="508"/>
      <c r="N480" s="508"/>
      <c r="O480" s="508"/>
      <c r="P480" s="508"/>
      <c r="Q480" s="508"/>
      <c r="R480" s="508"/>
      <c r="S480" s="508"/>
      <c r="T480" s="508"/>
      <c r="U480" s="508"/>
      <c r="V480" s="508"/>
      <c r="W480" s="508"/>
      <c r="X480" s="508"/>
      <c r="Y480" s="508"/>
      <c r="Z480" s="508"/>
    </row>
    <row r="481" ht="13.5" customHeight="1">
      <c r="A481" s="508"/>
      <c r="B481" s="508"/>
      <c r="C481" s="508"/>
      <c r="D481" s="508"/>
      <c r="E481" s="508"/>
      <c r="F481" s="508"/>
      <c r="G481" s="533"/>
      <c r="H481" s="508"/>
      <c r="I481" s="508"/>
      <c r="J481" s="508"/>
      <c r="K481" s="508"/>
      <c r="L481" s="508"/>
      <c r="M481" s="508"/>
      <c r="N481" s="508"/>
      <c r="O481" s="508"/>
      <c r="P481" s="508"/>
      <c r="Q481" s="508"/>
      <c r="R481" s="508"/>
      <c r="S481" s="508"/>
      <c r="T481" s="508"/>
      <c r="U481" s="508"/>
      <c r="V481" s="508"/>
      <c r="W481" s="508"/>
      <c r="X481" s="508"/>
      <c r="Y481" s="508"/>
      <c r="Z481" s="508"/>
    </row>
    <row r="482" ht="13.5" customHeight="1">
      <c r="A482" s="508"/>
      <c r="B482" s="508"/>
      <c r="C482" s="508"/>
      <c r="D482" s="508"/>
      <c r="E482" s="508"/>
      <c r="F482" s="508"/>
      <c r="G482" s="533"/>
      <c r="H482" s="508"/>
      <c r="I482" s="508"/>
      <c r="J482" s="508"/>
      <c r="K482" s="508"/>
      <c r="L482" s="508"/>
      <c r="M482" s="508"/>
      <c r="N482" s="508"/>
      <c r="O482" s="508"/>
      <c r="P482" s="508"/>
      <c r="Q482" s="508"/>
      <c r="R482" s="508"/>
      <c r="S482" s="508"/>
      <c r="T482" s="508"/>
      <c r="U482" s="508"/>
      <c r="V482" s="508"/>
      <c r="W482" s="508"/>
      <c r="X482" s="508"/>
      <c r="Y482" s="508"/>
      <c r="Z482" s="508"/>
    </row>
    <row r="483" ht="13.5" customHeight="1">
      <c r="A483" s="508"/>
      <c r="B483" s="508"/>
      <c r="C483" s="508"/>
      <c r="D483" s="508"/>
      <c r="E483" s="508"/>
      <c r="F483" s="508"/>
      <c r="G483" s="533"/>
      <c r="H483" s="508"/>
      <c r="I483" s="508"/>
      <c r="J483" s="508"/>
      <c r="K483" s="508"/>
      <c r="L483" s="508"/>
      <c r="M483" s="508"/>
      <c r="N483" s="508"/>
      <c r="O483" s="508"/>
      <c r="P483" s="508"/>
      <c r="Q483" s="508"/>
      <c r="R483" s="508"/>
      <c r="S483" s="508"/>
      <c r="T483" s="508"/>
      <c r="U483" s="508"/>
      <c r="V483" s="508"/>
      <c r="W483" s="508"/>
      <c r="X483" s="508"/>
      <c r="Y483" s="508"/>
      <c r="Z483" s="508"/>
    </row>
    <row r="484" ht="13.5" customHeight="1">
      <c r="A484" s="508"/>
      <c r="B484" s="508"/>
      <c r="C484" s="508"/>
      <c r="D484" s="508"/>
      <c r="E484" s="508"/>
      <c r="F484" s="508"/>
      <c r="G484" s="533"/>
      <c r="H484" s="508"/>
      <c r="I484" s="508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508"/>
      <c r="Y484" s="508"/>
      <c r="Z484" s="508"/>
    </row>
    <row r="485" ht="13.5" customHeight="1">
      <c r="A485" s="508"/>
      <c r="B485" s="508"/>
      <c r="C485" s="508"/>
      <c r="D485" s="508"/>
      <c r="E485" s="508"/>
      <c r="F485" s="508"/>
      <c r="G485" s="533"/>
      <c r="H485" s="508"/>
      <c r="I485" s="508"/>
      <c r="J485" s="508"/>
      <c r="K485" s="508"/>
      <c r="L485" s="508"/>
      <c r="M485" s="508"/>
      <c r="N485" s="508"/>
      <c r="O485" s="508"/>
      <c r="P485" s="508"/>
      <c r="Q485" s="508"/>
      <c r="R485" s="508"/>
      <c r="S485" s="508"/>
      <c r="T485" s="508"/>
      <c r="U485" s="508"/>
      <c r="V485" s="508"/>
      <c r="W485" s="508"/>
      <c r="X485" s="508"/>
      <c r="Y485" s="508"/>
      <c r="Z485" s="508"/>
    </row>
    <row r="486" ht="13.5" customHeight="1">
      <c r="A486" s="508"/>
      <c r="B486" s="508"/>
      <c r="C486" s="508"/>
      <c r="D486" s="508"/>
      <c r="E486" s="508"/>
      <c r="F486" s="508"/>
      <c r="G486" s="533"/>
      <c r="H486" s="508"/>
      <c r="I486" s="508"/>
      <c r="J486" s="508"/>
      <c r="K486" s="508"/>
      <c r="L486" s="508"/>
      <c r="M486" s="508"/>
      <c r="N486" s="508"/>
      <c r="O486" s="508"/>
      <c r="P486" s="508"/>
      <c r="Q486" s="508"/>
      <c r="R486" s="508"/>
      <c r="S486" s="508"/>
      <c r="T486" s="508"/>
      <c r="U486" s="508"/>
      <c r="V486" s="508"/>
      <c r="W486" s="508"/>
      <c r="X486" s="508"/>
      <c r="Y486" s="508"/>
      <c r="Z486" s="508"/>
    </row>
    <row r="487" ht="13.5" customHeight="1">
      <c r="A487" s="508"/>
      <c r="B487" s="508"/>
      <c r="C487" s="508"/>
      <c r="D487" s="508"/>
      <c r="E487" s="508"/>
      <c r="F487" s="508"/>
      <c r="G487" s="533"/>
      <c r="H487" s="508"/>
      <c r="I487" s="508"/>
      <c r="J487" s="508"/>
      <c r="K487" s="508"/>
      <c r="L487" s="508"/>
      <c r="M487" s="508"/>
      <c r="N487" s="508"/>
      <c r="O487" s="508"/>
      <c r="P487" s="508"/>
      <c r="Q487" s="508"/>
      <c r="R487" s="508"/>
      <c r="S487" s="508"/>
      <c r="T487" s="508"/>
      <c r="U487" s="508"/>
      <c r="V487" s="508"/>
      <c r="W487" s="508"/>
      <c r="X487" s="508"/>
      <c r="Y487" s="508"/>
      <c r="Z487" s="508"/>
    </row>
    <row r="488" ht="13.5" customHeight="1">
      <c r="A488" s="508"/>
      <c r="B488" s="508"/>
      <c r="C488" s="508"/>
      <c r="D488" s="508"/>
      <c r="E488" s="508"/>
      <c r="F488" s="508"/>
      <c r="G488" s="533"/>
      <c r="H488" s="508"/>
      <c r="I488" s="508"/>
      <c r="J488" s="508"/>
      <c r="K488" s="508"/>
      <c r="L488" s="508"/>
      <c r="M488" s="508"/>
      <c r="N488" s="508"/>
      <c r="O488" s="508"/>
      <c r="P488" s="508"/>
      <c r="Q488" s="508"/>
      <c r="R488" s="508"/>
      <c r="S488" s="508"/>
      <c r="T488" s="508"/>
      <c r="U488" s="508"/>
      <c r="V488" s="508"/>
      <c r="W488" s="508"/>
      <c r="X488" s="508"/>
      <c r="Y488" s="508"/>
      <c r="Z488" s="508"/>
    </row>
    <row r="489" ht="13.5" customHeight="1">
      <c r="A489" s="508"/>
      <c r="B489" s="508"/>
      <c r="C489" s="508"/>
      <c r="D489" s="508"/>
      <c r="E489" s="508"/>
      <c r="F489" s="508"/>
      <c r="G489" s="533"/>
      <c r="H489" s="508"/>
      <c r="I489" s="508"/>
      <c r="J489" s="508"/>
      <c r="K489" s="508"/>
      <c r="L489" s="508"/>
      <c r="M489" s="508"/>
      <c r="N489" s="508"/>
      <c r="O489" s="508"/>
      <c r="P489" s="508"/>
      <c r="Q489" s="508"/>
      <c r="R489" s="508"/>
      <c r="S489" s="508"/>
      <c r="T489" s="508"/>
      <c r="U489" s="508"/>
      <c r="V489" s="508"/>
      <c r="W489" s="508"/>
      <c r="X489" s="508"/>
      <c r="Y489" s="508"/>
      <c r="Z489" s="508"/>
    </row>
    <row r="490" ht="13.5" customHeight="1">
      <c r="A490" s="508"/>
      <c r="B490" s="508"/>
      <c r="C490" s="508"/>
      <c r="D490" s="508"/>
      <c r="E490" s="508"/>
      <c r="F490" s="508"/>
      <c r="G490" s="533"/>
      <c r="H490" s="508"/>
      <c r="I490" s="508"/>
      <c r="J490" s="508"/>
      <c r="K490" s="508"/>
      <c r="L490" s="508"/>
      <c r="M490" s="508"/>
      <c r="N490" s="508"/>
      <c r="O490" s="508"/>
      <c r="P490" s="508"/>
      <c r="Q490" s="508"/>
      <c r="R490" s="508"/>
      <c r="S490" s="508"/>
      <c r="T490" s="508"/>
      <c r="U490" s="508"/>
      <c r="V490" s="508"/>
      <c r="W490" s="508"/>
      <c r="X490" s="508"/>
      <c r="Y490" s="508"/>
      <c r="Z490" s="508"/>
    </row>
    <row r="491" ht="13.5" customHeight="1">
      <c r="A491" s="508"/>
      <c r="B491" s="508"/>
      <c r="C491" s="508"/>
      <c r="D491" s="508"/>
      <c r="E491" s="508"/>
      <c r="F491" s="508"/>
      <c r="G491" s="533"/>
      <c r="H491" s="508"/>
      <c r="I491" s="508"/>
      <c r="J491" s="508"/>
      <c r="K491" s="508"/>
      <c r="L491" s="508"/>
      <c r="M491" s="508"/>
      <c r="N491" s="508"/>
      <c r="O491" s="508"/>
      <c r="P491" s="508"/>
      <c r="Q491" s="508"/>
      <c r="R491" s="508"/>
      <c r="S491" s="508"/>
      <c r="T491" s="508"/>
      <c r="U491" s="508"/>
      <c r="V491" s="508"/>
      <c r="W491" s="508"/>
      <c r="X491" s="508"/>
      <c r="Y491" s="508"/>
      <c r="Z491" s="508"/>
    </row>
    <row r="492" ht="13.5" customHeight="1">
      <c r="A492" s="508"/>
      <c r="B492" s="508"/>
      <c r="C492" s="508"/>
      <c r="D492" s="508"/>
      <c r="E492" s="508"/>
      <c r="F492" s="508"/>
      <c r="G492" s="533"/>
      <c r="H492" s="508"/>
      <c r="I492" s="508"/>
      <c r="J492" s="508"/>
      <c r="K492" s="508"/>
      <c r="L492" s="508"/>
      <c r="M492" s="508"/>
      <c r="N492" s="508"/>
      <c r="O492" s="508"/>
      <c r="P492" s="508"/>
      <c r="Q492" s="508"/>
      <c r="R492" s="508"/>
      <c r="S492" s="508"/>
      <c r="T492" s="508"/>
      <c r="U492" s="508"/>
      <c r="V492" s="508"/>
      <c r="W492" s="508"/>
      <c r="X492" s="508"/>
      <c r="Y492" s="508"/>
      <c r="Z492" s="508"/>
    </row>
    <row r="493" ht="13.5" customHeight="1">
      <c r="A493" s="508"/>
      <c r="B493" s="508"/>
      <c r="C493" s="508"/>
      <c r="D493" s="508"/>
      <c r="E493" s="508"/>
      <c r="F493" s="508"/>
      <c r="G493" s="533"/>
      <c r="H493" s="508"/>
      <c r="I493" s="508"/>
      <c r="J493" s="508"/>
      <c r="K493" s="508"/>
      <c r="L493" s="508"/>
      <c r="M493" s="508"/>
      <c r="N493" s="508"/>
      <c r="O493" s="508"/>
      <c r="P493" s="508"/>
      <c r="Q493" s="508"/>
      <c r="R493" s="508"/>
      <c r="S493" s="508"/>
      <c r="T493" s="508"/>
      <c r="U493" s="508"/>
      <c r="V493" s="508"/>
      <c r="W493" s="508"/>
      <c r="X493" s="508"/>
      <c r="Y493" s="508"/>
      <c r="Z493" s="508"/>
    </row>
    <row r="494" ht="13.5" customHeight="1">
      <c r="A494" s="508"/>
      <c r="B494" s="508"/>
      <c r="C494" s="508"/>
      <c r="D494" s="508"/>
      <c r="E494" s="508"/>
      <c r="F494" s="508"/>
      <c r="G494" s="533"/>
      <c r="H494" s="508"/>
      <c r="I494" s="508"/>
      <c r="J494" s="508"/>
      <c r="K494" s="508"/>
      <c r="L494" s="508"/>
      <c r="M494" s="508"/>
      <c r="N494" s="508"/>
      <c r="O494" s="508"/>
      <c r="P494" s="508"/>
      <c r="Q494" s="508"/>
      <c r="R494" s="508"/>
      <c r="S494" s="508"/>
      <c r="T494" s="508"/>
      <c r="U494" s="508"/>
      <c r="V494" s="508"/>
      <c r="W494" s="508"/>
      <c r="X494" s="508"/>
      <c r="Y494" s="508"/>
      <c r="Z494" s="508"/>
    </row>
    <row r="495" ht="13.5" customHeight="1">
      <c r="A495" s="508"/>
      <c r="B495" s="508"/>
      <c r="C495" s="508"/>
      <c r="D495" s="508"/>
      <c r="E495" s="508"/>
      <c r="F495" s="508"/>
      <c r="G495" s="533"/>
      <c r="H495" s="508"/>
      <c r="I495" s="508"/>
      <c r="J495" s="508"/>
      <c r="K495" s="508"/>
      <c r="L495" s="508"/>
      <c r="M495" s="508"/>
      <c r="N495" s="508"/>
      <c r="O495" s="508"/>
      <c r="P495" s="508"/>
      <c r="Q495" s="508"/>
      <c r="R495" s="508"/>
      <c r="S495" s="508"/>
      <c r="T495" s="508"/>
      <c r="U495" s="508"/>
      <c r="V495" s="508"/>
      <c r="W495" s="508"/>
      <c r="X495" s="508"/>
      <c r="Y495" s="508"/>
      <c r="Z495" s="508"/>
    </row>
    <row r="496" ht="13.5" customHeight="1">
      <c r="A496" s="508"/>
      <c r="B496" s="508"/>
      <c r="C496" s="508"/>
      <c r="D496" s="508"/>
      <c r="E496" s="508"/>
      <c r="F496" s="508"/>
      <c r="G496" s="533"/>
      <c r="H496" s="508"/>
      <c r="I496" s="508"/>
      <c r="J496" s="508"/>
      <c r="K496" s="508"/>
      <c r="L496" s="508"/>
      <c r="M496" s="508"/>
      <c r="N496" s="508"/>
      <c r="O496" s="508"/>
      <c r="P496" s="508"/>
      <c r="Q496" s="508"/>
      <c r="R496" s="508"/>
      <c r="S496" s="508"/>
      <c r="T496" s="508"/>
      <c r="U496" s="508"/>
      <c r="V496" s="508"/>
      <c r="W496" s="508"/>
      <c r="X496" s="508"/>
      <c r="Y496" s="508"/>
      <c r="Z496" s="508"/>
    </row>
    <row r="497" ht="13.5" customHeight="1">
      <c r="A497" s="508"/>
      <c r="B497" s="508"/>
      <c r="C497" s="508"/>
      <c r="D497" s="508"/>
      <c r="E497" s="508"/>
      <c r="F497" s="508"/>
      <c r="G497" s="533"/>
      <c r="H497" s="508"/>
      <c r="I497" s="508"/>
      <c r="J497" s="508"/>
      <c r="K497" s="508"/>
      <c r="L497" s="508"/>
      <c r="M497" s="508"/>
      <c r="N497" s="508"/>
      <c r="O497" s="508"/>
      <c r="P497" s="508"/>
      <c r="Q497" s="508"/>
      <c r="R497" s="508"/>
      <c r="S497" s="508"/>
      <c r="T497" s="508"/>
      <c r="U497" s="508"/>
      <c r="V497" s="508"/>
      <c r="W497" s="508"/>
      <c r="X497" s="508"/>
      <c r="Y497" s="508"/>
      <c r="Z497" s="508"/>
    </row>
    <row r="498" ht="13.5" customHeight="1">
      <c r="A498" s="508"/>
      <c r="B498" s="508"/>
      <c r="C498" s="508"/>
      <c r="D498" s="508"/>
      <c r="E498" s="508"/>
      <c r="F498" s="508"/>
      <c r="G498" s="533"/>
      <c r="H498" s="508"/>
      <c r="I498" s="508"/>
      <c r="J498" s="508"/>
      <c r="K498" s="508"/>
      <c r="L498" s="508"/>
      <c r="M498" s="508"/>
      <c r="N498" s="508"/>
      <c r="O498" s="508"/>
      <c r="P498" s="508"/>
      <c r="Q498" s="508"/>
      <c r="R498" s="508"/>
      <c r="S498" s="508"/>
      <c r="T498" s="508"/>
      <c r="U498" s="508"/>
      <c r="V498" s="508"/>
      <c r="W498" s="508"/>
      <c r="X498" s="508"/>
      <c r="Y498" s="508"/>
      <c r="Z498" s="508"/>
    </row>
    <row r="499" ht="13.5" customHeight="1">
      <c r="A499" s="508"/>
      <c r="B499" s="508"/>
      <c r="C499" s="508"/>
      <c r="D499" s="508"/>
      <c r="E499" s="508"/>
      <c r="F499" s="508"/>
      <c r="G499" s="533"/>
      <c r="H499" s="508"/>
      <c r="I499" s="508"/>
      <c r="J499" s="508"/>
      <c r="K499" s="508"/>
      <c r="L499" s="508"/>
      <c r="M499" s="508"/>
      <c r="N499" s="508"/>
      <c r="O499" s="508"/>
      <c r="P499" s="508"/>
      <c r="Q499" s="508"/>
      <c r="R499" s="508"/>
      <c r="S499" s="508"/>
      <c r="T499" s="508"/>
      <c r="U499" s="508"/>
      <c r="V499" s="508"/>
      <c r="W499" s="508"/>
      <c r="X499" s="508"/>
      <c r="Y499" s="508"/>
      <c r="Z499" s="508"/>
    </row>
    <row r="500" ht="13.5" customHeight="1">
      <c r="A500" s="508"/>
      <c r="B500" s="508"/>
      <c r="C500" s="508"/>
      <c r="D500" s="508"/>
      <c r="E500" s="508"/>
      <c r="F500" s="508"/>
      <c r="G500" s="533"/>
      <c r="H500" s="508"/>
      <c r="I500" s="508"/>
      <c r="J500" s="508"/>
      <c r="K500" s="508"/>
      <c r="L500" s="508"/>
      <c r="M500" s="508"/>
      <c r="N500" s="508"/>
      <c r="O500" s="508"/>
      <c r="P500" s="508"/>
      <c r="Q500" s="508"/>
      <c r="R500" s="508"/>
      <c r="S500" s="508"/>
      <c r="T500" s="508"/>
      <c r="U500" s="508"/>
      <c r="V500" s="508"/>
      <c r="W500" s="508"/>
      <c r="X500" s="508"/>
      <c r="Y500" s="508"/>
      <c r="Z500" s="508"/>
    </row>
    <row r="501" ht="13.5" customHeight="1">
      <c r="A501" s="508"/>
      <c r="B501" s="508"/>
      <c r="C501" s="508"/>
      <c r="D501" s="508"/>
      <c r="E501" s="508"/>
      <c r="F501" s="508"/>
      <c r="G501" s="533"/>
      <c r="H501" s="508"/>
      <c r="I501" s="508"/>
      <c r="J501" s="508"/>
      <c r="K501" s="508"/>
      <c r="L501" s="508"/>
      <c r="M501" s="508"/>
      <c r="N501" s="508"/>
      <c r="O501" s="508"/>
      <c r="P501" s="508"/>
      <c r="Q501" s="508"/>
      <c r="R501" s="508"/>
      <c r="S501" s="508"/>
      <c r="T501" s="508"/>
      <c r="U501" s="508"/>
      <c r="V501" s="508"/>
      <c r="W501" s="508"/>
      <c r="X501" s="508"/>
      <c r="Y501" s="508"/>
      <c r="Z501" s="508"/>
    </row>
    <row r="502" ht="13.5" customHeight="1">
      <c r="A502" s="508"/>
      <c r="B502" s="508"/>
      <c r="C502" s="508"/>
      <c r="D502" s="508"/>
      <c r="E502" s="508"/>
      <c r="F502" s="508"/>
      <c r="G502" s="533"/>
      <c r="H502" s="508"/>
      <c r="I502" s="508"/>
      <c r="J502" s="508"/>
      <c r="K502" s="508"/>
      <c r="L502" s="508"/>
      <c r="M502" s="508"/>
      <c r="N502" s="508"/>
      <c r="O502" s="508"/>
      <c r="P502" s="508"/>
      <c r="Q502" s="508"/>
      <c r="R502" s="508"/>
      <c r="S502" s="508"/>
      <c r="T502" s="508"/>
      <c r="U502" s="508"/>
      <c r="V502" s="508"/>
      <c r="W502" s="508"/>
      <c r="X502" s="508"/>
      <c r="Y502" s="508"/>
      <c r="Z502" s="508"/>
    </row>
    <row r="503" ht="13.5" customHeight="1">
      <c r="A503" s="508"/>
      <c r="B503" s="508"/>
      <c r="C503" s="508"/>
      <c r="D503" s="508"/>
      <c r="E503" s="508"/>
      <c r="F503" s="508"/>
      <c r="G503" s="533"/>
      <c r="H503" s="508"/>
      <c r="I503" s="508"/>
      <c r="J503" s="508"/>
      <c r="K503" s="508"/>
      <c r="L503" s="508"/>
      <c r="M503" s="508"/>
      <c r="N503" s="508"/>
      <c r="O503" s="508"/>
      <c r="P503" s="508"/>
      <c r="Q503" s="508"/>
      <c r="R503" s="508"/>
      <c r="S503" s="508"/>
      <c r="T503" s="508"/>
      <c r="U503" s="508"/>
      <c r="V503" s="508"/>
      <c r="W503" s="508"/>
      <c r="X503" s="508"/>
      <c r="Y503" s="508"/>
      <c r="Z503" s="508"/>
    </row>
    <row r="504" ht="13.5" customHeight="1">
      <c r="A504" s="508"/>
      <c r="B504" s="508"/>
      <c r="C504" s="508"/>
      <c r="D504" s="508"/>
      <c r="E504" s="508"/>
      <c r="F504" s="508"/>
      <c r="G504" s="533"/>
      <c r="H504" s="508"/>
      <c r="I504" s="508"/>
      <c r="J504" s="508"/>
      <c r="K504" s="508"/>
      <c r="L504" s="508"/>
      <c r="M504" s="508"/>
      <c r="N504" s="508"/>
      <c r="O504" s="508"/>
      <c r="P504" s="508"/>
      <c r="Q504" s="508"/>
      <c r="R504" s="508"/>
      <c r="S504" s="508"/>
      <c r="T504" s="508"/>
      <c r="U504" s="508"/>
      <c r="V504" s="508"/>
      <c r="W504" s="508"/>
      <c r="X504" s="508"/>
      <c r="Y504" s="508"/>
      <c r="Z504" s="508"/>
    </row>
    <row r="505" ht="13.5" customHeight="1">
      <c r="A505" s="508"/>
      <c r="B505" s="508"/>
      <c r="C505" s="508"/>
      <c r="D505" s="508"/>
      <c r="E505" s="508"/>
      <c r="F505" s="508"/>
      <c r="G505" s="533"/>
      <c r="H505" s="508"/>
      <c r="I505" s="508"/>
      <c r="J505" s="508"/>
      <c r="K505" s="508"/>
      <c r="L505" s="508"/>
      <c r="M505" s="508"/>
      <c r="N505" s="508"/>
      <c r="O505" s="508"/>
      <c r="P505" s="508"/>
      <c r="Q505" s="508"/>
      <c r="R505" s="508"/>
      <c r="S505" s="508"/>
      <c r="T505" s="508"/>
      <c r="U505" s="508"/>
      <c r="V505" s="508"/>
      <c r="W505" s="508"/>
      <c r="X505" s="508"/>
      <c r="Y505" s="508"/>
      <c r="Z505" s="508"/>
    </row>
    <row r="506" ht="13.5" customHeight="1">
      <c r="A506" s="508"/>
      <c r="B506" s="508"/>
      <c r="C506" s="508"/>
      <c r="D506" s="508"/>
      <c r="E506" s="508"/>
      <c r="F506" s="508"/>
      <c r="G506" s="533"/>
      <c r="H506" s="508"/>
      <c r="I506" s="508"/>
      <c r="J506" s="508"/>
      <c r="K506" s="508"/>
      <c r="L506" s="508"/>
      <c r="M506" s="508"/>
      <c r="N506" s="508"/>
      <c r="O506" s="508"/>
      <c r="P506" s="508"/>
      <c r="Q506" s="508"/>
      <c r="R506" s="508"/>
      <c r="S506" s="508"/>
      <c r="T506" s="508"/>
      <c r="U506" s="508"/>
      <c r="V506" s="508"/>
      <c r="W506" s="508"/>
      <c r="X506" s="508"/>
      <c r="Y506" s="508"/>
      <c r="Z506" s="508"/>
    </row>
    <row r="507" ht="13.5" customHeight="1">
      <c r="A507" s="508"/>
      <c r="B507" s="508"/>
      <c r="C507" s="508"/>
      <c r="D507" s="508"/>
      <c r="E507" s="508"/>
      <c r="F507" s="508"/>
      <c r="G507" s="533"/>
      <c r="H507" s="508"/>
      <c r="I507" s="508"/>
      <c r="J507" s="508"/>
      <c r="K507" s="508"/>
      <c r="L507" s="508"/>
      <c r="M507" s="508"/>
      <c r="N507" s="508"/>
      <c r="O507" s="508"/>
      <c r="P507" s="508"/>
      <c r="Q507" s="508"/>
      <c r="R507" s="508"/>
      <c r="S507" s="508"/>
      <c r="T507" s="508"/>
      <c r="U507" s="508"/>
      <c r="V507" s="508"/>
      <c r="W507" s="508"/>
      <c r="X507" s="508"/>
      <c r="Y507" s="508"/>
      <c r="Z507" s="508"/>
    </row>
    <row r="508" ht="13.5" customHeight="1">
      <c r="A508" s="508"/>
      <c r="B508" s="508"/>
      <c r="C508" s="508"/>
      <c r="D508" s="508"/>
      <c r="E508" s="508"/>
      <c r="F508" s="508"/>
      <c r="G508" s="533"/>
      <c r="H508" s="508"/>
      <c r="I508" s="508"/>
      <c r="J508" s="508"/>
      <c r="K508" s="508"/>
      <c r="L508" s="508"/>
      <c r="M508" s="508"/>
      <c r="N508" s="508"/>
      <c r="O508" s="508"/>
      <c r="P508" s="508"/>
      <c r="Q508" s="508"/>
      <c r="R508" s="508"/>
      <c r="S508" s="508"/>
      <c r="T508" s="508"/>
      <c r="U508" s="508"/>
      <c r="V508" s="508"/>
      <c r="W508" s="508"/>
      <c r="X508" s="508"/>
      <c r="Y508" s="508"/>
      <c r="Z508" s="508"/>
    </row>
    <row r="509" ht="13.5" customHeight="1">
      <c r="A509" s="508"/>
      <c r="B509" s="508"/>
      <c r="C509" s="508"/>
      <c r="D509" s="508"/>
      <c r="E509" s="508"/>
      <c r="F509" s="508"/>
      <c r="G509" s="533"/>
      <c r="H509" s="508"/>
      <c r="I509" s="508"/>
      <c r="J509" s="508"/>
      <c r="K509" s="508"/>
      <c r="L509" s="508"/>
      <c r="M509" s="508"/>
      <c r="N509" s="508"/>
      <c r="O509" s="508"/>
      <c r="P509" s="508"/>
      <c r="Q509" s="508"/>
      <c r="R509" s="508"/>
      <c r="S509" s="508"/>
      <c r="T509" s="508"/>
      <c r="U509" s="508"/>
      <c r="V509" s="508"/>
      <c r="W509" s="508"/>
      <c r="X509" s="508"/>
      <c r="Y509" s="508"/>
      <c r="Z509" s="508"/>
    </row>
    <row r="510" ht="13.5" customHeight="1">
      <c r="A510" s="508"/>
      <c r="B510" s="508"/>
      <c r="C510" s="508"/>
      <c r="D510" s="508"/>
      <c r="E510" s="508"/>
      <c r="F510" s="508"/>
      <c r="G510" s="533"/>
      <c r="H510" s="508"/>
      <c r="I510" s="508"/>
      <c r="J510" s="508"/>
      <c r="K510" s="508"/>
      <c r="L510" s="508"/>
      <c r="M510" s="508"/>
      <c r="N510" s="508"/>
      <c r="O510" s="508"/>
      <c r="P510" s="508"/>
      <c r="Q510" s="508"/>
      <c r="R510" s="508"/>
      <c r="S510" s="508"/>
      <c r="T510" s="508"/>
      <c r="U510" s="508"/>
      <c r="V510" s="508"/>
      <c r="W510" s="508"/>
      <c r="X510" s="508"/>
      <c r="Y510" s="508"/>
      <c r="Z510" s="508"/>
    </row>
    <row r="511" ht="13.5" customHeight="1">
      <c r="A511" s="508"/>
      <c r="B511" s="508"/>
      <c r="C511" s="508"/>
      <c r="D511" s="508"/>
      <c r="E511" s="508"/>
      <c r="F511" s="508"/>
      <c r="G511" s="533"/>
      <c r="H511" s="508"/>
      <c r="I511" s="508"/>
      <c r="J511" s="508"/>
      <c r="K511" s="508"/>
      <c r="L511" s="508"/>
      <c r="M511" s="508"/>
      <c r="N511" s="508"/>
      <c r="O511" s="508"/>
      <c r="P511" s="508"/>
      <c r="Q511" s="508"/>
      <c r="R511" s="508"/>
      <c r="S511" s="508"/>
      <c r="T511" s="508"/>
      <c r="U511" s="508"/>
      <c r="V511" s="508"/>
      <c r="W511" s="508"/>
      <c r="X511" s="508"/>
      <c r="Y511" s="508"/>
      <c r="Z511" s="508"/>
    </row>
    <row r="512" ht="13.5" customHeight="1">
      <c r="A512" s="508"/>
      <c r="B512" s="508"/>
      <c r="C512" s="508"/>
      <c r="D512" s="508"/>
      <c r="E512" s="508"/>
      <c r="F512" s="508"/>
      <c r="G512" s="533"/>
      <c r="H512" s="508"/>
      <c r="I512" s="508"/>
      <c r="J512" s="508"/>
      <c r="K512" s="508"/>
      <c r="L512" s="508"/>
      <c r="M512" s="508"/>
      <c r="N512" s="508"/>
      <c r="O512" s="508"/>
      <c r="P512" s="508"/>
      <c r="Q512" s="508"/>
      <c r="R512" s="508"/>
      <c r="S512" s="508"/>
      <c r="T512" s="508"/>
      <c r="U512" s="508"/>
      <c r="V512" s="508"/>
      <c r="W512" s="508"/>
      <c r="X512" s="508"/>
      <c r="Y512" s="508"/>
      <c r="Z512" s="508"/>
    </row>
    <row r="513" ht="13.5" customHeight="1">
      <c r="A513" s="508"/>
      <c r="B513" s="508"/>
      <c r="C513" s="508"/>
      <c r="D513" s="508"/>
      <c r="E513" s="508"/>
      <c r="F513" s="508"/>
      <c r="G513" s="533"/>
      <c r="H513" s="508"/>
      <c r="I513" s="508"/>
      <c r="J513" s="508"/>
      <c r="K513" s="508"/>
      <c r="L513" s="508"/>
      <c r="M513" s="508"/>
      <c r="N513" s="508"/>
      <c r="O513" s="508"/>
      <c r="P513" s="508"/>
      <c r="Q513" s="508"/>
      <c r="R513" s="508"/>
      <c r="S513" s="508"/>
      <c r="T513" s="508"/>
      <c r="U513" s="508"/>
      <c r="V513" s="508"/>
      <c r="W513" s="508"/>
      <c r="X513" s="508"/>
      <c r="Y513" s="508"/>
      <c r="Z513" s="508"/>
    </row>
    <row r="514" ht="13.5" customHeight="1">
      <c r="A514" s="508"/>
      <c r="B514" s="508"/>
      <c r="C514" s="508"/>
      <c r="D514" s="508"/>
      <c r="E514" s="508"/>
      <c r="F514" s="508"/>
      <c r="G514" s="533"/>
      <c r="H514" s="508"/>
      <c r="I514" s="508"/>
      <c r="J514" s="508"/>
      <c r="K514" s="508"/>
      <c r="L514" s="508"/>
      <c r="M514" s="508"/>
      <c r="N514" s="508"/>
      <c r="O514" s="508"/>
      <c r="P514" s="508"/>
      <c r="Q514" s="508"/>
      <c r="R514" s="508"/>
      <c r="S514" s="508"/>
      <c r="T514" s="508"/>
      <c r="U514" s="508"/>
      <c r="V514" s="508"/>
      <c r="W514" s="508"/>
      <c r="X514" s="508"/>
      <c r="Y514" s="508"/>
      <c r="Z514" s="508"/>
    </row>
    <row r="515" ht="13.5" customHeight="1">
      <c r="A515" s="508"/>
      <c r="B515" s="508"/>
      <c r="C515" s="508"/>
      <c r="D515" s="508"/>
      <c r="E515" s="508"/>
      <c r="F515" s="508"/>
      <c r="G515" s="533"/>
      <c r="H515" s="508"/>
      <c r="I515" s="508"/>
      <c r="J515" s="508"/>
      <c r="K515" s="508"/>
      <c r="L515" s="508"/>
      <c r="M515" s="508"/>
      <c r="N515" s="508"/>
      <c r="O515" s="508"/>
      <c r="P515" s="508"/>
      <c r="Q515" s="508"/>
      <c r="R515" s="508"/>
      <c r="S515" s="508"/>
      <c r="T515" s="508"/>
      <c r="U515" s="508"/>
      <c r="V515" s="508"/>
      <c r="W515" s="508"/>
      <c r="X515" s="508"/>
      <c r="Y515" s="508"/>
      <c r="Z515" s="508"/>
    </row>
    <row r="516" ht="13.5" customHeight="1">
      <c r="A516" s="508"/>
      <c r="B516" s="508"/>
      <c r="C516" s="508"/>
      <c r="D516" s="508"/>
      <c r="E516" s="508"/>
      <c r="F516" s="508"/>
      <c r="G516" s="533"/>
      <c r="H516" s="508"/>
      <c r="I516" s="508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508"/>
      <c r="Y516" s="508"/>
      <c r="Z516" s="508"/>
    </row>
    <row r="517" ht="13.5" customHeight="1">
      <c r="A517" s="508"/>
      <c r="B517" s="508"/>
      <c r="C517" s="508"/>
      <c r="D517" s="508"/>
      <c r="E517" s="508"/>
      <c r="F517" s="508"/>
      <c r="G517" s="533"/>
      <c r="H517" s="508"/>
      <c r="I517" s="508"/>
      <c r="J517" s="508"/>
      <c r="K517" s="508"/>
      <c r="L517" s="508"/>
      <c r="M517" s="508"/>
      <c r="N517" s="508"/>
      <c r="O517" s="508"/>
      <c r="P517" s="508"/>
      <c r="Q517" s="508"/>
      <c r="R517" s="508"/>
      <c r="S517" s="508"/>
      <c r="T517" s="508"/>
      <c r="U517" s="508"/>
      <c r="V517" s="508"/>
      <c r="W517" s="508"/>
      <c r="X517" s="508"/>
      <c r="Y517" s="508"/>
      <c r="Z517" s="508"/>
    </row>
    <row r="518" ht="13.5" customHeight="1">
      <c r="A518" s="508"/>
      <c r="B518" s="508"/>
      <c r="C518" s="508"/>
      <c r="D518" s="508"/>
      <c r="E518" s="508"/>
      <c r="F518" s="508"/>
      <c r="G518" s="533"/>
      <c r="H518" s="508"/>
      <c r="I518" s="508"/>
      <c r="J518" s="508"/>
      <c r="K518" s="508"/>
      <c r="L518" s="508"/>
      <c r="M518" s="508"/>
      <c r="N518" s="508"/>
      <c r="O518" s="508"/>
      <c r="P518" s="508"/>
      <c r="Q518" s="508"/>
      <c r="R518" s="508"/>
      <c r="S518" s="508"/>
      <c r="T518" s="508"/>
      <c r="U518" s="508"/>
      <c r="V518" s="508"/>
      <c r="W518" s="508"/>
      <c r="X518" s="508"/>
      <c r="Y518" s="508"/>
      <c r="Z518" s="508"/>
    </row>
    <row r="519" ht="13.5" customHeight="1">
      <c r="A519" s="508"/>
      <c r="B519" s="508"/>
      <c r="C519" s="508"/>
      <c r="D519" s="508"/>
      <c r="E519" s="508"/>
      <c r="F519" s="508"/>
      <c r="G519" s="533"/>
      <c r="H519" s="508"/>
      <c r="I519" s="508"/>
      <c r="J519" s="508"/>
      <c r="K519" s="508"/>
      <c r="L519" s="508"/>
      <c r="M519" s="508"/>
      <c r="N519" s="508"/>
      <c r="O519" s="508"/>
      <c r="P519" s="508"/>
      <c r="Q519" s="508"/>
      <c r="R519" s="508"/>
      <c r="S519" s="508"/>
      <c r="T519" s="508"/>
      <c r="U519" s="508"/>
      <c r="V519" s="508"/>
      <c r="W519" s="508"/>
      <c r="X519" s="508"/>
      <c r="Y519" s="508"/>
      <c r="Z519" s="508"/>
    </row>
    <row r="520" ht="13.5" customHeight="1">
      <c r="A520" s="508"/>
      <c r="B520" s="508"/>
      <c r="C520" s="508"/>
      <c r="D520" s="508"/>
      <c r="E520" s="508"/>
      <c r="F520" s="508"/>
      <c r="G520" s="533"/>
      <c r="H520" s="508"/>
      <c r="I520" s="508"/>
      <c r="J520" s="508"/>
      <c r="K520" s="508"/>
      <c r="L520" s="508"/>
      <c r="M520" s="508"/>
      <c r="N520" s="508"/>
      <c r="O520" s="508"/>
      <c r="P520" s="508"/>
      <c r="Q520" s="508"/>
      <c r="R520" s="508"/>
      <c r="S520" s="508"/>
      <c r="T520" s="508"/>
      <c r="U520" s="508"/>
      <c r="V520" s="508"/>
      <c r="W520" s="508"/>
      <c r="X520" s="508"/>
      <c r="Y520" s="508"/>
      <c r="Z520" s="508"/>
    </row>
    <row r="521" ht="13.5" customHeight="1">
      <c r="A521" s="508"/>
      <c r="B521" s="508"/>
      <c r="C521" s="508"/>
      <c r="D521" s="508"/>
      <c r="E521" s="508"/>
      <c r="F521" s="508"/>
      <c r="G521" s="533"/>
      <c r="H521" s="508"/>
      <c r="I521" s="508"/>
      <c r="J521" s="508"/>
      <c r="K521" s="508"/>
      <c r="L521" s="508"/>
      <c r="M521" s="508"/>
      <c r="N521" s="508"/>
      <c r="O521" s="508"/>
      <c r="P521" s="508"/>
      <c r="Q521" s="508"/>
      <c r="R521" s="508"/>
      <c r="S521" s="508"/>
      <c r="T521" s="508"/>
      <c r="U521" s="508"/>
      <c r="V521" s="508"/>
      <c r="W521" s="508"/>
      <c r="X521" s="508"/>
      <c r="Y521" s="508"/>
      <c r="Z521" s="508"/>
    </row>
    <row r="522" ht="13.5" customHeight="1">
      <c r="A522" s="508"/>
      <c r="B522" s="508"/>
      <c r="C522" s="508"/>
      <c r="D522" s="508"/>
      <c r="E522" s="508"/>
      <c r="F522" s="508"/>
      <c r="G522" s="533"/>
      <c r="H522" s="508"/>
      <c r="I522" s="508"/>
      <c r="J522" s="508"/>
      <c r="K522" s="508"/>
      <c r="L522" s="508"/>
      <c r="M522" s="508"/>
      <c r="N522" s="508"/>
      <c r="O522" s="508"/>
      <c r="P522" s="508"/>
      <c r="Q522" s="508"/>
      <c r="R522" s="508"/>
      <c r="S522" s="508"/>
      <c r="T522" s="508"/>
      <c r="U522" s="508"/>
      <c r="V522" s="508"/>
      <c r="W522" s="508"/>
      <c r="X522" s="508"/>
      <c r="Y522" s="508"/>
      <c r="Z522" s="508"/>
    </row>
    <row r="523" ht="13.5" customHeight="1">
      <c r="A523" s="508"/>
      <c r="B523" s="508"/>
      <c r="C523" s="508"/>
      <c r="D523" s="508"/>
      <c r="E523" s="508"/>
      <c r="F523" s="508"/>
      <c r="G523" s="533"/>
      <c r="H523" s="508"/>
      <c r="I523" s="508"/>
      <c r="J523" s="508"/>
      <c r="K523" s="508"/>
      <c r="L523" s="508"/>
      <c r="M523" s="508"/>
      <c r="N523" s="508"/>
      <c r="O523" s="508"/>
      <c r="P523" s="508"/>
      <c r="Q523" s="508"/>
      <c r="R523" s="508"/>
      <c r="S523" s="508"/>
      <c r="T523" s="508"/>
      <c r="U523" s="508"/>
      <c r="V523" s="508"/>
      <c r="W523" s="508"/>
      <c r="X523" s="508"/>
      <c r="Y523" s="508"/>
      <c r="Z523" s="508"/>
    </row>
    <row r="524" ht="13.5" customHeight="1">
      <c r="A524" s="508"/>
      <c r="B524" s="508"/>
      <c r="C524" s="508"/>
      <c r="D524" s="508"/>
      <c r="E524" s="508"/>
      <c r="F524" s="508"/>
      <c r="G524" s="533"/>
      <c r="H524" s="508"/>
      <c r="I524" s="508"/>
      <c r="J524" s="508"/>
      <c r="K524" s="508"/>
      <c r="L524" s="508"/>
      <c r="M524" s="508"/>
      <c r="N524" s="508"/>
      <c r="O524" s="508"/>
      <c r="P524" s="508"/>
      <c r="Q524" s="508"/>
      <c r="R524" s="508"/>
      <c r="S524" s="508"/>
      <c r="T524" s="508"/>
      <c r="U524" s="508"/>
      <c r="V524" s="508"/>
      <c r="W524" s="508"/>
      <c r="X524" s="508"/>
      <c r="Y524" s="508"/>
      <c r="Z524" s="508"/>
    </row>
    <row r="525" ht="13.5" customHeight="1">
      <c r="A525" s="508"/>
      <c r="B525" s="508"/>
      <c r="C525" s="508"/>
      <c r="D525" s="508"/>
      <c r="E525" s="508"/>
      <c r="F525" s="508"/>
      <c r="G525" s="533"/>
      <c r="H525" s="508"/>
      <c r="I525" s="508"/>
      <c r="J525" s="508"/>
      <c r="K525" s="508"/>
      <c r="L525" s="508"/>
      <c r="M525" s="508"/>
      <c r="N525" s="508"/>
      <c r="O525" s="508"/>
      <c r="P525" s="508"/>
      <c r="Q525" s="508"/>
      <c r="R525" s="508"/>
      <c r="S525" s="508"/>
      <c r="T525" s="508"/>
      <c r="U525" s="508"/>
      <c r="V525" s="508"/>
      <c r="W525" s="508"/>
      <c r="X525" s="508"/>
      <c r="Y525" s="508"/>
      <c r="Z525" s="508"/>
    </row>
    <row r="526" ht="13.5" customHeight="1">
      <c r="A526" s="508"/>
      <c r="B526" s="508"/>
      <c r="C526" s="508"/>
      <c r="D526" s="508"/>
      <c r="E526" s="508"/>
      <c r="F526" s="508"/>
      <c r="G526" s="533"/>
      <c r="H526" s="508"/>
      <c r="I526" s="508"/>
      <c r="J526" s="508"/>
      <c r="K526" s="508"/>
      <c r="L526" s="508"/>
      <c r="M526" s="508"/>
      <c r="N526" s="508"/>
      <c r="O526" s="508"/>
      <c r="P526" s="508"/>
      <c r="Q526" s="508"/>
      <c r="R526" s="508"/>
      <c r="S526" s="508"/>
      <c r="T526" s="508"/>
      <c r="U526" s="508"/>
      <c r="V526" s="508"/>
      <c r="W526" s="508"/>
      <c r="X526" s="508"/>
      <c r="Y526" s="508"/>
      <c r="Z526" s="508"/>
    </row>
    <row r="527" ht="13.5" customHeight="1">
      <c r="A527" s="508"/>
      <c r="B527" s="508"/>
      <c r="C527" s="508"/>
      <c r="D527" s="508"/>
      <c r="E527" s="508"/>
      <c r="F527" s="508"/>
      <c r="G527" s="533"/>
      <c r="H527" s="508"/>
      <c r="I527" s="508"/>
      <c r="J527" s="508"/>
      <c r="K527" s="508"/>
      <c r="L527" s="508"/>
      <c r="M527" s="508"/>
      <c r="N527" s="508"/>
      <c r="O527" s="508"/>
      <c r="P527" s="508"/>
      <c r="Q527" s="508"/>
      <c r="R527" s="508"/>
      <c r="S527" s="508"/>
      <c r="T527" s="508"/>
      <c r="U527" s="508"/>
      <c r="V527" s="508"/>
      <c r="W527" s="508"/>
      <c r="X527" s="508"/>
      <c r="Y527" s="508"/>
      <c r="Z527" s="508"/>
    </row>
    <row r="528" ht="13.5" customHeight="1">
      <c r="A528" s="508"/>
      <c r="B528" s="508"/>
      <c r="C528" s="508"/>
      <c r="D528" s="508"/>
      <c r="E528" s="508"/>
      <c r="F528" s="508"/>
      <c r="G528" s="533"/>
      <c r="H528" s="508"/>
      <c r="I528" s="508"/>
      <c r="J528" s="508"/>
      <c r="K528" s="508"/>
      <c r="L528" s="508"/>
      <c r="M528" s="508"/>
      <c r="N528" s="508"/>
      <c r="O528" s="508"/>
      <c r="P528" s="508"/>
      <c r="Q528" s="508"/>
      <c r="R528" s="508"/>
      <c r="S528" s="508"/>
      <c r="T528" s="508"/>
      <c r="U528" s="508"/>
      <c r="V528" s="508"/>
      <c r="W528" s="508"/>
      <c r="X528" s="508"/>
      <c r="Y528" s="508"/>
      <c r="Z528" s="508"/>
    </row>
    <row r="529" ht="13.5" customHeight="1">
      <c r="A529" s="508"/>
      <c r="B529" s="508"/>
      <c r="C529" s="508"/>
      <c r="D529" s="508"/>
      <c r="E529" s="508"/>
      <c r="F529" s="508"/>
      <c r="G529" s="533"/>
      <c r="H529" s="508"/>
      <c r="I529" s="508"/>
      <c r="J529" s="508"/>
      <c r="K529" s="508"/>
      <c r="L529" s="508"/>
      <c r="M529" s="508"/>
      <c r="N529" s="508"/>
      <c r="O529" s="508"/>
      <c r="P529" s="508"/>
      <c r="Q529" s="508"/>
      <c r="R529" s="508"/>
      <c r="S529" s="508"/>
      <c r="T529" s="508"/>
      <c r="U529" s="508"/>
      <c r="V529" s="508"/>
      <c r="W529" s="508"/>
      <c r="X529" s="508"/>
      <c r="Y529" s="508"/>
      <c r="Z529" s="508"/>
    </row>
    <row r="530" ht="13.5" customHeight="1">
      <c r="A530" s="508"/>
      <c r="B530" s="508"/>
      <c r="C530" s="508"/>
      <c r="D530" s="508"/>
      <c r="E530" s="508"/>
      <c r="F530" s="508"/>
      <c r="G530" s="533"/>
      <c r="H530" s="508"/>
      <c r="I530" s="508"/>
      <c r="J530" s="508"/>
      <c r="K530" s="508"/>
      <c r="L530" s="508"/>
      <c r="M530" s="508"/>
      <c r="N530" s="508"/>
      <c r="O530" s="508"/>
      <c r="P530" s="508"/>
      <c r="Q530" s="508"/>
      <c r="R530" s="508"/>
      <c r="S530" s="508"/>
      <c r="T530" s="508"/>
      <c r="U530" s="508"/>
      <c r="V530" s="508"/>
      <c r="W530" s="508"/>
      <c r="X530" s="508"/>
      <c r="Y530" s="508"/>
      <c r="Z530" s="508"/>
    </row>
    <row r="531" ht="13.5" customHeight="1">
      <c r="A531" s="508"/>
      <c r="B531" s="508"/>
      <c r="C531" s="508"/>
      <c r="D531" s="508"/>
      <c r="E531" s="508"/>
      <c r="F531" s="508"/>
      <c r="G531" s="533"/>
      <c r="H531" s="508"/>
      <c r="I531" s="508"/>
      <c r="J531" s="508"/>
      <c r="K531" s="508"/>
      <c r="L531" s="508"/>
      <c r="M531" s="508"/>
      <c r="N531" s="508"/>
      <c r="O531" s="508"/>
      <c r="P531" s="508"/>
      <c r="Q531" s="508"/>
      <c r="R531" s="508"/>
      <c r="S531" s="508"/>
      <c r="T531" s="508"/>
      <c r="U531" s="508"/>
      <c r="V531" s="508"/>
      <c r="W531" s="508"/>
      <c r="X531" s="508"/>
      <c r="Y531" s="508"/>
      <c r="Z531" s="508"/>
    </row>
    <row r="532" ht="13.5" customHeight="1">
      <c r="A532" s="508"/>
      <c r="B532" s="508"/>
      <c r="C532" s="508"/>
      <c r="D532" s="508"/>
      <c r="E532" s="508"/>
      <c r="F532" s="508"/>
      <c r="G532" s="533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8"/>
      <c r="Z532" s="508"/>
    </row>
    <row r="533" ht="13.5" customHeight="1">
      <c r="A533" s="508"/>
      <c r="B533" s="508"/>
      <c r="C533" s="508"/>
      <c r="D533" s="508"/>
      <c r="E533" s="508"/>
      <c r="F533" s="508"/>
      <c r="G533" s="533"/>
      <c r="H533" s="508"/>
      <c r="I533" s="508"/>
      <c r="J533" s="508"/>
      <c r="K533" s="508"/>
      <c r="L533" s="508"/>
      <c r="M533" s="508"/>
      <c r="N533" s="508"/>
      <c r="O533" s="508"/>
      <c r="P533" s="508"/>
      <c r="Q533" s="508"/>
      <c r="R533" s="508"/>
      <c r="S533" s="508"/>
      <c r="T533" s="508"/>
      <c r="U533" s="508"/>
      <c r="V533" s="508"/>
      <c r="W533" s="508"/>
      <c r="X533" s="508"/>
      <c r="Y533" s="508"/>
      <c r="Z533" s="508"/>
    </row>
    <row r="534" ht="13.5" customHeight="1">
      <c r="A534" s="508"/>
      <c r="B534" s="508"/>
      <c r="C534" s="508"/>
      <c r="D534" s="508"/>
      <c r="E534" s="508"/>
      <c r="F534" s="508"/>
      <c r="G534" s="533"/>
      <c r="H534" s="508"/>
      <c r="I534" s="508"/>
      <c r="J534" s="508"/>
      <c r="K534" s="508"/>
      <c r="L534" s="508"/>
      <c r="M534" s="508"/>
      <c r="N534" s="508"/>
      <c r="O534" s="508"/>
      <c r="P534" s="508"/>
      <c r="Q534" s="508"/>
      <c r="R534" s="508"/>
      <c r="S534" s="508"/>
      <c r="T534" s="508"/>
      <c r="U534" s="508"/>
      <c r="V534" s="508"/>
      <c r="W534" s="508"/>
      <c r="X534" s="508"/>
      <c r="Y534" s="508"/>
      <c r="Z534" s="508"/>
    </row>
    <row r="535" ht="13.5" customHeight="1">
      <c r="A535" s="508"/>
      <c r="B535" s="508"/>
      <c r="C535" s="508"/>
      <c r="D535" s="508"/>
      <c r="E535" s="508"/>
      <c r="F535" s="508"/>
      <c r="G535" s="533"/>
      <c r="H535" s="508"/>
      <c r="I535" s="508"/>
      <c r="J535" s="508"/>
      <c r="K535" s="508"/>
      <c r="L535" s="508"/>
      <c r="M535" s="508"/>
      <c r="N535" s="508"/>
      <c r="O535" s="508"/>
      <c r="P535" s="508"/>
      <c r="Q535" s="508"/>
      <c r="R535" s="508"/>
      <c r="S535" s="508"/>
      <c r="T535" s="508"/>
      <c r="U535" s="508"/>
      <c r="V535" s="508"/>
      <c r="W535" s="508"/>
      <c r="X535" s="508"/>
      <c r="Y535" s="508"/>
      <c r="Z535" s="508"/>
    </row>
    <row r="536" ht="13.5" customHeight="1">
      <c r="A536" s="508"/>
      <c r="B536" s="508"/>
      <c r="C536" s="508"/>
      <c r="D536" s="508"/>
      <c r="E536" s="508"/>
      <c r="F536" s="508"/>
      <c r="G536" s="533"/>
      <c r="H536" s="508"/>
      <c r="I536" s="508"/>
      <c r="J536" s="508"/>
      <c r="K536" s="508"/>
      <c r="L536" s="508"/>
      <c r="M536" s="508"/>
      <c r="N536" s="508"/>
      <c r="O536" s="508"/>
      <c r="P536" s="508"/>
      <c r="Q536" s="508"/>
      <c r="R536" s="508"/>
      <c r="S536" s="508"/>
      <c r="T536" s="508"/>
      <c r="U536" s="508"/>
      <c r="V536" s="508"/>
      <c r="W536" s="508"/>
      <c r="X536" s="508"/>
      <c r="Y536" s="508"/>
      <c r="Z536" s="508"/>
    </row>
    <row r="537" ht="13.5" customHeight="1">
      <c r="A537" s="508"/>
      <c r="B537" s="508"/>
      <c r="C537" s="508"/>
      <c r="D537" s="508"/>
      <c r="E537" s="508"/>
      <c r="F537" s="508"/>
      <c r="G537" s="533"/>
      <c r="H537" s="508"/>
      <c r="I537" s="508"/>
      <c r="J537" s="508"/>
      <c r="K537" s="508"/>
      <c r="L537" s="508"/>
      <c r="M537" s="508"/>
      <c r="N537" s="508"/>
      <c r="O537" s="508"/>
      <c r="P537" s="508"/>
      <c r="Q537" s="508"/>
      <c r="R537" s="508"/>
      <c r="S537" s="508"/>
      <c r="T537" s="508"/>
      <c r="U537" s="508"/>
      <c r="V537" s="508"/>
      <c r="W537" s="508"/>
      <c r="X537" s="508"/>
      <c r="Y537" s="508"/>
      <c r="Z537" s="508"/>
    </row>
    <row r="538" ht="13.5" customHeight="1">
      <c r="A538" s="508"/>
      <c r="B538" s="508"/>
      <c r="C538" s="508"/>
      <c r="D538" s="508"/>
      <c r="E538" s="508"/>
      <c r="F538" s="508"/>
      <c r="G538" s="533"/>
      <c r="H538" s="508"/>
      <c r="I538" s="508"/>
      <c r="J538" s="508"/>
      <c r="K538" s="508"/>
      <c r="L538" s="508"/>
      <c r="M538" s="508"/>
      <c r="N538" s="508"/>
      <c r="O538" s="508"/>
      <c r="P538" s="508"/>
      <c r="Q538" s="508"/>
      <c r="R538" s="508"/>
      <c r="S538" s="508"/>
      <c r="T538" s="508"/>
      <c r="U538" s="508"/>
      <c r="V538" s="508"/>
      <c r="W538" s="508"/>
      <c r="X538" s="508"/>
      <c r="Y538" s="508"/>
      <c r="Z538" s="508"/>
    </row>
    <row r="539" ht="13.5" customHeight="1">
      <c r="A539" s="508"/>
      <c r="B539" s="508"/>
      <c r="C539" s="508"/>
      <c r="D539" s="508"/>
      <c r="E539" s="508"/>
      <c r="F539" s="508"/>
      <c r="G539" s="533"/>
      <c r="H539" s="508"/>
      <c r="I539" s="508"/>
      <c r="J539" s="508"/>
      <c r="K539" s="508"/>
      <c r="L539" s="508"/>
      <c r="M539" s="508"/>
      <c r="N539" s="508"/>
      <c r="O539" s="508"/>
      <c r="P539" s="508"/>
      <c r="Q539" s="508"/>
      <c r="R539" s="508"/>
      <c r="S539" s="508"/>
      <c r="T539" s="508"/>
      <c r="U539" s="508"/>
      <c r="V539" s="508"/>
      <c r="W539" s="508"/>
      <c r="X539" s="508"/>
      <c r="Y539" s="508"/>
      <c r="Z539" s="508"/>
    </row>
    <row r="540" ht="13.5" customHeight="1">
      <c r="A540" s="508"/>
      <c r="B540" s="508"/>
      <c r="C540" s="508"/>
      <c r="D540" s="508"/>
      <c r="E540" s="508"/>
      <c r="F540" s="508"/>
      <c r="G540" s="533"/>
      <c r="H540" s="508"/>
      <c r="I540" s="508"/>
      <c r="J540" s="508"/>
      <c r="K540" s="508"/>
      <c r="L540" s="508"/>
      <c r="M540" s="508"/>
      <c r="N540" s="508"/>
      <c r="O540" s="508"/>
      <c r="P540" s="508"/>
      <c r="Q540" s="508"/>
      <c r="R540" s="508"/>
      <c r="S540" s="508"/>
      <c r="T540" s="508"/>
      <c r="U540" s="508"/>
      <c r="V540" s="508"/>
      <c r="W540" s="508"/>
      <c r="X540" s="508"/>
      <c r="Y540" s="508"/>
      <c r="Z540" s="508"/>
    </row>
    <row r="541" ht="13.5" customHeight="1">
      <c r="A541" s="508"/>
      <c r="B541" s="508"/>
      <c r="C541" s="508"/>
      <c r="D541" s="508"/>
      <c r="E541" s="508"/>
      <c r="F541" s="508"/>
      <c r="G541" s="533"/>
      <c r="H541" s="508"/>
      <c r="I541" s="508"/>
      <c r="J541" s="508"/>
      <c r="K541" s="508"/>
      <c r="L541" s="508"/>
      <c r="M541" s="508"/>
      <c r="N541" s="508"/>
      <c r="O541" s="508"/>
      <c r="P541" s="508"/>
      <c r="Q541" s="508"/>
      <c r="R541" s="508"/>
      <c r="S541" s="508"/>
      <c r="T541" s="508"/>
      <c r="U541" s="508"/>
      <c r="V541" s="508"/>
      <c r="W541" s="508"/>
      <c r="X541" s="508"/>
      <c r="Y541" s="508"/>
      <c r="Z541" s="508"/>
    </row>
    <row r="542" ht="13.5" customHeight="1">
      <c r="A542" s="508"/>
      <c r="B542" s="508"/>
      <c r="C542" s="508"/>
      <c r="D542" s="508"/>
      <c r="E542" s="508"/>
      <c r="F542" s="508"/>
      <c r="G542" s="533"/>
      <c r="H542" s="508"/>
      <c r="I542" s="508"/>
      <c r="J542" s="508"/>
      <c r="K542" s="508"/>
      <c r="L542" s="508"/>
      <c r="M542" s="508"/>
      <c r="N542" s="508"/>
      <c r="O542" s="508"/>
      <c r="P542" s="508"/>
      <c r="Q542" s="508"/>
      <c r="R542" s="508"/>
      <c r="S542" s="508"/>
      <c r="T542" s="508"/>
      <c r="U542" s="508"/>
      <c r="V542" s="508"/>
      <c r="W542" s="508"/>
      <c r="X542" s="508"/>
      <c r="Y542" s="508"/>
      <c r="Z542" s="508"/>
    </row>
    <row r="543" ht="13.5" customHeight="1">
      <c r="A543" s="508"/>
      <c r="B543" s="508"/>
      <c r="C543" s="508"/>
      <c r="D543" s="508"/>
      <c r="E543" s="508"/>
      <c r="F543" s="508"/>
      <c r="G543" s="533"/>
      <c r="H543" s="508"/>
      <c r="I543" s="508"/>
      <c r="J543" s="508"/>
      <c r="K543" s="508"/>
      <c r="L543" s="508"/>
      <c r="M543" s="508"/>
      <c r="N543" s="508"/>
      <c r="O543" s="508"/>
      <c r="P543" s="508"/>
      <c r="Q543" s="508"/>
      <c r="R543" s="508"/>
      <c r="S543" s="508"/>
      <c r="T543" s="508"/>
      <c r="U543" s="508"/>
      <c r="V543" s="508"/>
      <c r="W543" s="508"/>
      <c r="X543" s="508"/>
      <c r="Y543" s="508"/>
      <c r="Z543" s="508"/>
    </row>
    <row r="544" ht="13.5" customHeight="1">
      <c r="A544" s="508"/>
      <c r="B544" s="508"/>
      <c r="C544" s="508"/>
      <c r="D544" s="508"/>
      <c r="E544" s="508"/>
      <c r="F544" s="508"/>
      <c r="G544" s="533"/>
      <c r="H544" s="508"/>
      <c r="I544" s="508"/>
      <c r="J544" s="508"/>
      <c r="K544" s="508"/>
      <c r="L544" s="508"/>
      <c r="M544" s="508"/>
      <c r="N544" s="508"/>
      <c r="O544" s="508"/>
      <c r="P544" s="508"/>
      <c r="Q544" s="508"/>
      <c r="R544" s="508"/>
      <c r="S544" s="508"/>
      <c r="T544" s="508"/>
      <c r="U544" s="508"/>
      <c r="V544" s="508"/>
      <c r="W544" s="508"/>
      <c r="X544" s="508"/>
      <c r="Y544" s="508"/>
      <c r="Z544" s="508"/>
    </row>
    <row r="545" ht="13.5" customHeight="1">
      <c r="A545" s="508"/>
      <c r="B545" s="508"/>
      <c r="C545" s="508"/>
      <c r="D545" s="508"/>
      <c r="E545" s="508"/>
      <c r="F545" s="508"/>
      <c r="G545" s="533"/>
      <c r="H545" s="508"/>
      <c r="I545" s="508"/>
      <c r="J545" s="508"/>
      <c r="K545" s="508"/>
      <c r="L545" s="508"/>
      <c r="M545" s="508"/>
      <c r="N545" s="508"/>
      <c r="O545" s="508"/>
      <c r="P545" s="508"/>
      <c r="Q545" s="508"/>
      <c r="R545" s="508"/>
      <c r="S545" s="508"/>
      <c r="T545" s="508"/>
      <c r="U545" s="508"/>
      <c r="V545" s="508"/>
      <c r="W545" s="508"/>
      <c r="X545" s="508"/>
      <c r="Y545" s="508"/>
      <c r="Z545" s="508"/>
    </row>
    <row r="546" ht="13.5" customHeight="1">
      <c r="A546" s="508"/>
      <c r="B546" s="508"/>
      <c r="C546" s="508"/>
      <c r="D546" s="508"/>
      <c r="E546" s="508"/>
      <c r="F546" s="508"/>
      <c r="G546" s="533"/>
      <c r="H546" s="508"/>
      <c r="I546" s="508"/>
      <c r="J546" s="508"/>
      <c r="K546" s="508"/>
      <c r="L546" s="508"/>
      <c r="M546" s="508"/>
      <c r="N546" s="508"/>
      <c r="O546" s="508"/>
      <c r="P546" s="508"/>
      <c r="Q546" s="508"/>
      <c r="R546" s="508"/>
      <c r="S546" s="508"/>
      <c r="T546" s="508"/>
      <c r="U546" s="508"/>
      <c r="V546" s="508"/>
      <c r="W546" s="508"/>
      <c r="X546" s="508"/>
      <c r="Y546" s="508"/>
      <c r="Z546" s="508"/>
    </row>
    <row r="547" ht="13.5" customHeight="1">
      <c r="A547" s="508"/>
      <c r="B547" s="508"/>
      <c r="C547" s="508"/>
      <c r="D547" s="508"/>
      <c r="E547" s="508"/>
      <c r="F547" s="508"/>
      <c r="G547" s="533"/>
      <c r="H547" s="508"/>
      <c r="I547" s="508"/>
      <c r="J547" s="508"/>
      <c r="K547" s="508"/>
      <c r="L547" s="508"/>
      <c r="M547" s="508"/>
      <c r="N547" s="508"/>
      <c r="O547" s="508"/>
      <c r="P547" s="508"/>
      <c r="Q547" s="508"/>
      <c r="R547" s="508"/>
      <c r="S547" s="508"/>
      <c r="T547" s="508"/>
      <c r="U547" s="508"/>
      <c r="V547" s="508"/>
      <c r="W547" s="508"/>
      <c r="X547" s="508"/>
      <c r="Y547" s="508"/>
      <c r="Z547" s="508"/>
    </row>
    <row r="548" ht="13.5" customHeight="1">
      <c r="A548" s="508"/>
      <c r="B548" s="508"/>
      <c r="C548" s="508"/>
      <c r="D548" s="508"/>
      <c r="E548" s="508"/>
      <c r="F548" s="508"/>
      <c r="G548" s="533"/>
      <c r="H548" s="508"/>
      <c r="I548" s="508"/>
      <c r="J548" s="508"/>
      <c r="K548" s="508"/>
      <c r="L548" s="508"/>
      <c r="M548" s="508"/>
      <c r="N548" s="508"/>
      <c r="O548" s="508"/>
      <c r="P548" s="508"/>
      <c r="Q548" s="508"/>
      <c r="R548" s="508"/>
      <c r="S548" s="508"/>
      <c r="T548" s="508"/>
      <c r="U548" s="508"/>
      <c r="V548" s="508"/>
      <c r="W548" s="508"/>
      <c r="X548" s="508"/>
      <c r="Y548" s="508"/>
      <c r="Z548" s="508"/>
    </row>
    <row r="549" ht="13.5" customHeight="1">
      <c r="A549" s="508"/>
      <c r="B549" s="508"/>
      <c r="C549" s="508"/>
      <c r="D549" s="508"/>
      <c r="E549" s="508"/>
      <c r="F549" s="508"/>
      <c r="G549" s="533"/>
      <c r="H549" s="508"/>
      <c r="I549" s="508"/>
      <c r="J549" s="508"/>
      <c r="K549" s="508"/>
      <c r="L549" s="508"/>
      <c r="M549" s="508"/>
      <c r="N549" s="508"/>
      <c r="O549" s="508"/>
      <c r="P549" s="508"/>
      <c r="Q549" s="508"/>
      <c r="R549" s="508"/>
      <c r="S549" s="508"/>
      <c r="T549" s="508"/>
      <c r="U549" s="508"/>
      <c r="V549" s="508"/>
      <c r="W549" s="508"/>
      <c r="X549" s="508"/>
      <c r="Y549" s="508"/>
      <c r="Z549" s="508"/>
    </row>
    <row r="550" ht="13.5" customHeight="1">
      <c r="A550" s="508"/>
      <c r="B550" s="508"/>
      <c r="C550" s="508"/>
      <c r="D550" s="508"/>
      <c r="E550" s="508"/>
      <c r="F550" s="508"/>
      <c r="G550" s="533"/>
      <c r="H550" s="508"/>
      <c r="I550" s="508"/>
      <c r="J550" s="508"/>
      <c r="K550" s="508"/>
      <c r="L550" s="508"/>
      <c r="M550" s="508"/>
      <c r="N550" s="508"/>
      <c r="O550" s="508"/>
      <c r="P550" s="508"/>
      <c r="Q550" s="508"/>
      <c r="R550" s="508"/>
      <c r="S550" s="508"/>
      <c r="T550" s="508"/>
      <c r="U550" s="508"/>
      <c r="V550" s="508"/>
      <c r="W550" s="508"/>
      <c r="X550" s="508"/>
      <c r="Y550" s="508"/>
      <c r="Z550" s="508"/>
    </row>
    <row r="551" ht="13.5" customHeight="1">
      <c r="A551" s="508"/>
      <c r="B551" s="508"/>
      <c r="C551" s="508"/>
      <c r="D551" s="508"/>
      <c r="E551" s="508"/>
      <c r="F551" s="508"/>
      <c r="G551" s="533"/>
      <c r="H551" s="508"/>
      <c r="I551" s="508"/>
      <c r="J551" s="508"/>
      <c r="K551" s="508"/>
      <c r="L551" s="508"/>
      <c r="M551" s="508"/>
      <c r="N551" s="508"/>
      <c r="O551" s="508"/>
      <c r="P551" s="508"/>
      <c r="Q551" s="508"/>
      <c r="R551" s="508"/>
      <c r="S551" s="508"/>
      <c r="T551" s="508"/>
      <c r="U551" s="508"/>
      <c r="V551" s="508"/>
      <c r="W551" s="508"/>
      <c r="X551" s="508"/>
      <c r="Y551" s="508"/>
      <c r="Z551" s="508"/>
    </row>
    <row r="552" ht="13.5" customHeight="1">
      <c r="A552" s="508"/>
      <c r="B552" s="508"/>
      <c r="C552" s="508"/>
      <c r="D552" s="508"/>
      <c r="E552" s="508"/>
      <c r="F552" s="508"/>
      <c r="G552" s="533"/>
      <c r="H552" s="508"/>
      <c r="I552" s="508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508"/>
      <c r="Y552" s="508"/>
      <c r="Z552" s="508"/>
    </row>
    <row r="553" ht="13.5" customHeight="1">
      <c r="A553" s="508"/>
      <c r="B553" s="508"/>
      <c r="C553" s="508"/>
      <c r="D553" s="508"/>
      <c r="E553" s="508"/>
      <c r="F553" s="508"/>
      <c r="G553" s="533"/>
      <c r="H553" s="508"/>
      <c r="I553" s="508"/>
      <c r="J553" s="508"/>
      <c r="K553" s="508"/>
      <c r="L553" s="508"/>
      <c r="M553" s="508"/>
      <c r="N553" s="508"/>
      <c r="O553" s="508"/>
      <c r="P553" s="508"/>
      <c r="Q553" s="508"/>
      <c r="R553" s="508"/>
      <c r="S553" s="508"/>
      <c r="T553" s="508"/>
      <c r="U553" s="508"/>
      <c r="V553" s="508"/>
      <c r="W553" s="508"/>
      <c r="X553" s="508"/>
      <c r="Y553" s="508"/>
      <c r="Z553" s="508"/>
    </row>
    <row r="554" ht="13.5" customHeight="1">
      <c r="A554" s="508"/>
      <c r="B554" s="508"/>
      <c r="C554" s="508"/>
      <c r="D554" s="508"/>
      <c r="E554" s="508"/>
      <c r="F554" s="508"/>
      <c r="G554" s="533"/>
      <c r="H554" s="508"/>
      <c r="I554" s="508"/>
      <c r="J554" s="508"/>
      <c r="K554" s="508"/>
      <c r="L554" s="508"/>
      <c r="M554" s="508"/>
      <c r="N554" s="508"/>
      <c r="O554" s="508"/>
      <c r="P554" s="508"/>
      <c r="Q554" s="508"/>
      <c r="R554" s="508"/>
      <c r="S554" s="508"/>
      <c r="T554" s="508"/>
      <c r="U554" s="508"/>
      <c r="V554" s="508"/>
      <c r="W554" s="508"/>
      <c r="X554" s="508"/>
      <c r="Y554" s="508"/>
      <c r="Z554" s="508"/>
    </row>
    <row r="555" ht="13.5" customHeight="1">
      <c r="A555" s="508"/>
      <c r="B555" s="508"/>
      <c r="C555" s="508"/>
      <c r="D555" s="508"/>
      <c r="E555" s="508"/>
      <c r="F555" s="508"/>
      <c r="G555" s="533"/>
      <c r="H555" s="508"/>
      <c r="I555" s="508"/>
      <c r="J555" s="508"/>
      <c r="K555" s="508"/>
      <c r="L555" s="508"/>
      <c r="M555" s="508"/>
      <c r="N555" s="508"/>
      <c r="O555" s="508"/>
      <c r="P555" s="508"/>
      <c r="Q555" s="508"/>
      <c r="R555" s="508"/>
      <c r="S555" s="508"/>
      <c r="T555" s="508"/>
      <c r="U555" s="508"/>
      <c r="V555" s="508"/>
      <c r="W555" s="508"/>
      <c r="X555" s="508"/>
      <c r="Y555" s="508"/>
      <c r="Z555" s="508"/>
    </row>
    <row r="556" ht="13.5" customHeight="1">
      <c r="A556" s="508"/>
      <c r="B556" s="508"/>
      <c r="C556" s="508"/>
      <c r="D556" s="508"/>
      <c r="E556" s="508"/>
      <c r="F556" s="508"/>
      <c r="G556" s="533"/>
      <c r="H556" s="508"/>
      <c r="I556" s="508"/>
      <c r="J556" s="508"/>
      <c r="K556" s="508"/>
      <c r="L556" s="508"/>
      <c r="M556" s="508"/>
      <c r="N556" s="508"/>
      <c r="O556" s="508"/>
      <c r="P556" s="508"/>
      <c r="Q556" s="508"/>
      <c r="R556" s="508"/>
      <c r="S556" s="508"/>
      <c r="T556" s="508"/>
      <c r="U556" s="508"/>
      <c r="V556" s="508"/>
      <c r="W556" s="508"/>
      <c r="X556" s="508"/>
      <c r="Y556" s="508"/>
      <c r="Z556" s="508"/>
    </row>
    <row r="557" ht="13.5" customHeight="1">
      <c r="A557" s="508"/>
      <c r="B557" s="508"/>
      <c r="C557" s="508"/>
      <c r="D557" s="508"/>
      <c r="E557" s="508"/>
      <c r="F557" s="508"/>
      <c r="G557" s="533"/>
      <c r="H557" s="508"/>
      <c r="I557" s="508"/>
      <c r="J557" s="508"/>
      <c r="K557" s="508"/>
      <c r="L557" s="508"/>
      <c r="M557" s="508"/>
      <c r="N557" s="508"/>
      <c r="O557" s="508"/>
      <c r="P557" s="508"/>
      <c r="Q557" s="508"/>
      <c r="R557" s="508"/>
      <c r="S557" s="508"/>
      <c r="T557" s="508"/>
      <c r="U557" s="508"/>
      <c r="V557" s="508"/>
      <c r="W557" s="508"/>
      <c r="X557" s="508"/>
      <c r="Y557" s="508"/>
      <c r="Z557" s="508"/>
    </row>
    <row r="558" ht="13.5" customHeight="1">
      <c r="A558" s="508"/>
      <c r="B558" s="508"/>
      <c r="C558" s="508"/>
      <c r="D558" s="508"/>
      <c r="E558" s="508"/>
      <c r="F558" s="508"/>
      <c r="G558" s="533"/>
      <c r="H558" s="508"/>
      <c r="I558" s="508"/>
      <c r="J558" s="508"/>
      <c r="K558" s="508"/>
      <c r="L558" s="508"/>
      <c r="M558" s="508"/>
      <c r="N558" s="508"/>
      <c r="O558" s="508"/>
      <c r="P558" s="508"/>
      <c r="Q558" s="508"/>
      <c r="R558" s="508"/>
      <c r="S558" s="508"/>
      <c r="T558" s="508"/>
      <c r="U558" s="508"/>
      <c r="V558" s="508"/>
      <c r="W558" s="508"/>
      <c r="X558" s="508"/>
      <c r="Y558" s="508"/>
      <c r="Z558" s="508"/>
    </row>
    <row r="559" ht="13.5" customHeight="1">
      <c r="A559" s="508"/>
      <c r="B559" s="508"/>
      <c r="C559" s="508"/>
      <c r="D559" s="508"/>
      <c r="E559" s="508"/>
      <c r="F559" s="508"/>
      <c r="G559" s="533"/>
      <c r="H559" s="508"/>
      <c r="I559" s="508"/>
      <c r="J559" s="508"/>
      <c r="K559" s="508"/>
      <c r="L559" s="508"/>
      <c r="M559" s="508"/>
      <c r="N559" s="508"/>
      <c r="O559" s="508"/>
      <c r="P559" s="508"/>
      <c r="Q559" s="508"/>
      <c r="R559" s="508"/>
      <c r="S559" s="508"/>
      <c r="T559" s="508"/>
      <c r="U559" s="508"/>
      <c r="V559" s="508"/>
      <c r="W559" s="508"/>
      <c r="X559" s="508"/>
      <c r="Y559" s="508"/>
      <c r="Z559" s="508"/>
    </row>
    <row r="560" ht="13.5" customHeight="1">
      <c r="A560" s="508"/>
      <c r="B560" s="508"/>
      <c r="C560" s="508"/>
      <c r="D560" s="508"/>
      <c r="E560" s="508"/>
      <c r="F560" s="508"/>
      <c r="G560" s="533"/>
      <c r="H560" s="508"/>
      <c r="I560" s="508"/>
      <c r="J560" s="508"/>
      <c r="K560" s="508"/>
      <c r="L560" s="508"/>
      <c r="M560" s="508"/>
      <c r="N560" s="508"/>
      <c r="O560" s="508"/>
      <c r="P560" s="508"/>
      <c r="Q560" s="508"/>
      <c r="R560" s="508"/>
      <c r="S560" s="508"/>
      <c r="T560" s="508"/>
      <c r="U560" s="508"/>
      <c r="V560" s="508"/>
      <c r="W560" s="508"/>
      <c r="X560" s="508"/>
      <c r="Y560" s="508"/>
      <c r="Z560" s="508"/>
    </row>
    <row r="561" ht="13.5" customHeight="1">
      <c r="A561" s="508"/>
      <c r="B561" s="508"/>
      <c r="C561" s="508"/>
      <c r="D561" s="508"/>
      <c r="E561" s="508"/>
      <c r="F561" s="508"/>
      <c r="G561" s="533"/>
      <c r="H561" s="508"/>
      <c r="I561" s="508"/>
      <c r="J561" s="508"/>
      <c r="K561" s="508"/>
      <c r="L561" s="508"/>
      <c r="M561" s="508"/>
      <c r="N561" s="508"/>
      <c r="O561" s="508"/>
      <c r="P561" s="508"/>
      <c r="Q561" s="508"/>
      <c r="R561" s="508"/>
      <c r="S561" s="508"/>
      <c r="T561" s="508"/>
      <c r="U561" s="508"/>
      <c r="V561" s="508"/>
      <c r="W561" s="508"/>
      <c r="X561" s="508"/>
      <c r="Y561" s="508"/>
      <c r="Z561" s="508"/>
    </row>
    <row r="562" ht="13.5" customHeight="1">
      <c r="A562" s="508"/>
      <c r="B562" s="508"/>
      <c r="C562" s="508"/>
      <c r="D562" s="508"/>
      <c r="E562" s="508"/>
      <c r="F562" s="508"/>
      <c r="G562" s="533"/>
      <c r="H562" s="508"/>
      <c r="I562" s="508"/>
      <c r="J562" s="508"/>
      <c r="K562" s="508"/>
      <c r="L562" s="508"/>
      <c r="M562" s="508"/>
      <c r="N562" s="508"/>
      <c r="O562" s="508"/>
      <c r="P562" s="508"/>
      <c r="Q562" s="508"/>
      <c r="R562" s="508"/>
      <c r="S562" s="508"/>
      <c r="T562" s="508"/>
      <c r="U562" s="508"/>
      <c r="V562" s="508"/>
      <c r="W562" s="508"/>
      <c r="X562" s="508"/>
      <c r="Y562" s="508"/>
      <c r="Z562" s="508"/>
    </row>
    <row r="563" ht="13.5" customHeight="1">
      <c r="A563" s="508"/>
      <c r="B563" s="508"/>
      <c r="C563" s="508"/>
      <c r="D563" s="508"/>
      <c r="E563" s="508"/>
      <c r="F563" s="508"/>
      <c r="G563" s="533"/>
      <c r="H563" s="508"/>
      <c r="I563" s="508"/>
      <c r="J563" s="508"/>
      <c r="K563" s="508"/>
      <c r="L563" s="508"/>
      <c r="M563" s="508"/>
      <c r="N563" s="508"/>
      <c r="O563" s="508"/>
      <c r="P563" s="508"/>
      <c r="Q563" s="508"/>
      <c r="R563" s="508"/>
      <c r="S563" s="508"/>
      <c r="T563" s="508"/>
      <c r="U563" s="508"/>
      <c r="V563" s="508"/>
      <c r="W563" s="508"/>
      <c r="X563" s="508"/>
      <c r="Y563" s="508"/>
      <c r="Z563" s="508"/>
    </row>
    <row r="564" ht="13.5" customHeight="1">
      <c r="A564" s="508"/>
      <c r="B564" s="508"/>
      <c r="C564" s="508"/>
      <c r="D564" s="508"/>
      <c r="E564" s="508"/>
      <c r="F564" s="508"/>
      <c r="G564" s="533"/>
      <c r="H564" s="508"/>
      <c r="I564" s="508"/>
      <c r="J564" s="508"/>
      <c r="K564" s="508"/>
      <c r="L564" s="508"/>
      <c r="M564" s="508"/>
      <c r="N564" s="508"/>
      <c r="O564" s="508"/>
      <c r="P564" s="508"/>
      <c r="Q564" s="508"/>
      <c r="R564" s="508"/>
      <c r="S564" s="508"/>
      <c r="T564" s="508"/>
      <c r="U564" s="508"/>
      <c r="V564" s="508"/>
      <c r="W564" s="508"/>
      <c r="X564" s="508"/>
      <c r="Y564" s="508"/>
      <c r="Z564" s="508"/>
    </row>
    <row r="565" ht="13.5" customHeight="1">
      <c r="A565" s="508"/>
      <c r="B565" s="508"/>
      <c r="C565" s="508"/>
      <c r="D565" s="508"/>
      <c r="E565" s="508"/>
      <c r="F565" s="508"/>
      <c r="G565" s="533"/>
      <c r="H565" s="508"/>
      <c r="I565" s="508"/>
      <c r="J565" s="508"/>
      <c r="K565" s="508"/>
      <c r="L565" s="508"/>
      <c r="M565" s="508"/>
      <c r="N565" s="508"/>
      <c r="O565" s="508"/>
      <c r="P565" s="508"/>
      <c r="Q565" s="508"/>
      <c r="R565" s="508"/>
      <c r="S565" s="508"/>
      <c r="T565" s="508"/>
      <c r="U565" s="508"/>
      <c r="V565" s="508"/>
      <c r="W565" s="508"/>
      <c r="X565" s="508"/>
      <c r="Y565" s="508"/>
      <c r="Z565" s="508"/>
    </row>
    <row r="566" ht="13.5" customHeight="1">
      <c r="A566" s="508"/>
      <c r="B566" s="508"/>
      <c r="C566" s="508"/>
      <c r="D566" s="508"/>
      <c r="E566" s="508"/>
      <c r="F566" s="508"/>
      <c r="G566" s="533"/>
      <c r="H566" s="508"/>
      <c r="I566" s="508"/>
      <c r="J566" s="508"/>
      <c r="K566" s="508"/>
      <c r="L566" s="508"/>
      <c r="M566" s="508"/>
      <c r="N566" s="508"/>
      <c r="O566" s="508"/>
      <c r="P566" s="508"/>
      <c r="Q566" s="508"/>
      <c r="R566" s="508"/>
      <c r="S566" s="508"/>
      <c r="T566" s="508"/>
      <c r="U566" s="508"/>
      <c r="V566" s="508"/>
      <c r="W566" s="508"/>
      <c r="X566" s="508"/>
      <c r="Y566" s="508"/>
      <c r="Z566" s="508"/>
    </row>
    <row r="567" ht="13.5" customHeight="1">
      <c r="A567" s="508"/>
      <c r="B567" s="508"/>
      <c r="C567" s="508"/>
      <c r="D567" s="508"/>
      <c r="E567" s="508"/>
      <c r="F567" s="508"/>
      <c r="G567" s="533"/>
      <c r="H567" s="508"/>
      <c r="I567" s="508"/>
      <c r="J567" s="508"/>
      <c r="K567" s="508"/>
      <c r="L567" s="508"/>
      <c r="M567" s="508"/>
      <c r="N567" s="508"/>
      <c r="O567" s="508"/>
      <c r="P567" s="508"/>
      <c r="Q567" s="508"/>
      <c r="R567" s="508"/>
      <c r="S567" s="508"/>
      <c r="T567" s="508"/>
      <c r="U567" s="508"/>
      <c r="V567" s="508"/>
      <c r="W567" s="508"/>
      <c r="X567" s="508"/>
      <c r="Y567" s="508"/>
      <c r="Z567" s="508"/>
    </row>
    <row r="568" ht="13.5" customHeight="1">
      <c r="A568" s="508"/>
      <c r="B568" s="508"/>
      <c r="C568" s="508"/>
      <c r="D568" s="508"/>
      <c r="E568" s="508"/>
      <c r="F568" s="508"/>
      <c r="G568" s="533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8"/>
      <c r="Z568" s="508"/>
    </row>
    <row r="569" ht="13.5" customHeight="1">
      <c r="A569" s="508"/>
      <c r="B569" s="508"/>
      <c r="C569" s="508"/>
      <c r="D569" s="508"/>
      <c r="E569" s="508"/>
      <c r="F569" s="508"/>
      <c r="G569" s="533"/>
      <c r="H569" s="508"/>
      <c r="I569" s="508"/>
      <c r="J569" s="508"/>
      <c r="K569" s="508"/>
      <c r="L569" s="508"/>
      <c r="M569" s="508"/>
      <c r="N569" s="508"/>
      <c r="O569" s="508"/>
      <c r="P569" s="508"/>
      <c r="Q569" s="508"/>
      <c r="R569" s="508"/>
      <c r="S569" s="508"/>
      <c r="T569" s="508"/>
      <c r="U569" s="508"/>
      <c r="V569" s="508"/>
      <c r="W569" s="508"/>
      <c r="X569" s="508"/>
      <c r="Y569" s="508"/>
      <c r="Z569" s="508"/>
    </row>
    <row r="570" ht="13.5" customHeight="1">
      <c r="A570" s="508"/>
      <c r="B570" s="508"/>
      <c r="C570" s="508"/>
      <c r="D570" s="508"/>
      <c r="E570" s="508"/>
      <c r="F570" s="508"/>
      <c r="G570" s="533"/>
      <c r="H570" s="508"/>
      <c r="I570" s="508"/>
      <c r="J570" s="508"/>
      <c r="K570" s="508"/>
      <c r="L570" s="508"/>
      <c r="M570" s="508"/>
      <c r="N570" s="508"/>
      <c r="O570" s="508"/>
      <c r="P570" s="508"/>
      <c r="Q570" s="508"/>
      <c r="R570" s="508"/>
      <c r="S570" s="508"/>
      <c r="T570" s="508"/>
      <c r="U570" s="508"/>
      <c r="V570" s="508"/>
      <c r="W570" s="508"/>
      <c r="X570" s="508"/>
      <c r="Y570" s="508"/>
      <c r="Z570" s="508"/>
    </row>
    <row r="571" ht="13.5" customHeight="1">
      <c r="A571" s="508"/>
      <c r="B571" s="508"/>
      <c r="C571" s="508"/>
      <c r="D571" s="508"/>
      <c r="E571" s="508"/>
      <c r="F571" s="508"/>
      <c r="G571" s="533"/>
      <c r="H571" s="508"/>
      <c r="I571" s="508"/>
      <c r="J571" s="508"/>
      <c r="K571" s="508"/>
      <c r="L571" s="508"/>
      <c r="M571" s="508"/>
      <c r="N571" s="508"/>
      <c r="O571" s="508"/>
      <c r="P571" s="508"/>
      <c r="Q571" s="508"/>
      <c r="R571" s="508"/>
      <c r="S571" s="508"/>
      <c r="T571" s="508"/>
      <c r="U571" s="508"/>
      <c r="V571" s="508"/>
      <c r="W571" s="508"/>
      <c r="X571" s="508"/>
      <c r="Y571" s="508"/>
      <c r="Z571" s="508"/>
    </row>
    <row r="572" ht="13.5" customHeight="1">
      <c r="A572" s="508"/>
      <c r="B572" s="508"/>
      <c r="C572" s="508"/>
      <c r="D572" s="508"/>
      <c r="E572" s="508"/>
      <c r="F572" s="508"/>
      <c r="G572" s="533"/>
      <c r="H572" s="508"/>
      <c r="I572" s="508"/>
      <c r="J572" s="508"/>
      <c r="K572" s="508"/>
      <c r="L572" s="508"/>
      <c r="M572" s="508"/>
      <c r="N572" s="508"/>
      <c r="O572" s="508"/>
      <c r="P572" s="508"/>
      <c r="Q572" s="508"/>
      <c r="R572" s="508"/>
      <c r="S572" s="508"/>
      <c r="T572" s="508"/>
      <c r="U572" s="508"/>
      <c r="V572" s="508"/>
      <c r="W572" s="508"/>
      <c r="X572" s="508"/>
      <c r="Y572" s="508"/>
      <c r="Z572" s="508"/>
    </row>
    <row r="573" ht="13.5" customHeight="1">
      <c r="A573" s="508"/>
      <c r="B573" s="508"/>
      <c r="C573" s="508"/>
      <c r="D573" s="508"/>
      <c r="E573" s="508"/>
      <c r="F573" s="508"/>
      <c r="G573" s="533"/>
      <c r="H573" s="508"/>
      <c r="I573" s="508"/>
      <c r="J573" s="508"/>
      <c r="K573" s="508"/>
      <c r="L573" s="508"/>
      <c r="M573" s="508"/>
      <c r="N573" s="508"/>
      <c r="O573" s="508"/>
      <c r="P573" s="508"/>
      <c r="Q573" s="508"/>
      <c r="R573" s="508"/>
      <c r="S573" s="508"/>
      <c r="T573" s="508"/>
      <c r="U573" s="508"/>
      <c r="V573" s="508"/>
      <c r="W573" s="508"/>
      <c r="X573" s="508"/>
      <c r="Y573" s="508"/>
      <c r="Z573" s="508"/>
    </row>
    <row r="574" ht="13.5" customHeight="1">
      <c r="A574" s="508"/>
      <c r="B574" s="508"/>
      <c r="C574" s="508"/>
      <c r="D574" s="508"/>
      <c r="E574" s="508"/>
      <c r="F574" s="508"/>
      <c r="G574" s="533"/>
      <c r="H574" s="508"/>
      <c r="I574" s="508"/>
      <c r="J574" s="508"/>
      <c r="K574" s="508"/>
      <c r="L574" s="508"/>
      <c r="M574" s="508"/>
      <c r="N574" s="508"/>
      <c r="O574" s="508"/>
      <c r="P574" s="508"/>
      <c r="Q574" s="508"/>
      <c r="R574" s="508"/>
      <c r="S574" s="508"/>
      <c r="T574" s="508"/>
      <c r="U574" s="508"/>
      <c r="V574" s="508"/>
      <c r="W574" s="508"/>
      <c r="X574" s="508"/>
      <c r="Y574" s="508"/>
      <c r="Z574" s="508"/>
    </row>
    <row r="575" ht="13.5" customHeight="1">
      <c r="A575" s="508"/>
      <c r="B575" s="508"/>
      <c r="C575" s="508"/>
      <c r="D575" s="508"/>
      <c r="E575" s="508"/>
      <c r="F575" s="508"/>
      <c r="G575" s="533"/>
      <c r="H575" s="508"/>
      <c r="I575" s="508"/>
      <c r="J575" s="508"/>
      <c r="K575" s="508"/>
      <c r="L575" s="508"/>
      <c r="M575" s="508"/>
      <c r="N575" s="508"/>
      <c r="O575" s="508"/>
      <c r="P575" s="508"/>
      <c r="Q575" s="508"/>
      <c r="R575" s="508"/>
      <c r="S575" s="508"/>
      <c r="T575" s="508"/>
      <c r="U575" s="508"/>
      <c r="V575" s="508"/>
      <c r="W575" s="508"/>
      <c r="X575" s="508"/>
      <c r="Y575" s="508"/>
      <c r="Z575" s="508"/>
    </row>
    <row r="576" ht="13.5" customHeight="1">
      <c r="A576" s="508"/>
      <c r="B576" s="508"/>
      <c r="C576" s="508"/>
      <c r="D576" s="508"/>
      <c r="E576" s="508"/>
      <c r="F576" s="508"/>
      <c r="G576" s="533"/>
      <c r="H576" s="508"/>
      <c r="I576" s="508"/>
      <c r="J576" s="508"/>
      <c r="K576" s="508"/>
      <c r="L576" s="508"/>
      <c r="M576" s="508"/>
      <c r="N576" s="508"/>
      <c r="O576" s="508"/>
      <c r="P576" s="508"/>
      <c r="Q576" s="508"/>
      <c r="R576" s="508"/>
      <c r="S576" s="508"/>
      <c r="T576" s="508"/>
      <c r="U576" s="508"/>
      <c r="V576" s="508"/>
      <c r="W576" s="508"/>
      <c r="X576" s="508"/>
      <c r="Y576" s="508"/>
      <c r="Z576" s="508"/>
    </row>
    <row r="577" ht="13.5" customHeight="1">
      <c r="A577" s="508"/>
      <c r="B577" s="508"/>
      <c r="C577" s="508"/>
      <c r="D577" s="508"/>
      <c r="E577" s="508"/>
      <c r="F577" s="508"/>
      <c r="G577" s="533"/>
      <c r="H577" s="508"/>
      <c r="I577" s="508"/>
      <c r="J577" s="508"/>
      <c r="K577" s="508"/>
      <c r="L577" s="508"/>
      <c r="M577" s="508"/>
      <c r="N577" s="508"/>
      <c r="O577" s="508"/>
      <c r="P577" s="508"/>
      <c r="Q577" s="508"/>
      <c r="R577" s="508"/>
      <c r="S577" s="508"/>
      <c r="T577" s="508"/>
      <c r="U577" s="508"/>
      <c r="V577" s="508"/>
      <c r="W577" s="508"/>
      <c r="X577" s="508"/>
      <c r="Y577" s="508"/>
      <c r="Z577" s="508"/>
    </row>
    <row r="578" ht="13.5" customHeight="1">
      <c r="A578" s="508"/>
      <c r="B578" s="508"/>
      <c r="C578" s="508"/>
      <c r="D578" s="508"/>
      <c r="E578" s="508"/>
      <c r="F578" s="508"/>
      <c r="G578" s="533"/>
      <c r="H578" s="508"/>
      <c r="I578" s="508"/>
      <c r="J578" s="508"/>
      <c r="K578" s="508"/>
      <c r="L578" s="508"/>
      <c r="M578" s="508"/>
      <c r="N578" s="508"/>
      <c r="O578" s="508"/>
      <c r="P578" s="508"/>
      <c r="Q578" s="508"/>
      <c r="R578" s="508"/>
      <c r="S578" s="508"/>
      <c r="T578" s="508"/>
      <c r="U578" s="508"/>
      <c r="V578" s="508"/>
      <c r="W578" s="508"/>
      <c r="X578" s="508"/>
      <c r="Y578" s="508"/>
      <c r="Z578" s="508"/>
    </row>
    <row r="579" ht="13.5" customHeight="1">
      <c r="A579" s="508"/>
      <c r="B579" s="508"/>
      <c r="C579" s="508"/>
      <c r="D579" s="508"/>
      <c r="E579" s="508"/>
      <c r="F579" s="508"/>
      <c r="G579" s="533"/>
      <c r="H579" s="508"/>
      <c r="I579" s="508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508"/>
      <c r="Y579" s="508"/>
      <c r="Z579" s="508"/>
    </row>
    <row r="580" ht="13.5" customHeight="1">
      <c r="A580" s="508"/>
      <c r="B580" s="508"/>
      <c r="C580" s="508"/>
      <c r="D580" s="508"/>
      <c r="E580" s="508"/>
      <c r="F580" s="508"/>
      <c r="G580" s="533"/>
      <c r="H580" s="508"/>
      <c r="I580" s="508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508"/>
      <c r="Y580" s="508"/>
      <c r="Z580" s="508"/>
    </row>
    <row r="581" ht="13.5" customHeight="1">
      <c r="A581" s="508"/>
      <c r="B581" s="508"/>
      <c r="C581" s="508"/>
      <c r="D581" s="508"/>
      <c r="E581" s="508"/>
      <c r="F581" s="508"/>
      <c r="G581" s="533"/>
      <c r="H581" s="508"/>
      <c r="I581" s="508"/>
      <c r="J581" s="508"/>
      <c r="K581" s="508"/>
      <c r="L581" s="508"/>
      <c r="M581" s="508"/>
      <c r="N581" s="508"/>
      <c r="O581" s="508"/>
      <c r="P581" s="508"/>
      <c r="Q581" s="508"/>
      <c r="R581" s="508"/>
      <c r="S581" s="508"/>
      <c r="T581" s="508"/>
      <c r="U581" s="508"/>
      <c r="V581" s="508"/>
      <c r="W581" s="508"/>
      <c r="X581" s="508"/>
      <c r="Y581" s="508"/>
      <c r="Z581" s="508"/>
    </row>
    <row r="582" ht="13.5" customHeight="1">
      <c r="A582" s="508"/>
      <c r="B582" s="508"/>
      <c r="C582" s="508"/>
      <c r="D582" s="508"/>
      <c r="E582" s="508"/>
      <c r="F582" s="508"/>
      <c r="G582" s="533"/>
      <c r="H582" s="508"/>
      <c r="I582" s="508"/>
      <c r="J582" s="508"/>
      <c r="K582" s="508"/>
      <c r="L582" s="508"/>
      <c r="M582" s="508"/>
      <c r="N582" s="508"/>
      <c r="O582" s="508"/>
      <c r="P582" s="508"/>
      <c r="Q582" s="508"/>
      <c r="R582" s="508"/>
      <c r="S582" s="508"/>
      <c r="T582" s="508"/>
      <c r="U582" s="508"/>
      <c r="V582" s="508"/>
      <c r="W582" s="508"/>
      <c r="X582" s="508"/>
      <c r="Y582" s="508"/>
      <c r="Z582" s="508"/>
    </row>
    <row r="583" ht="13.5" customHeight="1">
      <c r="A583" s="508"/>
      <c r="B583" s="508"/>
      <c r="C583" s="508"/>
      <c r="D583" s="508"/>
      <c r="E583" s="508"/>
      <c r="F583" s="508"/>
      <c r="G583" s="533"/>
      <c r="H583" s="508"/>
      <c r="I583" s="508"/>
      <c r="J583" s="508"/>
      <c r="K583" s="508"/>
      <c r="L583" s="508"/>
      <c r="M583" s="508"/>
      <c r="N583" s="508"/>
      <c r="O583" s="508"/>
      <c r="P583" s="508"/>
      <c r="Q583" s="508"/>
      <c r="R583" s="508"/>
      <c r="S583" s="508"/>
      <c r="T583" s="508"/>
      <c r="U583" s="508"/>
      <c r="V583" s="508"/>
      <c r="W583" s="508"/>
      <c r="X583" s="508"/>
      <c r="Y583" s="508"/>
      <c r="Z583" s="508"/>
    </row>
    <row r="584" ht="13.5" customHeight="1">
      <c r="A584" s="508"/>
      <c r="B584" s="508"/>
      <c r="C584" s="508"/>
      <c r="D584" s="508"/>
      <c r="E584" s="508"/>
      <c r="F584" s="508"/>
      <c r="G584" s="533"/>
      <c r="H584" s="508"/>
      <c r="I584" s="508"/>
      <c r="J584" s="508"/>
      <c r="K584" s="508"/>
      <c r="L584" s="508"/>
      <c r="M584" s="508"/>
      <c r="N584" s="508"/>
      <c r="O584" s="508"/>
      <c r="P584" s="508"/>
      <c r="Q584" s="508"/>
      <c r="R584" s="508"/>
      <c r="S584" s="508"/>
      <c r="T584" s="508"/>
      <c r="U584" s="508"/>
      <c r="V584" s="508"/>
      <c r="W584" s="508"/>
      <c r="X584" s="508"/>
      <c r="Y584" s="508"/>
      <c r="Z584" s="508"/>
    </row>
    <row r="585" ht="13.5" customHeight="1">
      <c r="A585" s="508"/>
      <c r="B585" s="508"/>
      <c r="C585" s="508"/>
      <c r="D585" s="508"/>
      <c r="E585" s="508"/>
      <c r="F585" s="508"/>
      <c r="G585" s="533"/>
      <c r="H585" s="508"/>
      <c r="I585" s="508"/>
      <c r="J585" s="508"/>
      <c r="K585" s="508"/>
      <c r="L585" s="508"/>
      <c r="M585" s="508"/>
      <c r="N585" s="508"/>
      <c r="O585" s="508"/>
      <c r="P585" s="508"/>
      <c r="Q585" s="508"/>
      <c r="R585" s="508"/>
      <c r="S585" s="508"/>
      <c r="T585" s="508"/>
      <c r="U585" s="508"/>
      <c r="V585" s="508"/>
      <c r="W585" s="508"/>
      <c r="X585" s="508"/>
      <c r="Y585" s="508"/>
      <c r="Z585" s="508"/>
    </row>
    <row r="586" ht="13.5" customHeight="1">
      <c r="A586" s="508"/>
      <c r="B586" s="508"/>
      <c r="C586" s="508"/>
      <c r="D586" s="508"/>
      <c r="E586" s="508"/>
      <c r="F586" s="508"/>
      <c r="G586" s="533"/>
      <c r="H586" s="508"/>
      <c r="I586" s="508"/>
      <c r="J586" s="508"/>
      <c r="K586" s="508"/>
      <c r="L586" s="508"/>
      <c r="M586" s="508"/>
      <c r="N586" s="508"/>
      <c r="O586" s="508"/>
      <c r="P586" s="508"/>
      <c r="Q586" s="508"/>
      <c r="R586" s="508"/>
      <c r="S586" s="508"/>
      <c r="T586" s="508"/>
      <c r="U586" s="508"/>
      <c r="V586" s="508"/>
      <c r="W586" s="508"/>
      <c r="X586" s="508"/>
      <c r="Y586" s="508"/>
      <c r="Z586" s="508"/>
    </row>
    <row r="587" ht="13.5" customHeight="1">
      <c r="A587" s="508"/>
      <c r="B587" s="508"/>
      <c r="C587" s="508"/>
      <c r="D587" s="508"/>
      <c r="E587" s="508"/>
      <c r="F587" s="508"/>
      <c r="G587" s="533"/>
      <c r="H587" s="508"/>
      <c r="I587" s="508"/>
      <c r="J587" s="508"/>
      <c r="K587" s="508"/>
      <c r="L587" s="508"/>
      <c r="M587" s="508"/>
      <c r="N587" s="508"/>
      <c r="O587" s="508"/>
      <c r="P587" s="508"/>
      <c r="Q587" s="508"/>
      <c r="R587" s="508"/>
      <c r="S587" s="508"/>
      <c r="T587" s="508"/>
      <c r="U587" s="508"/>
      <c r="V587" s="508"/>
      <c r="W587" s="508"/>
      <c r="X587" s="508"/>
      <c r="Y587" s="508"/>
      <c r="Z587" s="508"/>
    </row>
    <row r="588" ht="13.5" customHeight="1">
      <c r="A588" s="508"/>
      <c r="B588" s="508"/>
      <c r="C588" s="508"/>
      <c r="D588" s="508"/>
      <c r="E588" s="508"/>
      <c r="F588" s="508"/>
      <c r="G588" s="533"/>
      <c r="H588" s="508"/>
      <c r="I588" s="508"/>
      <c r="J588" s="508"/>
      <c r="K588" s="508"/>
      <c r="L588" s="508"/>
      <c r="M588" s="508"/>
      <c r="N588" s="508"/>
      <c r="O588" s="508"/>
      <c r="P588" s="508"/>
      <c r="Q588" s="508"/>
      <c r="R588" s="508"/>
      <c r="S588" s="508"/>
      <c r="T588" s="508"/>
      <c r="U588" s="508"/>
      <c r="V588" s="508"/>
      <c r="W588" s="508"/>
      <c r="X588" s="508"/>
      <c r="Y588" s="508"/>
      <c r="Z588" s="508"/>
    </row>
    <row r="589" ht="13.5" customHeight="1">
      <c r="A589" s="508"/>
      <c r="B589" s="508"/>
      <c r="C589" s="508"/>
      <c r="D589" s="508"/>
      <c r="E589" s="508"/>
      <c r="F589" s="508"/>
      <c r="G589" s="533"/>
      <c r="H589" s="508"/>
      <c r="I589" s="508"/>
      <c r="J589" s="508"/>
      <c r="K589" s="508"/>
      <c r="L589" s="508"/>
      <c r="M589" s="508"/>
      <c r="N589" s="508"/>
      <c r="O589" s="508"/>
      <c r="P589" s="508"/>
      <c r="Q589" s="508"/>
      <c r="R589" s="508"/>
      <c r="S589" s="508"/>
      <c r="T589" s="508"/>
      <c r="U589" s="508"/>
      <c r="V589" s="508"/>
      <c r="W589" s="508"/>
      <c r="X589" s="508"/>
      <c r="Y589" s="508"/>
      <c r="Z589" s="508"/>
    </row>
    <row r="590" ht="13.5" customHeight="1">
      <c r="A590" s="508"/>
      <c r="B590" s="508"/>
      <c r="C590" s="508"/>
      <c r="D590" s="508"/>
      <c r="E590" s="508"/>
      <c r="F590" s="508"/>
      <c r="G590" s="533"/>
      <c r="H590" s="508"/>
      <c r="I590" s="508"/>
      <c r="J590" s="508"/>
      <c r="K590" s="508"/>
      <c r="L590" s="508"/>
      <c r="M590" s="508"/>
      <c r="N590" s="508"/>
      <c r="O590" s="508"/>
      <c r="P590" s="508"/>
      <c r="Q590" s="508"/>
      <c r="R590" s="508"/>
      <c r="S590" s="508"/>
      <c r="T590" s="508"/>
      <c r="U590" s="508"/>
      <c r="V590" s="508"/>
      <c r="W590" s="508"/>
      <c r="X590" s="508"/>
      <c r="Y590" s="508"/>
      <c r="Z590" s="508"/>
    </row>
    <row r="591" ht="13.5" customHeight="1">
      <c r="A591" s="508"/>
      <c r="B591" s="508"/>
      <c r="C591" s="508"/>
      <c r="D591" s="508"/>
      <c r="E591" s="508"/>
      <c r="F591" s="508"/>
      <c r="G591" s="533"/>
      <c r="H591" s="508"/>
      <c r="I591" s="508"/>
      <c r="J591" s="508"/>
      <c r="K591" s="508"/>
      <c r="L591" s="508"/>
      <c r="M591" s="508"/>
      <c r="N591" s="508"/>
      <c r="O591" s="508"/>
      <c r="P591" s="508"/>
      <c r="Q591" s="508"/>
      <c r="R591" s="508"/>
      <c r="S591" s="508"/>
      <c r="T591" s="508"/>
      <c r="U591" s="508"/>
      <c r="V591" s="508"/>
      <c r="W591" s="508"/>
      <c r="X591" s="508"/>
      <c r="Y591" s="508"/>
      <c r="Z591" s="508"/>
    </row>
    <row r="592" ht="13.5" customHeight="1">
      <c r="A592" s="508"/>
      <c r="B592" s="508"/>
      <c r="C592" s="508"/>
      <c r="D592" s="508"/>
      <c r="E592" s="508"/>
      <c r="F592" s="508"/>
      <c r="G592" s="533"/>
      <c r="H592" s="508"/>
      <c r="I592" s="508"/>
      <c r="J592" s="508"/>
      <c r="K592" s="508"/>
      <c r="L592" s="508"/>
      <c r="M592" s="508"/>
      <c r="N592" s="508"/>
      <c r="O592" s="508"/>
      <c r="P592" s="508"/>
      <c r="Q592" s="508"/>
      <c r="R592" s="508"/>
      <c r="S592" s="508"/>
      <c r="T592" s="508"/>
      <c r="U592" s="508"/>
      <c r="V592" s="508"/>
      <c r="W592" s="508"/>
      <c r="X592" s="508"/>
      <c r="Y592" s="508"/>
      <c r="Z592" s="508"/>
    </row>
    <row r="593" ht="13.5" customHeight="1">
      <c r="A593" s="508"/>
      <c r="B593" s="508"/>
      <c r="C593" s="508"/>
      <c r="D593" s="508"/>
      <c r="E593" s="508"/>
      <c r="F593" s="508"/>
      <c r="G593" s="533"/>
      <c r="H593" s="508"/>
      <c r="I593" s="508"/>
      <c r="J593" s="508"/>
      <c r="K593" s="508"/>
      <c r="L593" s="508"/>
      <c r="M593" s="508"/>
      <c r="N593" s="508"/>
      <c r="O593" s="508"/>
      <c r="P593" s="508"/>
      <c r="Q593" s="508"/>
      <c r="R593" s="508"/>
      <c r="S593" s="508"/>
      <c r="T593" s="508"/>
      <c r="U593" s="508"/>
      <c r="V593" s="508"/>
      <c r="W593" s="508"/>
      <c r="X593" s="508"/>
      <c r="Y593" s="508"/>
      <c r="Z593" s="508"/>
    </row>
    <row r="594" ht="13.5" customHeight="1">
      <c r="A594" s="508"/>
      <c r="B594" s="508"/>
      <c r="C594" s="508"/>
      <c r="D594" s="508"/>
      <c r="E594" s="508"/>
      <c r="F594" s="508"/>
      <c r="G594" s="533"/>
      <c r="H594" s="508"/>
      <c r="I594" s="508"/>
      <c r="J594" s="508"/>
      <c r="K594" s="508"/>
      <c r="L594" s="508"/>
      <c r="M594" s="508"/>
      <c r="N594" s="508"/>
      <c r="O594" s="508"/>
      <c r="P594" s="508"/>
      <c r="Q594" s="508"/>
      <c r="R594" s="508"/>
      <c r="S594" s="508"/>
      <c r="T594" s="508"/>
      <c r="U594" s="508"/>
      <c r="V594" s="508"/>
      <c r="W594" s="508"/>
      <c r="X594" s="508"/>
      <c r="Y594" s="508"/>
      <c r="Z594" s="508"/>
    </row>
    <row r="595" ht="13.5" customHeight="1">
      <c r="A595" s="508"/>
      <c r="B595" s="508"/>
      <c r="C595" s="508"/>
      <c r="D595" s="508"/>
      <c r="E595" s="508"/>
      <c r="F595" s="508"/>
      <c r="G595" s="533"/>
      <c r="H595" s="508"/>
      <c r="I595" s="508"/>
      <c r="J595" s="508"/>
      <c r="K595" s="508"/>
      <c r="L595" s="508"/>
      <c r="M595" s="508"/>
      <c r="N595" s="508"/>
      <c r="O595" s="508"/>
      <c r="P595" s="508"/>
      <c r="Q595" s="508"/>
      <c r="R595" s="508"/>
      <c r="S595" s="508"/>
      <c r="T595" s="508"/>
      <c r="U595" s="508"/>
      <c r="V595" s="508"/>
      <c r="W595" s="508"/>
      <c r="X595" s="508"/>
      <c r="Y595" s="508"/>
      <c r="Z595" s="508"/>
    </row>
    <row r="596" ht="13.5" customHeight="1">
      <c r="A596" s="508"/>
      <c r="B596" s="508"/>
      <c r="C596" s="508"/>
      <c r="D596" s="508"/>
      <c r="E596" s="508"/>
      <c r="F596" s="508"/>
      <c r="G596" s="533"/>
      <c r="H596" s="508"/>
      <c r="I596" s="508"/>
      <c r="J596" s="508"/>
      <c r="K596" s="508"/>
      <c r="L596" s="508"/>
      <c r="M596" s="508"/>
      <c r="N596" s="508"/>
      <c r="O596" s="508"/>
      <c r="P596" s="508"/>
      <c r="Q596" s="508"/>
      <c r="R596" s="508"/>
      <c r="S596" s="508"/>
      <c r="T596" s="508"/>
      <c r="U596" s="508"/>
      <c r="V596" s="508"/>
      <c r="W596" s="508"/>
      <c r="X596" s="508"/>
      <c r="Y596" s="508"/>
      <c r="Z596" s="508"/>
    </row>
    <row r="597" ht="13.5" customHeight="1">
      <c r="A597" s="508"/>
      <c r="B597" s="508"/>
      <c r="C597" s="508"/>
      <c r="D597" s="508"/>
      <c r="E597" s="508"/>
      <c r="F597" s="508"/>
      <c r="G597" s="533"/>
      <c r="H597" s="508"/>
      <c r="I597" s="508"/>
      <c r="J597" s="508"/>
      <c r="K597" s="508"/>
      <c r="L597" s="508"/>
      <c r="M597" s="508"/>
      <c r="N597" s="508"/>
      <c r="O597" s="508"/>
      <c r="P597" s="508"/>
      <c r="Q597" s="508"/>
      <c r="R597" s="508"/>
      <c r="S597" s="508"/>
      <c r="T597" s="508"/>
      <c r="U597" s="508"/>
      <c r="V597" s="508"/>
      <c r="W597" s="508"/>
      <c r="X597" s="508"/>
      <c r="Y597" s="508"/>
      <c r="Z597" s="508"/>
    </row>
    <row r="598" ht="13.5" customHeight="1">
      <c r="A598" s="508"/>
      <c r="B598" s="508"/>
      <c r="C598" s="508"/>
      <c r="D598" s="508"/>
      <c r="E598" s="508"/>
      <c r="F598" s="508"/>
      <c r="G598" s="533"/>
      <c r="H598" s="508"/>
      <c r="I598" s="508"/>
      <c r="J598" s="508"/>
      <c r="K598" s="508"/>
      <c r="L598" s="508"/>
      <c r="M598" s="508"/>
      <c r="N598" s="508"/>
      <c r="O598" s="508"/>
      <c r="P598" s="508"/>
      <c r="Q598" s="508"/>
      <c r="R598" s="508"/>
      <c r="S598" s="508"/>
      <c r="T598" s="508"/>
      <c r="U598" s="508"/>
      <c r="V598" s="508"/>
      <c r="W598" s="508"/>
      <c r="X598" s="508"/>
      <c r="Y598" s="508"/>
      <c r="Z598" s="508"/>
    </row>
    <row r="599" ht="13.5" customHeight="1">
      <c r="A599" s="508"/>
      <c r="B599" s="508"/>
      <c r="C599" s="508"/>
      <c r="D599" s="508"/>
      <c r="E599" s="508"/>
      <c r="F599" s="508"/>
      <c r="G599" s="533"/>
      <c r="H599" s="508"/>
      <c r="I599" s="508"/>
      <c r="J599" s="508"/>
      <c r="K599" s="508"/>
      <c r="L599" s="508"/>
      <c r="M599" s="508"/>
      <c r="N599" s="508"/>
      <c r="O599" s="508"/>
      <c r="P599" s="508"/>
      <c r="Q599" s="508"/>
      <c r="R599" s="508"/>
      <c r="S599" s="508"/>
      <c r="T599" s="508"/>
      <c r="U599" s="508"/>
      <c r="V599" s="508"/>
      <c r="W599" s="508"/>
      <c r="X599" s="508"/>
      <c r="Y599" s="508"/>
      <c r="Z599" s="508"/>
    </row>
    <row r="600" ht="13.5" customHeight="1">
      <c r="A600" s="508"/>
      <c r="B600" s="508"/>
      <c r="C600" s="508"/>
      <c r="D600" s="508"/>
      <c r="E600" s="508"/>
      <c r="F600" s="508"/>
      <c r="G600" s="533"/>
      <c r="H600" s="508"/>
      <c r="I600" s="508"/>
      <c r="J600" s="508"/>
      <c r="K600" s="508"/>
      <c r="L600" s="508"/>
      <c r="M600" s="508"/>
      <c r="N600" s="508"/>
      <c r="O600" s="508"/>
      <c r="P600" s="508"/>
      <c r="Q600" s="508"/>
      <c r="R600" s="508"/>
      <c r="S600" s="508"/>
      <c r="T600" s="508"/>
      <c r="U600" s="508"/>
      <c r="V600" s="508"/>
      <c r="W600" s="508"/>
      <c r="X600" s="508"/>
      <c r="Y600" s="508"/>
      <c r="Z600" s="508"/>
    </row>
    <row r="601" ht="13.5" customHeight="1">
      <c r="A601" s="508"/>
      <c r="B601" s="508"/>
      <c r="C601" s="508"/>
      <c r="D601" s="508"/>
      <c r="E601" s="508"/>
      <c r="F601" s="508"/>
      <c r="G601" s="533"/>
      <c r="H601" s="508"/>
      <c r="I601" s="508"/>
      <c r="J601" s="508"/>
      <c r="K601" s="508"/>
      <c r="L601" s="508"/>
      <c r="M601" s="508"/>
      <c r="N601" s="508"/>
      <c r="O601" s="508"/>
      <c r="P601" s="508"/>
      <c r="Q601" s="508"/>
      <c r="R601" s="508"/>
      <c r="S601" s="508"/>
      <c r="T601" s="508"/>
      <c r="U601" s="508"/>
      <c r="V601" s="508"/>
      <c r="W601" s="508"/>
      <c r="X601" s="508"/>
      <c r="Y601" s="508"/>
      <c r="Z601" s="508"/>
    </row>
    <row r="602" ht="13.5" customHeight="1">
      <c r="A602" s="508"/>
      <c r="B602" s="508"/>
      <c r="C602" s="508"/>
      <c r="D602" s="508"/>
      <c r="E602" s="508"/>
      <c r="F602" s="508"/>
      <c r="G602" s="533"/>
      <c r="H602" s="508"/>
      <c r="I602" s="508"/>
      <c r="J602" s="508"/>
      <c r="K602" s="508"/>
      <c r="L602" s="508"/>
      <c r="M602" s="508"/>
      <c r="N602" s="508"/>
      <c r="O602" s="508"/>
      <c r="P602" s="508"/>
      <c r="Q602" s="508"/>
      <c r="R602" s="508"/>
      <c r="S602" s="508"/>
      <c r="T602" s="508"/>
      <c r="U602" s="508"/>
      <c r="V602" s="508"/>
      <c r="W602" s="508"/>
      <c r="X602" s="508"/>
      <c r="Y602" s="508"/>
      <c r="Z602" s="508"/>
    </row>
    <row r="603" ht="13.5" customHeight="1">
      <c r="A603" s="508"/>
      <c r="B603" s="508"/>
      <c r="C603" s="508"/>
      <c r="D603" s="508"/>
      <c r="E603" s="508"/>
      <c r="F603" s="508"/>
      <c r="G603" s="533"/>
      <c r="H603" s="508"/>
      <c r="I603" s="508"/>
      <c r="J603" s="508"/>
      <c r="K603" s="508"/>
      <c r="L603" s="508"/>
      <c r="M603" s="508"/>
      <c r="N603" s="508"/>
      <c r="O603" s="508"/>
      <c r="P603" s="508"/>
      <c r="Q603" s="508"/>
      <c r="R603" s="508"/>
      <c r="S603" s="508"/>
      <c r="T603" s="508"/>
      <c r="U603" s="508"/>
      <c r="V603" s="508"/>
      <c r="W603" s="508"/>
      <c r="X603" s="508"/>
      <c r="Y603" s="508"/>
      <c r="Z603" s="508"/>
    </row>
    <row r="604" ht="13.5" customHeight="1">
      <c r="A604" s="508"/>
      <c r="B604" s="508"/>
      <c r="C604" s="508"/>
      <c r="D604" s="508"/>
      <c r="E604" s="508"/>
      <c r="F604" s="508"/>
      <c r="G604" s="533"/>
      <c r="H604" s="508"/>
      <c r="I604" s="508"/>
      <c r="J604" s="508"/>
      <c r="K604" s="508"/>
      <c r="L604" s="508"/>
      <c r="M604" s="508"/>
      <c r="N604" s="508"/>
      <c r="O604" s="508"/>
      <c r="P604" s="508"/>
      <c r="Q604" s="508"/>
      <c r="R604" s="508"/>
      <c r="S604" s="508"/>
      <c r="T604" s="508"/>
      <c r="U604" s="508"/>
      <c r="V604" s="508"/>
      <c r="W604" s="508"/>
      <c r="X604" s="508"/>
      <c r="Y604" s="508"/>
      <c r="Z604" s="508"/>
    </row>
    <row r="605" ht="13.5" customHeight="1">
      <c r="A605" s="508"/>
      <c r="B605" s="508"/>
      <c r="C605" s="508"/>
      <c r="D605" s="508"/>
      <c r="E605" s="508"/>
      <c r="F605" s="508"/>
      <c r="G605" s="533"/>
      <c r="H605" s="508"/>
      <c r="I605" s="508"/>
      <c r="J605" s="508"/>
      <c r="K605" s="508"/>
      <c r="L605" s="508"/>
      <c r="M605" s="508"/>
      <c r="N605" s="508"/>
      <c r="O605" s="508"/>
      <c r="P605" s="508"/>
      <c r="Q605" s="508"/>
      <c r="R605" s="508"/>
      <c r="S605" s="508"/>
      <c r="T605" s="508"/>
      <c r="U605" s="508"/>
      <c r="V605" s="508"/>
      <c r="W605" s="508"/>
      <c r="X605" s="508"/>
      <c r="Y605" s="508"/>
      <c r="Z605" s="508"/>
    </row>
    <row r="606" ht="13.5" customHeight="1">
      <c r="A606" s="508"/>
      <c r="B606" s="508"/>
      <c r="C606" s="508"/>
      <c r="D606" s="508"/>
      <c r="E606" s="508"/>
      <c r="F606" s="508"/>
      <c r="G606" s="533"/>
      <c r="H606" s="508"/>
      <c r="I606" s="508"/>
      <c r="J606" s="508"/>
      <c r="K606" s="508"/>
      <c r="L606" s="508"/>
      <c r="M606" s="508"/>
      <c r="N606" s="508"/>
      <c r="O606" s="508"/>
      <c r="P606" s="508"/>
      <c r="Q606" s="508"/>
      <c r="R606" s="508"/>
      <c r="S606" s="508"/>
      <c r="T606" s="508"/>
      <c r="U606" s="508"/>
      <c r="V606" s="508"/>
      <c r="W606" s="508"/>
      <c r="X606" s="508"/>
      <c r="Y606" s="508"/>
      <c r="Z606" s="508"/>
    </row>
    <row r="607" ht="13.5" customHeight="1">
      <c r="A607" s="508"/>
      <c r="B607" s="508"/>
      <c r="C607" s="508"/>
      <c r="D607" s="508"/>
      <c r="E607" s="508"/>
      <c r="F607" s="508"/>
      <c r="G607" s="533"/>
      <c r="H607" s="508"/>
      <c r="I607" s="508"/>
      <c r="J607" s="508"/>
      <c r="K607" s="508"/>
      <c r="L607" s="508"/>
      <c r="M607" s="508"/>
      <c r="N607" s="508"/>
      <c r="O607" s="508"/>
      <c r="P607" s="508"/>
      <c r="Q607" s="508"/>
      <c r="R607" s="508"/>
      <c r="S607" s="508"/>
      <c r="T607" s="508"/>
      <c r="U607" s="508"/>
      <c r="V607" s="508"/>
      <c r="W607" s="508"/>
      <c r="X607" s="508"/>
      <c r="Y607" s="508"/>
      <c r="Z607" s="508"/>
    </row>
    <row r="608" ht="13.5" customHeight="1">
      <c r="A608" s="508"/>
      <c r="B608" s="508"/>
      <c r="C608" s="508"/>
      <c r="D608" s="508"/>
      <c r="E608" s="508"/>
      <c r="F608" s="508"/>
      <c r="G608" s="533"/>
      <c r="H608" s="508"/>
      <c r="I608" s="508"/>
      <c r="J608" s="508"/>
      <c r="K608" s="508"/>
      <c r="L608" s="508"/>
      <c r="M608" s="508"/>
      <c r="N608" s="508"/>
      <c r="O608" s="508"/>
      <c r="P608" s="508"/>
      <c r="Q608" s="508"/>
      <c r="R608" s="508"/>
      <c r="S608" s="508"/>
      <c r="T608" s="508"/>
      <c r="U608" s="508"/>
      <c r="V608" s="508"/>
      <c r="W608" s="508"/>
      <c r="X608" s="508"/>
      <c r="Y608" s="508"/>
      <c r="Z608" s="508"/>
    </row>
    <row r="609" ht="13.5" customHeight="1">
      <c r="A609" s="508"/>
      <c r="B609" s="508"/>
      <c r="C609" s="508"/>
      <c r="D609" s="508"/>
      <c r="E609" s="508"/>
      <c r="F609" s="508"/>
      <c r="G609" s="533"/>
      <c r="H609" s="508"/>
      <c r="I609" s="508"/>
      <c r="J609" s="508"/>
      <c r="K609" s="508"/>
      <c r="L609" s="508"/>
      <c r="M609" s="508"/>
      <c r="N609" s="508"/>
      <c r="O609" s="508"/>
      <c r="P609" s="508"/>
      <c r="Q609" s="508"/>
      <c r="R609" s="508"/>
      <c r="S609" s="508"/>
      <c r="T609" s="508"/>
      <c r="U609" s="508"/>
      <c r="V609" s="508"/>
      <c r="W609" s="508"/>
      <c r="X609" s="508"/>
      <c r="Y609" s="508"/>
      <c r="Z609" s="508"/>
    </row>
    <row r="610" ht="13.5" customHeight="1">
      <c r="A610" s="508"/>
      <c r="B610" s="508"/>
      <c r="C610" s="508"/>
      <c r="D610" s="508"/>
      <c r="E610" s="508"/>
      <c r="F610" s="508"/>
      <c r="G610" s="533"/>
      <c r="H610" s="508"/>
      <c r="I610" s="508"/>
      <c r="J610" s="508"/>
      <c r="K610" s="508"/>
      <c r="L610" s="508"/>
      <c r="M610" s="508"/>
      <c r="N610" s="508"/>
      <c r="O610" s="508"/>
      <c r="P610" s="508"/>
      <c r="Q610" s="508"/>
      <c r="R610" s="508"/>
      <c r="S610" s="508"/>
      <c r="T610" s="508"/>
      <c r="U610" s="508"/>
      <c r="V610" s="508"/>
      <c r="W610" s="508"/>
      <c r="X610" s="508"/>
      <c r="Y610" s="508"/>
      <c r="Z610" s="508"/>
    </row>
    <row r="611" ht="13.5" customHeight="1">
      <c r="A611" s="508"/>
      <c r="B611" s="508"/>
      <c r="C611" s="508"/>
      <c r="D611" s="508"/>
      <c r="E611" s="508"/>
      <c r="F611" s="508"/>
      <c r="G611" s="533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8"/>
      <c r="Z611" s="508"/>
    </row>
    <row r="612" ht="13.5" customHeight="1">
      <c r="A612" s="508"/>
      <c r="B612" s="508"/>
      <c r="C612" s="508"/>
      <c r="D612" s="508"/>
      <c r="E612" s="508"/>
      <c r="F612" s="508"/>
      <c r="G612" s="533"/>
      <c r="H612" s="508"/>
      <c r="I612" s="508"/>
      <c r="J612" s="508"/>
      <c r="K612" s="508"/>
      <c r="L612" s="508"/>
      <c r="M612" s="508"/>
      <c r="N612" s="508"/>
      <c r="O612" s="508"/>
      <c r="P612" s="508"/>
      <c r="Q612" s="508"/>
      <c r="R612" s="508"/>
      <c r="S612" s="508"/>
      <c r="T612" s="508"/>
      <c r="U612" s="508"/>
      <c r="V612" s="508"/>
      <c r="W612" s="508"/>
      <c r="X612" s="508"/>
      <c r="Y612" s="508"/>
      <c r="Z612" s="508"/>
    </row>
    <row r="613" ht="13.5" customHeight="1">
      <c r="A613" s="508"/>
      <c r="B613" s="508"/>
      <c r="C613" s="508"/>
      <c r="D613" s="508"/>
      <c r="E613" s="508"/>
      <c r="F613" s="508"/>
      <c r="G613" s="533"/>
      <c r="H613" s="508"/>
      <c r="I613" s="508"/>
      <c r="J613" s="508"/>
      <c r="K613" s="508"/>
      <c r="L613" s="508"/>
      <c r="M613" s="508"/>
      <c r="N613" s="508"/>
      <c r="O613" s="508"/>
      <c r="P613" s="508"/>
      <c r="Q613" s="508"/>
      <c r="R613" s="508"/>
      <c r="S613" s="508"/>
      <c r="T613" s="508"/>
      <c r="U613" s="508"/>
      <c r="V613" s="508"/>
      <c r="W613" s="508"/>
      <c r="X613" s="508"/>
      <c r="Y613" s="508"/>
      <c r="Z613" s="508"/>
    </row>
    <row r="614" ht="13.5" customHeight="1">
      <c r="A614" s="508"/>
      <c r="B614" s="508"/>
      <c r="C614" s="508"/>
      <c r="D614" s="508"/>
      <c r="E614" s="508"/>
      <c r="F614" s="508"/>
      <c r="G614" s="533"/>
      <c r="H614" s="508"/>
      <c r="I614" s="508"/>
      <c r="J614" s="508"/>
      <c r="K614" s="508"/>
      <c r="L614" s="508"/>
      <c r="M614" s="508"/>
      <c r="N614" s="508"/>
      <c r="O614" s="508"/>
      <c r="P614" s="508"/>
      <c r="Q614" s="508"/>
      <c r="R614" s="508"/>
      <c r="S614" s="508"/>
      <c r="T614" s="508"/>
      <c r="U614" s="508"/>
      <c r="V614" s="508"/>
      <c r="W614" s="508"/>
      <c r="X614" s="508"/>
      <c r="Y614" s="508"/>
      <c r="Z614" s="508"/>
    </row>
    <row r="615" ht="13.5" customHeight="1">
      <c r="A615" s="508"/>
      <c r="B615" s="508"/>
      <c r="C615" s="508"/>
      <c r="D615" s="508"/>
      <c r="E615" s="508"/>
      <c r="F615" s="508"/>
      <c r="G615" s="533"/>
      <c r="H615" s="508"/>
      <c r="I615" s="508"/>
      <c r="J615" s="508"/>
      <c r="K615" s="508"/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  <c r="V615" s="508"/>
      <c r="W615" s="508"/>
      <c r="X615" s="508"/>
      <c r="Y615" s="508"/>
      <c r="Z615" s="508"/>
    </row>
    <row r="616" ht="13.5" customHeight="1">
      <c r="A616" s="508"/>
      <c r="B616" s="508"/>
      <c r="C616" s="508"/>
      <c r="D616" s="508"/>
      <c r="E616" s="508"/>
      <c r="F616" s="508"/>
      <c r="G616" s="533"/>
      <c r="H616" s="508"/>
      <c r="I616" s="508"/>
      <c r="J616" s="508"/>
      <c r="K616" s="508"/>
      <c r="L616" s="508"/>
      <c r="M616" s="508"/>
      <c r="N616" s="508"/>
      <c r="O616" s="508"/>
      <c r="P616" s="508"/>
      <c r="Q616" s="508"/>
      <c r="R616" s="508"/>
      <c r="S616" s="508"/>
      <c r="T616" s="508"/>
      <c r="U616" s="508"/>
      <c r="V616" s="508"/>
      <c r="W616" s="508"/>
      <c r="X616" s="508"/>
      <c r="Y616" s="508"/>
      <c r="Z616" s="508"/>
    </row>
    <row r="617" ht="13.5" customHeight="1">
      <c r="A617" s="508"/>
      <c r="B617" s="508"/>
      <c r="C617" s="508"/>
      <c r="D617" s="508"/>
      <c r="E617" s="508"/>
      <c r="F617" s="508"/>
      <c r="G617" s="533"/>
      <c r="H617" s="508"/>
      <c r="I617" s="508"/>
      <c r="J617" s="508"/>
      <c r="K617" s="508"/>
      <c r="L617" s="508"/>
      <c r="M617" s="508"/>
      <c r="N617" s="508"/>
      <c r="O617" s="508"/>
      <c r="P617" s="508"/>
      <c r="Q617" s="508"/>
      <c r="R617" s="508"/>
      <c r="S617" s="508"/>
      <c r="T617" s="508"/>
      <c r="U617" s="508"/>
      <c r="V617" s="508"/>
      <c r="W617" s="508"/>
      <c r="X617" s="508"/>
      <c r="Y617" s="508"/>
      <c r="Z617" s="508"/>
    </row>
    <row r="618" ht="13.5" customHeight="1">
      <c r="A618" s="508"/>
      <c r="B618" s="508"/>
      <c r="C618" s="508"/>
      <c r="D618" s="508"/>
      <c r="E618" s="508"/>
      <c r="F618" s="508"/>
      <c r="G618" s="533"/>
      <c r="H618" s="508"/>
      <c r="I618" s="508"/>
      <c r="J618" s="508"/>
      <c r="K618" s="508"/>
      <c r="L618" s="508"/>
      <c r="M618" s="508"/>
      <c r="N618" s="508"/>
      <c r="O618" s="508"/>
      <c r="P618" s="508"/>
      <c r="Q618" s="508"/>
      <c r="R618" s="508"/>
      <c r="S618" s="508"/>
      <c r="T618" s="508"/>
      <c r="U618" s="508"/>
      <c r="V618" s="508"/>
      <c r="W618" s="508"/>
      <c r="X618" s="508"/>
      <c r="Y618" s="508"/>
      <c r="Z618" s="508"/>
    </row>
    <row r="619" ht="13.5" customHeight="1">
      <c r="A619" s="508"/>
      <c r="B619" s="508"/>
      <c r="C619" s="508"/>
      <c r="D619" s="508"/>
      <c r="E619" s="508"/>
      <c r="F619" s="508"/>
      <c r="G619" s="533"/>
      <c r="H619" s="508"/>
      <c r="I619" s="508"/>
      <c r="J619" s="508"/>
      <c r="K619" s="508"/>
      <c r="L619" s="508"/>
      <c r="M619" s="508"/>
      <c r="N619" s="508"/>
      <c r="O619" s="508"/>
      <c r="P619" s="508"/>
      <c r="Q619" s="508"/>
      <c r="R619" s="508"/>
      <c r="S619" s="508"/>
      <c r="T619" s="508"/>
      <c r="U619" s="508"/>
      <c r="V619" s="508"/>
      <c r="W619" s="508"/>
      <c r="X619" s="508"/>
      <c r="Y619" s="508"/>
      <c r="Z619" s="508"/>
    </row>
    <row r="620" ht="13.5" customHeight="1">
      <c r="A620" s="508"/>
      <c r="B620" s="508"/>
      <c r="C620" s="508"/>
      <c r="D620" s="508"/>
      <c r="E620" s="508"/>
      <c r="F620" s="508"/>
      <c r="G620" s="533"/>
      <c r="H620" s="508"/>
      <c r="I620" s="508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508"/>
      <c r="Y620" s="508"/>
      <c r="Z620" s="508"/>
    </row>
    <row r="621" ht="13.5" customHeight="1">
      <c r="A621" s="508"/>
      <c r="B621" s="508"/>
      <c r="C621" s="508"/>
      <c r="D621" s="508"/>
      <c r="E621" s="508"/>
      <c r="F621" s="508"/>
      <c r="G621" s="533"/>
      <c r="H621" s="508"/>
      <c r="I621" s="508"/>
      <c r="J621" s="508"/>
      <c r="K621" s="508"/>
      <c r="L621" s="508"/>
      <c r="M621" s="508"/>
      <c r="N621" s="508"/>
      <c r="O621" s="508"/>
      <c r="P621" s="508"/>
      <c r="Q621" s="508"/>
      <c r="R621" s="508"/>
      <c r="S621" s="508"/>
      <c r="T621" s="508"/>
      <c r="U621" s="508"/>
      <c r="V621" s="508"/>
      <c r="W621" s="508"/>
      <c r="X621" s="508"/>
      <c r="Y621" s="508"/>
      <c r="Z621" s="508"/>
    </row>
    <row r="622" ht="13.5" customHeight="1">
      <c r="A622" s="508"/>
      <c r="B622" s="508"/>
      <c r="C622" s="508"/>
      <c r="D622" s="508"/>
      <c r="E622" s="508"/>
      <c r="F622" s="508"/>
      <c r="G622" s="533"/>
      <c r="H622" s="508"/>
      <c r="I622" s="508"/>
      <c r="J622" s="508"/>
      <c r="K622" s="508"/>
      <c r="L622" s="508"/>
      <c r="M622" s="508"/>
      <c r="N622" s="508"/>
      <c r="O622" s="508"/>
      <c r="P622" s="508"/>
      <c r="Q622" s="508"/>
      <c r="R622" s="508"/>
      <c r="S622" s="508"/>
      <c r="T622" s="508"/>
      <c r="U622" s="508"/>
      <c r="V622" s="508"/>
      <c r="W622" s="508"/>
      <c r="X622" s="508"/>
      <c r="Y622" s="508"/>
      <c r="Z622" s="508"/>
    </row>
    <row r="623" ht="13.5" customHeight="1">
      <c r="A623" s="508"/>
      <c r="B623" s="508"/>
      <c r="C623" s="508"/>
      <c r="D623" s="508"/>
      <c r="E623" s="508"/>
      <c r="F623" s="508"/>
      <c r="G623" s="533"/>
      <c r="H623" s="508"/>
      <c r="I623" s="508"/>
      <c r="J623" s="508"/>
      <c r="K623" s="508"/>
      <c r="L623" s="508"/>
      <c r="M623" s="508"/>
      <c r="N623" s="508"/>
      <c r="O623" s="508"/>
      <c r="P623" s="508"/>
      <c r="Q623" s="508"/>
      <c r="R623" s="508"/>
      <c r="S623" s="508"/>
      <c r="T623" s="508"/>
      <c r="U623" s="508"/>
      <c r="V623" s="508"/>
      <c r="W623" s="508"/>
      <c r="X623" s="508"/>
      <c r="Y623" s="508"/>
      <c r="Z623" s="508"/>
    </row>
    <row r="624" ht="13.5" customHeight="1">
      <c r="A624" s="508"/>
      <c r="B624" s="508"/>
      <c r="C624" s="508"/>
      <c r="D624" s="508"/>
      <c r="E624" s="508"/>
      <c r="F624" s="508"/>
      <c r="G624" s="533"/>
      <c r="H624" s="508"/>
      <c r="I624" s="508"/>
      <c r="J624" s="508"/>
      <c r="K624" s="508"/>
      <c r="L624" s="508"/>
      <c r="M624" s="508"/>
      <c r="N624" s="508"/>
      <c r="O624" s="508"/>
      <c r="P624" s="508"/>
      <c r="Q624" s="508"/>
      <c r="R624" s="508"/>
      <c r="S624" s="508"/>
      <c r="T624" s="508"/>
      <c r="U624" s="508"/>
      <c r="V624" s="508"/>
      <c r="W624" s="508"/>
      <c r="X624" s="508"/>
      <c r="Y624" s="508"/>
      <c r="Z624" s="508"/>
    </row>
    <row r="625" ht="13.5" customHeight="1">
      <c r="A625" s="508"/>
      <c r="B625" s="508"/>
      <c r="C625" s="508"/>
      <c r="D625" s="508"/>
      <c r="E625" s="508"/>
      <c r="F625" s="508"/>
      <c r="G625" s="533"/>
      <c r="H625" s="508"/>
      <c r="I625" s="508"/>
      <c r="J625" s="508"/>
      <c r="K625" s="508"/>
      <c r="L625" s="508"/>
      <c r="M625" s="508"/>
      <c r="N625" s="508"/>
      <c r="O625" s="508"/>
      <c r="P625" s="508"/>
      <c r="Q625" s="508"/>
      <c r="R625" s="508"/>
      <c r="S625" s="508"/>
      <c r="T625" s="508"/>
      <c r="U625" s="508"/>
      <c r="V625" s="508"/>
      <c r="W625" s="508"/>
      <c r="X625" s="508"/>
      <c r="Y625" s="508"/>
      <c r="Z625" s="508"/>
    </row>
    <row r="626" ht="13.5" customHeight="1">
      <c r="A626" s="508"/>
      <c r="B626" s="508"/>
      <c r="C626" s="508"/>
      <c r="D626" s="508"/>
      <c r="E626" s="508"/>
      <c r="F626" s="508"/>
      <c r="G626" s="533"/>
      <c r="H626" s="508"/>
      <c r="I626" s="508"/>
      <c r="J626" s="508"/>
      <c r="K626" s="508"/>
      <c r="L626" s="508"/>
      <c r="M626" s="508"/>
      <c r="N626" s="508"/>
      <c r="O626" s="508"/>
      <c r="P626" s="508"/>
      <c r="Q626" s="508"/>
      <c r="R626" s="508"/>
      <c r="S626" s="508"/>
      <c r="T626" s="508"/>
      <c r="U626" s="508"/>
      <c r="V626" s="508"/>
      <c r="W626" s="508"/>
      <c r="X626" s="508"/>
      <c r="Y626" s="508"/>
      <c r="Z626" s="508"/>
    </row>
    <row r="627" ht="13.5" customHeight="1">
      <c r="A627" s="508"/>
      <c r="B627" s="508"/>
      <c r="C627" s="508"/>
      <c r="D627" s="508"/>
      <c r="E627" s="508"/>
      <c r="F627" s="508"/>
      <c r="G627" s="533"/>
      <c r="H627" s="508"/>
      <c r="I627" s="508"/>
      <c r="J627" s="508"/>
      <c r="K627" s="508"/>
      <c r="L627" s="508"/>
      <c r="M627" s="508"/>
      <c r="N627" s="508"/>
      <c r="O627" s="508"/>
      <c r="P627" s="508"/>
      <c r="Q627" s="508"/>
      <c r="R627" s="508"/>
      <c r="S627" s="508"/>
      <c r="T627" s="508"/>
      <c r="U627" s="508"/>
      <c r="V627" s="508"/>
      <c r="W627" s="508"/>
      <c r="X627" s="508"/>
      <c r="Y627" s="508"/>
      <c r="Z627" s="508"/>
    </row>
    <row r="628" ht="13.5" customHeight="1">
      <c r="A628" s="508"/>
      <c r="B628" s="508"/>
      <c r="C628" s="508"/>
      <c r="D628" s="508"/>
      <c r="E628" s="508"/>
      <c r="F628" s="508"/>
      <c r="G628" s="533"/>
      <c r="H628" s="508"/>
      <c r="I628" s="508"/>
      <c r="J628" s="508"/>
      <c r="K628" s="508"/>
      <c r="L628" s="508"/>
      <c r="M628" s="508"/>
      <c r="N628" s="508"/>
      <c r="O628" s="508"/>
      <c r="P628" s="508"/>
      <c r="Q628" s="508"/>
      <c r="R628" s="508"/>
      <c r="S628" s="508"/>
      <c r="T628" s="508"/>
      <c r="U628" s="508"/>
      <c r="V628" s="508"/>
      <c r="W628" s="508"/>
      <c r="X628" s="508"/>
      <c r="Y628" s="508"/>
      <c r="Z628" s="508"/>
    </row>
    <row r="629" ht="13.5" customHeight="1">
      <c r="A629" s="508"/>
      <c r="B629" s="508"/>
      <c r="C629" s="508"/>
      <c r="D629" s="508"/>
      <c r="E629" s="508"/>
      <c r="F629" s="508"/>
      <c r="G629" s="533"/>
      <c r="H629" s="508"/>
      <c r="I629" s="508"/>
      <c r="J629" s="508"/>
      <c r="K629" s="508"/>
      <c r="L629" s="508"/>
      <c r="M629" s="508"/>
      <c r="N629" s="508"/>
      <c r="O629" s="508"/>
      <c r="P629" s="508"/>
      <c r="Q629" s="508"/>
      <c r="R629" s="508"/>
      <c r="S629" s="508"/>
      <c r="T629" s="508"/>
      <c r="U629" s="508"/>
      <c r="V629" s="508"/>
      <c r="W629" s="508"/>
      <c r="X629" s="508"/>
      <c r="Y629" s="508"/>
      <c r="Z629" s="508"/>
    </row>
    <row r="630" ht="13.5" customHeight="1">
      <c r="A630" s="508"/>
      <c r="B630" s="508"/>
      <c r="C630" s="508"/>
      <c r="D630" s="508"/>
      <c r="E630" s="508"/>
      <c r="F630" s="508"/>
      <c r="G630" s="533"/>
      <c r="H630" s="508"/>
      <c r="I630" s="508"/>
      <c r="J630" s="508"/>
      <c r="K630" s="508"/>
      <c r="L630" s="508"/>
      <c r="M630" s="508"/>
      <c r="N630" s="508"/>
      <c r="O630" s="508"/>
      <c r="P630" s="508"/>
      <c r="Q630" s="508"/>
      <c r="R630" s="508"/>
      <c r="S630" s="508"/>
      <c r="T630" s="508"/>
      <c r="U630" s="508"/>
      <c r="V630" s="508"/>
      <c r="W630" s="508"/>
      <c r="X630" s="508"/>
      <c r="Y630" s="508"/>
      <c r="Z630" s="508"/>
    </row>
    <row r="631" ht="13.5" customHeight="1">
      <c r="A631" s="508"/>
      <c r="B631" s="508"/>
      <c r="C631" s="508"/>
      <c r="D631" s="508"/>
      <c r="E631" s="508"/>
      <c r="F631" s="508"/>
      <c r="G631" s="533"/>
      <c r="H631" s="508"/>
      <c r="I631" s="508"/>
      <c r="J631" s="508"/>
      <c r="K631" s="508"/>
      <c r="L631" s="508"/>
      <c r="M631" s="508"/>
      <c r="N631" s="508"/>
      <c r="O631" s="508"/>
      <c r="P631" s="508"/>
      <c r="Q631" s="508"/>
      <c r="R631" s="508"/>
      <c r="S631" s="508"/>
      <c r="T631" s="508"/>
      <c r="U631" s="508"/>
      <c r="V631" s="508"/>
      <c r="W631" s="508"/>
      <c r="X631" s="508"/>
      <c r="Y631" s="508"/>
      <c r="Z631" s="508"/>
    </row>
    <row r="632" ht="13.5" customHeight="1">
      <c r="A632" s="508"/>
      <c r="B632" s="508"/>
      <c r="C632" s="508"/>
      <c r="D632" s="508"/>
      <c r="E632" s="508"/>
      <c r="F632" s="508"/>
      <c r="G632" s="533"/>
      <c r="H632" s="508"/>
      <c r="I632" s="508"/>
      <c r="J632" s="508"/>
      <c r="K632" s="508"/>
      <c r="L632" s="508"/>
      <c r="M632" s="508"/>
      <c r="N632" s="508"/>
      <c r="O632" s="508"/>
      <c r="P632" s="508"/>
      <c r="Q632" s="508"/>
      <c r="R632" s="508"/>
      <c r="S632" s="508"/>
      <c r="T632" s="508"/>
      <c r="U632" s="508"/>
      <c r="V632" s="508"/>
      <c r="W632" s="508"/>
      <c r="X632" s="508"/>
      <c r="Y632" s="508"/>
      <c r="Z632" s="508"/>
    </row>
    <row r="633" ht="13.5" customHeight="1">
      <c r="A633" s="508"/>
      <c r="B633" s="508"/>
      <c r="C633" s="508"/>
      <c r="D633" s="508"/>
      <c r="E633" s="508"/>
      <c r="F633" s="508"/>
      <c r="G633" s="533"/>
      <c r="H633" s="508"/>
      <c r="I633" s="508"/>
      <c r="J633" s="508"/>
      <c r="K633" s="508"/>
      <c r="L633" s="508"/>
      <c r="M633" s="508"/>
      <c r="N633" s="508"/>
      <c r="O633" s="508"/>
      <c r="P633" s="508"/>
      <c r="Q633" s="508"/>
      <c r="R633" s="508"/>
      <c r="S633" s="508"/>
      <c r="T633" s="508"/>
      <c r="U633" s="508"/>
      <c r="V633" s="508"/>
      <c r="W633" s="508"/>
      <c r="X633" s="508"/>
      <c r="Y633" s="508"/>
      <c r="Z633" s="508"/>
    </row>
    <row r="634" ht="13.5" customHeight="1">
      <c r="A634" s="508"/>
      <c r="B634" s="508"/>
      <c r="C634" s="508"/>
      <c r="D634" s="508"/>
      <c r="E634" s="508"/>
      <c r="F634" s="508"/>
      <c r="G634" s="533"/>
      <c r="H634" s="508"/>
      <c r="I634" s="508"/>
      <c r="J634" s="508"/>
      <c r="K634" s="508"/>
      <c r="L634" s="508"/>
      <c r="M634" s="508"/>
      <c r="N634" s="508"/>
      <c r="O634" s="508"/>
      <c r="P634" s="508"/>
      <c r="Q634" s="508"/>
      <c r="R634" s="508"/>
      <c r="S634" s="508"/>
      <c r="T634" s="508"/>
      <c r="U634" s="508"/>
      <c r="V634" s="508"/>
      <c r="W634" s="508"/>
      <c r="X634" s="508"/>
      <c r="Y634" s="508"/>
      <c r="Z634" s="508"/>
    </row>
    <row r="635" ht="13.5" customHeight="1">
      <c r="A635" s="508"/>
      <c r="B635" s="508"/>
      <c r="C635" s="508"/>
      <c r="D635" s="508"/>
      <c r="E635" s="508"/>
      <c r="F635" s="508"/>
      <c r="G635" s="533"/>
      <c r="H635" s="508"/>
      <c r="I635" s="508"/>
      <c r="J635" s="508"/>
      <c r="K635" s="508"/>
      <c r="L635" s="508"/>
      <c r="M635" s="508"/>
      <c r="N635" s="508"/>
      <c r="O635" s="508"/>
      <c r="P635" s="508"/>
      <c r="Q635" s="508"/>
      <c r="R635" s="508"/>
      <c r="S635" s="508"/>
      <c r="T635" s="508"/>
      <c r="U635" s="508"/>
      <c r="V635" s="508"/>
      <c r="W635" s="508"/>
      <c r="X635" s="508"/>
      <c r="Y635" s="508"/>
      <c r="Z635" s="508"/>
    </row>
    <row r="636" ht="13.5" customHeight="1">
      <c r="A636" s="508"/>
      <c r="B636" s="508"/>
      <c r="C636" s="508"/>
      <c r="D636" s="508"/>
      <c r="E636" s="508"/>
      <c r="F636" s="508"/>
      <c r="G636" s="533"/>
      <c r="H636" s="508"/>
      <c r="I636" s="508"/>
      <c r="J636" s="508"/>
      <c r="K636" s="508"/>
      <c r="L636" s="508"/>
      <c r="M636" s="508"/>
      <c r="N636" s="508"/>
      <c r="O636" s="508"/>
      <c r="P636" s="508"/>
      <c r="Q636" s="508"/>
      <c r="R636" s="508"/>
      <c r="S636" s="508"/>
      <c r="T636" s="508"/>
      <c r="U636" s="508"/>
      <c r="V636" s="508"/>
      <c r="W636" s="508"/>
      <c r="X636" s="508"/>
      <c r="Y636" s="508"/>
      <c r="Z636" s="508"/>
    </row>
    <row r="637" ht="13.5" customHeight="1">
      <c r="A637" s="508"/>
      <c r="B637" s="508"/>
      <c r="C637" s="508"/>
      <c r="D637" s="508"/>
      <c r="E637" s="508"/>
      <c r="F637" s="508"/>
      <c r="G637" s="533"/>
      <c r="H637" s="508"/>
      <c r="I637" s="508"/>
      <c r="J637" s="508"/>
      <c r="K637" s="508"/>
      <c r="L637" s="508"/>
      <c r="M637" s="508"/>
      <c r="N637" s="508"/>
      <c r="O637" s="508"/>
      <c r="P637" s="508"/>
      <c r="Q637" s="508"/>
      <c r="R637" s="508"/>
      <c r="S637" s="508"/>
      <c r="T637" s="508"/>
      <c r="U637" s="508"/>
      <c r="V637" s="508"/>
      <c r="W637" s="508"/>
      <c r="X637" s="508"/>
      <c r="Y637" s="508"/>
      <c r="Z637" s="508"/>
    </row>
    <row r="638" ht="13.5" customHeight="1">
      <c r="A638" s="508"/>
      <c r="B638" s="508"/>
      <c r="C638" s="508"/>
      <c r="D638" s="508"/>
      <c r="E638" s="508"/>
      <c r="F638" s="508"/>
      <c r="G638" s="533"/>
      <c r="H638" s="508"/>
      <c r="I638" s="508"/>
      <c r="J638" s="508"/>
      <c r="K638" s="508"/>
      <c r="L638" s="508"/>
      <c r="M638" s="508"/>
      <c r="N638" s="508"/>
      <c r="O638" s="508"/>
      <c r="P638" s="508"/>
      <c r="Q638" s="508"/>
      <c r="R638" s="508"/>
      <c r="S638" s="508"/>
      <c r="T638" s="508"/>
      <c r="U638" s="508"/>
      <c r="V638" s="508"/>
      <c r="W638" s="508"/>
      <c r="X638" s="508"/>
      <c r="Y638" s="508"/>
      <c r="Z638" s="508"/>
    </row>
    <row r="639" ht="13.5" customHeight="1">
      <c r="A639" s="508"/>
      <c r="B639" s="508"/>
      <c r="C639" s="508"/>
      <c r="D639" s="508"/>
      <c r="E639" s="508"/>
      <c r="F639" s="508"/>
      <c r="G639" s="533"/>
      <c r="H639" s="508"/>
      <c r="I639" s="508"/>
      <c r="J639" s="508"/>
      <c r="K639" s="508"/>
      <c r="L639" s="508"/>
      <c r="M639" s="508"/>
      <c r="N639" s="508"/>
      <c r="O639" s="508"/>
      <c r="P639" s="508"/>
      <c r="Q639" s="508"/>
      <c r="R639" s="508"/>
      <c r="S639" s="508"/>
      <c r="T639" s="508"/>
      <c r="U639" s="508"/>
      <c r="V639" s="508"/>
      <c r="W639" s="508"/>
      <c r="X639" s="508"/>
      <c r="Y639" s="508"/>
      <c r="Z639" s="508"/>
    </row>
    <row r="640" ht="13.5" customHeight="1">
      <c r="A640" s="508"/>
      <c r="B640" s="508"/>
      <c r="C640" s="508"/>
      <c r="D640" s="508"/>
      <c r="E640" s="508"/>
      <c r="F640" s="508"/>
      <c r="G640" s="533"/>
      <c r="H640" s="508"/>
      <c r="I640" s="508"/>
      <c r="J640" s="508"/>
      <c r="K640" s="508"/>
      <c r="L640" s="508"/>
      <c r="M640" s="508"/>
      <c r="N640" s="508"/>
      <c r="O640" s="508"/>
      <c r="P640" s="508"/>
      <c r="Q640" s="508"/>
      <c r="R640" s="508"/>
      <c r="S640" s="508"/>
      <c r="T640" s="508"/>
      <c r="U640" s="508"/>
      <c r="V640" s="508"/>
      <c r="W640" s="508"/>
      <c r="X640" s="508"/>
      <c r="Y640" s="508"/>
      <c r="Z640" s="508"/>
    </row>
    <row r="641" ht="13.5" customHeight="1">
      <c r="A641" s="508"/>
      <c r="B641" s="508"/>
      <c r="C641" s="508"/>
      <c r="D641" s="508"/>
      <c r="E641" s="508"/>
      <c r="F641" s="508"/>
      <c r="G641" s="533"/>
      <c r="H641" s="508"/>
      <c r="I641" s="508"/>
      <c r="J641" s="508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  <c r="V641" s="508"/>
      <c r="W641" s="508"/>
      <c r="X641" s="508"/>
      <c r="Y641" s="508"/>
      <c r="Z641" s="508"/>
    </row>
    <row r="642" ht="13.5" customHeight="1">
      <c r="A642" s="508"/>
      <c r="B642" s="508"/>
      <c r="C642" s="508"/>
      <c r="D642" s="508"/>
      <c r="E642" s="508"/>
      <c r="F642" s="508"/>
      <c r="G642" s="533"/>
      <c r="H642" s="508"/>
      <c r="I642" s="508"/>
      <c r="J642" s="508"/>
      <c r="K642" s="508"/>
      <c r="L642" s="508"/>
      <c r="M642" s="508"/>
      <c r="N642" s="508"/>
      <c r="O642" s="508"/>
      <c r="P642" s="508"/>
      <c r="Q642" s="508"/>
      <c r="R642" s="508"/>
      <c r="S642" s="508"/>
      <c r="T642" s="508"/>
      <c r="U642" s="508"/>
      <c r="V642" s="508"/>
      <c r="W642" s="508"/>
      <c r="X642" s="508"/>
      <c r="Y642" s="508"/>
      <c r="Z642" s="508"/>
    </row>
    <row r="643" ht="13.5" customHeight="1">
      <c r="A643" s="508"/>
      <c r="B643" s="508"/>
      <c r="C643" s="508"/>
      <c r="D643" s="508"/>
      <c r="E643" s="508"/>
      <c r="F643" s="508"/>
      <c r="G643" s="533"/>
      <c r="H643" s="508"/>
      <c r="I643" s="508"/>
      <c r="J643" s="508"/>
      <c r="K643" s="508"/>
      <c r="L643" s="508"/>
      <c r="M643" s="508"/>
      <c r="N643" s="508"/>
      <c r="O643" s="508"/>
      <c r="P643" s="508"/>
      <c r="Q643" s="508"/>
      <c r="R643" s="508"/>
      <c r="S643" s="508"/>
      <c r="T643" s="508"/>
      <c r="U643" s="508"/>
      <c r="V643" s="508"/>
      <c r="W643" s="508"/>
      <c r="X643" s="508"/>
      <c r="Y643" s="508"/>
      <c r="Z643" s="508"/>
    </row>
    <row r="644" ht="13.5" customHeight="1">
      <c r="A644" s="508"/>
      <c r="B644" s="508"/>
      <c r="C644" s="508"/>
      <c r="D644" s="508"/>
      <c r="E644" s="508"/>
      <c r="F644" s="508"/>
      <c r="G644" s="533"/>
      <c r="H644" s="508"/>
      <c r="I644" s="508"/>
      <c r="J644" s="508"/>
      <c r="K644" s="508"/>
      <c r="L644" s="508"/>
      <c r="M644" s="508"/>
      <c r="N644" s="508"/>
      <c r="O644" s="508"/>
      <c r="P644" s="508"/>
      <c r="Q644" s="508"/>
      <c r="R644" s="508"/>
      <c r="S644" s="508"/>
      <c r="T644" s="508"/>
      <c r="U644" s="508"/>
      <c r="V644" s="508"/>
      <c r="W644" s="508"/>
      <c r="X644" s="508"/>
      <c r="Y644" s="508"/>
      <c r="Z644" s="508"/>
    </row>
    <row r="645" ht="13.5" customHeight="1">
      <c r="A645" s="508"/>
      <c r="B645" s="508"/>
      <c r="C645" s="508"/>
      <c r="D645" s="508"/>
      <c r="E645" s="508"/>
      <c r="F645" s="508"/>
      <c r="G645" s="533"/>
      <c r="H645" s="508"/>
      <c r="I645" s="508"/>
      <c r="J645" s="508"/>
      <c r="K645" s="508"/>
      <c r="L645" s="508"/>
      <c r="M645" s="508"/>
      <c r="N645" s="508"/>
      <c r="O645" s="508"/>
      <c r="P645" s="508"/>
      <c r="Q645" s="508"/>
      <c r="R645" s="508"/>
      <c r="S645" s="508"/>
      <c r="T645" s="508"/>
      <c r="U645" s="508"/>
      <c r="V645" s="508"/>
      <c r="W645" s="508"/>
      <c r="X645" s="508"/>
      <c r="Y645" s="508"/>
      <c r="Z645" s="508"/>
    </row>
    <row r="646" ht="13.5" customHeight="1">
      <c r="A646" s="508"/>
      <c r="B646" s="508"/>
      <c r="C646" s="508"/>
      <c r="D646" s="508"/>
      <c r="E646" s="508"/>
      <c r="F646" s="508"/>
      <c r="G646" s="533"/>
      <c r="H646" s="508"/>
      <c r="I646" s="508"/>
      <c r="J646" s="508"/>
      <c r="K646" s="508"/>
      <c r="L646" s="508"/>
      <c r="M646" s="508"/>
      <c r="N646" s="508"/>
      <c r="O646" s="508"/>
      <c r="P646" s="508"/>
      <c r="Q646" s="508"/>
      <c r="R646" s="508"/>
      <c r="S646" s="508"/>
      <c r="T646" s="508"/>
      <c r="U646" s="508"/>
      <c r="V646" s="508"/>
      <c r="W646" s="508"/>
      <c r="X646" s="508"/>
      <c r="Y646" s="508"/>
      <c r="Z646" s="508"/>
    </row>
    <row r="647" ht="13.5" customHeight="1">
      <c r="A647" s="508"/>
      <c r="B647" s="508"/>
      <c r="C647" s="508"/>
      <c r="D647" s="508"/>
      <c r="E647" s="508"/>
      <c r="F647" s="508"/>
      <c r="G647" s="533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8"/>
      <c r="Z647" s="508"/>
    </row>
    <row r="648" ht="13.5" customHeight="1">
      <c r="A648" s="508"/>
      <c r="B648" s="508"/>
      <c r="C648" s="508"/>
      <c r="D648" s="508"/>
      <c r="E648" s="508"/>
      <c r="F648" s="508"/>
      <c r="G648" s="533"/>
      <c r="H648" s="508"/>
      <c r="I648" s="508"/>
      <c r="J648" s="508"/>
      <c r="K648" s="508"/>
      <c r="L648" s="508"/>
      <c r="M648" s="508"/>
      <c r="N648" s="508"/>
      <c r="O648" s="508"/>
      <c r="P648" s="508"/>
      <c r="Q648" s="508"/>
      <c r="R648" s="508"/>
      <c r="S648" s="508"/>
      <c r="T648" s="508"/>
      <c r="U648" s="508"/>
      <c r="V648" s="508"/>
      <c r="W648" s="508"/>
      <c r="X648" s="508"/>
      <c r="Y648" s="508"/>
      <c r="Z648" s="508"/>
    </row>
    <row r="649" ht="13.5" customHeight="1">
      <c r="A649" s="508"/>
      <c r="B649" s="508"/>
      <c r="C649" s="508"/>
      <c r="D649" s="508"/>
      <c r="E649" s="508"/>
      <c r="F649" s="508"/>
      <c r="G649" s="533"/>
      <c r="H649" s="508"/>
      <c r="I649" s="508"/>
      <c r="J649" s="508"/>
      <c r="K649" s="508"/>
      <c r="L649" s="508"/>
      <c r="M649" s="508"/>
      <c r="N649" s="508"/>
      <c r="O649" s="508"/>
      <c r="P649" s="508"/>
      <c r="Q649" s="508"/>
      <c r="R649" s="508"/>
      <c r="S649" s="508"/>
      <c r="T649" s="508"/>
      <c r="U649" s="508"/>
      <c r="V649" s="508"/>
      <c r="W649" s="508"/>
      <c r="X649" s="508"/>
      <c r="Y649" s="508"/>
      <c r="Z649" s="508"/>
    </row>
    <row r="650" ht="13.5" customHeight="1">
      <c r="A650" s="508"/>
      <c r="B650" s="508"/>
      <c r="C650" s="508"/>
      <c r="D650" s="508"/>
      <c r="E650" s="508"/>
      <c r="F650" s="508"/>
      <c r="G650" s="533"/>
      <c r="H650" s="508"/>
      <c r="I650" s="508"/>
      <c r="J650" s="508"/>
      <c r="K650" s="508"/>
      <c r="L650" s="508"/>
      <c r="M650" s="508"/>
      <c r="N650" s="508"/>
      <c r="O650" s="508"/>
      <c r="P650" s="508"/>
      <c r="Q650" s="508"/>
      <c r="R650" s="508"/>
      <c r="S650" s="508"/>
      <c r="T650" s="508"/>
      <c r="U650" s="508"/>
      <c r="V650" s="508"/>
      <c r="W650" s="508"/>
      <c r="X650" s="508"/>
      <c r="Y650" s="508"/>
      <c r="Z650" s="508"/>
    </row>
    <row r="651" ht="13.5" customHeight="1">
      <c r="A651" s="508"/>
      <c r="B651" s="508"/>
      <c r="C651" s="508"/>
      <c r="D651" s="508"/>
      <c r="E651" s="508"/>
      <c r="F651" s="508"/>
      <c r="G651" s="533"/>
      <c r="H651" s="508"/>
      <c r="I651" s="508"/>
      <c r="J651" s="508"/>
      <c r="K651" s="508"/>
      <c r="L651" s="508"/>
      <c r="M651" s="508"/>
      <c r="N651" s="508"/>
      <c r="O651" s="508"/>
      <c r="P651" s="508"/>
      <c r="Q651" s="508"/>
      <c r="R651" s="508"/>
      <c r="S651" s="508"/>
      <c r="T651" s="508"/>
      <c r="U651" s="508"/>
      <c r="V651" s="508"/>
      <c r="W651" s="508"/>
      <c r="X651" s="508"/>
      <c r="Y651" s="508"/>
      <c r="Z651" s="508"/>
    </row>
    <row r="652" ht="13.5" customHeight="1">
      <c r="A652" s="508"/>
      <c r="B652" s="508"/>
      <c r="C652" s="508"/>
      <c r="D652" s="508"/>
      <c r="E652" s="508"/>
      <c r="F652" s="508"/>
      <c r="G652" s="533"/>
      <c r="H652" s="508"/>
      <c r="I652" s="508"/>
      <c r="J652" s="508"/>
      <c r="K652" s="508"/>
      <c r="L652" s="508"/>
      <c r="M652" s="508"/>
      <c r="N652" s="508"/>
      <c r="O652" s="508"/>
      <c r="P652" s="508"/>
      <c r="Q652" s="508"/>
      <c r="R652" s="508"/>
      <c r="S652" s="508"/>
      <c r="T652" s="508"/>
      <c r="U652" s="508"/>
      <c r="V652" s="508"/>
      <c r="W652" s="508"/>
      <c r="X652" s="508"/>
      <c r="Y652" s="508"/>
      <c r="Z652" s="508"/>
    </row>
    <row r="653" ht="13.5" customHeight="1">
      <c r="A653" s="508"/>
      <c r="B653" s="508"/>
      <c r="C653" s="508"/>
      <c r="D653" s="508"/>
      <c r="E653" s="508"/>
      <c r="F653" s="508"/>
      <c r="G653" s="533"/>
      <c r="H653" s="508"/>
      <c r="I653" s="508"/>
      <c r="J653" s="508"/>
      <c r="K653" s="508"/>
      <c r="L653" s="508"/>
      <c r="M653" s="508"/>
      <c r="N653" s="508"/>
      <c r="O653" s="508"/>
      <c r="P653" s="508"/>
      <c r="Q653" s="508"/>
      <c r="R653" s="508"/>
      <c r="S653" s="508"/>
      <c r="T653" s="508"/>
      <c r="U653" s="508"/>
      <c r="V653" s="508"/>
      <c r="W653" s="508"/>
      <c r="X653" s="508"/>
      <c r="Y653" s="508"/>
      <c r="Z653" s="508"/>
    </row>
    <row r="654" ht="13.5" customHeight="1">
      <c r="A654" s="508"/>
      <c r="B654" s="508"/>
      <c r="C654" s="508"/>
      <c r="D654" s="508"/>
      <c r="E654" s="508"/>
      <c r="F654" s="508"/>
      <c r="G654" s="533"/>
      <c r="H654" s="508"/>
      <c r="I654" s="508"/>
      <c r="J654" s="508"/>
      <c r="K654" s="508"/>
      <c r="L654" s="508"/>
      <c r="M654" s="508"/>
      <c r="N654" s="508"/>
      <c r="O654" s="508"/>
      <c r="P654" s="508"/>
      <c r="Q654" s="508"/>
      <c r="R654" s="508"/>
      <c r="S654" s="508"/>
      <c r="T654" s="508"/>
      <c r="U654" s="508"/>
      <c r="V654" s="508"/>
      <c r="W654" s="508"/>
      <c r="X654" s="508"/>
      <c r="Y654" s="508"/>
      <c r="Z654" s="508"/>
    </row>
    <row r="655" ht="13.5" customHeight="1">
      <c r="A655" s="508"/>
      <c r="B655" s="508"/>
      <c r="C655" s="508"/>
      <c r="D655" s="508"/>
      <c r="E655" s="508"/>
      <c r="F655" s="508"/>
      <c r="G655" s="533"/>
      <c r="H655" s="508"/>
      <c r="I655" s="508"/>
      <c r="J655" s="508"/>
      <c r="K655" s="508"/>
      <c r="L655" s="508"/>
      <c r="M655" s="508"/>
      <c r="N655" s="508"/>
      <c r="O655" s="508"/>
      <c r="P655" s="508"/>
      <c r="Q655" s="508"/>
      <c r="R655" s="508"/>
      <c r="S655" s="508"/>
      <c r="T655" s="508"/>
      <c r="U655" s="508"/>
      <c r="V655" s="508"/>
      <c r="W655" s="508"/>
      <c r="X655" s="508"/>
      <c r="Y655" s="508"/>
      <c r="Z655" s="508"/>
    </row>
    <row r="656" ht="13.5" customHeight="1">
      <c r="A656" s="508"/>
      <c r="B656" s="508"/>
      <c r="C656" s="508"/>
      <c r="D656" s="508"/>
      <c r="E656" s="508"/>
      <c r="F656" s="508"/>
      <c r="G656" s="533"/>
      <c r="H656" s="508"/>
      <c r="I656" s="508"/>
      <c r="J656" s="508"/>
      <c r="K656" s="508"/>
      <c r="L656" s="508"/>
      <c r="M656" s="508"/>
      <c r="N656" s="508"/>
      <c r="O656" s="508"/>
      <c r="P656" s="508"/>
      <c r="Q656" s="508"/>
      <c r="R656" s="508"/>
      <c r="S656" s="508"/>
      <c r="T656" s="508"/>
      <c r="U656" s="508"/>
      <c r="V656" s="508"/>
      <c r="W656" s="508"/>
      <c r="X656" s="508"/>
      <c r="Y656" s="508"/>
      <c r="Z656" s="508"/>
    </row>
    <row r="657" ht="13.5" customHeight="1">
      <c r="A657" s="508"/>
      <c r="B657" s="508"/>
      <c r="C657" s="508"/>
      <c r="D657" s="508"/>
      <c r="E657" s="508"/>
      <c r="F657" s="508"/>
      <c r="G657" s="533"/>
      <c r="H657" s="508"/>
      <c r="I657" s="508"/>
      <c r="J657" s="508"/>
      <c r="K657" s="508"/>
      <c r="L657" s="508"/>
      <c r="M657" s="508"/>
      <c r="N657" s="508"/>
      <c r="O657" s="508"/>
      <c r="P657" s="508"/>
      <c r="Q657" s="508"/>
      <c r="R657" s="508"/>
      <c r="S657" s="508"/>
      <c r="T657" s="508"/>
      <c r="U657" s="508"/>
      <c r="V657" s="508"/>
      <c r="W657" s="508"/>
      <c r="X657" s="508"/>
      <c r="Y657" s="508"/>
      <c r="Z657" s="508"/>
    </row>
    <row r="658" ht="13.5" customHeight="1">
      <c r="A658" s="508"/>
      <c r="B658" s="508"/>
      <c r="C658" s="508"/>
      <c r="D658" s="508"/>
      <c r="E658" s="508"/>
      <c r="F658" s="508"/>
      <c r="G658" s="533"/>
      <c r="H658" s="508"/>
      <c r="I658" s="508"/>
      <c r="J658" s="508"/>
      <c r="K658" s="508"/>
      <c r="L658" s="508"/>
      <c r="M658" s="508"/>
      <c r="N658" s="508"/>
      <c r="O658" s="508"/>
      <c r="P658" s="508"/>
      <c r="Q658" s="508"/>
      <c r="R658" s="508"/>
      <c r="S658" s="508"/>
      <c r="T658" s="508"/>
      <c r="U658" s="508"/>
      <c r="V658" s="508"/>
      <c r="W658" s="508"/>
      <c r="X658" s="508"/>
      <c r="Y658" s="508"/>
      <c r="Z658" s="508"/>
    </row>
    <row r="659" ht="13.5" customHeight="1">
      <c r="A659" s="508"/>
      <c r="B659" s="508"/>
      <c r="C659" s="508"/>
      <c r="D659" s="508"/>
      <c r="E659" s="508"/>
      <c r="F659" s="508"/>
      <c r="G659" s="533"/>
      <c r="H659" s="508"/>
      <c r="I659" s="508"/>
      <c r="J659" s="508"/>
      <c r="K659" s="508"/>
      <c r="L659" s="508"/>
      <c r="M659" s="508"/>
      <c r="N659" s="508"/>
      <c r="O659" s="508"/>
      <c r="P659" s="508"/>
      <c r="Q659" s="508"/>
      <c r="R659" s="508"/>
      <c r="S659" s="508"/>
      <c r="T659" s="508"/>
      <c r="U659" s="508"/>
      <c r="V659" s="508"/>
      <c r="W659" s="508"/>
      <c r="X659" s="508"/>
      <c r="Y659" s="508"/>
      <c r="Z659" s="508"/>
    </row>
    <row r="660" ht="13.5" customHeight="1">
      <c r="A660" s="508"/>
      <c r="B660" s="508"/>
      <c r="C660" s="508"/>
      <c r="D660" s="508"/>
      <c r="E660" s="508"/>
      <c r="F660" s="508"/>
      <c r="G660" s="533"/>
      <c r="H660" s="508"/>
      <c r="I660" s="508"/>
      <c r="J660" s="508"/>
      <c r="K660" s="508"/>
      <c r="L660" s="508"/>
      <c r="M660" s="508"/>
      <c r="N660" s="508"/>
      <c r="O660" s="508"/>
      <c r="P660" s="508"/>
      <c r="Q660" s="508"/>
      <c r="R660" s="508"/>
      <c r="S660" s="508"/>
      <c r="T660" s="508"/>
      <c r="U660" s="508"/>
      <c r="V660" s="508"/>
      <c r="W660" s="508"/>
      <c r="X660" s="508"/>
      <c r="Y660" s="508"/>
      <c r="Z660" s="508"/>
    </row>
    <row r="661" ht="13.5" customHeight="1">
      <c r="A661" s="508"/>
      <c r="B661" s="508"/>
      <c r="C661" s="508"/>
      <c r="D661" s="508"/>
      <c r="E661" s="508"/>
      <c r="F661" s="508"/>
      <c r="G661" s="533"/>
      <c r="H661" s="508"/>
      <c r="I661" s="508"/>
      <c r="J661" s="508"/>
      <c r="K661" s="508"/>
      <c r="L661" s="508"/>
      <c r="M661" s="508"/>
      <c r="N661" s="508"/>
      <c r="O661" s="508"/>
      <c r="P661" s="508"/>
      <c r="Q661" s="508"/>
      <c r="R661" s="508"/>
      <c r="S661" s="508"/>
      <c r="T661" s="508"/>
      <c r="U661" s="508"/>
      <c r="V661" s="508"/>
      <c r="W661" s="508"/>
      <c r="X661" s="508"/>
      <c r="Y661" s="508"/>
      <c r="Z661" s="508"/>
    </row>
    <row r="662" ht="13.5" customHeight="1">
      <c r="A662" s="508"/>
      <c r="B662" s="508"/>
      <c r="C662" s="508"/>
      <c r="D662" s="508"/>
      <c r="E662" s="508"/>
      <c r="F662" s="508"/>
      <c r="G662" s="533"/>
      <c r="H662" s="508"/>
      <c r="I662" s="508"/>
      <c r="J662" s="508"/>
      <c r="K662" s="508"/>
      <c r="L662" s="508"/>
      <c r="M662" s="508"/>
      <c r="N662" s="508"/>
      <c r="O662" s="508"/>
      <c r="P662" s="508"/>
      <c r="Q662" s="508"/>
      <c r="R662" s="508"/>
      <c r="S662" s="508"/>
      <c r="T662" s="508"/>
      <c r="U662" s="508"/>
      <c r="V662" s="508"/>
      <c r="W662" s="508"/>
      <c r="X662" s="508"/>
      <c r="Y662" s="508"/>
      <c r="Z662" s="508"/>
    </row>
    <row r="663" ht="13.5" customHeight="1">
      <c r="A663" s="508"/>
      <c r="B663" s="508"/>
      <c r="C663" s="508"/>
      <c r="D663" s="508"/>
      <c r="E663" s="508"/>
      <c r="F663" s="508"/>
      <c r="G663" s="533"/>
      <c r="H663" s="508"/>
      <c r="I663" s="508"/>
      <c r="J663" s="508"/>
      <c r="K663" s="508"/>
      <c r="L663" s="508"/>
      <c r="M663" s="508"/>
      <c r="N663" s="508"/>
      <c r="O663" s="508"/>
      <c r="P663" s="508"/>
      <c r="Q663" s="508"/>
      <c r="R663" s="508"/>
      <c r="S663" s="508"/>
      <c r="T663" s="508"/>
      <c r="U663" s="508"/>
      <c r="V663" s="508"/>
      <c r="W663" s="508"/>
      <c r="X663" s="508"/>
      <c r="Y663" s="508"/>
      <c r="Z663" s="508"/>
    </row>
    <row r="664" ht="13.5" customHeight="1">
      <c r="A664" s="508"/>
      <c r="B664" s="508"/>
      <c r="C664" s="508"/>
      <c r="D664" s="508"/>
      <c r="E664" s="508"/>
      <c r="F664" s="508"/>
      <c r="G664" s="533"/>
      <c r="H664" s="508"/>
      <c r="I664" s="508"/>
      <c r="J664" s="508"/>
      <c r="K664" s="508"/>
      <c r="L664" s="508"/>
      <c r="M664" s="508"/>
      <c r="N664" s="508"/>
      <c r="O664" s="508"/>
      <c r="P664" s="508"/>
      <c r="Q664" s="508"/>
      <c r="R664" s="508"/>
      <c r="S664" s="508"/>
      <c r="T664" s="508"/>
      <c r="U664" s="508"/>
      <c r="V664" s="508"/>
      <c r="W664" s="508"/>
      <c r="X664" s="508"/>
      <c r="Y664" s="508"/>
      <c r="Z664" s="508"/>
    </row>
    <row r="665" ht="13.5" customHeight="1">
      <c r="A665" s="508"/>
      <c r="B665" s="508"/>
      <c r="C665" s="508"/>
      <c r="D665" s="508"/>
      <c r="E665" s="508"/>
      <c r="F665" s="508"/>
      <c r="G665" s="533"/>
      <c r="H665" s="508"/>
      <c r="I665" s="508"/>
      <c r="J665" s="508"/>
      <c r="K665" s="508"/>
      <c r="L665" s="508"/>
      <c r="M665" s="508"/>
      <c r="N665" s="508"/>
      <c r="O665" s="508"/>
      <c r="P665" s="508"/>
      <c r="Q665" s="508"/>
      <c r="R665" s="508"/>
      <c r="S665" s="508"/>
      <c r="T665" s="508"/>
      <c r="U665" s="508"/>
      <c r="V665" s="508"/>
      <c r="W665" s="508"/>
      <c r="X665" s="508"/>
      <c r="Y665" s="508"/>
      <c r="Z665" s="508"/>
    </row>
    <row r="666" ht="13.5" customHeight="1">
      <c r="A666" s="508"/>
      <c r="B666" s="508"/>
      <c r="C666" s="508"/>
      <c r="D666" s="508"/>
      <c r="E666" s="508"/>
      <c r="F666" s="508"/>
      <c r="G666" s="533"/>
      <c r="H666" s="508"/>
      <c r="I666" s="508"/>
      <c r="J666" s="508"/>
      <c r="K666" s="508"/>
      <c r="L666" s="508"/>
      <c r="M666" s="508"/>
      <c r="N666" s="508"/>
      <c r="O666" s="508"/>
      <c r="P666" s="508"/>
      <c r="Q666" s="508"/>
      <c r="R666" s="508"/>
      <c r="S666" s="508"/>
      <c r="T666" s="508"/>
      <c r="U666" s="508"/>
      <c r="V666" s="508"/>
      <c r="W666" s="508"/>
      <c r="X666" s="508"/>
      <c r="Y666" s="508"/>
      <c r="Z666" s="508"/>
    </row>
    <row r="667" ht="13.5" customHeight="1">
      <c r="A667" s="508"/>
      <c r="B667" s="508"/>
      <c r="C667" s="508"/>
      <c r="D667" s="508"/>
      <c r="E667" s="508"/>
      <c r="F667" s="508"/>
      <c r="G667" s="533"/>
      <c r="H667" s="508"/>
      <c r="I667" s="508"/>
      <c r="J667" s="508"/>
      <c r="K667" s="508"/>
      <c r="L667" s="508"/>
      <c r="M667" s="508"/>
      <c r="N667" s="508"/>
      <c r="O667" s="508"/>
      <c r="P667" s="508"/>
      <c r="Q667" s="508"/>
      <c r="R667" s="508"/>
      <c r="S667" s="508"/>
      <c r="T667" s="508"/>
      <c r="U667" s="508"/>
      <c r="V667" s="508"/>
      <c r="W667" s="508"/>
      <c r="X667" s="508"/>
      <c r="Y667" s="508"/>
      <c r="Z667" s="508"/>
    </row>
    <row r="668" ht="13.5" customHeight="1">
      <c r="A668" s="508"/>
      <c r="B668" s="508"/>
      <c r="C668" s="508"/>
      <c r="D668" s="508"/>
      <c r="E668" s="508"/>
      <c r="F668" s="508"/>
      <c r="G668" s="533"/>
      <c r="H668" s="508"/>
      <c r="I668" s="508"/>
      <c r="J668" s="508"/>
      <c r="K668" s="508"/>
      <c r="L668" s="508"/>
      <c r="M668" s="508"/>
      <c r="N668" s="508"/>
      <c r="O668" s="508"/>
      <c r="P668" s="508"/>
      <c r="Q668" s="508"/>
      <c r="R668" s="508"/>
      <c r="S668" s="508"/>
      <c r="T668" s="508"/>
      <c r="U668" s="508"/>
      <c r="V668" s="508"/>
      <c r="W668" s="508"/>
      <c r="X668" s="508"/>
      <c r="Y668" s="508"/>
      <c r="Z668" s="508"/>
    </row>
    <row r="669" ht="13.5" customHeight="1">
      <c r="A669" s="508"/>
      <c r="B669" s="508"/>
      <c r="C669" s="508"/>
      <c r="D669" s="508"/>
      <c r="E669" s="508"/>
      <c r="F669" s="508"/>
      <c r="G669" s="533"/>
      <c r="H669" s="508"/>
      <c r="I669" s="508"/>
      <c r="J669" s="508"/>
      <c r="K669" s="508"/>
      <c r="L669" s="508"/>
      <c r="M669" s="508"/>
      <c r="N669" s="508"/>
      <c r="O669" s="508"/>
      <c r="P669" s="508"/>
      <c r="Q669" s="508"/>
      <c r="R669" s="508"/>
      <c r="S669" s="508"/>
      <c r="T669" s="508"/>
      <c r="U669" s="508"/>
      <c r="V669" s="508"/>
      <c r="W669" s="508"/>
      <c r="X669" s="508"/>
      <c r="Y669" s="508"/>
      <c r="Z669" s="508"/>
    </row>
    <row r="670" ht="13.5" customHeight="1">
      <c r="A670" s="508"/>
      <c r="B670" s="508"/>
      <c r="C670" s="508"/>
      <c r="D670" s="508"/>
      <c r="E670" s="508"/>
      <c r="F670" s="508"/>
      <c r="G670" s="533"/>
      <c r="H670" s="508"/>
      <c r="I670" s="508"/>
      <c r="J670" s="508"/>
      <c r="K670" s="508"/>
      <c r="L670" s="508"/>
      <c r="M670" s="508"/>
      <c r="N670" s="508"/>
      <c r="O670" s="508"/>
      <c r="P670" s="508"/>
      <c r="Q670" s="508"/>
      <c r="R670" s="508"/>
      <c r="S670" s="508"/>
      <c r="T670" s="508"/>
      <c r="U670" s="508"/>
      <c r="V670" s="508"/>
      <c r="W670" s="508"/>
      <c r="X670" s="508"/>
      <c r="Y670" s="508"/>
      <c r="Z670" s="508"/>
    </row>
    <row r="671" ht="13.5" customHeight="1">
      <c r="A671" s="508"/>
      <c r="B671" s="508"/>
      <c r="C671" s="508"/>
      <c r="D671" s="508"/>
      <c r="E671" s="508"/>
      <c r="F671" s="508"/>
      <c r="G671" s="533"/>
      <c r="H671" s="508"/>
      <c r="I671" s="508"/>
      <c r="J671" s="508"/>
      <c r="K671" s="508"/>
      <c r="L671" s="508"/>
      <c r="M671" s="508"/>
      <c r="N671" s="508"/>
      <c r="O671" s="508"/>
      <c r="P671" s="508"/>
      <c r="Q671" s="508"/>
      <c r="R671" s="508"/>
      <c r="S671" s="508"/>
      <c r="T671" s="508"/>
      <c r="U671" s="508"/>
      <c r="V671" s="508"/>
      <c r="W671" s="508"/>
      <c r="X671" s="508"/>
      <c r="Y671" s="508"/>
      <c r="Z671" s="508"/>
    </row>
    <row r="672" ht="13.5" customHeight="1">
      <c r="A672" s="508"/>
      <c r="B672" s="508"/>
      <c r="C672" s="508"/>
      <c r="D672" s="508"/>
      <c r="E672" s="508"/>
      <c r="F672" s="508"/>
      <c r="G672" s="533"/>
      <c r="H672" s="508"/>
      <c r="I672" s="508"/>
      <c r="J672" s="508"/>
      <c r="K672" s="508"/>
      <c r="L672" s="508"/>
      <c r="M672" s="508"/>
      <c r="N672" s="508"/>
      <c r="O672" s="508"/>
      <c r="P672" s="508"/>
      <c r="Q672" s="508"/>
      <c r="R672" s="508"/>
      <c r="S672" s="508"/>
      <c r="T672" s="508"/>
      <c r="U672" s="508"/>
      <c r="V672" s="508"/>
      <c r="W672" s="508"/>
      <c r="X672" s="508"/>
      <c r="Y672" s="508"/>
      <c r="Z672" s="508"/>
    </row>
    <row r="673" ht="13.5" customHeight="1">
      <c r="A673" s="508"/>
      <c r="B673" s="508"/>
      <c r="C673" s="508"/>
      <c r="D673" s="508"/>
      <c r="E673" s="508"/>
      <c r="F673" s="508"/>
      <c r="G673" s="533"/>
      <c r="H673" s="508"/>
      <c r="I673" s="508"/>
      <c r="J673" s="508"/>
      <c r="K673" s="508"/>
      <c r="L673" s="508"/>
      <c r="M673" s="508"/>
      <c r="N673" s="508"/>
      <c r="O673" s="508"/>
      <c r="P673" s="508"/>
      <c r="Q673" s="508"/>
      <c r="R673" s="508"/>
      <c r="S673" s="508"/>
      <c r="T673" s="508"/>
      <c r="U673" s="508"/>
      <c r="V673" s="508"/>
      <c r="W673" s="508"/>
      <c r="X673" s="508"/>
      <c r="Y673" s="508"/>
      <c r="Z673" s="508"/>
    </row>
    <row r="674" ht="13.5" customHeight="1">
      <c r="A674" s="508"/>
      <c r="B674" s="508"/>
      <c r="C674" s="508"/>
      <c r="D674" s="508"/>
      <c r="E674" s="508"/>
      <c r="F674" s="508"/>
      <c r="G674" s="533"/>
      <c r="H674" s="508"/>
      <c r="I674" s="508"/>
      <c r="J674" s="508"/>
      <c r="K674" s="508"/>
      <c r="L674" s="508"/>
      <c r="M674" s="508"/>
      <c r="N674" s="508"/>
      <c r="O674" s="508"/>
      <c r="P674" s="508"/>
      <c r="Q674" s="508"/>
      <c r="R674" s="508"/>
      <c r="S674" s="508"/>
      <c r="T674" s="508"/>
      <c r="U674" s="508"/>
      <c r="V674" s="508"/>
      <c r="W674" s="508"/>
      <c r="X674" s="508"/>
      <c r="Y674" s="508"/>
      <c r="Z674" s="508"/>
    </row>
    <row r="675" ht="13.5" customHeight="1">
      <c r="A675" s="508"/>
      <c r="B675" s="508"/>
      <c r="C675" s="508"/>
      <c r="D675" s="508"/>
      <c r="E675" s="508"/>
      <c r="F675" s="508"/>
      <c r="G675" s="533"/>
      <c r="H675" s="508"/>
      <c r="I675" s="508"/>
      <c r="J675" s="508"/>
      <c r="K675" s="508"/>
      <c r="L675" s="508"/>
      <c r="M675" s="508"/>
      <c r="N675" s="508"/>
      <c r="O675" s="508"/>
      <c r="P675" s="508"/>
      <c r="Q675" s="508"/>
      <c r="R675" s="508"/>
      <c r="S675" s="508"/>
      <c r="T675" s="508"/>
      <c r="U675" s="508"/>
      <c r="V675" s="508"/>
      <c r="W675" s="508"/>
      <c r="X675" s="508"/>
      <c r="Y675" s="508"/>
      <c r="Z675" s="508"/>
    </row>
    <row r="676" ht="13.5" customHeight="1">
      <c r="A676" s="508"/>
      <c r="B676" s="508"/>
      <c r="C676" s="508"/>
      <c r="D676" s="508"/>
      <c r="E676" s="508"/>
      <c r="F676" s="508"/>
      <c r="G676" s="533"/>
      <c r="H676" s="508"/>
      <c r="I676" s="508"/>
      <c r="J676" s="508"/>
      <c r="K676" s="508"/>
      <c r="L676" s="508"/>
      <c r="M676" s="508"/>
      <c r="N676" s="508"/>
      <c r="O676" s="508"/>
      <c r="P676" s="508"/>
      <c r="Q676" s="508"/>
      <c r="R676" s="508"/>
      <c r="S676" s="508"/>
      <c r="T676" s="508"/>
      <c r="U676" s="508"/>
      <c r="V676" s="508"/>
      <c r="W676" s="508"/>
      <c r="X676" s="508"/>
      <c r="Y676" s="508"/>
      <c r="Z676" s="508"/>
    </row>
    <row r="677" ht="13.5" customHeight="1">
      <c r="A677" s="508"/>
      <c r="B677" s="508"/>
      <c r="C677" s="508"/>
      <c r="D677" s="508"/>
      <c r="E677" s="508"/>
      <c r="F677" s="508"/>
      <c r="G677" s="533"/>
      <c r="H677" s="508"/>
      <c r="I677" s="508"/>
      <c r="J677" s="508"/>
      <c r="K677" s="508"/>
      <c r="L677" s="508"/>
      <c r="M677" s="508"/>
      <c r="N677" s="508"/>
      <c r="O677" s="508"/>
      <c r="P677" s="508"/>
      <c r="Q677" s="508"/>
      <c r="R677" s="508"/>
      <c r="S677" s="508"/>
      <c r="T677" s="508"/>
      <c r="U677" s="508"/>
      <c r="V677" s="508"/>
      <c r="W677" s="508"/>
      <c r="X677" s="508"/>
      <c r="Y677" s="508"/>
      <c r="Z677" s="508"/>
    </row>
    <row r="678" ht="13.5" customHeight="1">
      <c r="A678" s="508"/>
      <c r="B678" s="508"/>
      <c r="C678" s="508"/>
      <c r="D678" s="508"/>
      <c r="E678" s="508"/>
      <c r="F678" s="508"/>
      <c r="G678" s="533"/>
      <c r="H678" s="508"/>
      <c r="I678" s="508"/>
      <c r="J678" s="508"/>
      <c r="K678" s="508"/>
      <c r="L678" s="508"/>
      <c r="M678" s="508"/>
      <c r="N678" s="508"/>
      <c r="O678" s="508"/>
      <c r="P678" s="508"/>
      <c r="Q678" s="508"/>
      <c r="R678" s="508"/>
      <c r="S678" s="508"/>
      <c r="T678" s="508"/>
      <c r="U678" s="508"/>
      <c r="V678" s="508"/>
      <c r="W678" s="508"/>
      <c r="X678" s="508"/>
      <c r="Y678" s="508"/>
      <c r="Z678" s="508"/>
    </row>
    <row r="679" ht="13.5" customHeight="1">
      <c r="A679" s="508"/>
      <c r="B679" s="508"/>
      <c r="C679" s="508"/>
      <c r="D679" s="508"/>
      <c r="E679" s="508"/>
      <c r="F679" s="508"/>
      <c r="G679" s="533"/>
      <c r="H679" s="508"/>
      <c r="I679" s="508"/>
      <c r="J679" s="508"/>
      <c r="K679" s="508"/>
      <c r="L679" s="508"/>
      <c r="M679" s="508"/>
      <c r="N679" s="508"/>
      <c r="O679" s="508"/>
      <c r="P679" s="508"/>
      <c r="Q679" s="508"/>
      <c r="R679" s="508"/>
      <c r="S679" s="508"/>
      <c r="T679" s="508"/>
      <c r="U679" s="508"/>
      <c r="V679" s="508"/>
      <c r="W679" s="508"/>
      <c r="X679" s="508"/>
      <c r="Y679" s="508"/>
      <c r="Z679" s="508"/>
    </row>
    <row r="680" ht="13.5" customHeight="1">
      <c r="A680" s="508"/>
      <c r="B680" s="508"/>
      <c r="C680" s="508"/>
      <c r="D680" s="508"/>
      <c r="E680" s="508"/>
      <c r="F680" s="508"/>
      <c r="G680" s="533"/>
      <c r="H680" s="508"/>
      <c r="I680" s="508"/>
      <c r="J680" s="508"/>
      <c r="K680" s="508"/>
      <c r="L680" s="508"/>
      <c r="M680" s="508"/>
      <c r="N680" s="508"/>
      <c r="O680" s="508"/>
      <c r="P680" s="508"/>
      <c r="Q680" s="508"/>
      <c r="R680" s="508"/>
      <c r="S680" s="508"/>
      <c r="T680" s="508"/>
      <c r="U680" s="508"/>
      <c r="V680" s="508"/>
      <c r="W680" s="508"/>
      <c r="X680" s="508"/>
      <c r="Y680" s="508"/>
      <c r="Z680" s="508"/>
    </row>
    <row r="681" ht="13.5" customHeight="1">
      <c r="A681" s="508"/>
      <c r="B681" s="508"/>
      <c r="C681" s="508"/>
      <c r="D681" s="508"/>
      <c r="E681" s="508"/>
      <c r="F681" s="508"/>
      <c r="G681" s="533"/>
      <c r="H681" s="508"/>
      <c r="I681" s="508"/>
      <c r="J681" s="508"/>
      <c r="K681" s="508"/>
      <c r="L681" s="508"/>
      <c r="M681" s="508"/>
      <c r="N681" s="508"/>
      <c r="O681" s="508"/>
      <c r="P681" s="508"/>
      <c r="Q681" s="508"/>
      <c r="R681" s="508"/>
      <c r="S681" s="508"/>
      <c r="T681" s="508"/>
      <c r="U681" s="508"/>
      <c r="V681" s="508"/>
      <c r="W681" s="508"/>
      <c r="X681" s="508"/>
      <c r="Y681" s="508"/>
      <c r="Z681" s="508"/>
    </row>
    <row r="682" ht="13.5" customHeight="1">
      <c r="A682" s="508"/>
      <c r="B682" s="508"/>
      <c r="C682" s="508"/>
      <c r="D682" s="508"/>
      <c r="E682" s="508"/>
      <c r="F682" s="508"/>
      <c r="G682" s="533"/>
      <c r="H682" s="508"/>
      <c r="I682" s="508"/>
      <c r="J682" s="508"/>
      <c r="K682" s="508"/>
      <c r="L682" s="508"/>
      <c r="M682" s="508"/>
      <c r="N682" s="508"/>
      <c r="O682" s="508"/>
      <c r="P682" s="508"/>
      <c r="Q682" s="508"/>
      <c r="R682" s="508"/>
      <c r="S682" s="508"/>
      <c r="T682" s="508"/>
      <c r="U682" s="508"/>
      <c r="V682" s="508"/>
      <c r="W682" s="508"/>
      <c r="X682" s="508"/>
      <c r="Y682" s="508"/>
      <c r="Z682" s="508"/>
    </row>
    <row r="683" ht="13.5" customHeight="1">
      <c r="A683" s="508"/>
      <c r="B683" s="508"/>
      <c r="C683" s="508"/>
      <c r="D683" s="508"/>
      <c r="E683" s="508"/>
      <c r="F683" s="508"/>
      <c r="G683" s="533"/>
      <c r="H683" s="508"/>
      <c r="I683" s="508"/>
      <c r="J683" s="508"/>
      <c r="K683" s="508"/>
      <c r="L683" s="508"/>
      <c r="M683" s="508"/>
      <c r="N683" s="508"/>
      <c r="O683" s="508"/>
      <c r="P683" s="508"/>
      <c r="Q683" s="508"/>
      <c r="R683" s="508"/>
      <c r="S683" s="508"/>
      <c r="T683" s="508"/>
      <c r="U683" s="508"/>
      <c r="V683" s="508"/>
      <c r="W683" s="508"/>
      <c r="X683" s="508"/>
      <c r="Y683" s="508"/>
      <c r="Z683" s="508"/>
    </row>
    <row r="684" ht="13.5" customHeight="1">
      <c r="A684" s="508"/>
      <c r="B684" s="508"/>
      <c r="C684" s="508"/>
      <c r="D684" s="508"/>
      <c r="E684" s="508"/>
      <c r="F684" s="508"/>
      <c r="G684" s="533"/>
      <c r="H684" s="508"/>
      <c r="I684" s="508"/>
      <c r="J684" s="508"/>
      <c r="K684" s="508"/>
      <c r="L684" s="508"/>
      <c r="M684" s="508"/>
      <c r="N684" s="508"/>
      <c r="O684" s="508"/>
      <c r="P684" s="508"/>
      <c r="Q684" s="508"/>
      <c r="R684" s="508"/>
      <c r="S684" s="508"/>
      <c r="T684" s="508"/>
      <c r="U684" s="508"/>
      <c r="V684" s="508"/>
      <c r="W684" s="508"/>
      <c r="X684" s="508"/>
      <c r="Y684" s="508"/>
      <c r="Z684" s="508"/>
    </row>
    <row r="685" ht="13.5" customHeight="1">
      <c r="A685" s="508"/>
      <c r="B685" s="508"/>
      <c r="C685" s="508"/>
      <c r="D685" s="508"/>
      <c r="E685" s="508"/>
      <c r="F685" s="508"/>
      <c r="G685" s="533"/>
      <c r="H685" s="508"/>
      <c r="I685" s="508"/>
      <c r="J685" s="508"/>
      <c r="K685" s="508"/>
      <c r="L685" s="508"/>
      <c r="M685" s="508"/>
      <c r="N685" s="508"/>
      <c r="O685" s="508"/>
      <c r="P685" s="508"/>
      <c r="Q685" s="508"/>
      <c r="R685" s="508"/>
      <c r="S685" s="508"/>
      <c r="T685" s="508"/>
      <c r="U685" s="508"/>
      <c r="V685" s="508"/>
      <c r="W685" s="508"/>
      <c r="X685" s="508"/>
      <c r="Y685" s="508"/>
      <c r="Z685" s="508"/>
    </row>
    <row r="686" ht="13.5" customHeight="1">
      <c r="A686" s="508"/>
      <c r="B686" s="508"/>
      <c r="C686" s="508"/>
      <c r="D686" s="508"/>
      <c r="E686" s="508"/>
      <c r="F686" s="508"/>
      <c r="G686" s="533"/>
      <c r="H686" s="508"/>
      <c r="I686" s="508"/>
      <c r="J686" s="508"/>
      <c r="K686" s="508"/>
      <c r="L686" s="508"/>
      <c r="M686" s="508"/>
      <c r="N686" s="508"/>
      <c r="O686" s="508"/>
      <c r="P686" s="508"/>
      <c r="Q686" s="508"/>
      <c r="R686" s="508"/>
      <c r="S686" s="508"/>
      <c r="T686" s="508"/>
      <c r="U686" s="508"/>
      <c r="V686" s="508"/>
      <c r="W686" s="508"/>
      <c r="X686" s="508"/>
      <c r="Y686" s="508"/>
      <c r="Z686" s="508"/>
    </row>
    <row r="687" ht="13.5" customHeight="1">
      <c r="A687" s="508"/>
      <c r="B687" s="508"/>
      <c r="C687" s="508"/>
      <c r="D687" s="508"/>
      <c r="E687" s="508"/>
      <c r="F687" s="508"/>
      <c r="G687" s="533"/>
      <c r="H687" s="508"/>
      <c r="I687" s="508"/>
      <c r="J687" s="508"/>
      <c r="K687" s="508"/>
      <c r="L687" s="508"/>
      <c r="M687" s="508"/>
      <c r="N687" s="508"/>
      <c r="O687" s="508"/>
      <c r="P687" s="508"/>
      <c r="Q687" s="508"/>
      <c r="R687" s="508"/>
      <c r="S687" s="508"/>
      <c r="T687" s="508"/>
      <c r="U687" s="508"/>
      <c r="V687" s="508"/>
      <c r="W687" s="508"/>
      <c r="X687" s="508"/>
      <c r="Y687" s="508"/>
      <c r="Z687" s="508"/>
    </row>
    <row r="688" ht="13.5" customHeight="1">
      <c r="A688" s="508"/>
      <c r="B688" s="508"/>
      <c r="C688" s="508"/>
      <c r="D688" s="508"/>
      <c r="E688" s="508"/>
      <c r="F688" s="508"/>
      <c r="G688" s="533"/>
      <c r="H688" s="508"/>
      <c r="I688" s="508"/>
      <c r="J688" s="508"/>
      <c r="K688" s="508"/>
      <c r="L688" s="508"/>
      <c r="M688" s="508"/>
      <c r="N688" s="508"/>
      <c r="O688" s="508"/>
      <c r="P688" s="508"/>
      <c r="Q688" s="508"/>
      <c r="R688" s="508"/>
      <c r="S688" s="508"/>
      <c r="T688" s="508"/>
      <c r="U688" s="508"/>
      <c r="V688" s="508"/>
      <c r="W688" s="508"/>
      <c r="X688" s="508"/>
      <c r="Y688" s="508"/>
      <c r="Z688" s="508"/>
    </row>
    <row r="689" ht="13.5" customHeight="1">
      <c r="A689" s="508"/>
      <c r="B689" s="508"/>
      <c r="C689" s="508"/>
      <c r="D689" s="508"/>
      <c r="E689" s="508"/>
      <c r="F689" s="508"/>
      <c r="G689" s="533"/>
      <c r="H689" s="508"/>
      <c r="I689" s="508"/>
      <c r="J689" s="508"/>
      <c r="K689" s="508"/>
      <c r="L689" s="508"/>
      <c r="M689" s="508"/>
      <c r="N689" s="508"/>
      <c r="O689" s="508"/>
      <c r="P689" s="508"/>
      <c r="Q689" s="508"/>
      <c r="R689" s="508"/>
      <c r="S689" s="508"/>
      <c r="T689" s="508"/>
      <c r="U689" s="508"/>
      <c r="V689" s="508"/>
      <c r="W689" s="508"/>
      <c r="X689" s="508"/>
      <c r="Y689" s="508"/>
      <c r="Z689" s="508"/>
    </row>
    <row r="690" ht="13.5" customHeight="1">
      <c r="A690" s="508"/>
      <c r="B690" s="508"/>
      <c r="C690" s="508"/>
      <c r="D690" s="508"/>
      <c r="E690" s="508"/>
      <c r="F690" s="508"/>
      <c r="G690" s="533"/>
      <c r="H690" s="508"/>
      <c r="I690" s="508"/>
      <c r="J690" s="508"/>
      <c r="K690" s="508"/>
      <c r="L690" s="508"/>
      <c r="M690" s="508"/>
      <c r="N690" s="508"/>
      <c r="O690" s="508"/>
      <c r="P690" s="508"/>
      <c r="Q690" s="508"/>
      <c r="R690" s="508"/>
      <c r="S690" s="508"/>
      <c r="T690" s="508"/>
      <c r="U690" s="508"/>
      <c r="V690" s="508"/>
      <c r="W690" s="508"/>
      <c r="X690" s="508"/>
      <c r="Y690" s="508"/>
      <c r="Z690" s="508"/>
    </row>
    <row r="691" ht="13.5" customHeight="1">
      <c r="A691" s="508"/>
      <c r="B691" s="508"/>
      <c r="C691" s="508"/>
      <c r="D691" s="508"/>
      <c r="E691" s="508"/>
      <c r="F691" s="508"/>
      <c r="G691" s="533"/>
      <c r="H691" s="508"/>
      <c r="I691" s="508"/>
      <c r="J691" s="508"/>
      <c r="K691" s="508"/>
      <c r="L691" s="508"/>
      <c r="M691" s="508"/>
      <c r="N691" s="508"/>
      <c r="O691" s="508"/>
      <c r="P691" s="508"/>
      <c r="Q691" s="508"/>
      <c r="R691" s="508"/>
      <c r="S691" s="508"/>
      <c r="T691" s="508"/>
      <c r="U691" s="508"/>
      <c r="V691" s="508"/>
      <c r="W691" s="508"/>
      <c r="X691" s="508"/>
      <c r="Y691" s="508"/>
      <c r="Z691" s="508"/>
    </row>
    <row r="692" ht="13.5" customHeight="1">
      <c r="A692" s="508"/>
      <c r="B692" s="508"/>
      <c r="C692" s="508"/>
      <c r="D692" s="508"/>
      <c r="E692" s="508"/>
      <c r="F692" s="508"/>
      <c r="G692" s="533"/>
      <c r="H692" s="508"/>
      <c r="I692" s="508"/>
      <c r="J692" s="508"/>
      <c r="K692" s="508"/>
      <c r="L692" s="508"/>
      <c r="M692" s="508"/>
      <c r="N692" s="508"/>
      <c r="O692" s="508"/>
      <c r="P692" s="508"/>
      <c r="Q692" s="508"/>
      <c r="R692" s="508"/>
      <c r="S692" s="508"/>
      <c r="T692" s="508"/>
      <c r="U692" s="508"/>
      <c r="V692" s="508"/>
      <c r="W692" s="508"/>
      <c r="X692" s="508"/>
      <c r="Y692" s="508"/>
      <c r="Z692" s="508"/>
    </row>
    <row r="693" ht="13.5" customHeight="1">
      <c r="A693" s="508"/>
      <c r="B693" s="508"/>
      <c r="C693" s="508"/>
      <c r="D693" s="508"/>
      <c r="E693" s="508"/>
      <c r="F693" s="508"/>
      <c r="G693" s="533"/>
      <c r="H693" s="508"/>
      <c r="I693" s="508"/>
      <c r="J693" s="508"/>
      <c r="K693" s="508"/>
      <c r="L693" s="508"/>
      <c r="M693" s="508"/>
      <c r="N693" s="508"/>
      <c r="O693" s="508"/>
      <c r="P693" s="508"/>
      <c r="Q693" s="508"/>
      <c r="R693" s="508"/>
      <c r="S693" s="508"/>
      <c r="T693" s="508"/>
      <c r="U693" s="508"/>
      <c r="V693" s="508"/>
      <c r="W693" s="508"/>
      <c r="X693" s="508"/>
      <c r="Y693" s="508"/>
      <c r="Z693" s="508"/>
    </row>
    <row r="694" ht="13.5" customHeight="1">
      <c r="A694" s="508"/>
      <c r="B694" s="508"/>
      <c r="C694" s="508"/>
      <c r="D694" s="508"/>
      <c r="E694" s="508"/>
      <c r="F694" s="508"/>
      <c r="G694" s="533"/>
      <c r="H694" s="508"/>
      <c r="I694" s="508"/>
      <c r="J694" s="508"/>
      <c r="K694" s="508"/>
      <c r="L694" s="508"/>
      <c r="M694" s="508"/>
      <c r="N694" s="508"/>
      <c r="O694" s="508"/>
      <c r="P694" s="508"/>
      <c r="Q694" s="508"/>
      <c r="R694" s="508"/>
      <c r="S694" s="508"/>
      <c r="T694" s="508"/>
      <c r="U694" s="508"/>
      <c r="V694" s="508"/>
      <c r="W694" s="508"/>
      <c r="X694" s="508"/>
      <c r="Y694" s="508"/>
      <c r="Z694" s="508"/>
    </row>
    <row r="695" ht="13.5" customHeight="1">
      <c r="A695" s="508"/>
      <c r="B695" s="508"/>
      <c r="C695" s="508"/>
      <c r="D695" s="508"/>
      <c r="E695" s="508"/>
      <c r="F695" s="508"/>
      <c r="G695" s="533"/>
      <c r="H695" s="508"/>
      <c r="I695" s="508"/>
      <c r="J695" s="508"/>
      <c r="K695" s="508"/>
      <c r="L695" s="508"/>
      <c r="M695" s="508"/>
      <c r="N695" s="508"/>
      <c r="O695" s="508"/>
      <c r="P695" s="508"/>
      <c r="Q695" s="508"/>
      <c r="R695" s="508"/>
      <c r="S695" s="508"/>
      <c r="T695" s="508"/>
      <c r="U695" s="508"/>
      <c r="V695" s="508"/>
      <c r="W695" s="508"/>
      <c r="X695" s="508"/>
      <c r="Y695" s="508"/>
      <c r="Z695" s="508"/>
    </row>
    <row r="696" ht="13.5" customHeight="1">
      <c r="A696" s="508"/>
      <c r="B696" s="508"/>
      <c r="C696" s="508"/>
      <c r="D696" s="508"/>
      <c r="E696" s="508"/>
      <c r="F696" s="508"/>
      <c r="G696" s="533"/>
      <c r="H696" s="508"/>
      <c r="I696" s="508"/>
      <c r="J696" s="508"/>
      <c r="K696" s="508"/>
      <c r="L696" s="508"/>
      <c r="M696" s="508"/>
      <c r="N696" s="508"/>
      <c r="O696" s="508"/>
      <c r="P696" s="508"/>
      <c r="Q696" s="508"/>
      <c r="R696" s="508"/>
      <c r="S696" s="508"/>
      <c r="T696" s="508"/>
      <c r="U696" s="508"/>
      <c r="V696" s="508"/>
      <c r="W696" s="508"/>
      <c r="X696" s="508"/>
      <c r="Y696" s="508"/>
      <c r="Z696" s="508"/>
    </row>
    <row r="697" ht="13.5" customHeight="1">
      <c r="A697" s="508"/>
      <c r="B697" s="508"/>
      <c r="C697" s="508"/>
      <c r="D697" s="508"/>
      <c r="E697" s="508"/>
      <c r="F697" s="508"/>
      <c r="G697" s="533"/>
      <c r="H697" s="508"/>
      <c r="I697" s="508"/>
      <c r="J697" s="508"/>
      <c r="K697" s="508"/>
      <c r="L697" s="508"/>
      <c r="M697" s="508"/>
      <c r="N697" s="508"/>
      <c r="O697" s="508"/>
      <c r="P697" s="508"/>
      <c r="Q697" s="508"/>
      <c r="R697" s="508"/>
      <c r="S697" s="508"/>
      <c r="T697" s="508"/>
      <c r="U697" s="508"/>
      <c r="V697" s="508"/>
      <c r="W697" s="508"/>
      <c r="X697" s="508"/>
      <c r="Y697" s="508"/>
      <c r="Z697" s="508"/>
    </row>
    <row r="698" ht="13.5" customHeight="1">
      <c r="A698" s="508"/>
      <c r="B698" s="508"/>
      <c r="C698" s="508"/>
      <c r="D698" s="508"/>
      <c r="E698" s="508"/>
      <c r="F698" s="508"/>
      <c r="G698" s="533"/>
      <c r="H698" s="508"/>
      <c r="I698" s="508"/>
      <c r="J698" s="508"/>
      <c r="K698" s="508"/>
      <c r="L698" s="508"/>
      <c r="M698" s="508"/>
      <c r="N698" s="508"/>
      <c r="O698" s="508"/>
      <c r="P698" s="508"/>
      <c r="Q698" s="508"/>
      <c r="R698" s="508"/>
      <c r="S698" s="508"/>
      <c r="T698" s="508"/>
      <c r="U698" s="508"/>
      <c r="V698" s="508"/>
      <c r="W698" s="508"/>
      <c r="X698" s="508"/>
      <c r="Y698" s="508"/>
      <c r="Z698" s="508"/>
    </row>
    <row r="699" ht="13.5" customHeight="1">
      <c r="A699" s="508"/>
      <c r="B699" s="508"/>
      <c r="C699" s="508"/>
      <c r="D699" s="508"/>
      <c r="E699" s="508"/>
      <c r="F699" s="508"/>
      <c r="G699" s="533"/>
      <c r="H699" s="508"/>
      <c r="I699" s="508"/>
      <c r="J699" s="508"/>
      <c r="K699" s="508"/>
      <c r="L699" s="508"/>
      <c r="M699" s="508"/>
      <c r="N699" s="508"/>
      <c r="O699" s="508"/>
      <c r="P699" s="508"/>
      <c r="Q699" s="508"/>
      <c r="R699" s="508"/>
      <c r="S699" s="508"/>
      <c r="T699" s="508"/>
      <c r="U699" s="508"/>
      <c r="V699" s="508"/>
      <c r="W699" s="508"/>
      <c r="X699" s="508"/>
      <c r="Y699" s="508"/>
      <c r="Z699" s="508"/>
    </row>
    <row r="700" ht="13.5" customHeight="1">
      <c r="A700" s="508"/>
      <c r="B700" s="508"/>
      <c r="C700" s="508"/>
      <c r="D700" s="508"/>
      <c r="E700" s="508"/>
      <c r="F700" s="508"/>
      <c r="G700" s="533"/>
      <c r="H700" s="508"/>
      <c r="I700" s="508"/>
      <c r="J700" s="508"/>
      <c r="K700" s="508"/>
      <c r="L700" s="508"/>
      <c r="M700" s="508"/>
      <c r="N700" s="508"/>
      <c r="O700" s="508"/>
      <c r="P700" s="508"/>
      <c r="Q700" s="508"/>
      <c r="R700" s="508"/>
      <c r="S700" s="508"/>
      <c r="T700" s="508"/>
      <c r="U700" s="508"/>
      <c r="V700" s="508"/>
      <c r="W700" s="508"/>
      <c r="X700" s="508"/>
      <c r="Y700" s="508"/>
      <c r="Z700" s="508"/>
    </row>
    <row r="701" ht="13.5" customHeight="1">
      <c r="A701" s="508"/>
      <c r="B701" s="508"/>
      <c r="C701" s="508"/>
      <c r="D701" s="508"/>
      <c r="E701" s="508"/>
      <c r="F701" s="508"/>
      <c r="G701" s="533"/>
      <c r="H701" s="508"/>
      <c r="I701" s="508"/>
      <c r="J701" s="508"/>
      <c r="K701" s="508"/>
      <c r="L701" s="508"/>
      <c r="M701" s="508"/>
      <c r="N701" s="508"/>
      <c r="O701" s="508"/>
      <c r="P701" s="508"/>
      <c r="Q701" s="508"/>
      <c r="R701" s="508"/>
      <c r="S701" s="508"/>
      <c r="T701" s="508"/>
      <c r="U701" s="508"/>
      <c r="V701" s="508"/>
      <c r="W701" s="508"/>
      <c r="X701" s="508"/>
      <c r="Y701" s="508"/>
      <c r="Z701" s="508"/>
    </row>
    <row r="702" ht="13.5" customHeight="1">
      <c r="A702" s="508"/>
      <c r="B702" s="508"/>
      <c r="C702" s="508"/>
      <c r="D702" s="508"/>
      <c r="E702" s="508"/>
      <c r="F702" s="508"/>
      <c r="G702" s="533"/>
      <c r="H702" s="508"/>
      <c r="I702" s="508"/>
      <c r="J702" s="508"/>
      <c r="K702" s="508"/>
      <c r="L702" s="508"/>
      <c r="M702" s="508"/>
      <c r="N702" s="508"/>
      <c r="O702" s="508"/>
      <c r="P702" s="508"/>
      <c r="Q702" s="508"/>
      <c r="R702" s="508"/>
      <c r="S702" s="508"/>
      <c r="T702" s="508"/>
      <c r="U702" s="508"/>
      <c r="V702" s="508"/>
      <c r="W702" s="508"/>
      <c r="X702" s="508"/>
      <c r="Y702" s="508"/>
      <c r="Z702" s="508"/>
    </row>
    <row r="703" ht="13.5" customHeight="1">
      <c r="A703" s="508"/>
      <c r="B703" s="508"/>
      <c r="C703" s="508"/>
      <c r="D703" s="508"/>
      <c r="E703" s="508"/>
      <c r="F703" s="508"/>
      <c r="G703" s="533"/>
      <c r="H703" s="508"/>
      <c r="I703" s="508"/>
      <c r="J703" s="508"/>
      <c r="K703" s="508"/>
      <c r="L703" s="508"/>
      <c r="M703" s="508"/>
      <c r="N703" s="508"/>
      <c r="O703" s="508"/>
      <c r="P703" s="508"/>
      <c r="Q703" s="508"/>
      <c r="R703" s="508"/>
      <c r="S703" s="508"/>
      <c r="T703" s="508"/>
      <c r="U703" s="508"/>
      <c r="V703" s="508"/>
      <c r="W703" s="508"/>
      <c r="X703" s="508"/>
      <c r="Y703" s="508"/>
      <c r="Z703" s="508"/>
    </row>
    <row r="704" ht="13.5" customHeight="1">
      <c r="A704" s="508"/>
      <c r="B704" s="508"/>
      <c r="C704" s="508"/>
      <c r="D704" s="508"/>
      <c r="E704" s="508"/>
      <c r="F704" s="508"/>
      <c r="G704" s="533"/>
      <c r="H704" s="508"/>
      <c r="I704" s="508"/>
      <c r="J704" s="508"/>
      <c r="K704" s="508"/>
      <c r="L704" s="508"/>
      <c r="M704" s="508"/>
      <c r="N704" s="508"/>
      <c r="O704" s="508"/>
      <c r="P704" s="508"/>
      <c r="Q704" s="508"/>
      <c r="R704" s="508"/>
      <c r="S704" s="508"/>
      <c r="T704" s="508"/>
      <c r="U704" s="508"/>
      <c r="V704" s="508"/>
      <c r="W704" s="508"/>
      <c r="X704" s="508"/>
      <c r="Y704" s="508"/>
      <c r="Z704" s="508"/>
    </row>
    <row r="705" ht="13.5" customHeight="1">
      <c r="A705" s="508"/>
      <c r="B705" s="508"/>
      <c r="C705" s="508"/>
      <c r="D705" s="508"/>
      <c r="E705" s="508"/>
      <c r="F705" s="508"/>
      <c r="G705" s="533"/>
      <c r="H705" s="508"/>
      <c r="I705" s="508"/>
      <c r="J705" s="508"/>
      <c r="K705" s="508"/>
      <c r="L705" s="508"/>
      <c r="M705" s="508"/>
      <c r="N705" s="508"/>
      <c r="O705" s="508"/>
      <c r="P705" s="508"/>
      <c r="Q705" s="508"/>
      <c r="R705" s="508"/>
      <c r="S705" s="508"/>
      <c r="T705" s="508"/>
      <c r="U705" s="508"/>
      <c r="V705" s="508"/>
      <c r="W705" s="508"/>
      <c r="X705" s="508"/>
      <c r="Y705" s="508"/>
      <c r="Z705" s="508"/>
    </row>
    <row r="706" ht="13.5" customHeight="1">
      <c r="A706" s="508"/>
      <c r="B706" s="508"/>
      <c r="C706" s="508"/>
      <c r="D706" s="508"/>
      <c r="E706" s="508"/>
      <c r="F706" s="508"/>
      <c r="G706" s="533"/>
      <c r="H706" s="508"/>
      <c r="I706" s="508"/>
      <c r="J706" s="508"/>
      <c r="K706" s="508"/>
      <c r="L706" s="508"/>
      <c r="M706" s="508"/>
      <c r="N706" s="508"/>
      <c r="O706" s="508"/>
      <c r="P706" s="508"/>
      <c r="Q706" s="508"/>
      <c r="R706" s="508"/>
      <c r="S706" s="508"/>
      <c r="T706" s="508"/>
      <c r="U706" s="508"/>
      <c r="V706" s="508"/>
      <c r="W706" s="508"/>
      <c r="X706" s="508"/>
      <c r="Y706" s="508"/>
      <c r="Z706" s="508"/>
    </row>
    <row r="707" ht="13.5" customHeight="1">
      <c r="A707" s="508"/>
      <c r="B707" s="508"/>
      <c r="C707" s="508"/>
      <c r="D707" s="508"/>
      <c r="E707" s="508"/>
      <c r="F707" s="508"/>
      <c r="G707" s="533"/>
      <c r="H707" s="508"/>
      <c r="I707" s="508"/>
      <c r="J707" s="508"/>
      <c r="K707" s="508"/>
      <c r="L707" s="508"/>
      <c r="M707" s="508"/>
      <c r="N707" s="508"/>
      <c r="O707" s="508"/>
      <c r="P707" s="508"/>
      <c r="Q707" s="508"/>
      <c r="R707" s="508"/>
      <c r="S707" s="508"/>
      <c r="T707" s="508"/>
      <c r="U707" s="508"/>
      <c r="V707" s="508"/>
      <c r="W707" s="508"/>
      <c r="X707" s="508"/>
      <c r="Y707" s="508"/>
      <c r="Z707" s="508"/>
    </row>
    <row r="708" ht="13.5" customHeight="1">
      <c r="A708" s="508"/>
      <c r="B708" s="508"/>
      <c r="C708" s="508"/>
      <c r="D708" s="508"/>
      <c r="E708" s="508"/>
      <c r="F708" s="508"/>
      <c r="G708" s="533"/>
      <c r="H708" s="508"/>
      <c r="I708" s="508"/>
      <c r="J708" s="508"/>
      <c r="K708" s="508"/>
      <c r="L708" s="508"/>
      <c r="M708" s="508"/>
      <c r="N708" s="508"/>
      <c r="O708" s="508"/>
      <c r="P708" s="508"/>
      <c r="Q708" s="508"/>
      <c r="R708" s="508"/>
      <c r="S708" s="508"/>
      <c r="T708" s="508"/>
      <c r="U708" s="508"/>
      <c r="V708" s="508"/>
      <c r="W708" s="508"/>
      <c r="X708" s="508"/>
      <c r="Y708" s="508"/>
      <c r="Z708" s="508"/>
    </row>
    <row r="709" ht="13.5" customHeight="1">
      <c r="A709" s="508"/>
      <c r="B709" s="508"/>
      <c r="C709" s="508"/>
      <c r="D709" s="508"/>
      <c r="E709" s="508"/>
      <c r="F709" s="508"/>
      <c r="G709" s="533"/>
      <c r="H709" s="508"/>
      <c r="I709" s="508"/>
      <c r="J709" s="508"/>
      <c r="K709" s="508"/>
      <c r="L709" s="508"/>
      <c r="M709" s="508"/>
      <c r="N709" s="508"/>
      <c r="O709" s="508"/>
      <c r="P709" s="508"/>
      <c r="Q709" s="508"/>
      <c r="R709" s="508"/>
      <c r="S709" s="508"/>
      <c r="T709" s="508"/>
      <c r="U709" s="508"/>
      <c r="V709" s="508"/>
      <c r="W709" s="508"/>
      <c r="X709" s="508"/>
      <c r="Y709" s="508"/>
      <c r="Z709" s="508"/>
    </row>
    <row r="710" ht="13.5" customHeight="1">
      <c r="A710" s="508"/>
      <c r="B710" s="508"/>
      <c r="C710" s="508"/>
      <c r="D710" s="508"/>
      <c r="E710" s="508"/>
      <c r="F710" s="508"/>
      <c r="G710" s="533"/>
      <c r="H710" s="508"/>
      <c r="I710" s="508"/>
      <c r="J710" s="508"/>
      <c r="K710" s="508"/>
      <c r="L710" s="508"/>
      <c r="M710" s="508"/>
      <c r="N710" s="508"/>
      <c r="O710" s="508"/>
      <c r="P710" s="508"/>
      <c r="Q710" s="508"/>
      <c r="R710" s="508"/>
      <c r="S710" s="508"/>
      <c r="T710" s="508"/>
      <c r="U710" s="508"/>
      <c r="V710" s="508"/>
      <c r="W710" s="508"/>
      <c r="X710" s="508"/>
      <c r="Y710" s="508"/>
      <c r="Z710" s="508"/>
    </row>
    <row r="711" ht="13.5" customHeight="1">
      <c r="A711" s="508"/>
      <c r="B711" s="508"/>
      <c r="C711" s="508"/>
      <c r="D711" s="508"/>
      <c r="E711" s="508"/>
      <c r="F711" s="508"/>
      <c r="G711" s="533"/>
      <c r="H711" s="508"/>
      <c r="I711" s="508"/>
      <c r="J711" s="508"/>
      <c r="K711" s="508"/>
      <c r="L711" s="508"/>
      <c r="M711" s="508"/>
      <c r="N711" s="508"/>
      <c r="O711" s="508"/>
      <c r="P711" s="508"/>
      <c r="Q711" s="508"/>
      <c r="R711" s="508"/>
      <c r="S711" s="508"/>
      <c r="T711" s="508"/>
      <c r="U711" s="508"/>
      <c r="V711" s="508"/>
      <c r="W711" s="508"/>
      <c r="X711" s="508"/>
      <c r="Y711" s="508"/>
      <c r="Z711" s="508"/>
    </row>
    <row r="712" ht="13.5" customHeight="1">
      <c r="A712" s="508"/>
      <c r="B712" s="508"/>
      <c r="C712" s="508"/>
      <c r="D712" s="508"/>
      <c r="E712" s="508"/>
      <c r="F712" s="508"/>
      <c r="G712" s="533"/>
      <c r="H712" s="508"/>
      <c r="I712" s="508"/>
      <c r="J712" s="508"/>
      <c r="K712" s="508"/>
      <c r="L712" s="508"/>
      <c r="M712" s="508"/>
      <c r="N712" s="508"/>
      <c r="O712" s="508"/>
      <c r="P712" s="508"/>
      <c r="Q712" s="508"/>
      <c r="R712" s="508"/>
      <c r="S712" s="508"/>
      <c r="T712" s="508"/>
      <c r="U712" s="508"/>
      <c r="V712" s="508"/>
      <c r="W712" s="508"/>
      <c r="X712" s="508"/>
      <c r="Y712" s="508"/>
      <c r="Z712" s="508"/>
    </row>
    <row r="713" ht="13.5" customHeight="1">
      <c r="A713" s="508"/>
      <c r="B713" s="508"/>
      <c r="C713" s="508"/>
      <c r="D713" s="508"/>
      <c r="E713" s="508"/>
      <c r="F713" s="508"/>
      <c r="G713" s="533"/>
      <c r="H713" s="508"/>
      <c r="I713" s="508"/>
      <c r="J713" s="508"/>
      <c r="K713" s="508"/>
      <c r="L713" s="508"/>
      <c r="M713" s="508"/>
      <c r="N713" s="508"/>
      <c r="O713" s="508"/>
      <c r="P713" s="508"/>
      <c r="Q713" s="508"/>
      <c r="R713" s="508"/>
      <c r="S713" s="508"/>
      <c r="T713" s="508"/>
      <c r="U713" s="508"/>
      <c r="V713" s="508"/>
      <c r="W713" s="508"/>
      <c r="X713" s="508"/>
      <c r="Y713" s="508"/>
      <c r="Z713" s="508"/>
    </row>
    <row r="714" ht="13.5" customHeight="1">
      <c r="A714" s="508"/>
      <c r="B714" s="508"/>
      <c r="C714" s="508"/>
      <c r="D714" s="508"/>
      <c r="E714" s="508"/>
      <c r="F714" s="508"/>
      <c r="G714" s="533"/>
      <c r="H714" s="508"/>
      <c r="I714" s="508"/>
      <c r="J714" s="508"/>
      <c r="K714" s="508"/>
      <c r="L714" s="508"/>
      <c r="M714" s="508"/>
      <c r="N714" s="508"/>
      <c r="O714" s="508"/>
      <c r="P714" s="508"/>
      <c r="Q714" s="508"/>
      <c r="R714" s="508"/>
      <c r="S714" s="508"/>
      <c r="T714" s="508"/>
      <c r="U714" s="508"/>
      <c r="V714" s="508"/>
      <c r="W714" s="508"/>
      <c r="X714" s="508"/>
      <c r="Y714" s="508"/>
      <c r="Z714" s="508"/>
    </row>
    <row r="715" ht="13.5" customHeight="1">
      <c r="A715" s="508"/>
      <c r="B715" s="508"/>
      <c r="C715" s="508"/>
      <c r="D715" s="508"/>
      <c r="E715" s="508"/>
      <c r="F715" s="508"/>
      <c r="G715" s="533"/>
      <c r="H715" s="508"/>
      <c r="I715" s="508"/>
      <c r="J715" s="508"/>
      <c r="K715" s="508"/>
      <c r="L715" s="508"/>
      <c r="M715" s="508"/>
      <c r="N715" s="508"/>
      <c r="O715" s="508"/>
      <c r="P715" s="508"/>
      <c r="Q715" s="508"/>
      <c r="R715" s="508"/>
      <c r="S715" s="508"/>
      <c r="T715" s="508"/>
      <c r="U715" s="508"/>
      <c r="V715" s="508"/>
      <c r="W715" s="508"/>
      <c r="X715" s="508"/>
      <c r="Y715" s="508"/>
      <c r="Z715" s="508"/>
    </row>
    <row r="716" ht="13.5" customHeight="1">
      <c r="A716" s="508"/>
      <c r="B716" s="508"/>
      <c r="C716" s="508"/>
      <c r="D716" s="508"/>
      <c r="E716" s="508"/>
      <c r="F716" s="508"/>
      <c r="G716" s="533"/>
      <c r="H716" s="508"/>
      <c r="I716" s="508"/>
      <c r="J716" s="508"/>
      <c r="K716" s="508"/>
      <c r="L716" s="508"/>
      <c r="M716" s="508"/>
      <c r="N716" s="508"/>
      <c r="O716" s="508"/>
      <c r="P716" s="508"/>
      <c r="Q716" s="508"/>
      <c r="R716" s="508"/>
      <c r="S716" s="508"/>
      <c r="T716" s="508"/>
      <c r="U716" s="508"/>
      <c r="V716" s="508"/>
      <c r="W716" s="508"/>
      <c r="X716" s="508"/>
      <c r="Y716" s="508"/>
      <c r="Z716" s="508"/>
    </row>
    <row r="717" ht="13.5" customHeight="1">
      <c r="A717" s="508"/>
      <c r="B717" s="508"/>
      <c r="C717" s="508"/>
      <c r="D717" s="508"/>
      <c r="E717" s="508"/>
      <c r="F717" s="508"/>
      <c r="G717" s="533"/>
      <c r="H717" s="508"/>
      <c r="I717" s="508"/>
      <c r="J717" s="508"/>
      <c r="K717" s="508"/>
      <c r="L717" s="508"/>
      <c r="M717" s="508"/>
      <c r="N717" s="508"/>
      <c r="O717" s="508"/>
      <c r="P717" s="508"/>
      <c r="Q717" s="508"/>
      <c r="R717" s="508"/>
      <c r="S717" s="508"/>
      <c r="T717" s="508"/>
      <c r="U717" s="508"/>
      <c r="V717" s="508"/>
      <c r="W717" s="508"/>
      <c r="X717" s="508"/>
      <c r="Y717" s="508"/>
      <c r="Z717" s="508"/>
    </row>
    <row r="718" ht="13.5" customHeight="1">
      <c r="A718" s="508"/>
      <c r="B718" s="508"/>
      <c r="C718" s="508"/>
      <c r="D718" s="508"/>
      <c r="E718" s="508"/>
      <c r="F718" s="508"/>
      <c r="G718" s="533"/>
      <c r="H718" s="508"/>
      <c r="I718" s="508"/>
      <c r="J718" s="508"/>
      <c r="K718" s="508"/>
      <c r="L718" s="508"/>
      <c r="M718" s="508"/>
      <c r="N718" s="508"/>
      <c r="O718" s="508"/>
      <c r="P718" s="508"/>
      <c r="Q718" s="508"/>
      <c r="R718" s="508"/>
      <c r="S718" s="508"/>
      <c r="T718" s="508"/>
      <c r="U718" s="508"/>
      <c r="V718" s="508"/>
      <c r="W718" s="508"/>
      <c r="X718" s="508"/>
      <c r="Y718" s="508"/>
      <c r="Z718" s="508"/>
    </row>
    <row r="719" ht="13.5" customHeight="1">
      <c r="A719" s="508"/>
      <c r="B719" s="508"/>
      <c r="C719" s="508"/>
      <c r="D719" s="508"/>
      <c r="E719" s="508"/>
      <c r="F719" s="508"/>
      <c r="G719" s="533"/>
      <c r="H719" s="508"/>
      <c r="I719" s="508"/>
      <c r="J719" s="508"/>
      <c r="K719" s="508"/>
      <c r="L719" s="508"/>
      <c r="M719" s="508"/>
      <c r="N719" s="508"/>
      <c r="O719" s="508"/>
      <c r="P719" s="508"/>
      <c r="Q719" s="508"/>
      <c r="R719" s="508"/>
      <c r="S719" s="508"/>
      <c r="T719" s="508"/>
      <c r="U719" s="508"/>
      <c r="V719" s="508"/>
      <c r="W719" s="508"/>
      <c r="X719" s="508"/>
      <c r="Y719" s="508"/>
      <c r="Z719" s="508"/>
    </row>
    <row r="720" ht="13.5" customHeight="1">
      <c r="A720" s="508"/>
      <c r="B720" s="508"/>
      <c r="C720" s="508"/>
      <c r="D720" s="508"/>
      <c r="E720" s="508"/>
      <c r="F720" s="508"/>
      <c r="G720" s="533"/>
      <c r="H720" s="508"/>
      <c r="I720" s="508"/>
      <c r="J720" s="508"/>
      <c r="K720" s="508"/>
      <c r="L720" s="508"/>
      <c r="M720" s="508"/>
      <c r="N720" s="508"/>
      <c r="O720" s="508"/>
      <c r="P720" s="508"/>
      <c r="Q720" s="508"/>
      <c r="R720" s="508"/>
      <c r="S720" s="508"/>
      <c r="T720" s="508"/>
      <c r="U720" s="508"/>
      <c r="V720" s="508"/>
      <c r="W720" s="508"/>
      <c r="X720" s="508"/>
      <c r="Y720" s="508"/>
      <c r="Z720" s="508"/>
    </row>
    <row r="721" ht="13.5" customHeight="1">
      <c r="A721" s="508"/>
      <c r="B721" s="508"/>
      <c r="C721" s="508"/>
      <c r="D721" s="508"/>
      <c r="E721" s="508"/>
      <c r="F721" s="508"/>
      <c r="G721" s="533"/>
      <c r="H721" s="508"/>
      <c r="I721" s="508"/>
      <c r="J721" s="508"/>
      <c r="K721" s="508"/>
      <c r="L721" s="508"/>
      <c r="M721" s="508"/>
      <c r="N721" s="508"/>
      <c r="O721" s="508"/>
      <c r="P721" s="508"/>
      <c r="Q721" s="508"/>
      <c r="R721" s="508"/>
      <c r="S721" s="508"/>
      <c r="T721" s="508"/>
      <c r="U721" s="508"/>
      <c r="V721" s="508"/>
      <c r="W721" s="508"/>
      <c r="X721" s="508"/>
      <c r="Y721" s="508"/>
      <c r="Z721" s="508"/>
    </row>
    <row r="722" ht="13.5" customHeight="1">
      <c r="A722" s="508"/>
      <c r="B722" s="508"/>
      <c r="C722" s="508"/>
      <c r="D722" s="508"/>
      <c r="E722" s="508"/>
      <c r="F722" s="508"/>
      <c r="G722" s="533"/>
      <c r="H722" s="508"/>
      <c r="I722" s="508"/>
      <c r="J722" s="508"/>
      <c r="K722" s="508"/>
      <c r="L722" s="508"/>
      <c r="M722" s="508"/>
      <c r="N722" s="508"/>
      <c r="O722" s="508"/>
      <c r="P722" s="508"/>
      <c r="Q722" s="508"/>
      <c r="R722" s="508"/>
      <c r="S722" s="508"/>
      <c r="T722" s="508"/>
      <c r="U722" s="508"/>
      <c r="V722" s="508"/>
      <c r="W722" s="508"/>
      <c r="X722" s="508"/>
      <c r="Y722" s="508"/>
      <c r="Z722" s="508"/>
    </row>
    <row r="723" ht="13.5" customHeight="1">
      <c r="A723" s="508"/>
      <c r="B723" s="508"/>
      <c r="C723" s="508"/>
      <c r="D723" s="508"/>
      <c r="E723" s="508"/>
      <c r="F723" s="508"/>
      <c r="G723" s="533"/>
      <c r="H723" s="508"/>
      <c r="I723" s="508"/>
      <c r="J723" s="508"/>
      <c r="K723" s="508"/>
      <c r="L723" s="508"/>
      <c r="M723" s="508"/>
      <c r="N723" s="508"/>
      <c r="O723" s="508"/>
      <c r="P723" s="508"/>
      <c r="Q723" s="508"/>
      <c r="R723" s="508"/>
      <c r="S723" s="508"/>
      <c r="T723" s="508"/>
      <c r="U723" s="508"/>
      <c r="V723" s="508"/>
      <c r="W723" s="508"/>
      <c r="X723" s="508"/>
      <c r="Y723" s="508"/>
      <c r="Z723" s="508"/>
    </row>
    <row r="724" ht="13.5" customHeight="1">
      <c r="A724" s="508"/>
      <c r="B724" s="508"/>
      <c r="C724" s="508"/>
      <c r="D724" s="508"/>
      <c r="E724" s="508"/>
      <c r="F724" s="508"/>
      <c r="G724" s="533"/>
      <c r="H724" s="508"/>
      <c r="I724" s="508"/>
      <c r="J724" s="508"/>
      <c r="K724" s="508"/>
      <c r="L724" s="508"/>
      <c r="M724" s="508"/>
      <c r="N724" s="508"/>
      <c r="O724" s="508"/>
      <c r="P724" s="508"/>
      <c r="Q724" s="508"/>
      <c r="R724" s="508"/>
      <c r="S724" s="508"/>
      <c r="T724" s="508"/>
      <c r="U724" s="508"/>
      <c r="V724" s="508"/>
      <c r="W724" s="508"/>
      <c r="X724" s="508"/>
      <c r="Y724" s="508"/>
      <c r="Z724" s="508"/>
    </row>
    <row r="725" ht="13.5" customHeight="1">
      <c r="A725" s="508"/>
      <c r="B725" s="508"/>
      <c r="C725" s="508"/>
      <c r="D725" s="508"/>
      <c r="E725" s="508"/>
      <c r="F725" s="508"/>
      <c r="G725" s="533"/>
      <c r="H725" s="508"/>
      <c r="I725" s="508"/>
      <c r="J725" s="508"/>
      <c r="K725" s="508"/>
      <c r="L725" s="508"/>
      <c r="M725" s="508"/>
      <c r="N725" s="508"/>
      <c r="O725" s="508"/>
      <c r="P725" s="508"/>
      <c r="Q725" s="508"/>
      <c r="R725" s="508"/>
      <c r="S725" s="508"/>
      <c r="T725" s="508"/>
      <c r="U725" s="508"/>
      <c r="V725" s="508"/>
      <c r="W725" s="508"/>
      <c r="X725" s="508"/>
      <c r="Y725" s="508"/>
      <c r="Z725" s="508"/>
    </row>
    <row r="726" ht="13.5" customHeight="1">
      <c r="A726" s="508"/>
      <c r="B726" s="508"/>
      <c r="C726" s="508"/>
      <c r="D726" s="508"/>
      <c r="E726" s="508"/>
      <c r="F726" s="508"/>
      <c r="G726" s="533"/>
      <c r="H726" s="508"/>
      <c r="I726" s="508"/>
      <c r="J726" s="508"/>
      <c r="K726" s="508"/>
      <c r="L726" s="508"/>
      <c r="M726" s="508"/>
      <c r="N726" s="508"/>
      <c r="O726" s="508"/>
      <c r="P726" s="508"/>
      <c r="Q726" s="508"/>
      <c r="R726" s="508"/>
      <c r="S726" s="508"/>
      <c r="T726" s="508"/>
      <c r="U726" s="508"/>
      <c r="V726" s="508"/>
      <c r="W726" s="508"/>
      <c r="X726" s="508"/>
      <c r="Y726" s="508"/>
      <c r="Z726" s="508"/>
    </row>
    <row r="727" ht="13.5" customHeight="1">
      <c r="A727" s="508"/>
      <c r="B727" s="508"/>
      <c r="C727" s="508"/>
      <c r="D727" s="508"/>
      <c r="E727" s="508"/>
      <c r="F727" s="508"/>
      <c r="G727" s="533"/>
      <c r="H727" s="508"/>
      <c r="I727" s="508"/>
      <c r="J727" s="508"/>
      <c r="K727" s="508"/>
      <c r="L727" s="508"/>
      <c r="M727" s="508"/>
      <c r="N727" s="508"/>
      <c r="O727" s="508"/>
      <c r="P727" s="508"/>
      <c r="Q727" s="508"/>
      <c r="R727" s="508"/>
      <c r="S727" s="508"/>
      <c r="T727" s="508"/>
      <c r="U727" s="508"/>
      <c r="V727" s="508"/>
      <c r="W727" s="508"/>
      <c r="X727" s="508"/>
      <c r="Y727" s="508"/>
      <c r="Z727" s="508"/>
    </row>
    <row r="728" ht="13.5" customHeight="1">
      <c r="A728" s="508"/>
      <c r="B728" s="508"/>
      <c r="C728" s="508"/>
      <c r="D728" s="508"/>
      <c r="E728" s="508"/>
      <c r="F728" s="508"/>
      <c r="G728" s="533"/>
      <c r="H728" s="508"/>
      <c r="I728" s="508"/>
      <c r="J728" s="508"/>
      <c r="K728" s="508"/>
      <c r="L728" s="508"/>
      <c r="M728" s="508"/>
      <c r="N728" s="508"/>
      <c r="O728" s="508"/>
      <c r="P728" s="508"/>
      <c r="Q728" s="508"/>
      <c r="R728" s="508"/>
      <c r="S728" s="508"/>
      <c r="T728" s="508"/>
      <c r="U728" s="508"/>
      <c r="V728" s="508"/>
      <c r="W728" s="508"/>
      <c r="X728" s="508"/>
      <c r="Y728" s="508"/>
      <c r="Z728" s="508"/>
    </row>
    <row r="729" ht="13.5" customHeight="1">
      <c r="A729" s="508"/>
      <c r="B729" s="508"/>
      <c r="C729" s="508"/>
      <c r="D729" s="508"/>
      <c r="E729" s="508"/>
      <c r="F729" s="508"/>
      <c r="G729" s="533"/>
      <c r="H729" s="508"/>
      <c r="I729" s="508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508"/>
      <c r="Y729" s="508"/>
      <c r="Z729" s="508"/>
    </row>
    <row r="730" ht="13.5" customHeight="1">
      <c r="A730" s="508"/>
      <c r="B730" s="508"/>
      <c r="C730" s="508"/>
      <c r="D730" s="508"/>
      <c r="E730" s="508"/>
      <c r="F730" s="508"/>
      <c r="G730" s="533"/>
      <c r="H730" s="508"/>
      <c r="I730" s="508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508"/>
      <c r="Y730" s="508"/>
      <c r="Z730" s="508"/>
    </row>
    <row r="731" ht="13.5" customHeight="1">
      <c r="A731" s="508"/>
      <c r="B731" s="508"/>
      <c r="C731" s="508"/>
      <c r="D731" s="508"/>
      <c r="E731" s="508"/>
      <c r="F731" s="508"/>
      <c r="G731" s="533"/>
      <c r="H731" s="508"/>
      <c r="I731" s="508"/>
      <c r="J731" s="508"/>
      <c r="K731" s="508"/>
      <c r="L731" s="508"/>
      <c r="M731" s="508"/>
      <c r="N731" s="508"/>
      <c r="O731" s="508"/>
      <c r="P731" s="508"/>
      <c r="Q731" s="508"/>
      <c r="R731" s="508"/>
      <c r="S731" s="508"/>
      <c r="T731" s="508"/>
      <c r="U731" s="508"/>
      <c r="V731" s="508"/>
      <c r="W731" s="508"/>
      <c r="X731" s="508"/>
      <c r="Y731" s="508"/>
      <c r="Z731" s="508"/>
    </row>
    <row r="732" ht="13.5" customHeight="1">
      <c r="A732" s="508"/>
      <c r="B732" s="508"/>
      <c r="C732" s="508"/>
      <c r="D732" s="508"/>
      <c r="E732" s="508"/>
      <c r="F732" s="508"/>
      <c r="G732" s="533"/>
      <c r="H732" s="508"/>
      <c r="I732" s="508"/>
      <c r="J732" s="508"/>
      <c r="K732" s="508"/>
      <c r="L732" s="508"/>
      <c r="M732" s="508"/>
      <c r="N732" s="508"/>
      <c r="O732" s="508"/>
      <c r="P732" s="508"/>
      <c r="Q732" s="508"/>
      <c r="R732" s="508"/>
      <c r="S732" s="508"/>
      <c r="T732" s="508"/>
      <c r="U732" s="508"/>
      <c r="V732" s="508"/>
      <c r="W732" s="508"/>
      <c r="X732" s="508"/>
      <c r="Y732" s="508"/>
      <c r="Z732" s="508"/>
    </row>
    <row r="733" ht="13.5" customHeight="1">
      <c r="A733" s="508"/>
      <c r="B733" s="508"/>
      <c r="C733" s="508"/>
      <c r="D733" s="508"/>
      <c r="E733" s="508"/>
      <c r="F733" s="508"/>
      <c r="G733" s="533"/>
      <c r="H733" s="508"/>
      <c r="I733" s="508"/>
      <c r="J733" s="508"/>
      <c r="K733" s="508"/>
      <c r="L733" s="508"/>
      <c r="M733" s="508"/>
      <c r="N733" s="508"/>
      <c r="O733" s="508"/>
      <c r="P733" s="508"/>
      <c r="Q733" s="508"/>
      <c r="R733" s="508"/>
      <c r="S733" s="508"/>
      <c r="T733" s="508"/>
      <c r="U733" s="508"/>
      <c r="V733" s="508"/>
      <c r="W733" s="508"/>
      <c r="X733" s="508"/>
      <c r="Y733" s="508"/>
      <c r="Z733" s="508"/>
    </row>
    <row r="734" ht="13.5" customHeight="1">
      <c r="A734" s="508"/>
      <c r="B734" s="508"/>
      <c r="C734" s="508"/>
      <c r="D734" s="508"/>
      <c r="E734" s="508"/>
      <c r="F734" s="508"/>
      <c r="G734" s="533"/>
      <c r="H734" s="508"/>
      <c r="I734" s="508"/>
      <c r="J734" s="508"/>
      <c r="K734" s="508"/>
      <c r="L734" s="508"/>
      <c r="M734" s="508"/>
      <c r="N734" s="508"/>
      <c r="O734" s="508"/>
      <c r="P734" s="508"/>
      <c r="Q734" s="508"/>
      <c r="R734" s="508"/>
      <c r="S734" s="508"/>
      <c r="T734" s="508"/>
      <c r="U734" s="508"/>
      <c r="V734" s="508"/>
      <c r="W734" s="508"/>
      <c r="X734" s="508"/>
      <c r="Y734" s="508"/>
      <c r="Z734" s="508"/>
    </row>
    <row r="735" ht="13.5" customHeight="1">
      <c r="A735" s="508"/>
      <c r="B735" s="508"/>
      <c r="C735" s="508"/>
      <c r="D735" s="508"/>
      <c r="E735" s="508"/>
      <c r="F735" s="508"/>
      <c r="G735" s="533"/>
      <c r="H735" s="508"/>
      <c r="I735" s="508"/>
      <c r="J735" s="508"/>
      <c r="K735" s="508"/>
      <c r="L735" s="508"/>
      <c r="M735" s="508"/>
      <c r="N735" s="508"/>
      <c r="O735" s="508"/>
      <c r="P735" s="508"/>
      <c r="Q735" s="508"/>
      <c r="R735" s="508"/>
      <c r="S735" s="508"/>
      <c r="T735" s="508"/>
      <c r="U735" s="508"/>
      <c r="V735" s="508"/>
      <c r="W735" s="508"/>
      <c r="X735" s="508"/>
      <c r="Y735" s="508"/>
      <c r="Z735" s="508"/>
    </row>
    <row r="736" ht="13.5" customHeight="1">
      <c r="A736" s="508"/>
      <c r="B736" s="508"/>
      <c r="C736" s="508"/>
      <c r="D736" s="508"/>
      <c r="E736" s="508"/>
      <c r="F736" s="508"/>
      <c r="G736" s="533"/>
      <c r="H736" s="508"/>
      <c r="I736" s="508"/>
      <c r="J736" s="508"/>
      <c r="K736" s="508"/>
      <c r="L736" s="508"/>
      <c r="M736" s="508"/>
      <c r="N736" s="508"/>
      <c r="O736" s="508"/>
      <c r="P736" s="508"/>
      <c r="Q736" s="508"/>
      <c r="R736" s="508"/>
      <c r="S736" s="508"/>
      <c r="T736" s="508"/>
      <c r="U736" s="508"/>
      <c r="V736" s="508"/>
      <c r="W736" s="508"/>
      <c r="X736" s="508"/>
      <c r="Y736" s="508"/>
      <c r="Z736" s="508"/>
    </row>
    <row r="737" ht="13.5" customHeight="1">
      <c r="A737" s="508"/>
      <c r="B737" s="508"/>
      <c r="C737" s="508"/>
      <c r="D737" s="508"/>
      <c r="E737" s="508"/>
      <c r="F737" s="508"/>
      <c r="G737" s="533"/>
      <c r="H737" s="508"/>
      <c r="I737" s="508"/>
      <c r="J737" s="508"/>
      <c r="K737" s="508"/>
      <c r="L737" s="508"/>
      <c r="M737" s="508"/>
      <c r="N737" s="508"/>
      <c r="O737" s="508"/>
      <c r="P737" s="508"/>
      <c r="Q737" s="508"/>
      <c r="R737" s="508"/>
      <c r="S737" s="508"/>
      <c r="T737" s="508"/>
      <c r="U737" s="508"/>
      <c r="V737" s="508"/>
      <c r="W737" s="508"/>
      <c r="X737" s="508"/>
      <c r="Y737" s="508"/>
      <c r="Z737" s="508"/>
    </row>
    <row r="738" ht="13.5" customHeight="1">
      <c r="A738" s="508"/>
      <c r="B738" s="508"/>
      <c r="C738" s="508"/>
      <c r="D738" s="508"/>
      <c r="E738" s="508"/>
      <c r="F738" s="508"/>
      <c r="G738" s="533"/>
      <c r="H738" s="508"/>
      <c r="I738" s="508"/>
      <c r="J738" s="508"/>
      <c r="K738" s="508"/>
      <c r="L738" s="508"/>
      <c r="M738" s="508"/>
      <c r="N738" s="508"/>
      <c r="O738" s="508"/>
      <c r="P738" s="508"/>
      <c r="Q738" s="508"/>
      <c r="R738" s="508"/>
      <c r="S738" s="508"/>
      <c r="T738" s="508"/>
      <c r="U738" s="508"/>
      <c r="V738" s="508"/>
      <c r="W738" s="508"/>
      <c r="X738" s="508"/>
      <c r="Y738" s="508"/>
      <c r="Z738" s="508"/>
    </row>
    <row r="739" ht="13.5" customHeight="1">
      <c r="A739" s="508"/>
      <c r="B739" s="508"/>
      <c r="C739" s="508"/>
      <c r="D739" s="508"/>
      <c r="E739" s="508"/>
      <c r="F739" s="508"/>
      <c r="G739" s="533"/>
      <c r="H739" s="508"/>
      <c r="I739" s="508"/>
      <c r="J739" s="508"/>
      <c r="K739" s="508"/>
      <c r="L739" s="508"/>
      <c r="M739" s="508"/>
      <c r="N739" s="508"/>
      <c r="O739" s="508"/>
      <c r="P739" s="508"/>
      <c r="Q739" s="508"/>
      <c r="R739" s="508"/>
      <c r="S739" s="508"/>
      <c r="T739" s="508"/>
      <c r="U739" s="508"/>
      <c r="V739" s="508"/>
      <c r="W739" s="508"/>
      <c r="X739" s="508"/>
      <c r="Y739" s="508"/>
      <c r="Z739" s="508"/>
    </row>
    <row r="740" ht="13.5" customHeight="1">
      <c r="A740" s="508"/>
      <c r="B740" s="508"/>
      <c r="C740" s="508"/>
      <c r="D740" s="508"/>
      <c r="E740" s="508"/>
      <c r="F740" s="508"/>
      <c r="G740" s="533"/>
      <c r="H740" s="508"/>
      <c r="I740" s="508"/>
      <c r="J740" s="508"/>
      <c r="K740" s="508"/>
      <c r="L740" s="508"/>
      <c r="M740" s="508"/>
      <c r="N740" s="508"/>
      <c r="O740" s="508"/>
      <c r="P740" s="508"/>
      <c r="Q740" s="508"/>
      <c r="R740" s="508"/>
      <c r="S740" s="508"/>
      <c r="T740" s="508"/>
      <c r="U740" s="508"/>
      <c r="V740" s="508"/>
      <c r="W740" s="508"/>
      <c r="X740" s="508"/>
      <c r="Y740" s="508"/>
      <c r="Z740" s="508"/>
    </row>
    <row r="741" ht="13.5" customHeight="1">
      <c r="A741" s="508"/>
      <c r="B741" s="508"/>
      <c r="C741" s="508"/>
      <c r="D741" s="508"/>
      <c r="E741" s="508"/>
      <c r="F741" s="508"/>
      <c r="G741" s="533"/>
      <c r="H741" s="508"/>
      <c r="I741" s="508"/>
      <c r="J741" s="508"/>
      <c r="K741" s="508"/>
      <c r="L741" s="508"/>
      <c r="M741" s="508"/>
      <c r="N741" s="508"/>
      <c r="O741" s="508"/>
      <c r="P741" s="508"/>
      <c r="Q741" s="508"/>
      <c r="R741" s="508"/>
      <c r="S741" s="508"/>
      <c r="T741" s="508"/>
      <c r="U741" s="508"/>
      <c r="V741" s="508"/>
      <c r="W741" s="508"/>
      <c r="X741" s="508"/>
      <c r="Y741" s="508"/>
      <c r="Z741" s="508"/>
    </row>
    <row r="742" ht="13.5" customHeight="1">
      <c r="A742" s="508"/>
      <c r="B742" s="508"/>
      <c r="C742" s="508"/>
      <c r="D742" s="508"/>
      <c r="E742" s="508"/>
      <c r="F742" s="508"/>
      <c r="G742" s="533"/>
      <c r="H742" s="508"/>
      <c r="I742" s="508"/>
      <c r="J742" s="508"/>
      <c r="K742" s="508"/>
      <c r="L742" s="508"/>
      <c r="M742" s="508"/>
      <c r="N742" s="508"/>
      <c r="O742" s="508"/>
      <c r="P742" s="508"/>
      <c r="Q742" s="508"/>
      <c r="R742" s="508"/>
      <c r="S742" s="508"/>
      <c r="T742" s="508"/>
      <c r="U742" s="508"/>
      <c r="V742" s="508"/>
      <c r="W742" s="508"/>
      <c r="X742" s="508"/>
      <c r="Y742" s="508"/>
      <c r="Z742" s="508"/>
    </row>
    <row r="743" ht="13.5" customHeight="1">
      <c r="A743" s="508"/>
      <c r="B743" s="508"/>
      <c r="C743" s="508"/>
      <c r="D743" s="508"/>
      <c r="E743" s="508"/>
      <c r="F743" s="508"/>
      <c r="G743" s="533"/>
      <c r="H743" s="508"/>
      <c r="I743" s="508"/>
      <c r="J743" s="508"/>
      <c r="K743" s="508"/>
      <c r="L743" s="508"/>
      <c r="M743" s="508"/>
      <c r="N743" s="508"/>
      <c r="O743" s="508"/>
      <c r="P743" s="508"/>
      <c r="Q743" s="508"/>
      <c r="R743" s="508"/>
      <c r="S743" s="508"/>
      <c r="T743" s="508"/>
      <c r="U743" s="508"/>
      <c r="V743" s="508"/>
      <c r="W743" s="508"/>
      <c r="X743" s="508"/>
      <c r="Y743" s="508"/>
      <c r="Z743" s="508"/>
    </row>
    <row r="744" ht="13.5" customHeight="1">
      <c r="A744" s="508"/>
      <c r="B744" s="508"/>
      <c r="C744" s="508"/>
      <c r="D744" s="508"/>
      <c r="E744" s="508"/>
      <c r="F744" s="508"/>
      <c r="G744" s="533"/>
      <c r="H744" s="508"/>
      <c r="I744" s="508"/>
      <c r="J744" s="508"/>
      <c r="K744" s="508"/>
      <c r="L744" s="508"/>
      <c r="M744" s="508"/>
      <c r="N744" s="508"/>
      <c r="O744" s="508"/>
      <c r="P744" s="508"/>
      <c r="Q744" s="508"/>
      <c r="R744" s="508"/>
      <c r="S744" s="508"/>
      <c r="T744" s="508"/>
      <c r="U744" s="508"/>
      <c r="V744" s="508"/>
      <c r="W744" s="508"/>
      <c r="X744" s="508"/>
      <c r="Y744" s="508"/>
      <c r="Z744" s="508"/>
    </row>
    <row r="745" ht="13.5" customHeight="1">
      <c r="A745" s="508"/>
      <c r="B745" s="508"/>
      <c r="C745" s="508"/>
      <c r="D745" s="508"/>
      <c r="E745" s="508"/>
      <c r="F745" s="508"/>
      <c r="G745" s="533"/>
      <c r="H745" s="508"/>
      <c r="I745" s="508"/>
      <c r="J745" s="508"/>
      <c r="K745" s="508"/>
      <c r="L745" s="508"/>
      <c r="M745" s="508"/>
      <c r="N745" s="508"/>
      <c r="O745" s="508"/>
      <c r="P745" s="508"/>
      <c r="Q745" s="508"/>
      <c r="R745" s="508"/>
      <c r="S745" s="508"/>
      <c r="T745" s="508"/>
      <c r="U745" s="508"/>
      <c r="V745" s="508"/>
      <c r="W745" s="508"/>
      <c r="X745" s="508"/>
      <c r="Y745" s="508"/>
      <c r="Z745" s="508"/>
    </row>
    <row r="746" ht="13.5" customHeight="1">
      <c r="A746" s="508"/>
      <c r="B746" s="508"/>
      <c r="C746" s="508"/>
      <c r="D746" s="508"/>
      <c r="E746" s="508"/>
      <c r="F746" s="508"/>
      <c r="G746" s="533"/>
      <c r="H746" s="508"/>
      <c r="I746" s="508"/>
      <c r="J746" s="508"/>
      <c r="K746" s="508"/>
      <c r="L746" s="508"/>
      <c r="M746" s="508"/>
      <c r="N746" s="508"/>
      <c r="O746" s="508"/>
      <c r="P746" s="508"/>
      <c r="Q746" s="508"/>
      <c r="R746" s="508"/>
      <c r="S746" s="508"/>
      <c r="T746" s="508"/>
      <c r="U746" s="508"/>
      <c r="V746" s="508"/>
      <c r="W746" s="508"/>
      <c r="X746" s="508"/>
      <c r="Y746" s="508"/>
      <c r="Z746" s="508"/>
    </row>
    <row r="747" ht="13.5" customHeight="1">
      <c r="A747" s="508"/>
      <c r="B747" s="508"/>
      <c r="C747" s="508"/>
      <c r="D747" s="508"/>
      <c r="E747" s="508"/>
      <c r="F747" s="508"/>
      <c r="G747" s="533"/>
      <c r="H747" s="508"/>
      <c r="I747" s="508"/>
      <c r="J747" s="508"/>
      <c r="K747" s="508"/>
      <c r="L747" s="508"/>
      <c r="M747" s="508"/>
      <c r="N747" s="508"/>
      <c r="O747" s="508"/>
      <c r="P747" s="508"/>
      <c r="Q747" s="508"/>
      <c r="R747" s="508"/>
      <c r="S747" s="508"/>
      <c r="T747" s="508"/>
      <c r="U747" s="508"/>
      <c r="V747" s="508"/>
      <c r="W747" s="508"/>
      <c r="X747" s="508"/>
      <c r="Y747" s="508"/>
      <c r="Z747" s="508"/>
    </row>
    <row r="748" ht="13.5" customHeight="1">
      <c r="A748" s="508"/>
      <c r="B748" s="508"/>
      <c r="C748" s="508"/>
      <c r="D748" s="508"/>
      <c r="E748" s="508"/>
      <c r="F748" s="508"/>
      <c r="G748" s="533"/>
      <c r="H748" s="508"/>
      <c r="I748" s="508"/>
      <c r="J748" s="508"/>
      <c r="K748" s="508"/>
      <c r="L748" s="508"/>
      <c r="M748" s="508"/>
      <c r="N748" s="508"/>
      <c r="O748" s="508"/>
      <c r="P748" s="508"/>
      <c r="Q748" s="508"/>
      <c r="R748" s="508"/>
      <c r="S748" s="508"/>
      <c r="T748" s="508"/>
      <c r="U748" s="508"/>
      <c r="V748" s="508"/>
      <c r="W748" s="508"/>
      <c r="X748" s="508"/>
      <c r="Y748" s="508"/>
      <c r="Z748" s="508"/>
    </row>
    <row r="749" ht="13.5" customHeight="1">
      <c r="A749" s="508"/>
      <c r="B749" s="508"/>
      <c r="C749" s="508"/>
      <c r="D749" s="508"/>
      <c r="E749" s="508"/>
      <c r="F749" s="508"/>
      <c r="G749" s="533"/>
      <c r="H749" s="508"/>
      <c r="I749" s="508"/>
      <c r="J749" s="508"/>
      <c r="K749" s="508"/>
      <c r="L749" s="508"/>
      <c r="M749" s="508"/>
      <c r="N749" s="508"/>
      <c r="O749" s="508"/>
      <c r="P749" s="508"/>
      <c r="Q749" s="508"/>
      <c r="R749" s="508"/>
      <c r="S749" s="508"/>
      <c r="T749" s="508"/>
      <c r="U749" s="508"/>
      <c r="V749" s="508"/>
      <c r="W749" s="508"/>
      <c r="X749" s="508"/>
      <c r="Y749" s="508"/>
      <c r="Z749" s="508"/>
    </row>
    <row r="750" ht="13.5" customHeight="1">
      <c r="A750" s="508"/>
      <c r="B750" s="508"/>
      <c r="C750" s="508"/>
      <c r="D750" s="508"/>
      <c r="E750" s="508"/>
      <c r="F750" s="508"/>
      <c r="G750" s="533"/>
      <c r="H750" s="508"/>
      <c r="I750" s="508"/>
      <c r="J750" s="508"/>
      <c r="K750" s="508"/>
      <c r="L750" s="508"/>
      <c r="M750" s="508"/>
      <c r="N750" s="508"/>
      <c r="O750" s="508"/>
      <c r="P750" s="508"/>
      <c r="Q750" s="508"/>
      <c r="R750" s="508"/>
      <c r="S750" s="508"/>
      <c r="T750" s="508"/>
      <c r="U750" s="508"/>
      <c r="V750" s="508"/>
      <c r="W750" s="508"/>
      <c r="X750" s="508"/>
      <c r="Y750" s="508"/>
      <c r="Z750" s="508"/>
    </row>
    <row r="751" ht="13.5" customHeight="1">
      <c r="A751" s="508"/>
      <c r="B751" s="508"/>
      <c r="C751" s="508"/>
      <c r="D751" s="508"/>
      <c r="E751" s="508"/>
      <c r="F751" s="508"/>
      <c r="G751" s="533"/>
      <c r="H751" s="508"/>
      <c r="I751" s="508"/>
      <c r="J751" s="508"/>
      <c r="K751" s="508"/>
      <c r="L751" s="508"/>
      <c r="M751" s="508"/>
      <c r="N751" s="508"/>
      <c r="O751" s="508"/>
      <c r="P751" s="508"/>
      <c r="Q751" s="508"/>
      <c r="R751" s="508"/>
      <c r="S751" s="508"/>
      <c r="T751" s="508"/>
      <c r="U751" s="508"/>
      <c r="V751" s="508"/>
      <c r="W751" s="508"/>
      <c r="X751" s="508"/>
      <c r="Y751" s="508"/>
      <c r="Z751" s="508"/>
    </row>
    <row r="752" ht="13.5" customHeight="1">
      <c r="A752" s="508"/>
      <c r="B752" s="508"/>
      <c r="C752" s="508"/>
      <c r="D752" s="508"/>
      <c r="E752" s="508"/>
      <c r="F752" s="508"/>
      <c r="G752" s="533"/>
      <c r="H752" s="508"/>
      <c r="I752" s="508"/>
      <c r="J752" s="508"/>
      <c r="K752" s="508"/>
      <c r="L752" s="508"/>
      <c r="M752" s="508"/>
      <c r="N752" s="508"/>
      <c r="O752" s="508"/>
      <c r="P752" s="508"/>
      <c r="Q752" s="508"/>
      <c r="R752" s="508"/>
      <c r="S752" s="508"/>
      <c r="T752" s="508"/>
      <c r="U752" s="508"/>
      <c r="V752" s="508"/>
      <c r="W752" s="508"/>
      <c r="X752" s="508"/>
      <c r="Y752" s="508"/>
      <c r="Z752" s="508"/>
    </row>
    <row r="753" ht="13.5" customHeight="1">
      <c r="A753" s="508"/>
      <c r="B753" s="508"/>
      <c r="C753" s="508"/>
      <c r="D753" s="508"/>
      <c r="E753" s="508"/>
      <c r="F753" s="508"/>
      <c r="G753" s="533"/>
      <c r="H753" s="508"/>
      <c r="I753" s="508"/>
      <c r="J753" s="508"/>
      <c r="K753" s="508"/>
      <c r="L753" s="508"/>
      <c r="M753" s="508"/>
      <c r="N753" s="508"/>
      <c r="O753" s="508"/>
      <c r="P753" s="508"/>
      <c r="Q753" s="508"/>
      <c r="R753" s="508"/>
      <c r="S753" s="508"/>
      <c r="T753" s="508"/>
      <c r="U753" s="508"/>
      <c r="V753" s="508"/>
      <c r="W753" s="508"/>
      <c r="X753" s="508"/>
      <c r="Y753" s="508"/>
      <c r="Z753" s="508"/>
    </row>
    <row r="754" ht="13.5" customHeight="1">
      <c r="A754" s="508"/>
      <c r="B754" s="508"/>
      <c r="C754" s="508"/>
      <c r="D754" s="508"/>
      <c r="E754" s="508"/>
      <c r="F754" s="508"/>
      <c r="G754" s="533"/>
      <c r="H754" s="508"/>
      <c r="I754" s="508"/>
      <c r="J754" s="508"/>
      <c r="K754" s="508"/>
      <c r="L754" s="508"/>
      <c r="M754" s="508"/>
      <c r="N754" s="508"/>
      <c r="O754" s="508"/>
      <c r="P754" s="508"/>
      <c r="Q754" s="508"/>
      <c r="R754" s="508"/>
      <c r="S754" s="508"/>
      <c r="T754" s="508"/>
      <c r="U754" s="508"/>
      <c r="V754" s="508"/>
      <c r="W754" s="508"/>
      <c r="X754" s="508"/>
      <c r="Y754" s="508"/>
      <c r="Z754" s="508"/>
    </row>
    <row r="755" ht="13.5" customHeight="1">
      <c r="A755" s="508"/>
      <c r="B755" s="508"/>
      <c r="C755" s="508"/>
      <c r="D755" s="508"/>
      <c r="E755" s="508"/>
      <c r="F755" s="508"/>
      <c r="G755" s="533"/>
      <c r="H755" s="508"/>
      <c r="I755" s="508"/>
      <c r="J755" s="508"/>
      <c r="K755" s="508"/>
      <c r="L755" s="508"/>
      <c r="M755" s="508"/>
      <c r="N755" s="508"/>
      <c r="O755" s="508"/>
      <c r="P755" s="508"/>
      <c r="Q755" s="508"/>
      <c r="R755" s="508"/>
      <c r="S755" s="508"/>
      <c r="T755" s="508"/>
      <c r="U755" s="508"/>
      <c r="V755" s="508"/>
      <c r="W755" s="508"/>
      <c r="X755" s="508"/>
      <c r="Y755" s="508"/>
      <c r="Z755" s="508"/>
    </row>
    <row r="756" ht="13.5" customHeight="1">
      <c r="A756" s="508"/>
      <c r="B756" s="508"/>
      <c r="C756" s="508"/>
      <c r="D756" s="508"/>
      <c r="E756" s="508"/>
      <c r="F756" s="508"/>
      <c r="G756" s="533"/>
      <c r="H756" s="508"/>
      <c r="I756" s="508"/>
      <c r="J756" s="508"/>
      <c r="K756" s="508"/>
      <c r="L756" s="508"/>
      <c r="M756" s="508"/>
      <c r="N756" s="508"/>
      <c r="O756" s="508"/>
      <c r="P756" s="508"/>
      <c r="Q756" s="508"/>
      <c r="R756" s="508"/>
      <c r="S756" s="508"/>
      <c r="T756" s="508"/>
      <c r="U756" s="508"/>
      <c r="V756" s="508"/>
      <c r="W756" s="508"/>
      <c r="X756" s="508"/>
      <c r="Y756" s="508"/>
      <c r="Z756" s="508"/>
    </row>
    <row r="757" ht="13.5" customHeight="1">
      <c r="A757" s="508"/>
      <c r="B757" s="508"/>
      <c r="C757" s="508"/>
      <c r="D757" s="508"/>
      <c r="E757" s="508"/>
      <c r="F757" s="508"/>
      <c r="G757" s="533"/>
      <c r="H757" s="508"/>
      <c r="I757" s="508"/>
      <c r="J757" s="508"/>
      <c r="K757" s="508"/>
      <c r="L757" s="508"/>
      <c r="M757" s="508"/>
      <c r="N757" s="508"/>
      <c r="O757" s="508"/>
      <c r="P757" s="508"/>
      <c r="Q757" s="508"/>
      <c r="R757" s="508"/>
      <c r="S757" s="508"/>
      <c r="T757" s="508"/>
      <c r="U757" s="508"/>
      <c r="V757" s="508"/>
      <c r="W757" s="508"/>
      <c r="X757" s="508"/>
      <c r="Y757" s="508"/>
      <c r="Z757" s="508"/>
    </row>
    <row r="758" ht="13.5" customHeight="1">
      <c r="A758" s="508"/>
      <c r="B758" s="508"/>
      <c r="C758" s="508"/>
      <c r="D758" s="508"/>
      <c r="E758" s="508"/>
      <c r="F758" s="508"/>
      <c r="G758" s="533"/>
      <c r="H758" s="508"/>
      <c r="I758" s="508"/>
      <c r="J758" s="508"/>
      <c r="K758" s="508"/>
      <c r="L758" s="508"/>
      <c r="M758" s="508"/>
      <c r="N758" s="508"/>
      <c r="O758" s="508"/>
      <c r="P758" s="508"/>
      <c r="Q758" s="508"/>
      <c r="R758" s="508"/>
      <c r="S758" s="508"/>
      <c r="T758" s="508"/>
      <c r="U758" s="508"/>
      <c r="V758" s="508"/>
      <c r="W758" s="508"/>
      <c r="X758" s="508"/>
      <c r="Y758" s="508"/>
      <c r="Z758" s="508"/>
    </row>
    <row r="759" ht="13.5" customHeight="1">
      <c r="A759" s="508"/>
      <c r="B759" s="508"/>
      <c r="C759" s="508"/>
      <c r="D759" s="508"/>
      <c r="E759" s="508"/>
      <c r="F759" s="508"/>
      <c r="G759" s="533"/>
      <c r="H759" s="508"/>
      <c r="I759" s="508"/>
      <c r="J759" s="508"/>
      <c r="K759" s="508"/>
      <c r="L759" s="508"/>
      <c r="M759" s="508"/>
      <c r="N759" s="508"/>
      <c r="O759" s="508"/>
      <c r="P759" s="508"/>
      <c r="Q759" s="508"/>
      <c r="R759" s="508"/>
      <c r="S759" s="508"/>
      <c r="T759" s="508"/>
      <c r="U759" s="508"/>
      <c r="V759" s="508"/>
      <c r="W759" s="508"/>
      <c r="X759" s="508"/>
      <c r="Y759" s="508"/>
      <c r="Z759" s="508"/>
    </row>
    <row r="760" ht="13.5" customHeight="1">
      <c r="A760" s="508"/>
      <c r="B760" s="508"/>
      <c r="C760" s="508"/>
      <c r="D760" s="508"/>
      <c r="E760" s="508"/>
      <c r="F760" s="508"/>
      <c r="G760" s="533"/>
      <c r="H760" s="508"/>
      <c r="I760" s="508"/>
      <c r="J760" s="508"/>
      <c r="K760" s="508"/>
      <c r="L760" s="508"/>
      <c r="M760" s="508"/>
      <c r="N760" s="508"/>
      <c r="O760" s="508"/>
      <c r="P760" s="508"/>
      <c r="Q760" s="508"/>
      <c r="R760" s="508"/>
      <c r="S760" s="508"/>
      <c r="T760" s="508"/>
      <c r="U760" s="508"/>
      <c r="V760" s="508"/>
      <c r="W760" s="508"/>
      <c r="X760" s="508"/>
      <c r="Y760" s="508"/>
      <c r="Z760" s="508"/>
    </row>
    <row r="761" ht="13.5" customHeight="1">
      <c r="A761" s="508"/>
      <c r="B761" s="508"/>
      <c r="C761" s="508"/>
      <c r="D761" s="508"/>
      <c r="E761" s="508"/>
      <c r="F761" s="508"/>
      <c r="G761" s="533"/>
      <c r="H761" s="508"/>
      <c r="I761" s="508"/>
      <c r="J761" s="508"/>
      <c r="K761" s="508"/>
      <c r="L761" s="508"/>
      <c r="M761" s="508"/>
      <c r="N761" s="508"/>
      <c r="O761" s="508"/>
      <c r="P761" s="508"/>
      <c r="Q761" s="508"/>
      <c r="R761" s="508"/>
      <c r="S761" s="508"/>
      <c r="T761" s="508"/>
      <c r="U761" s="508"/>
      <c r="V761" s="508"/>
      <c r="W761" s="508"/>
      <c r="X761" s="508"/>
      <c r="Y761" s="508"/>
      <c r="Z761" s="508"/>
    </row>
    <row r="762" ht="13.5" customHeight="1">
      <c r="A762" s="508"/>
      <c r="B762" s="508"/>
      <c r="C762" s="508"/>
      <c r="D762" s="508"/>
      <c r="E762" s="508"/>
      <c r="F762" s="508"/>
      <c r="G762" s="533"/>
      <c r="H762" s="508"/>
      <c r="I762" s="508"/>
      <c r="J762" s="508"/>
      <c r="K762" s="508"/>
      <c r="L762" s="508"/>
      <c r="M762" s="508"/>
      <c r="N762" s="508"/>
      <c r="O762" s="508"/>
      <c r="P762" s="508"/>
      <c r="Q762" s="508"/>
      <c r="R762" s="508"/>
      <c r="S762" s="508"/>
      <c r="T762" s="508"/>
      <c r="U762" s="508"/>
      <c r="V762" s="508"/>
      <c r="W762" s="508"/>
      <c r="X762" s="508"/>
      <c r="Y762" s="508"/>
      <c r="Z762" s="508"/>
    </row>
    <row r="763" ht="13.5" customHeight="1">
      <c r="A763" s="508"/>
      <c r="B763" s="508"/>
      <c r="C763" s="508"/>
      <c r="D763" s="508"/>
      <c r="E763" s="508"/>
      <c r="F763" s="508"/>
      <c r="G763" s="533"/>
      <c r="H763" s="508"/>
      <c r="I763" s="508"/>
      <c r="J763" s="508"/>
      <c r="K763" s="508"/>
      <c r="L763" s="508"/>
      <c r="M763" s="508"/>
      <c r="N763" s="508"/>
      <c r="O763" s="508"/>
      <c r="P763" s="508"/>
      <c r="Q763" s="508"/>
      <c r="R763" s="508"/>
      <c r="S763" s="508"/>
      <c r="T763" s="508"/>
      <c r="U763" s="508"/>
      <c r="V763" s="508"/>
      <c r="W763" s="508"/>
      <c r="X763" s="508"/>
      <c r="Y763" s="508"/>
      <c r="Z763" s="508"/>
    </row>
    <row r="764" ht="13.5" customHeight="1">
      <c r="A764" s="508"/>
      <c r="B764" s="508"/>
      <c r="C764" s="508"/>
      <c r="D764" s="508"/>
      <c r="E764" s="508"/>
      <c r="F764" s="508"/>
      <c r="G764" s="533"/>
      <c r="H764" s="508"/>
      <c r="I764" s="508"/>
      <c r="J764" s="508"/>
      <c r="K764" s="508"/>
      <c r="L764" s="508"/>
      <c r="M764" s="508"/>
      <c r="N764" s="508"/>
      <c r="O764" s="508"/>
      <c r="P764" s="508"/>
      <c r="Q764" s="508"/>
      <c r="R764" s="508"/>
      <c r="S764" s="508"/>
      <c r="T764" s="508"/>
      <c r="U764" s="508"/>
      <c r="V764" s="508"/>
      <c r="W764" s="508"/>
      <c r="X764" s="508"/>
      <c r="Y764" s="508"/>
      <c r="Z764" s="508"/>
    </row>
    <row r="765" ht="13.5" customHeight="1">
      <c r="A765" s="508"/>
      <c r="B765" s="508"/>
      <c r="C765" s="508"/>
      <c r="D765" s="508"/>
      <c r="E765" s="508"/>
      <c r="F765" s="508"/>
      <c r="G765" s="533"/>
      <c r="H765" s="508"/>
      <c r="I765" s="508"/>
      <c r="J765" s="508"/>
      <c r="K765" s="508"/>
      <c r="L765" s="508"/>
      <c r="M765" s="508"/>
      <c r="N765" s="508"/>
      <c r="O765" s="508"/>
      <c r="P765" s="508"/>
      <c r="Q765" s="508"/>
      <c r="R765" s="508"/>
      <c r="S765" s="508"/>
      <c r="T765" s="508"/>
      <c r="U765" s="508"/>
      <c r="V765" s="508"/>
      <c r="W765" s="508"/>
      <c r="X765" s="508"/>
      <c r="Y765" s="508"/>
      <c r="Z765" s="508"/>
    </row>
    <row r="766" ht="13.5" customHeight="1">
      <c r="A766" s="508"/>
      <c r="B766" s="508"/>
      <c r="C766" s="508"/>
      <c r="D766" s="508"/>
      <c r="E766" s="508"/>
      <c r="F766" s="508"/>
      <c r="G766" s="533"/>
      <c r="H766" s="508"/>
      <c r="I766" s="508"/>
      <c r="J766" s="508"/>
      <c r="K766" s="508"/>
      <c r="L766" s="508"/>
      <c r="M766" s="508"/>
      <c r="N766" s="508"/>
      <c r="O766" s="508"/>
      <c r="P766" s="508"/>
      <c r="Q766" s="508"/>
      <c r="R766" s="508"/>
      <c r="S766" s="508"/>
      <c r="T766" s="508"/>
      <c r="U766" s="508"/>
      <c r="V766" s="508"/>
      <c r="W766" s="508"/>
      <c r="X766" s="508"/>
      <c r="Y766" s="508"/>
      <c r="Z766" s="508"/>
    </row>
    <row r="767" ht="13.5" customHeight="1">
      <c r="A767" s="508"/>
      <c r="B767" s="508"/>
      <c r="C767" s="508"/>
      <c r="D767" s="508"/>
      <c r="E767" s="508"/>
      <c r="F767" s="508"/>
      <c r="G767" s="533"/>
      <c r="H767" s="508"/>
      <c r="I767" s="508"/>
      <c r="J767" s="508"/>
      <c r="K767" s="508"/>
      <c r="L767" s="508"/>
      <c r="M767" s="508"/>
      <c r="N767" s="508"/>
      <c r="O767" s="508"/>
      <c r="P767" s="508"/>
      <c r="Q767" s="508"/>
      <c r="R767" s="508"/>
      <c r="S767" s="508"/>
      <c r="T767" s="508"/>
      <c r="U767" s="508"/>
      <c r="V767" s="508"/>
      <c r="W767" s="508"/>
      <c r="X767" s="508"/>
      <c r="Y767" s="508"/>
      <c r="Z767" s="508"/>
    </row>
    <row r="768" ht="13.5" customHeight="1">
      <c r="A768" s="508"/>
      <c r="B768" s="508"/>
      <c r="C768" s="508"/>
      <c r="D768" s="508"/>
      <c r="E768" s="508"/>
      <c r="F768" s="508"/>
      <c r="G768" s="533"/>
      <c r="H768" s="508"/>
      <c r="I768" s="508"/>
      <c r="J768" s="508"/>
      <c r="K768" s="508"/>
      <c r="L768" s="508"/>
      <c r="M768" s="508"/>
      <c r="N768" s="508"/>
      <c r="O768" s="508"/>
      <c r="P768" s="508"/>
      <c r="Q768" s="508"/>
      <c r="R768" s="508"/>
      <c r="S768" s="508"/>
      <c r="T768" s="508"/>
      <c r="U768" s="508"/>
      <c r="V768" s="508"/>
      <c r="W768" s="508"/>
      <c r="X768" s="508"/>
      <c r="Y768" s="508"/>
      <c r="Z768" s="508"/>
    </row>
    <row r="769" ht="13.5" customHeight="1">
      <c r="A769" s="508"/>
      <c r="B769" s="508"/>
      <c r="C769" s="508"/>
      <c r="D769" s="508"/>
      <c r="E769" s="508"/>
      <c r="F769" s="508"/>
      <c r="G769" s="533"/>
      <c r="H769" s="508"/>
      <c r="I769" s="508"/>
      <c r="J769" s="508"/>
      <c r="K769" s="508"/>
      <c r="L769" s="508"/>
      <c r="M769" s="508"/>
      <c r="N769" s="508"/>
      <c r="O769" s="508"/>
      <c r="P769" s="508"/>
      <c r="Q769" s="508"/>
      <c r="R769" s="508"/>
      <c r="S769" s="508"/>
      <c r="T769" s="508"/>
      <c r="U769" s="508"/>
      <c r="V769" s="508"/>
      <c r="W769" s="508"/>
      <c r="X769" s="508"/>
      <c r="Y769" s="508"/>
      <c r="Z769" s="508"/>
    </row>
    <row r="770" ht="13.5" customHeight="1">
      <c r="A770" s="508"/>
      <c r="B770" s="508"/>
      <c r="C770" s="508"/>
      <c r="D770" s="508"/>
      <c r="E770" s="508"/>
      <c r="F770" s="508"/>
      <c r="G770" s="533"/>
      <c r="H770" s="508"/>
      <c r="I770" s="508"/>
      <c r="J770" s="508"/>
      <c r="K770" s="508"/>
      <c r="L770" s="508"/>
      <c r="M770" s="508"/>
      <c r="N770" s="508"/>
      <c r="O770" s="508"/>
      <c r="P770" s="508"/>
      <c r="Q770" s="508"/>
      <c r="R770" s="508"/>
      <c r="S770" s="508"/>
      <c r="T770" s="508"/>
      <c r="U770" s="508"/>
      <c r="V770" s="508"/>
      <c r="W770" s="508"/>
      <c r="X770" s="508"/>
      <c r="Y770" s="508"/>
      <c r="Z770" s="508"/>
    </row>
    <row r="771" ht="13.5" customHeight="1">
      <c r="A771" s="508"/>
      <c r="B771" s="508"/>
      <c r="C771" s="508"/>
      <c r="D771" s="508"/>
      <c r="E771" s="508"/>
      <c r="F771" s="508"/>
      <c r="G771" s="533"/>
      <c r="H771" s="508"/>
      <c r="I771" s="508"/>
      <c r="J771" s="508"/>
      <c r="K771" s="508"/>
      <c r="L771" s="508"/>
      <c r="M771" s="508"/>
      <c r="N771" s="508"/>
      <c r="O771" s="508"/>
      <c r="P771" s="508"/>
      <c r="Q771" s="508"/>
      <c r="R771" s="508"/>
      <c r="S771" s="508"/>
      <c r="T771" s="508"/>
      <c r="U771" s="508"/>
      <c r="V771" s="508"/>
      <c r="W771" s="508"/>
      <c r="X771" s="508"/>
      <c r="Y771" s="508"/>
      <c r="Z771" s="508"/>
    </row>
    <row r="772" ht="13.5" customHeight="1">
      <c r="A772" s="508"/>
      <c r="B772" s="508"/>
      <c r="C772" s="508"/>
      <c r="D772" s="508"/>
      <c r="E772" s="508"/>
      <c r="F772" s="508"/>
      <c r="G772" s="533"/>
      <c r="H772" s="508"/>
      <c r="I772" s="508"/>
      <c r="J772" s="508"/>
      <c r="K772" s="508"/>
      <c r="L772" s="508"/>
      <c r="M772" s="508"/>
      <c r="N772" s="508"/>
      <c r="O772" s="508"/>
      <c r="P772" s="508"/>
      <c r="Q772" s="508"/>
      <c r="R772" s="508"/>
      <c r="S772" s="508"/>
      <c r="T772" s="508"/>
      <c r="U772" s="508"/>
      <c r="V772" s="508"/>
      <c r="W772" s="508"/>
      <c r="X772" s="508"/>
      <c r="Y772" s="508"/>
      <c r="Z772" s="508"/>
    </row>
    <row r="773" ht="13.5" customHeight="1">
      <c r="A773" s="508"/>
      <c r="B773" s="508"/>
      <c r="C773" s="508"/>
      <c r="D773" s="508"/>
      <c r="E773" s="508"/>
      <c r="F773" s="508"/>
      <c r="G773" s="533"/>
      <c r="H773" s="508"/>
      <c r="I773" s="508"/>
      <c r="J773" s="508"/>
      <c r="K773" s="508"/>
      <c r="L773" s="508"/>
      <c r="M773" s="508"/>
      <c r="N773" s="508"/>
      <c r="O773" s="508"/>
      <c r="P773" s="508"/>
      <c r="Q773" s="508"/>
      <c r="R773" s="508"/>
      <c r="S773" s="508"/>
      <c r="T773" s="508"/>
      <c r="U773" s="508"/>
      <c r="V773" s="508"/>
      <c r="W773" s="508"/>
      <c r="X773" s="508"/>
      <c r="Y773" s="508"/>
      <c r="Z773" s="508"/>
    </row>
    <row r="774" ht="13.5" customHeight="1">
      <c r="A774" s="508"/>
      <c r="B774" s="508"/>
      <c r="C774" s="508"/>
      <c r="D774" s="508"/>
      <c r="E774" s="508"/>
      <c r="F774" s="508"/>
      <c r="G774" s="533"/>
      <c r="H774" s="508"/>
      <c r="I774" s="508"/>
      <c r="J774" s="508"/>
      <c r="K774" s="508"/>
      <c r="L774" s="508"/>
      <c r="M774" s="508"/>
      <c r="N774" s="508"/>
      <c r="O774" s="508"/>
      <c r="P774" s="508"/>
      <c r="Q774" s="508"/>
      <c r="R774" s="508"/>
      <c r="S774" s="508"/>
      <c r="T774" s="508"/>
      <c r="U774" s="508"/>
      <c r="V774" s="508"/>
      <c r="W774" s="508"/>
      <c r="X774" s="508"/>
      <c r="Y774" s="508"/>
      <c r="Z774" s="508"/>
    </row>
    <row r="775" ht="13.5" customHeight="1">
      <c r="A775" s="508"/>
      <c r="B775" s="508"/>
      <c r="C775" s="508"/>
      <c r="D775" s="508"/>
      <c r="E775" s="508"/>
      <c r="F775" s="508"/>
      <c r="G775" s="533"/>
      <c r="H775" s="508"/>
      <c r="I775" s="508"/>
      <c r="J775" s="508"/>
      <c r="K775" s="508"/>
      <c r="L775" s="508"/>
      <c r="M775" s="508"/>
      <c r="N775" s="508"/>
      <c r="O775" s="508"/>
      <c r="P775" s="508"/>
      <c r="Q775" s="508"/>
      <c r="R775" s="508"/>
      <c r="S775" s="508"/>
      <c r="T775" s="508"/>
      <c r="U775" s="508"/>
      <c r="V775" s="508"/>
      <c r="W775" s="508"/>
      <c r="X775" s="508"/>
      <c r="Y775" s="508"/>
      <c r="Z775" s="508"/>
    </row>
    <row r="776" ht="13.5" customHeight="1">
      <c r="A776" s="508"/>
      <c r="B776" s="508"/>
      <c r="C776" s="508"/>
      <c r="D776" s="508"/>
      <c r="E776" s="508"/>
      <c r="F776" s="508"/>
      <c r="G776" s="533"/>
      <c r="H776" s="508"/>
      <c r="I776" s="508"/>
      <c r="J776" s="508"/>
      <c r="K776" s="508"/>
      <c r="L776" s="508"/>
      <c r="M776" s="508"/>
      <c r="N776" s="508"/>
      <c r="O776" s="508"/>
      <c r="P776" s="508"/>
      <c r="Q776" s="508"/>
      <c r="R776" s="508"/>
      <c r="S776" s="508"/>
      <c r="T776" s="508"/>
      <c r="U776" s="508"/>
      <c r="V776" s="508"/>
      <c r="W776" s="508"/>
      <c r="X776" s="508"/>
      <c r="Y776" s="508"/>
      <c r="Z776" s="508"/>
    </row>
    <row r="777" ht="13.5" customHeight="1">
      <c r="A777" s="508"/>
      <c r="B777" s="508"/>
      <c r="C777" s="508"/>
      <c r="D777" s="508"/>
      <c r="E777" s="508"/>
      <c r="F777" s="508"/>
      <c r="G777" s="533"/>
      <c r="H777" s="508"/>
      <c r="I777" s="508"/>
      <c r="J777" s="508"/>
      <c r="K777" s="508"/>
      <c r="L777" s="508"/>
      <c r="M777" s="508"/>
      <c r="N777" s="508"/>
      <c r="O777" s="508"/>
      <c r="P777" s="508"/>
      <c r="Q777" s="508"/>
      <c r="R777" s="508"/>
      <c r="S777" s="508"/>
      <c r="T777" s="508"/>
      <c r="U777" s="508"/>
      <c r="V777" s="508"/>
      <c r="W777" s="508"/>
      <c r="X777" s="508"/>
      <c r="Y777" s="508"/>
      <c r="Z777" s="508"/>
    </row>
    <row r="778" ht="13.5" customHeight="1">
      <c r="A778" s="508"/>
      <c r="B778" s="508"/>
      <c r="C778" s="508"/>
      <c r="D778" s="508"/>
      <c r="E778" s="508"/>
      <c r="F778" s="508"/>
      <c r="G778" s="533"/>
      <c r="H778" s="508"/>
      <c r="I778" s="508"/>
      <c r="J778" s="508"/>
      <c r="K778" s="508"/>
      <c r="L778" s="508"/>
      <c r="M778" s="508"/>
      <c r="N778" s="508"/>
      <c r="O778" s="508"/>
      <c r="P778" s="508"/>
      <c r="Q778" s="508"/>
      <c r="R778" s="508"/>
      <c r="S778" s="508"/>
      <c r="T778" s="508"/>
      <c r="U778" s="508"/>
      <c r="V778" s="508"/>
      <c r="W778" s="508"/>
      <c r="X778" s="508"/>
      <c r="Y778" s="508"/>
      <c r="Z778" s="508"/>
    </row>
    <row r="779" ht="13.5" customHeight="1">
      <c r="A779" s="508"/>
      <c r="B779" s="508"/>
      <c r="C779" s="508"/>
      <c r="D779" s="508"/>
      <c r="E779" s="508"/>
      <c r="F779" s="508"/>
      <c r="G779" s="533"/>
      <c r="H779" s="508"/>
      <c r="I779" s="508"/>
      <c r="J779" s="508"/>
      <c r="K779" s="508"/>
      <c r="L779" s="508"/>
      <c r="M779" s="508"/>
      <c r="N779" s="508"/>
      <c r="O779" s="508"/>
      <c r="P779" s="508"/>
      <c r="Q779" s="508"/>
      <c r="R779" s="508"/>
      <c r="S779" s="508"/>
      <c r="T779" s="508"/>
      <c r="U779" s="508"/>
      <c r="V779" s="508"/>
      <c r="W779" s="508"/>
      <c r="X779" s="508"/>
      <c r="Y779" s="508"/>
      <c r="Z779" s="508"/>
    </row>
    <row r="780" ht="13.5" customHeight="1">
      <c r="A780" s="508"/>
      <c r="B780" s="508"/>
      <c r="C780" s="508"/>
      <c r="D780" s="508"/>
      <c r="E780" s="508"/>
      <c r="F780" s="508"/>
      <c r="G780" s="533"/>
      <c r="H780" s="508"/>
      <c r="I780" s="508"/>
      <c r="J780" s="508"/>
      <c r="K780" s="508"/>
      <c r="L780" s="508"/>
      <c r="M780" s="508"/>
      <c r="N780" s="508"/>
      <c r="O780" s="508"/>
      <c r="P780" s="508"/>
      <c r="Q780" s="508"/>
      <c r="R780" s="508"/>
      <c r="S780" s="508"/>
      <c r="T780" s="508"/>
      <c r="U780" s="508"/>
      <c r="V780" s="508"/>
      <c r="W780" s="508"/>
      <c r="X780" s="508"/>
      <c r="Y780" s="508"/>
      <c r="Z780" s="508"/>
    </row>
    <row r="781" ht="13.5" customHeight="1">
      <c r="A781" s="508"/>
      <c r="B781" s="508"/>
      <c r="C781" s="508"/>
      <c r="D781" s="508"/>
      <c r="E781" s="508"/>
      <c r="F781" s="508"/>
      <c r="G781" s="533"/>
      <c r="H781" s="508"/>
      <c r="I781" s="508"/>
      <c r="J781" s="508"/>
      <c r="K781" s="508"/>
      <c r="L781" s="508"/>
      <c r="M781" s="508"/>
      <c r="N781" s="508"/>
      <c r="O781" s="508"/>
      <c r="P781" s="508"/>
      <c r="Q781" s="508"/>
      <c r="R781" s="508"/>
      <c r="S781" s="508"/>
      <c r="T781" s="508"/>
      <c r="U781" s="508"/>
      <c r="V781" s="508"/>
      <c r="W781" s="508"/>
      <c r="X781" s="508"/>
      <c r="Y781" s="508"/>
      <c r="Z781" s="508"/>
    </row>
    <row r="782" ht="13.5" customHeight="1">
      <c r="A782" s="508"/>
      <c r="B782" s="508"/>
      <c r="C782" s="508"/>
      <c r="D782" s="508"/>
      <c r="E782" s="508"/>
      <c r="F782" s="508"/>
      <c r="G782" s="533"/>
      <c r="H782" s="508"/>
      <c r="I782" s="508"/>
      <c r="J782" s="508"/>
      <c r="K782" s="508"/>
      <c r="L782" s="508"/>
      <c r="M782" s="508"/>
      <c r="N782" s="508"/>
      <c r="O782" s="508"/>
      <c r="P782" s="508"/>
      <c r="Q782" s="508"/>
      <c r="R782" s="508"/>
      <c r="S782" s="508"/>
      <c r="T782" s="508"/>
      <c r="U782" s="508"/>
      <c r="V782" s="508"/>
      <c r="W782" s="508"/>
      <c r="X782" s="508"/>
      <c r="Y782" s="508"/>
      <c r="Z782" s="508"/>
    </row>
    <row r="783" ht="13.5" customHeight="1">
      <c r="A783" s="508"/>
      <c r="B783" s="508"/>
      <c r="C783" s="508"/>
      <c r="D783" s="508"/>
      <c r="E783" s="508"/>
      <c r="F783" s="508"/>
      <c r="G783" s="533"/>
      <c r="H783" s="508"/>
      <c r="I783" s="508"/>
      <c r="J783" s="508"/>
      <c r="K783" s="508"/>
      <c r="L783" s="508"/>
      <c r="M783" s="508"/>
      <c r="N783" s="508"/>
      <c r="O783" s="508"/>
      <c r="P783" s="508"/>
      <c r="Q783" s="508"/>
      <c r="R783" s="508"/>
      <c r="S783" s="508"/>
      <c r="T783" s="508"/>
      <c r="U783" s="508"/>
      <c r="V783" s="508"/>
      <c r="W783" s="508"/>
      <c r="X783" s="508"/>
      <c r="Y783" s="508"/>
      <c r="Z783" s="508"/>
    </row>
    <row r="784" ht="13.5" customHeight="1">
      <c r="A784" s="508"/>
      <c r="B784" s="508"/>
      <c r="C784" s="508"/>
      <c r="D784" s="508"/>
      <c r="E784" s="508"/>
      <c r="F784" s="508"/>
      <c r="G784" s="533"/>
      <c r="H784" s="508"/>
      <c r="I784" s="508"/>
      <c r="J784" s="508"/>
      <c r="K784" s="508"/>
      <c r="L784" s="508"/>
      <c r="M784" s="508"/>
      <c r="N784" s="508"/>
      <c r="O784" s="508"/>
      <c r="P784" s="508"/>
      <c r="Q784" s="508"/>
      <c r="R784" s="508"/>
      <c r="S784" s="508"/>
      <c r="T784" s="508"/>
      <c r="U784" s="508"/>
      <c r="V784" s="508"/>
      <c r="W784" s="508"/>
      <c r="X784" s="508"/>
      <c r="Y784" s="508"/>
      <c r="Z784" s="508"/>
    </row>
    <row r="785" ht="13.5" customHeight="1">
      <c r="A785" s="508"/>
      <c r="B785" s="508"/>
      <c r="C785" s="508"/>
      <c r="D785" s="508"/>
      <c r="E785" s="508"/>
      <c r="F785" s="508"/>
      <c r="G785" s="533"/>
      <c r="H785" s="508"/>
      <c r="I785" s="508"/>
      <c r="J785" s="508"/>
      <c r="K785" s="508"/>
      <c r="L785" s="508"/>
      <c r="M785" s="508"/>
      <c r="N785" s="508"/>
      <c r="O785" s="508"/>
      <c r="P785" s="508"/>
      <c r="Q785" s="508"/>
      <c r="R785" s="508"/>
      <c r="S785" s="508"/>
      <c r="T785" s="508"/>
      <c r="U785" s="508"/>
      <c r="V785" s="508"/>
      <c r="W785" s="508"/>
      <c r="X785" s="508"/>
      <c r="Y785" s="508"/>
      <c r="Z785" s="508"/>
    </row>
    <row r="786" ht="13.5" customHeight="1">
      <c r="A786" s="508"/>
      <c r="B786" s="508"/>
      <c r="C786" s="508"/>
      <c r="D786" s="508"/>
      <c r="E786" s="508"/>
      <c r="F786" s="508"/>
      <c r="G786" s="533"/>
      <c r="H786" s="508"/>
      <c r="I786" s="508"/>
      <c r="J786" s="508"/>
      <c r="K786" s="508"/>
      <c r="L786" s="508"/>
      <c r="M786" s="508"/>
      <c r="N786" s="508"/>
      <c r="O786" s="508"/>
      <c r="P786" s="508"/>
      <c r="Q786" s="508"/>
      <c r="R786" s="508"/>
      <c r="S786" s="508"/>
      <c r="T786" s="508"/>
      <c r="U786" s="508"/>
      <c r="V786" s="508"/>
      <c r="W786" s="508"/>
      <c r="X786" s="508"/>
      <c r="Y786" s="508"/>
      <c r="Z786" s="508"/>
    </row>
    <row r="787" ht="13.5" customHeight="1">
      <c r="A787" s="508"/>
      <c r="B787" s="508"/>
      <c r="C787" s="508"/>
      <c r="D787" s="508"/>
      <c r="E787" s="508"/>
      <c r="F787" s="508"/>
      <c r="G787" s="533"/>
      <c r="H787" s="508"/>
      <c r="I787" s="508"/>
      <c r="J787" s="508"/>
      <c r="K787" s="508"/>
      <c r="L787" s="508"/>
      <c r="M787" s="508"/>
      <c r="N787" s="508"/>
      <c r="O787" s="508"/>
      <c r="P787" s="508"/>
      <c r="Q787" s="508"/>
      <c r="R787" s="508"/>
      <c r="S787" s="508"/>
      <c r="T787" s="508"/>
      <c r="U787" s="508"/>
      <c r="V787" s="508"/>
      <c r="W787" s="508"/>
      <c r="X787" s="508"/>
      <c r="Y787" s="508"/>
      <c r="Z787" s="508"/>
    </row>
    <row r="788" ht="13.5" customHeight="1">
      <c r="A788" s="508"/>
      <c r="B788" s="508"/>
      <c r="C788" s="508"/>
      <c r="D788" s="508"/>
      <c r="E788" s="508"/>
      <c r="F788" s="508"/>
      <c r="G788" s="533"/>
      <c r="H788" s="508"/>
      <c r="I788" s="508"/>
      <c r="J788" s="508"/>
      <c r="K788" s="508"/>
      <c r="L788" s="508"/>
      <c r="M788" s="508"/>
      <c r="N788" s="508"/>
      <c r="O788" s="508"/>
      <c r="P788" s="508"/>
      <c r="Q788" s="508"/>
      <c r="R788" s="508"/>
      <c r="S788" s="508"/>
      <c r="T788" s="508"/>
      <c r="U788" s="508"/>
      <c r="V788" s="508"/>
      <c r="W788" s="508"/>
      <c r="X788" s="508"/>
      <c r="Y788" s="508"/>
      <c r="Z788" s="508"/>
    </row>
    <row r="789" ht="13.5" customHeight="1">
      <c r="A789" s="508"/>
      <c r="B789" s="508"/>
      <c r="C789" s="508"/>
      <c r="D789" s="508"/>
      <c r="E789" s="508"/>
      <c r="F789" s="508"/>
      <c r="G789" s="533"/>
      <c r="H789" s="508"/>
      <c r="I789" s="508"/>
      <c r="J789" s="508"/>
      <c r="K789" s="508"/>
      <c r="L789" s="508"/>
      <c r="M789" s="508"/>
      <c r="N789" s="508"/>
      <c r="O789" s="508"/>
      <c r="P789" s="508"/>
      <c r="Q789" s="508"/>
      <c r="R789" s="508"/>
      <c r="S789" s="508"/>
      <c r="T789" s="508"/>
      <c r="U789" s="508"/>
      <c r="V789" s="508"/>
      <c r="W789" s="508"/>
      <c r="X789" s="508"/>
      <c r="Y789" s="508"/>
      <c r="Z789" s="508"/>
    </row>
    <row r="790" ht="13.5" customHeight="1">
      <c r="A790" s="508"/>
      <c r="B790" s="508"/>
      <c r="C790" s="508"/>
      <c r="D790" s="508"/>
      <c r="E790" s="508"/>
      <c r="F790" s="508"/>
      <c r="G790" s="533"/>
      <c r="H790" s="508"/>
      <c r="I790" s="508"/>
      <c r="J790" s="508"/>
      <c r="K790" s="508"/>
      <c r="L790" s="508"/>
      <c r="M790" s="508"/>
      <c r="N790" s="508"/>
      <c r="O790" s="508"/>
      <c r="P790" s="508"/>
      <c r="Q790" s="508"/>
      <c r="R790" s="508"/>
      <c r="S790" s="508"/>
      <c r="T790" s="508"/>
      <c r="U790" s="508"/>
      <c r="V790" s="508"/>
      <c r="W790" s="508"/>
      <c r="X790" s="508"/>
      <c r="Y790" s="508"/>
      <c r="Z790" s="508"/>
    </row>
    <row r="791" ht="13.5" customHeight="1">
      <c r="A791" s="508"/>
      <c r="B791" s="508"/>
      <c r="C791" s="508"/>
      <c r="D791" s="508"/>
      <c r="E791" s="508"/>
      <c r="F791" s="508"/>
      <c r="G791" s="533"/>
      <c r="H791" s="508"/>
      <c r="I791" s="508"/>
      <c r="J791" s="508"/>
      <c r="K791" s="508"/>
      <c r="L791" s="508"/>
      <c r="M791" s="508"/>
      <c r="N791" s="508"/>
      <c r="O791" s="508"/>
      <c r="P791" s="508"/>
      <c r="Q791" s="508"/>
      <c r="R791" s="508"/>
      <c r="S791" s="508"/>
      <c r="T791" s="508"/>
      <c r="U791" s="508"/>
      <c r="V791" s="508"/>
      <c r="W791" s="508"/>
      <c r="X791" s="508"/>
      <c r="Y791" s="508"/>
      <c r="Z791" s="508"/>
    </row>
    <row r="792" ht="13.5" customHeight="1">
      <c r="A792" s="508"/>
      <c r="B792" s="508"/>
      <c r="C792" s="508"/>
      <c r="D792" s="508"/>
      <c r="E792" s="508"/>
      <c r="F792" s="508"/>
      <c r="G792" s="533"/>
      <c r="H792" s="508"/>
      <c r="I792" s="508"/>
      <c r="J792" s="508"/>
      <c r="K792" s="508"/>
      <c r="L792" s="508"/>
      <c r="M792" s="508"/>
      <c r="N792" s="508"/>
      <c r="O792" s="508"/>
      <c r="P792" s="508"/>
      <c r="Q792" s="508"/>
      <c r="R792" s="508"/>
      <c r="S792" s="508"/>
      <c r="T792" s="508"/>
      <c r="U792" s="508"/>
      <c r="V792" s="508"/>
      <c r="W792" s="508"/>
      <c r="X792" s="508"/>
      <c r="Y792" s="508"/>
      <c r="Z792" s="508"/>
    </row>
    <row r="793" ht="13.5" customHeight="1">
      <c r="A793" s="508"/>
      <c r="B793" s="508"/>
      <c r="C793" s="508"/>
      <c r="D793" s="508"/>
      <c r="E793" s="508"/>
      <c r="F793" s="508"/>
      <c r="G793" s="533"/>
      <c r="H793" s="508"/>
      <c r="I793" s="508"/>
      <c r="J793" s="508"/>
      <c r="K793" s="508"/>
      <c r="L793" s="508"/>
      <c r="M793" s="508"/>
      <c r="N793" s="508"/>
      <c r="O793" s="508"/>
      <c r="P793" s="508"/>
      <c r="Q793" s="508"/>
      <c r="R793" s="508"/>
      <c r="S793" s="508"/>
      <c r="T793" s="508"/>
      <c r="U793" s="508"/>
      <c r="V793" s="508"/>
      <c r="W793" s="508"/>
      <c r="X793" s="508"/>
      <c r="Y793" s="508"/>
      <c r="Z793" s="508"/>
    </row>
    <row r="794" ht="13.5" customHeight="1">
      <c r="A794" s="508"/>
      <c r="B794" s="508"/>
      <c r="C794" s="508"/>
      <c r="D794" s="508"/>
      <c r="E794" s="508"/>
      <c r="F794" s="508"/>
      <c r="G794" s="533"/>
      <c r="H794" s="508"/>
      <c r="I794" s="508"/>
      <c r="J794" s="508"/>
      <c r="K794" s="508"/>
      <c r="L794" s="508"/>
      <c r="M794" s="508"/>
      <c r="N794" s="508"/>
      <c r="O794" s="508"/>
      <c r="P794" s="508"/>
      <c r="Q794" s="508"/>
      <c r="R794" s="508"/>
      <c r="S794" s="508"/>
      <c r="T794" s="508"/>
      <c r="U794" s="508"/>
      <c r="V794" s="508"/>
      <c r="W794" s="508"/>
      <c r="X794" s="508"/>
      <c r="Y794" s="508"/>
      <c r="Z794" s="508"/>
    </row>
    <row r="795" ht="13.5" customHeight="1">
      <c r="A795" s="508"/>
      <c r="B795" s="508"/>
      <c r="C795" s="508"/>
      <c r="D795" s="508"/>
      <c r="E795" s="508"/>
      <c r="F795" s="508"/>
      <c r="G795" s="533"/>
      <c r="H795" s="508"/>
      <c r="I795" s="508"/>
      <c r="J795" s="508"/>
      <c r="K795" s="508"/>
      <c r="L795" s="508"/>
      <c r="M795" s="508"/>
      <c r="N795" s="508"/>
      <c r="O795" s="508"/>
      <c r="P795" s="508"/>
      <c r="Q795" s="508"/>
      <c r="R795" s="508"/>
      <c r="S795" s="508"/>
      <c r="T795" s="508"/>
      <c r="U795" s="508"/>
      <c r="V795" s="508"/>
      <c r="W795" s="508"/>
      <c r="X795" s="508"/>
      <c r="Y795" s="508"/>
      <c r="Z795" s="508"/>
    </row>
    <row r="796" ht="13.5" customHeight="1">
      <c r="A796" s="508"/>
      <c r="B796" s="508"/>
      <c r="C796" s="508"/>
      <c r="D796" s="508"/>
      <c r="E796" s="508"/>
      <c r="F796" s="508"/>
      <c r="G796" s="533"/>
      <c r="H796" s="508"/>
      <c r="I796" s="508"/>
      <c r="J796" s="508"/>
      <c r="K796" s="508"/>
      <c r="L796" s="508"/>
      <c r="M796" s="508"/>
      <c r="N796" s="508"/>
      <c r="O796" s="508"/>
      <c r="P796" s="508"/>
      <c r="Q796" s="508"/>
      <c r="R796" s="508"/>
      <c r="S796" s="508"/>
      <c r="T796" s="508"/>
      <c r="U796" s="508"/>
      <c r="V796" s="508"/>
      <c r="W796" s="508"/>
      <c r="X796" s="508"/>
      <c r="Y796" s="508"/>
      <c r="Z796" s="508"/>
    </row>
    <row r="797" ht="13.5" customHeight="1">
      <c r="A797" s="508"/>
      <c r="B797" s="508"/>
      <c r="C797" s="508"/>
      <c r="D797" s="508"/>
      <c r="E797" s="508"/>
      <c r="F797" s="508"/>
      <c r="G797" s="533"/>
      <c r="H797" s="508"/>
      <c r="I797" s="508"/>
      <c r="J797" s="508"/>
      <c r="K797" s="508"/>
      <c r="L797" s="508"/>
      <c r="M797" s="508"/>
      <c r="N797" s="508"/>
      <c r="O797" s="508"/>
      <c r="P797" s="508"/>
      <c r="Q797" s="508"/>
      <c r="R797" s="508"/>
      <c r="S797" s="508"/>
      <c r="T797" s="508"/>
      <c r="U797" s="508"/>
      <c r="V797" s="508"/>
      <c r="W797" s="508"/>
      <c r="X797" s="508"/>
      <c r="Y797" s="508"/>
      <c r="Z797" s="508"/>
    </row>
    <row r="798" ht="13.5" customHeight="1">
      <c r="A798" s="508"/>
      <c r="B798" s="508"/>
      <c r="C798" s="508"/>
      <c r="D798" s="508"/>
      <c r="E798" s="508"/>
      <c r="F798" s="508"/>
      <c r="G798" s="533"/>
      <c r="H798" s="508"/>
      <c r="I798" s="508"/>
      <c r="J798" s="508"/>
      <c r="K798" s="508"/>
      <c r="L798" s="508"/>
      <c r="M798" s="508"/>
      <c r="N798" s="508"/>
      <c r="O798" s="508"/>
      <c r="P798" s="508"/>
      <c r="Q798" s="508"/>
      <c r="R798" s="508"/>
      <c r="S798" s="508"/>
      <c r="T798" s="508"/>
      <c r="U798" s="508"/>
      <c r="V798" s="508"/>
      <c r="W798" s="508"/>
      <c r="X798" s="508"/>
      <c r="Y798" s="508"/>
      <c r="Z798" s="508"/>
    </row>
    <row r="799" ht="13.5" customHeight="1">
      <c r="A799" s="508"/>
      <c r="B799" s="508"/>
      <c r="C799" s="508"/>
      <c r="D799" s="508"/>
      <c r="E799" s="508"/>
      <c r="F799" s="508"/>
      <c r="G799" s="533"/>
      <c r="H799" s="508"/>
      <c r="I799" s="508"/>
      <c r="J799" s="508"/>
      <c r="K799" s="508"/>
      <c r="L799" s="508"/>
      <c r="M799" s="508"/>
      <c r="N799" s="508"/>
      <c r="O799" s="508"/>
      <c r="P799" s="508"/>
      <c r="Q799" s="508"/>
      <c r="R799" s="508"/>
      <c r="S799" s="508"/>
      <c r="T799" s="508"/>
      <c r="U799" s="508"/>
      <c r="V799" s="508"/>
      <c r="W799" s="508"/>
      <c r="X799" s="508"/>
      <c r="Y799" s="508"/>
      <c r="Z799" s="508"/>
    </row>
    <row r="800" ht="13.5" customHeight="1">
      <c r="A800" s="508"/>
      <c r="B800" s="508"/>
      <c r="C800" s="508"/>
      <c r="D800" s="508"/>
      <c r="E800" s="508"/>
      <c r="F800" s="508"/>
      <c r="G800" s="533"/>
      <c r="H800" s="508"/>
      <c r="I800" s="508"/>
      <c r="J800" s="508"/>
      <c r="K800" s="508"/>
      <c r="L800" s="508"/>
      <c r="M800" s="508"/>
      <c r="N800" s="508"/>
      <c r="O800" s="508"/>
      <c r="P800" s="508"/>
      <c r="Q800" s="508"/>
      <c r="R800" s="508"/>
      <c r="S800" s="508"/>
      <c r="T800" s="508"/>
      <c r="U800" s="508"/>
      <c r="V800" s="508"/>
      <c r="W800" s="508"/>
      <c r="X800" s="508"/>
      <c r="Y800" s="508"/>
      <c r="Z800" s="508"/>
    </row>
    <row r="801" ht="13.5" customHeight="1">
      <c r="A801" s="508"/>
      <c r="B801" s="508"/>
      <c r="C801" s="508"/>
      <c r="D801" s="508"/>
      <c r="E801" s="508"/>
      <c r="F801" s="508"/>
      <c r="G801" s="533"/>
      <c r="H801" s="508"/>
      <c r="I801" s="508"/>
      <c r="J801" s="508"/>
      <c r="K801" s="508"/>
      <c r="L801" s="508"/>
      <c r="M801" s="508"/>
      <c r="N801" s="508"/>
      <c r="O801" s="508"/>
      <c r="P801" s="508"/>
      <c r="Q801" s="508"/>
      <c r="R801" s="508"/>
      <c r="S801" s="508"/>
      <c r="T801" s="508"/>
      <c r="U801" s="508"/>
      <c r="V801" s="508"/>
      <c r="W801" s="508"/>
      <c r="X801" s="508"/>
      <c r="Y801" s="508"/>
      <c r="Z801" s="508"/>
    </row>
    <row r="802" ht="13.5" customHeight="1">
      <c r="A802" s="508"/>
      <c r="B802" s="508"/>
      <c r="C802" s="508"/>
      <c r="D802" s="508"/>
      <c r="E802" s="508"/>
      <c r="F802" s="508"/>
      <c r="G802" s="533"/>
      <c r="H802" s="508"/>
      <c r="I802" s="508"/>
      <c r="J802" s="508"/>
      <c r="K802" s="508"/>
      <c r="L802" s="508"/>
      <c r="M802" s="508"/>
      <c r="N802" s="508"/>
      <c r="O802" s="508"/>
      <c r="P802" s="508"/>
      <c r="Q802" s="508"/>
      <c r="R802" s="508"/>
      <c r="S802" s="508"/>
      <c r="T802" s="508"/>
      <c r="U802" s="508"/>
      <c r="V802" s="508"/>
      <c r="W802" s="508"/>
      <c r="X802" s="508"/>
      <c r="Y802" s="508"/>
      <c r="Z802" s="508"/>
    </row>
    <row r="803" ht="13.5" customHeight="1">
      <c r="A803" s="508"/>
      <c r="B803" s="508"/>
      <c r="C803" s="508"/>
      <c r="D803" s="508"/>
      <c r="E803" s="508"/>
      <c r="F803" s="508"/>
      <c r="G803" s="533"/>
      <c r="H803" s="508"/>
      <c r="I803" s="508"/>
      <c r="J803" s="508"/>
      <c r="K803" s="508"/>
      <c r="L803" s="508"/>
      <c r="M803" s="508"/>
      <c r="N803" s="508"/>
      <c r="O803" s="508"/>
      <c r="P803" s="508"/>
      <c r="Q803" s="508"/>
      <c r="R803" s="508"/>
      <c r="S803" s="508"/>
      <c r="T803" s="508"/>
      <c r="U803" s="508"/>
      <c r="V803" s="508"/>
      <c r="W803" s="508"/>
      <c r="X803" s="508"/>
      <c r="Y803" s="508"/>
      <c r="Z803" s="508"/>
    </row>
    <row r="804" ht="13.5" customHeight="1">
      <c r="A804" s="508"/>
      <c r="B804" s="508"/>
      <c r="C804" s="508"/>
      <c r="D804" s="508"/>
      <c r="E804" s="508"/>
      <c r="F804" s="508"/>
      <c r="G804" s="533"/>
      <c r="H804" s="508"/>
      <c r="I804" s="508"/>
      <c r="J804" s="508"/>
      <c r="K804" s="508"/>
      <c r="L804" s="508"/>
      <c r="M804" s="508"/>
      <c r="N804" s="508"/>
      <c r="O804" s="508"/>
      <c r="P804" s="508"/>
      <c r="Q804" s="508"/>
      <c r="R804" s="508"/>
      <c r="S804" s="508"/>
      <c r="T804" s="508"/>
      <c r="U804" s="508"/>
      <c r="V804" s="508"/>
      <c r="W804" s="508"/>
      <c r="X804" s="508"/>
      <c r="Y804" s="508"/>
      <c r="Z804" s="508"/>
    </row>
    <row r="805" ht="13.5" customHeight="1">
      <c r="A805" s="508"/>
      <c r="B805" s="508"/>
      <c r="C805" s="508"/>
      <c r="D805" s="508"/>
      <c r="E805" s="508"/>
      <c r="F805" s="508"/>
      <c r="G805" s="533"/>
      <c r="H805" s="508"/>
      <c r="I805" s="508"/>
      <c r="J805" s="508"/>
      <c r="K805" s="508"/>
      <c r="L805" s="508"/>
      <c r="M805" s="508"/>
      <c r="N805" s="508"/>
      <c r="O805" s="508"/>
      <c r="P805" s="508"/>
      <c r="Q805" s="508"/>
      <c r="R805" s="508"/>
      <c r="S805" s="508"/>
      <c r="T805" s="508"/>
      <c r="U805" s="508"/>
      <c r="V805" s="508"/>
      <c r="W805" s="508"/>
      <c r="X805" s="508"/>
      <c r="Y805" s="508"/>
      <c r="Z805" s="508"/>
    </row>
    <row r="806" ht="13.5" customHeight="1">
      <c r="A806" s="508"/>
      <c r="B806" s="508"/>
      <c r="C806" s="508"/>
      <c r="D806" s="508"/>
      <c r="E806" s="508"/>
      <c r="F806" s="508"/>
      <c r="G806" s="533"/>
      <c r="H806" s="508"/>
      <c r="I806" s="508"/>
      <c r="J806" s="508"/>
      <c r="K806" s="508"/>
      <c r="L806" s="508"/>
      <c r="M806" s="508"/>
      <c r="N806" s="508"/>
      <c r="O806" s="508"/>
      <c r="P806" s="508"/>
      <c r="Q806" s="508"/>
      <c r="R806" s="508"/>
      <c r="S806" s="508"/>
      <c r="T806" s="508"/>
      <c r="U806" s="508"/>
      <c r="V806" s="508"/>
      <c r="W806" s="508"/>
      <c r="X806" s="508"/>
      <c r="Y806" s="508"/>
      <c r="Z806" s="508"/>
    </row>
    <row r="807" ht="13.5" customHeight="1">
      <c r="A807" s="508"/>
      <c r="B807" s="508"/>
      <c r="C807" s="508"/>
      <c r="D807" s="508"/>
      <c r="E807" s="508"/>
      <c r="F807" s="508"/>
      <c r="G807" s="533"/>
      <c r="H807" s="508"/>
      <c r="I807" s="508"/>
      <c r="J807" s="508"/>
      <c r="K807" s="508"/>
      <c r="L807" s="508"/>
      <c r="M807" s="508"/>
      <c r="N807" s="508"/>
      <c r="O807" s="508"/>
      <c r="P807" s="508"/>
      <c r="Q807" s="508"/>
      <c r="R807" s="508"/>
      <c r="S807" s="508"/>
      <c r="T807" s="508"/>
      <c r="U807" s="508"/>
      <c r="V807" s="508"/>
      <c r="W807" s="508"/>
      <c r="X807" s="508"/>
      <c r="Y807" s="508"/>
      <c r="Z807" s="508"/>
    </row>
    <row r="808" ht="13.5" customHeight="1">
      <c r="A808" s="508"/>
      <c r="B808" s="508"/>
      <c r="C808" s="508"/>
      <c r="D808" s="508"/>
      <c r="E808" s="508"/>
      <c r="F808" s="508"/>
      <c r="G808" s="533"/>
      <c r="H808" s="508"/>
      <c r="I808" s="508"/>
      <c r="J808" s="508"/>
      <c r="K808" s="508"/>
      <c r="L808" s="508"/>
      <c r="M808" s="508"/>
      <c r="N808" s="508"/>
      <c r="O808" s="508"/>
      <c r="P808" s="508"/>
      <c r="Q808" s="508"/>
      <c r="R808" s="508"/>
      <c r="S808" s="508"/>
      <c r="T808" s="508"/>
      <c r="U808" s="508"/>
      <c r="V808" s="508"/>
      <c r="W808" s="508"/>
      <c r="X808" s="508"/>
      <c r="Y808" s="508"/>
      <c r="Z808" s="508"/>
    </row>
    <row r="809" ht="13.5" customHeight="1">
      <c r="A809" s="508"/>
      <c r="B809" s="508"/>
      <c r="C809" s="508"/>
      <c r="D809" s="508"/>
      <c r="E809" s="508"/>
      <c r="F809" s="508"/>
      <c r="G809" s="533"/>
      <c r="H809" s="508"/>
      <c r="I809" s="508"/>
      <c r="J809" s="508"/>
      <c r="K809" s="508"/>
      <c r="L809" s="508"/>
      <c r="M809" s="508"/>
      <c r="N809" s="508"/>
      <c r="O809" s="508"/>
      <c r="P809" s="508"/>
      <c r="Q809" s="508"/>
      <c r="R809" s="508"/>
      <c r="S809" s="508"/>
      <c r="T809" s="508"/>
      <c r="U809" s="508"/>
      <c r="V809" s="508"/>
      <c r="W809" s="508"/>
      <c r="X809" s="508"/>
      <c r="Y809" s="508"/>
      <c r="Z809" s="508"/>
    </row>
    <row r="810" ht="13.5" customHeight="1">
      <c r="A810" s="508"/>
      <c r="B810" s="508"/>
      <c r="C810" s="508"/>
      <c r="D810" s="508"/>
      <c r="E810" s="508"/>
      <c r="F810" s="508"/>
      <c r="G810" s="533"/>
      <c r="H810" s="508"/>
      <c r="I810" s="508"/>
      <c r="J810" s="508"/>
      <c r="K810" s="508"/>
      <c r="L810" s="508"/>
      <c r="M810" s="508"/>
      <c r="N810" s="508"/>
      <c r="O810" s="508"/>
      <c r="P810" s="508"/>
      <c r="Q810" s="508"/>
      <c r="R810" s="508"/>
      <c r="S810" s="508"/>
      <c r="T810" s="508"/>
      <c r="U810" s="508"/>
      <c r="V810" s="508"/>
      <c r="W810" s="508"/>
      <c r="X810" s="508"/>
      <c r="Y810" s="508"/>
      <c r="Z810" s="508"/>
    </row>
    <row r="811" ht="13.5" customHeight="1">
      <c r="A811" s="508"/>
      <c r="B811" s="508"/>
      <c r="C811" s="508"/>
      <c r="D811" s="508"/>
      <c r="E811" s="508"/>
      <c r="F811" s="508"/>
      <c r="G811" s="533"/>
      <c r="H811" s="508"/>
      <c r="I811" s="508"/>
      <c r="J811" s="508"/>
      <c r="K811" s="508"/>
      <c r="L811" s="508"/>
      <c r="M811" s="508"/>
      <c r="N811" s="508"/>
      <c r="O811" s="508"/>
      <c r="P811" s="508"/>
      <c r="Q811" s="508"/>
      <c r="R811" s="508"/>
      <c r="S811" s="508"/>
      <c r="T811" s="508"/>
      <c r="U811" s="508"/>
      <c r="V811" s="508"/>
      <c r="W811" s="508"/>
      <c r="X811" s="508"/>
      <c r="Y811" s="508"/>
      <c r="Z811" s="508"/>
    </row>
    <row r="812" ht="13.5" customHeight="1">
      <c r="A812" s="508"/>
      <c r="B812" s="508"/>
      <c r="C812" s="508"/>
      <c r="D812" s="508"/>
      <c r="E812" s="508"/>
      <c r="F812" s="508"/>
      <c r="G812" s="533"/>
      <c r="H812" s="508"/>
      <c r="I812" s="508"/>
      <c r="J812" s="508"/>
      <c r="K812" s="508"/>
      <c r="L812" s="508"/>
      <c r="M812" s="508"/>
      <c r="N812" s="508"/>
      <c r="O812" s="508"/>
      <c r="P812" s="508"/>
      <c r="Q812" s="508"/>
      <c r="R812" s="508"/>
      <c r="S812" s="508"/>
      <c r="T812" s="508"/>
      <c r="U812" s="508"/>
      <c r="V812" s="508"/>
      <c r="W812" s="508"/>
      <c r="X812" s="508"/>
      <c r="Y812" s="508"/>
      <c r="Z812" s="508"/>
    </row>
    <row r="813" ht="13.5" customHeight="1">
      <c r="A813" s="508"/>
      <c r="B813" s="508"/>
      <c r="C813" s="508"/>
      <c r="D813" s="508"/>
      <c r="E813" s="508"/>
      <c r="F813" s="508"/>
      <c r="G813" s="533"/>
      <c r="H813" s="508"/>
      <c r="I813" s="508"/>
      <c r="J813" s="508"/>
      <c r="K813" s="508"/>
      <c r="L813" s="508"/>
      <c r="M813" s="508"/>
      <c r="N813" s="508"/>
      <c r="O813" s="508"/>
      <c r="P813" s="508"/>
      <c r="Q813" s="508"/>
      <c r="R813" s="508"/>
      <c r="S813" s="508"/>
      <c r="T813" s="508"/>
      <c r="U813" s="508"/>
      <c r="V813" s="508"/>
      <c r="W813" s="508"/>
      <c r="X813" s="508"/>
      <c r="Y813" s="508"/>
      <c r="Z813" s="508"/>
    </row>
    <row r="814" ht="13.5" customHeight="1">
      <c r="A814" s="508"/>
      <c r="B814" s="508"/>
      <c r="C814" s="508"/>
      <c r="D814" s="508"/>
      <c r="E814" s="508"/>
      <c r="F814" s="508"/>
      <c r="G814" s="533"/>
      <c r="H814" s="508"/>
      <c r="I814" s="508"/>
      <c r="J814" s="508"/>
      <c r="K814" s="508"/>
      <c r="L814" s="508"/>
      <c r="M814" s="508"/>
      <c r="N814" s="508"/>
      <c r="O814" s="508"/>
      <c r="P814" s="508"/>
      <c r="Q814" s="508"/>
      <c r="R814" s="508"/>
      <c r="S814" s="508"/>
      <c r="T814" s="508"/>
      <c r="U814" s="508"/>
      <c r="V814" s="508"/>
      <c r="W814" s="508"/>
      <c r="X814" s="508"/>
      <c r="Y814" s="508"/>
      <c r="Z814" s="508"/>
    </row>
    <row r="815" ht="13.5" customHeight="1">
      <c r="A815" s="508"/>
      <c r="B815" s="508"/>
      <c r="C815" s="508"/>
      <c r="D815" s="508"/>
      <c r="E815" s="508"/>
      <c r="F815" s="508"/>
      <c r="G815" s="533"/>
      <c r="H815" s="508"/>
      <c r="I815" s="508"/>
      <c r="J815" s="508"/>
      <c r="K815" s="508"/>
      <c r="L815" s="508"/>
      <c r="M815" s="508"/>
      <c r="N815" s="508"/>
      <c r="O815" s="508"/>
      <c r="P815" s="508"/>
      <c r="Q815" s="508"/>
      <c r="R815" s="508"/>
      <c r="S815" s="508"/>
      <c r="T815" s="508"/>
      <c r="U815" s="508"/>
      <c r="V815" s="508"/>
      <c r="W815" s="508"/>
      <c r="X815" s="508"/>
      <c r="Y815" s="508"/>
      <c r="Z815" s="508"/>
    </row>
    <row r="816" ht="13.5" customHeight="1">
      <c r="A816" s="508"/>
      <c r="B816" s="508"/>
      <c r="C816" s="508"/>
      <c r="D816" s="508"/>
      <c r="E816" s="508"/>
      <c r="F816" s="508"/>
      <c r="G816" s="533"/>
      <c r="H816" s="508"/>
      <c r="I816" s="508"/>
      <c r="J816" s="508"/>
      <c r="K816" s="508"/>
      <c r="L816" s="508"/>
      <c r="M816" s="508"/>
      <c r="N816" s="508"/>
      <c r="O816" s="508"/>
      <c r="P816" s="508"/>
      <c r="Q816" s="508"/>
      <c r="R816" s="508"/>
      <c r="S816" s="508"/>
      <c r="T816" s="508"/>
      <c r="U816" s="508"/>
      <c r="V816" s="508"/>
      <c r="W816" s="508"/>
      <c r="X816" s="508"/>
      <c r="Y816" s="508"/>
      <c r="Z816" s="508"/>
    </row>
    <row r="817" ht="13.5" customHeight="1">
      <c r="A817" s="508"/>
      <c r="B817" s="508"/>
      <c r="C817" s="508"/>
      <c r="D817" s="508"/>
      <c r="E817" s="508"/>
      <c r="F817" s="508"/>
      <c r="G817" s="533"/>
      <c r="H817" s="508"/>
      <c r="I817" s="508"/>
      <c r="J817" s="508"/>
      <c r="K817" s="508"/>
      <c r="L817" s="508"/>
      <c r="M817" s="508"/>
      <c r="N817" s="508"/>
      <c r="O817" s="508"/>
      <c r="P817" s="508"/>
      <c r="Q817" s="508"/>
      <c r="R817" s="508"/>
      <c r="S817" s="508"/>
      <c r="T817" s="508"/>
      <c r="U817" s="508"/>
      <c r="V817" s="508"/>
      <c r="W817" s="508"/>
      <c r="X817" s="508"/>
      <c r="Y817" s="508"/>
      <c r="Z817" s="508"/>
    </row>
    <row r="818" ht="13.5" customHeight="1">
      <c r="A818" s="508"/>
      <c r="B818" s="508"/>
      <c r="C818" s="508"/>
      <c r="D818" s="508"/>
      <c r="E818" s="508"/>
      <c r="F818" s="508"/>
      <c r="G818" s="533"/>
      <c r="H818" s="508"/>
      <c r="I818" s="508"/>
      <c r="J818" s="508"/>
      <c r="K818" s="508"/>
      <c r="L818" s="508"/>
      <c r="M818" s="508"/>
      <c r="N818" s="508"/>
      <c r="O818" s="508"/>
      <c r="P818" s="508"/>
      <c r="Q818" s="508"/>
      <c r="R818" s="508"/>
      <c r="S818" s="508"/>
      <c r="T818" s="508"/>
      <c r="U818" s="508"/>
      <c r="V818" s="508"/>
      <c r="W818" s="508"/>
      <c r="X818" s="508"/>
      <c r="Y818" s="508"/>
      <c r="Z818" s="508"/>
    </row>
    <row r="819" ht="13.5" customHeight="1">
      <c r="A819" s="508"/>
      <c r="B819" s="508"/>
      <c r="C819" s="508"/>
      <c r="D819" s="508"/>
      <c r="E819" s="508"/>
      <c r="F819" s="508"/>
      <c r="G819" s="533"/>
      <c r="H819" s="508"/>
      <c r="I819" s="508"/>
      <c r="J819" s="508"/>
      <c r="K819" s="508"/>
      <c r="L819" s="508"/>
      <c r="M819" s="508"/>
      <c r="N819" s="508"/>
      <c r="O819" s="508"/>
      <c r="P819" s="508"/>
      <c r="Q819" s="508"/>
      <c r="R819" s="508"/>
      <c r="S819" s="508"/>
      <c r="T819" s="508"/>
      <c r="U819" s="508"/>
      <c r="V819" s="508"/>
      <c r="W819" s="508"/>
      <c r="X819" s="508"/>
      <c r="Y819" s="508"/>
      <c r="Z819" s="508"/>
    </row>
    <row r="820" ht="13.5" customHeight="1">
      <c r="A820" s="508"/>
      <c r="B820" s="508"/>
      <c r="C820" s="508"/>
      <c r="D820" s="508"/>
      <c r="E820" s="508"/>
      <c r="F820" s="508"/>
      <c r="G820" s="533"/>
      <c r="H820" s="508"/>
      <c r="I820" s="508"/>
      <c r="J820" s="508"/>
      <c r="K820" s="508"/>
      <c r="L820" s="508"/>
      <c r="M820" s="508"/>
      <c r="N820" s="508"/>
      <c r="O820" s="508"/>
      <c r="P820" s="508"/>
      <c r="Q820" s="508"/>
      <c r="R820" s="508"/>
      <c r="S820" s="508"/>
      <c r="T820" s="508"/>
      <c r="U820" s="508"/>
      <c r="V820" s="508"/>
      <c r="W820" s="508"/>
      <c r="X820" s="508"/>
      <c r="Y820" s="508"/>
      <c r="Z820" s="508"/>
    </row>
    <row r="821" ht="13.5" customHeight="1">
      <c r="A821" s="508"/>
      <c r="B821" s="508"/>
      <c r="C821" s="508"/>
      <c r="D821" s="508"/>
      <c r="E821" s="508"/>
      <c r="F821" s="508"/>
      <c r="G821" s="533"/>
      <c r="H821" s="508"/>
      <c r="I821" s="508"/>
      <c r="J821" s="508"/>
      <c r="K821" s="508"/>
      <c r="L821" s="508"/>
      <c r="M821" s="508"/>
      <c r="N821" s="508"/>
      <c r="O821" s="508"/>
      <c r="P821" s="508"/>
      <c r="Q821" s="508"/>
      <c r="R821" s="508"/>
      <c r="S821" s="508"/>
      <c r="T821" s="508"/>
      <c r="U821" s="508"/>
      <c r="V821" s="508"/>
      <c r="W821" s="508"/>
      <c r="X821" s="508"/>
      <c r="Y821" s="508"/>
      <c r="Z821" s="508"/>
    </row>
    <row r="822" ht="13.5" customHeight="1">
      <c r="A822" s="508"/>
      <c r="B822" s="508"/>
      <c r="C822" s="508"/>
      <c r="D822" s="508"/>
      <c r="E822" s="508"/>
      <c r="F822" s="508"/>
      <c r="G822" s="533"/>
      <c r="H822" s="508"/>
      <c r="I822" s="508"/>
      <c r="J822" s="508"/>
      <c r="K822" s="508"/>
      <c r="L822" s="508"/>
      <c r="M822" s="508"/>
      <c r="N822" s="508"/>
      <c r="O822" s="508"/>
      <c r="P822" s="508"/>
      <c r="Q822" s="508"/>
      <c r="R822" s="508"/>
      <c r="S822" s="508"/>
      <c r="T822" s="508"/>
      <c r="U822" s="508"/>
      <c r="V822" s="508"/>
      <c r="W822" s="508"/>
      <c r="X822" s="508"/>
      <c r="Y822" s="508"/>
      <c r="Z822" s="508"/>
    </row>
    <row r="823" ht="13.5" customHeight="1">
      <c r="A823" s="508"/>
      <c r="B823" s="508"/>
      <c r="C823" s="508"/>
      <c r="D823" s="508"/>
      <c r="E823" s="508"/>
      <c r="F823" s="508"/>
      <c r="G823" s="533"/>
      <c r="H823" s="508"/>
      <c r="I823" s="508"/>
      <c r="J823" s="508"/>
      <c r="K823" s="508"/>
      <c r="L823" s="508"/>
      <c r="M823" s="508"/>
      <c r="N823" s="508"/>
      <c r="O823" s="508"/>
      <c r="P823" s="508"/>
      <c r="Q823" s="508"/>
      <c r="R823" s="508"/>
      <c r="S823" s="508"/>
      <c r="T823" s="508"/>
      <c r="U823" s="508"/>
      <c r="V823" s="508"/>
      <c r="W823" s="508"/>
      <c r="X823" s="508"/>
      <c r="Y823" s="508"/>
      <c r="Z823" s="508"/>
    </row>
    <row r="824" ht="13.5" customHeight="1">
      <c r="A824" s="508"/>
      <c r="B824" s="508"/>
      <c r="C824" s="508"/>
      <c r="D824" s="508"/>
      <c r="E824" s="508"/>
      <c r="F824" s="508"/>
      <c r="G824" s="533"/>
      <c r="H824" s="508"/>
      <c r="I824" s="508"/>
      <c r="J824" s="508"/>
      <c r="K824" s="508"/>
      <c r="L824" s="508"/>
      <c r="M824" s="508"/>
      <c r="N824" s="508"/>
      <c r="O824" s="508"/>
      <c r="P824" s="508"/>
      <c r="Q824" s="508"/>
      <c r="R824" s="508"/>
      <c r="S824" s="508"/>
      <c r="T824" s="508"/>
      <c r="U824" s="508"/>
      <c r="V824" s="508"/>
      <c r="W824" s="508"/>
      <c r="X824" s="508"/>
      <c r="Y824" s="508"/>
      <c r="Z824" s="508"/>
    </row>
    <row r="825" ht="13.5" customHeight="1">
      <c r="A825" s="508"/>
      <c r="B825" s="508"/>
      <c r="C825" s="508"/>
      <c r="D825" s="508"/>
      <c r="E825" s="508"/>
      <c r="F825" s="508"/>
      <c r="G825" s="533"/>
      <c r="H825" s="508"/>
      <c r="I825" s="508"/>
      <c r="J825" s="508"/>
      <c r="K825" s="508"/>
      <c r="L825" s="508"/>
      <c r="M825" s="508"/>
      <c r="N825" s="508"/>
      <c r="O825" s="508"/>
      <c r="P825" s="508"/>
      <c r="Q825" s="508"/>
      <c r="R825" s="508"/>
      <c r="S825" s="508"/>
      <c r="T825" s="508"/>
      <c r="U825" s="508"/>
      <c r="V825" s="508"/>
      <c r="W825" s="508"/>
      <c r="X825" s="508"/>
      <c r="Y825" s="508"/>
      <c r="Z825" s="508"/>
    </row>
    <row r="826" ht="13.5" customHeight="1">
      <c r="A826" s="508"/>
      <c r="B826" s="508"/>
      <c r="C826" s="508"/>
      <c r="D826" s="508"/>
      <c r="E826" s="508"/>
      <c r="F826" s="508"/>
      <c r="G826" s="533"/>
      <c r="H826" s="508"/>
      <c r="I826" s="508"/>
      <c r="J826" s="508"/>
      <c r="K826" s="508"/>
      <c r="L826" s="508"/>
      <c r="M826" s="508"/>
      <c r="N826" s="508"/>
      <c r="O826" s="508"/>
      <c r="P826" s="508"/>
      <c r="Q826" s="508"/>
      <c r="R826" s="508"/>
      <c r="S826" s="508"/>
      <c r="T826" s="508"/>
      <c r="U826" s="508"/>
      <c r="V826" s="508"/>
      <c r="W826" s="508"/>
      <c r="X826" s="508"/>
      <c r="Y826" s="508"/>
      <c r="Z826" s="508"/>
    </row>
    <row r="827" ht="13.5" customHeight="1">
      <c r="A827" s="508"/>
      <c r="B827" s="508"/>
      <c r="C827" s="508"/>
      <c r="D827" s="508"/>
      <c r="E827" s="508"/>
      <c r="F827" s="508"/>
      <c r="G827" s="533"/>
      <c r="H827" s="508"/>
      <c r="I827" s="508"/>
      <c r="J827" s="508"/>
      <c r="K827" s="508"/>
      <c r="L827" s="508"/>
      <c r="M827" s="508"/>
      <c r="N827" s="508"/>
      <c r="O827" s="508"/>
      <c r="P827" s="508"/>
      <c r="Q827" s="508"/>
      <c r="R827" s="508"/>
      <c r="S827" s="508"/>
      <c r="T827" s="508"/>
      <c r="U827" s="508"/>
      <c r="V827" s="508"/>
      <c r="W827" s="508"/>
      <c r="X827" s="508"/>
      <c r="Y827" s="508"/>
      <c r="Z827" s="508"/>
    </row>
    <row r="828" ht="13.5" customHeight="1">
      <c r="A828" s="508"/>
      <c r="B828" s="508"/>
      <c r="C828" s="508"/>
      <c r="D828" s="508"/>
      <c r="E828" s="508"/>
      <c r="F828" s="508"/>
      <c r="G828" s="533"/>
      <c r="H828" s="508"/>
      <c r="I828" s="508"/>
      <c r="J828" s="508"/>
      <c r="K828" s="508"/>
      <c r="L828" s="508"/>
      <c r="M828" s="508"/>
      <c r="N828" s="508"/>
      <c r="O828" s="508"/>
      <c r="P828" s="508"/>
      <c r="Q828" s="508"/>
      <c r="R828" s="508"/>
      <c r="S828" s="508"/>
      <c r="T828" s="508"/>
      <c r="U828" s="508"/>
      <c r="V828" s="508"/>
      <c r="W828" s="508"/>
      <c r="X828" s="508"/>
      <c r="Y828" s="508"/>
      <c r="Z828" s="508"/>
    </row>
    <row r="829" ht="13.5" customHeight="1">
      <c r="A829" s="508"/>
      <c r="B829" s="508"/>
      <c r="C829" s="508"/>
      <c r="D829" s="508"/>
      <c r="E829" s="508"/>
      <c r="F829" s="508"/>
      <c r="G829" s="533"/>
      <c r="H829" s="508"/>
      <c r="I829" s="508"/>
      <c r="J829" s="508"/>
      <c r="K829" s="508"/>
      <c r="L829" s="508"/>
      <c r="M829" s="508"/>
      <c r="N829" s="508"/>
      <c r="O829" s="508"/>
      <c r="P829" s="508"/>
      <c r="Q829" s="508"/>
      <c r="R829" s="508"/>
      <c r="S829" s="508"/>
      <c r="T829" s="508"/>
      <c r="U829" s="508"/>
      <c r="V829" s="508"/>
      <c r="W829" s="508"/>
      <c r="X829" s="508"/>
      <c r="Y829" s="508"/>
      <c r="Z829" s="508"/>
    </row>
    <row r="830" ht="13.5" customHeight="1">
      <c r="A830" s="508"/>
      <c r="B830" s="508"/>
      <c r="C830" s="508"/>
      <c r="D830" s="508"/>
      <c r="E830" s="508"/>
      <c r="F830" s="508"/>
      <c r="G830" s="533"/>
      <c r="H830" s="508"/>
      <c r="I830" s="508"/>
      <c r="J830" s="508"/>
      <c r="K830" s="508"/>
      <c r="L830" s="508"/>
      <c r="M830" s="508"/>
      <c r="N830" s="508"/>
      <c r="O830" s="508"/>
      <c r="P830" s="508"/>
      <c r="Q830" s="508"/>
      <c r="R830" s="508"/>
      <c r="S830" s="508"/>
      <c r="T830" s="508"/>
      <c r="U830" s="508"/>
      <c r="V830" s="508"/>
      <c r="W830" s="508"/>
      <c r="X830" s="508"/>
      <c r="Y830" s="508"/>
      <c r="Z830" s="508"/>
    </row>
    <row r="831" ht="13.5" customHeight="1">
      <c r="A831" s="508"/>
      <c r="B831" s="508"/>
      <c r="C831" s="508"/>
      <c r="D831" s="508"/>
      <c r="E831" s="508"/>
      <c r="F831" s="508"/>
      <c r="G831" s="533"/>
      <c r="H831" s="508"/>
      <c r="I831" s="508"/>
      <c r="J831" s="508"/>
      <c r="K831" s="508"/>
      <c r="L831" s="508"/>
      <c r="M831" s="508"/>
      <c r="N831" s="508"/>
      <c r="O831" s="508"/>
      <c r="P831" s="508"/>
      <c r="Q831" s="508"/>
      <c r="R831" s="508"/>
      <c r="S831" s="508"/>
      <c r="T831" s="508"/>
      <c r="U831" s="508"/>
      <c r="V831" s="508"/>
      <c r="W831" s="508"/>
      <c r="X831" s="508"/>
      <c r="Y831" s="508"/>
      <c r="Z831" s="508"/>
    </row>
    <row r="832" ht="13.5" customHeight="1">
      <c r="A832" s="508"/>
      <c r="B832" s="508"/>
      <c r="C832" s="508"/>
      <c r="D832" s="508"/>
      <c r="E832" s="508"/>
      <c r="F832" s="508"/>
      <c r="G832" s="533"/>
      <c r="H832" s="508"/>
      <c r="I832" s="508"/>
      <c r="J832" s="508"/>
      <c r="K832" s="508"/>
      <c r="L832" s="508"/>
      <c r="M832" s="508"/>
      <c r="N832" s="508"/>
      <c r="O832" s="508"/>
      <c r="P832" s="508"/>
      <c r="Q832" s="508"/>
      <c r="R832" s="508"/>
      <c r="S832" s="508"/>
      <c r="T832" s="508"/>
      <c r="U832" s="508"/>
      <c r="V832" s="508"/>
      <c r="W832" s="508"/>
      <c r="X832" s="508"/>
      <c r="Y832" s="508"/>
      <c r="Z832" s="508"/>
    </row>
    <row r="833" ht="13.5" customHeight="1">
      <c r="A833" s="508"/>
      <c r="B833" s="508"/>
      <c r="C833" s="508"/>
      <c r="D833" s="508"/>
      <c r="E833" s="508"/>
      <c r="F833" s="508"/>
      <c r="G833" s="533"/>
      <c r="H833" s="508"/>
      <c r="I833" s="508"/>
      <c r="J833" s="508"/>
      <c r="K833" s="508"/>
      <c r="L833" s="508"/>
      <c r="M833" s="508"/>
      <c r="N833" s="508"/>
      <c r="O833" s="508"/>
      <c r="P833" s="508"/>
      <c r="Q833" s="508"/>
      <c r="R833" s="508"/>
      <c r="S833" s="508"/>
      <c r="T833" s="508"/>
      <c r="U833" s="508"/>
      <c r="V833" s="508"/>
      <c r="W833" s="508"/>
      <c r="X833" s="508"/>
      <c r="Y833" s="508"/>
      <c r="Z833" s="508"/>
    </row>
    <row r="834" ht="13.5" customHeight="1">
      <c r="A834" s="508"/>
      <c r="B834" s="508"/>
      <c r="C834" s="508"/>
      <c r="D834" s="508"/>
      <c r="E834" s="508"/>
      <c r="F834" s="508"/>
      <c r="G834" s="533"/>
      <c r="H834" s="508"/>
      <c r="I834" s="508"/>
      <c r="J834" s="508"/>
      <c r="K834" s="508"/>
      <c r="L834" s="508"/>
      <c r="M834" s="508"/>
      <c r="N834" s="508"/>
      <c r="O834" s="508"/>
      <c r="P834" s="508"/>
      <c r="Q834" s="508"/>
      <c r="R834" s="508"/>
      <c r="S834" s="508"/>
      <c r="T834" s="508"/>
      <c r="U834" s="508"/>
      <c r="V834" s="508"/>
      <c r="W834" s="508"/>
      <c r="X834" s="508"/>
      <c r="Y834" s="508"/>
      <c r="Z834" s="508"/>
    </row>
    <row r="835" ht="13.5" customHeight="1">
      <c r="A835" s="508"/>
      <c r="B835" s="508"/>
      <c r="C835" s="508"/>
      <c r="D835" s="508"/>
      <c r="E835" s="508"/>
      <c r="F835" s="508"/>
      <c r="G835" s="533"/>
      <c r="H835" s="508"/>
      <c r="I835" s="508"/>
      <c r="J835" s="508"/>
      <c r="K835" s="508"/>
      <c r="L835" s="508"/>
      <c r="M835" s="508"/>
      <c r="N835" s="508"/>
      <c r="O835" s="508"/>
      <c r="P835" s="508"/>
      <c r="Q835" s="508"/>
      <c r="R835" s="508"/>
      <c r="S835" s="508"/>
      <c r="T835" s="508"/>
      <c r="U835" s="508"/>
      <c r="V835" s="508"/>
      <c r="W835" s="508"/>
      <c r="X835" s="508"/>
      <c r="Y835" s="508"/>
      <c r="Z835" s="508"/>
    </row>
    <row r="836" ht="13.5" customHeight="1">
      <c r="A836" s="508"/>
      <c r="B836" s="508"/>
      <c r="C836" s="508"/>
      <c r="D836" s="508"/>
      <c r="E836" s="508"/>
      <c r="F836" s="508"/>
      <c r="G836" s="533"/>
      <c r="H836" s="508"/>
      <c r="I836" s="508"/>
      <c r="J836" s="508"/>
      <c r="K836" s="508"/>
      <c r="L836" s="508"/>
      <c r="M836" s="508"/>
      <c r="N836" s="508"/>
      <c r="O836" s="508"/>
      <c r="P836" s="508"/>
      <c r="Q836" s="508"/>
      <c r="R836" s="508"/>
      <c r="S836" s="508"/>
      <c r="T836" s="508"/>
      <c r="U836" s="508"/>
      <c r="V836" s="508"/>
      <c r="W836" s="508"/>
      <c r="X836" s="508"/>
      <c r="Y836" s="508"/>
      <c r="Z836" s="508"/>
    </row>
    <row r="837" ht="13.5" customHeight="1">
      <c r="A837" s="508"/>
      <c r="B837" s="508"/>
      <c r="C837" s="508"/>
      <c r="D837" s="508"/>
      <c r="E837" s="508"/>
      <c r="F837" s="508"/>
      <c r="G837" s="533"/>
      <c r="H837" s="508"/>
      <c r="I837" s="508"/>
      <c r="J837" s="508"/>
      <c r="K837" s="508"/>
      <c r="L837" s="508"/>
      <c r="M837" s="508"/>
      <c r="N837" s="508"/>
      <c r="O837" s="508"/>
      <c r="P837" s="508"/>
      <c r="Q837" s="508"/>
      <c r="R837" s="508"/>
      <c r="S837" s="508"/>
      <c r="T837" s="508"/>
      <c r="U837" s="508"/>
      <c r="V837" s="508"/>
      <c r="W837" s="508"/>
      <c r="X837" s="508"/>
      <c r="Y837" s="508"/>
      <c r="Z837" s="508"/>
    </row>
    <row r="838" ht="13.5" customHeight="1">
      <c r="A838" s="508"/>
      <c r="B838" s="508"/>
      <c r="C838" s="508"/>
      <c r="D838" s="508"/>
      <c r="E838" s="508"/>
      <c r="F838" s="508"/>
      <c r="G838" s="533"/>
      <c r="H838" s="508"/>
      <c r="I838" s="508"/>
      <c r="J838" s="508"/>
      <c r="K838" s="508"/>
      <c r="L838" s="508"/>
      <c r="M838" s="508"/>
      <c r="N838" s="508"/>
      <c r="O838" s="508"/>
      <c r="P838" s="508"/>
      <c r="Q838" s="508"/>
      <c r="R838" s="508"/>
      <c r="S838" s="508"/>
      <c r="T838" s="508"/>
      <c r="U838" s="508"/>
      <c r="V838" s="508"/>
      <c r="W838" s="508"/>
      <c r="X838" s="508"/>
      <c r="Y838" s="508"/>
      <c r="Z838" s="508"/>
    </row>
    <row r="839" ht="13.5" customHeight="1">
      <c r="A839" s="508"/>
      <c r="B839" s="508"/>
      <c r="C839" s="508"/>
      <c r="D839" s="508"/>
      <c r="E839" s="508"/>
      <c r="F839" s="508"/>
      <c r="G839" s="533"/>
      <c r="H839" s="508"/>
      <c r="I839" s="508"/>
      <c r="J839" s="508"/>
      <c r="K839" s="508"/>
      <c r="L839" s="508"/>
      <c r="M839" s="508"/>
      <c r="N839" s="508"/>
      <c r="O839" s="508"/>
      <c r="P839" s="508"/>
      <c r="Q839" s="508"/>
      <c r="R839" s="508"/>
      <c r="S839" s="508"/>
      <c r="T839" s="508"/>
      <c r="U839" s="508"/>
      <c r="V839" s="508"/>
      <c r="W839" s="508"/>
      <c r="X839" s="508"/>
      <c r="Y839" s="508"/>
      <c r="Z839" s="508"/>
    </row>
    <row r="840" ht="13.5" customHeight="1">
      <c r="A840" s="508"/>
      <c r="B840" s="508"/>
      <c r="C840" s="508"/>
      <c r="D840" s="508"/>
      <c r="E840" s="508"/>
      <c r="F840" s="508"/>
      <c r="G840" s="533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8"/>
      <c r="Z840" s="508"/>
    </row>
    <row r="841" ht="13.5" customHeight="1">
      <c r="A841" s="508"/>
      <c r="B841" s="508"/>
      <c r="C841" s="508"/>
      <c r="D841" s="508"/>
      <c r="E841" s="508"/>
      <c r="F841" s="508"/>
      <c r="G841" s="533"/>
      <c r="H841" s="508"/>
      <c r="I841" s="508"/>
      <c r="J841" s="508"/>
      <c r="K841" s="508"/>
      <c r="L841" s="508"/>
      <c r="M841" s="508"/>
      <c r="N841" s="508"/>
      <c r="O841" s="508"/>
      <c r="P841" s="508"/>
      <c r="Q841" s="508"/>
      <c r="R841" s="508"/>
      <c r="S841" s="508"/>
      <c r="T841" s="508"/>
      <c r="U841" s="508"/>
      <c r="V841" s="508"/>
      <c r="W841" s="508"/>
      <c r="X841" s="508"/>
      <c r="Y841" s="508"/>
      <c r="Z841" s="508"/>
    </row>
    <row r="842" ht="13.5" customHeight="1">
      <c r="A842" s="508"/>
      <c r="B842" s="508"/>
      <c r="C842" s="508"/>
      <c r="D842" s="508"/>
      <c r="E842" s="508"/>
      <c r="F842" s="508"/>
      <c r="G842" s="533"/>
      <c r="H842" s="508"/>
      <c r="I842" s="508"/>
      <c r="J842" s="508"/>
      <c r="K842" s="508"/>
      <c r="L842" s="508"/>
      <c r="M842" s="508"/>
      <c r="N842" s="508"/>
      <c r="O842" s="508"/>
      <c r="P842" s="508"/>
      <c r="Q842" s="508"/>
      <c r="R842" s="508"/>
      <c r="S842" s="508"/>
      <c r="T842" s="508"/>
      <c r="U842" s="508"/>
      <c r="V842" s="508"/>
      <c r="W842" s="508"/>
      <c r="X842" s="508"/>
      <c r="Y842" s="508"/>
      <c r="Z842" s="508"/>
    </row>
    <row r="843" ht="13.5" customHeight="1">
      <c r="A843" s="508"/>
      <c r="B843" s="508"/>
      <c r="C843" s="508"/>
      <c r="D843" s="508"/>
      <c r="E843" s="508"/>
      <c r="F843" s="508"/>
      <c r="G843" s="533"/>
      <c r="H843" s="508"/>
      <c r="I843" s="508"/>
      <c r="J843" s="508"/>
      <c r="K843" s="508"/>
      <c r="L843" s="508"/>
      <c r="M843" s="508"/>
      <c r="N843" s="508"/>
      <c r="O843" s="508"/>
      <c r="P843" s="508"/>
      <c r="Q843" s="508"/>
      <c r="R843" s="508"/>
      <c r="S843" s="508"/>
      <c r="T843" s="508"/>
      <c r="U843" s="508"/>
      <c r="V843" s="508"/>
      <c r="W843" s="508"/>
      <c r="X843" s="508"/>
      <c r="Y843" s="508"/>
      <c r="Z843" s="508"/>
    </row>
    <row r="844" ht="13.5" customHeight="1">
      <c r="A844" s="508"/>
      <c r="B844" s="508"/>
      <c r="C844" s="508"/>
      <c r="D844" s="508"/>
      <c r="E844" s="508"/>
      <c r="F844" s="508"/>
      <c r="G844" s="533"/>
      <c r="H844" s="508"/>
      <c r="I844" s="508"/>
      <c r="J844" s="508"/>
      <c r="K844" s="508"/>
      <c r="L844" s="508"/>
      <c r="M844" s="508"/>
      <c r="N844" s="508"/>
      <c r="O844" s="508"/>
      <c r="P844" s="508"/>
      <c r="Q844" s="508"/>
      <c r="R844" s="508"/>
      <c r="S844" s="508"/>
      <c r="T844" s="508"/>
      <c r="U844" s="508"/>
      <c r="V844" s="508"/>
      <c r="W844" s="508"/>
      <c r="X844" s="508"/>
      <c r="Y844" s="508"/>
      <c r="Z844" s="508"/>
    </row>
    <row r="845" ht="13.5" customHeight="1">
      <c r="A845" s="508"/>
      <c r="B845" s="508"/>
      <c r="C845" s="508"/>
      <c r="D845" s="508"/>
      <c r="E845" s="508"/>
      <c r="F845" s="508"/>
      <c r="G845" s="533"/>
      <c r="H845" s="508"/>
      <c r="I845" s="508"/>
      <c r="J845" s="508"/>
      <c r="K845" s="508"/>
      <c r="L845" s="508"/>
      <c r="M845" s="508"/>
      <c r="N845" s="508"/>
      <c r="O845" s="508"/>
      <c r="P845" s="508"/>
      <c r="Q845" s="508"/>
      <c r="R845" s="508"/>
      <c r="S845" s="508"/>
      <c r="T845" s="508"/>
      <c r="U845" s="508"/>
      <c r="V845" s="508"/>
      <c r="W845" s="508"/>
      <c r="X845" s="508"/>
      <c r="Y845" s="508"/>
      <c r="Z845" s="508"/>
    </row>
    <row r="846" ht="13.5" customHeight="1">
      <c r="A846" s="508"/>
      <c r="B846" s="508"/>
      <c r="C846" s="508"/>
      <c r="D846" s="508"/>
      <c r="E846" s="508"/>
      <c r="F846" s="508"/>
      <c r="G846" s="533"/>
      <c r="H846" s="508"/>
      <c r="I846" s="508"/>
      <c r="J846" s="508"/>
      <c r="K846" s="508"/>
      <c r="L846" s="508"/>
      <c r="M846" s="508"/>
      <c r="N846" s="508"/>
      <c r="O846" s="508"/>
      <c r="P846" s="508"/>
      <c r="Q846" s="508"/>
      <c r="R846" s="508"/>
      <c r="S846" s="508"/>
      <c r="T846" s="508"/>
      <c r="U846" s="508"/>
      <c r="V846" s="508"/>
      <c r="W846" s="508"/>
      <c r="X846" s="508"/>
      <c r="Y846" s="508"/>
      <c r="Z846" s="508"/>
    </row>
    <row r="847" ht="13.5" customHeight="1">
      <c r="A847" s="508"/>
      <c r="B847" s="508"/>
      <c r="C847" s="508"/>
      <c r="D847" s="508"/>
      <c r="E847" s="508"/>
      <c r="F847" s="508"/>
      <c r="G847" s="533"/>
      <c r="H847" s="508"/>
      <c r="I847" s="508"/>
      <c r="J847" s="508"/>
      <c r="K847" s="508"/>
      <c r="L847" s="508"/>
      <c r="M847" s="508"/>
      <c r="N847" s="508"/>
      <c r="O847" s="508"/>
      <c r="P847" s="508"/>
      <c r="Q847" s="508"/>
      <c r="R847" s="508"/>
      <c r="S847" s="508"/>
      <c r="T847" s="508"/>
      <c r="U847" s="508"/>
      <c r="V847" s="508"/>
      <c r="W847" s="508"/>
      <c r="X847" s="508"/>
      <c r="Y847" s="508"/>
      <c r="Z847" s="508"/>
    </row>
    <row r="848" ht="13.5" customHeight="1">
      <c r="A848" s="508"/>
      <c r="B848" s="508"/>
      <c r="C848" s="508"/>
      <c r="D848" s="508"/>
      <c r="E848" s="508"/>
      <c r="F848" s="508"/>
      <c r="G848" s="533"/>
      <c r="H848" s="508"/>
      <c r="I848" s="508"/>
      <c r="J848" s="508"/>
      <c r="K848" s="508"/>
      <c r="L848" s="508"/>
      <c r="M848" s="508"/>
      <c r="N848" s="508"/>
      <c r="O848" s="508"/>
      <c r="P848" s="508"/>
      <c r="Q848" s="508"/>
      <c r="R848" s="508"/>
      <c r="S848" s="508"/>
      <c r="T848" s="508"/>
      <c r="U848" s="508"/>
      <c r="V848" s="508"/>
      <c r="W848" s="508"/>
      <c r="X848" s="508"/>
      <c r="Y848" s="508"/>
      <c r="Z848" s="508"/>
    </row>
    <row r="849" ht="13.5" customHeight="1">
      <c r="A849" s="508"/>
      <c r="B849" s="508"/>
      <c r="C849" s="508"/>
      <c r="D849" s="508"/>
      <c r="E849" s="508"/>
      <c r="F849" s="508"/>
      <c r="G849" s="533"/>
      <c r="H849" s="508"/>
      <c r="I849" s="508"/>
      <c r="J849" s="508"/>
      <c r="K849" s="508"/>
      <c r="L849" s="508"/>
      <c r="M849" s="508"/>
      <c r="N849" s="508"/>
      <c r="O849" s="508"/>
      <c r="P849" s="508"/>
      <c r="Q849" s="508"/>
      <c r="R849" s="508"/>
      <c r="S849" s="508"/>
      <c r="T849" s="508"/>
      <c r="U849" s="508"/>
      <c r="V849" s="508"/>
      <c r="W849" s="508"/>
      <c r="X849" s="508"/>
      <c r="Y849" s="508"/>
      <c r="Z849" s="508"/>
    </row>
    <row r="850" ht="13.5" customHeight="1">
      <c r="A850" s="508"/>
      <c r="B850" s="508"/>
      <c r="C850" s="508"/>
      <c r="D850" s="508"/>
      <c r="E850" s="508"/>
      <c r="F850" s="508"/>
      <c r="G850" s="533"/>
      <c r="H850" s="508"/>
      <c r="I850" s="508"/>
      <c r="J850" s="508"/>
      <c r="K850" s="508"/>
      <c r="L850" s="508"/>
      <c r="M850" s="508"/>
      <c r="N850" s="508"/>
      <c r="O850" s="508"/>
      <c r="P850" s="508"/>
      <c r="Q850" s="508"/>
      <c r="R850" s="508"/>
      <c r="S850" s="508"/>
      <c r="T850" s="508"/>
      <c r="U850" s="508"/>
      <c r="V850" s="508"/>
      <c r="W850" s="508"/>
      <c r="X850" s="508"/>
      <c r="Y850" s="508"/>
      <c r="Z850" s="508"/>
    </row>
    <row r="851" ht="13.5" customHeight="1">
      <c r="A851" s="508"/>
      <c r="B851" s="508"/>
      <c r="C851" s="508"/>
      <c r="D851" s="508"/>
      <c r="E851" s="508"/>
      <c r="F851" s="508"/>
      <c r="G851" s="533"/>
      <c r="H851" s="508"/>
      <c r="I851" s="508"/>
      <c r="J851" s="508"/>
      <c r="K851" s="508"/>
      <c r="L851" s="508"/>
      <c r="M851" s="508"/>
      <c r="N851" s="508"/>
      <c r="O851" s="508"/>
      <c r="P851" s="508"/>
      <c r="Q851" s="508"/>
      <c r="R851" s="508"/>
      <c r="S851" s="508"/>
      <c r="T851" s="508"/>
      <c r="U851" s="508"/>
      <c r="V851" s="508"/>
      <c r="W851" s="508"/>
      <c r="X851" s="508"/>
      <c r="Y851" s="508"/>
      <c r="Z851" s="508"/>
    </row>
    <row r="852" ht="13.5" customHeight="1">
      <c r="A852" s="508"/>
      <c r="B852" s="508"/>
      <c r="C852" s="508"/>
      <c r="D852" s="508"/>
      <c r="E852" s="508"/>
      <c r="F852" s="508"/>
      <c r="G852" s="533"/>
      <c r="H852" s="508"/>
      <c r="I852" s="508"/>
      <c r="J852" s="508"/>
      <c r="K852" s="508"/>
      <c r="L852" s="508"/>
      <c r="M852" s="508"/>
      <c r="N852" s="508"/>
      <c r="O852" s="508"/>
      <c r="P852" s="508"/>
      <c r="Q852" s="508"/>
      <c r="R852" s="508"/>
      <c r="S852" s="508"/>
      <c r="T852" s="508"/>
      <c r="U852" s="508"/>
      <c r="V852" s="508"/>
      <c r="W852" s="508"/>
      <c r="X852" s="508"/>
      <c r="Y852" s="508"/>
      <c r="Z852" s="508"/>
    </row>
    <row r="853" ht="13.5" customHeight="1">
      <c r="A853" s="508"/>
      <c r="B853" s="508"/>
      <c r="C853" s="508"/>
      <c r="D853" s="508"/>
      <c r="E853" s="508"/>
      <c r="F853" s="508"/>
      <c r="G853" s="533"/>
      <c r="H853" s="508"/>
      <c r="I853" s="508"/>
      <c r="J853" s="508"/>
      <c r="K853" s="508"/>
      <c r="L853" s="508"/>
      <c r="M853" s="508"/>
      <c r="N853" s="508"/>
      <c r="O853" s="508"/>
      <c r="P853" s="508"/>
      <c r="Q853" s="508"/>
      <c r="R853" s="508"/>
      <c r="S853" s="508"/>
      <c r="T853" s="508"/>
      <c r="U853" s="508"/>
      <c r="V853" s="508"/>
      <c r="W853" s="508"/>
      <c r="X853" s="508"/>
      <c r="Y853" s="508"/>
      <c r="Z853" s="508"/>
    </row>
    <row r="854" ht="13.5" customHeight="1">
      <c r="A854" s="508"/>
      <c r="B854" s="508"/>
      <c r="C854" s="508"/>
      <c r="D854" s="508"/>
      <c r="E854" s="508"/>
      <c r="F854" s="508"/>
      <c r="G854" s="533"/>
      <c r="H854" s="508"/>
      <c r="I854" s="508"/>
      <c r="J854" s="508"/>
      <c r="K854" s="508"/>
      <c r="L854" s="508"/>
      <c r="M854" s="508"/>
      <c r="N854" s="508"/>
      <c r="O854" s="508"/>
      <c r="P854" s="508"/>
      <c r="Q854" s="508"/>
      <c r="R854" s="508"/>
      <c r="S854" s="508"/>
      <c r="T854" s="508"/>
      <c r="U854" s="508"/>
      <c r="V854" s="508"/>
      <c r="W854" s="508"/>
      <c r="X854" s="508"/>
      <c r="Y854" s="508"/>
      <c r="Z854" s="508"/>
    </row>
    <row r="855" ht="13.5" customHeight="1">
      <c r="A855" s="508"/>
      <c r="B855" s="508"/>
      <c r="C855" s="508"/>
      <c r="D855" s="508"/>
      <c r="E855" s="508"/>
      <c r="F855" s="508"/>
      <c r="G855" s="533"/>
      <c r="H855" s="508"/>
      <c r="I855" s="508"/>
      <c r="J855" s="508"/>
      <c r="K855" s="508"/>
      <c r="L855" s="508"/>
      <c r="M855" s="508"/>
      <c r="N855" s="508"/>
      <c r="O855" s="508"/>
      <c r="P855" s="508"/>
      <c r="Q855" s="508"/>
      <c r="R855" s="508"/>
      <c r="S855" s="508"/>
      <c r="T855" s="508"/>
      <c r="U855" s="508"/>
      <c r="V855" s="508"/>
      <c r="W855" s="508"/>
      <c r="X855" s="508"/>
      <c r="Y855" s="508"/>
      <c r="Z855" s="508"/>
    </row>
    <row r="856" ht="13.5" customHeight="1">
      <c r="A856" s="508"/>
      <c r="B856" s="508"/>
      <c r="C856" s="508"/>
      <c r="D856" s="508"/>
      <c r="E856" s="508"/>
      <c r="F856" s="508"/>
      <c r="G856" s="533"/>
      <c r="H856" s="508"/>
      <c r="I856" s="508"/>
      <c r="J856" s="508"/>
      <c r="K856" s="508"/>
      <c r="L856" s="508"/>
      <c r="M856" s="508"/>
      <c r="N856" s="508"/>
      <c r="O856" s="508"/>
      <c r="P856" s="508"/>
      <c r="Q856" s="508"/>
      <c r="R856" s="508"/>
      <c r="S856" s="508"/>
      <c r="T856" s="508"/>
      <c r="U856" s="508"/>
      <c r="V856" s="508"/>
      <c r="W856" s="508"/>
      <c r="X856" s="508"/>
      <c r="Y856" s="508"/>
      <c r="Z856" s="508"/>
    </row>
    <row r="857" ht="13.5" customHeight="1">
      <c r="A857" s="508"/>
      <c r="B857" s="508"/>
      <c r="C857" s="508"/>
      <c r="D857" s="508"/>
      <c r="E857" s="508"/>
      <c r="F857" s="508"/>
      <c r="G857" s="533"/>
      <c r="H857" s="508"/>
      <c r="I857" s="508"/>
      <c r="J857" s="508"/>
      <c r="K857" s="508"/>
      <c r="L857" s="508"/>
      <c r="M857" s="508"/>
      <c r="N857" s="508"/>
      <c r="O857" s="508"/>
      <c r="P857" s="508"/>
      <c r="Q857" s="508"/>
      <c r="R857" s="508"/>
      <c r="S857" s="508"/>
      <c r="T857" s="508"/>
      <c r="U857" s="508"/>
      <c r="V857" s="508"/>
      <c r="W857" s="508"/>
      <c r="X857" s="508"/>
      <c r="Y857" s="508"/>
      <c r="Z857" s="508"/>
    </row>
    <row r="858" ht="13.5" customHeight="1">
      <c r="A858" s="508"/>
      <c r="B858" s="508"/>
      <c r="C858" s="508"/>
      <c r="D858" s="508"/>
      <c r="E858" s="508"/>
      <c r="F858" s="508"/>
      <c r="G858" s="533"/>
      <c r="H858" s="508"/>
      <c r="I858" s="508"/>
      <c r="J858" s="508"/>
      <c r="K858" s="508"/>
      <c r="L858" s="508"/>
      <c r="M858" s="508"/>
      <c r="N858" s="508"/>
      <c r="O858" s="508"/>
      <c r="P858" s="508"/>
      <c r="Q858" s="508"/>
      <c r="R858" s="508"/>
      <c r="S858" s="508"/>
      <c r="T858" s="508"/>
      <c r="U858" s="508"/>
      <c r="V858" s="508"/>
      <c r="W858" s="508"/>
      <c r="X858" s="508"/>
      <c r="Y858" s="508"/>
      <c r="Z858" s="508"/>
    </row>
    <row r="859" ht="13.5" customHeight="1">
      <c r="A859" s="508"/>
      <c r="B859" s="508"/>
      <c r="C859" s="508"/>
      <c r="D859" s="508"/>
      <c r="E859" s="508"/>
      <c r="F859" s="508"/>
      <c r="G859" s="533"/>
      <c r="H859" s="508"/>
      <c r="I859" s="508"/>
      <c r="J859" s="508"/>
      <c r="K859" s="508"/>
      <c r="L859" s="508"/>
      <c r="M859" s="508"/>
      <c r="N859" s="508"/>
      <c r="O859" s="508"/>
      <c r="P859" s="508"/>
      <c r="Q859" s="508"/>
      <c r="R859" s="508"/>
      <c r="S859" s="508"/>
      <c r="T859" s="508"/>
      <c r="U859" s="508"/>
      <c r="V859" s="508"/>
      <c r="W859" s="508"/>
      <c r="X859" s="508"/>
      <c r="Y859" s="508"/>
      <c r="Z859" s="508"/>
    </row>
    <row r="860" ht="13.5" customHeight="1">
      <c r="A860" s="508"/>
      <c r="B860" s="508"/>
      <c r="C860" s="508"/>
      <c r="D860" s="508"/>
      <c r="E860" s="508"/>
      <c r="F860" s="508"/>
      <c r="G860" s="533"/>
      <c r="H860" s="508"/>
      <c r="I860" s="508"/>
      <c r="J860" s="508"/>
      <c r="K860" s="508"/>
      <c r="L860" s="508"/>
      <c r="M860" s="508"/>
      <c r="N860" s="508"/>
      <c r="O860" s="508"/>
      <c r="P860" s="508"/>
      <c r="Q860" s="508"/>
      <c r="R860" s="508"/>
      <c r="S860" s="508"/>
      <c r="T860" s="508"/>
      <c r="U860" s="508"/>
      <c r="V860" s="508"/>
      <c r="W860" s="508"/>
      <c r="X860" s="508"/>
      <c r="Y860" s="508"/>
      <c r="Z860" s="508"/>
    </row>
    <row r="861" ht="13.5" customHeight="1">
      <c r="A861" s="508"/>
      <c r="B861" s="508"/>
      <c r="C861" s="508"/>
      <c r="D861" s="508"/>
      <c r="E861" s="508"/>
      <c r="F861" s="508"/>
      <c r="G861" s="533"/>
      <c r="H861" s="508"/>
      <c r="I861" s="508"/>
      <c r="J861" s="508"/>
      <c r="K861" s="508"/>
      <c r="L861" s="508"/>
      <c r="M861" s="508"/>
      <c r="N861" s="508"/>
      <c r="O861" s="508"/>
      <c r="P861" s="508"/>
      <c r="Q861" s="508"/>
      <c r="R861" s="508"/>
      <c r="S861" s="508"/>
      <c r="T861" s="508"/>
      <c r="U861" s="508"/>
      <c r="V861" s="508"/>
      <c r="W861" s="508"/>
      <c r="X861" s="508"/>
      <c r="Y861" s="508"/>
      <c r="Z861" s="508"/>
    </row>
    <row r="862" ht="13.5" customHeight="1">
      <c r="A862" s="508"/>
      <c r="B862" s="508"/>
      <c r="C862" s="508"/>
      <c r="D862" s="508"/>
      <c r="E862" s="508"/>
      <c r="F862" s="508"/>
      <c r="G862" s="533"/>
      <c r="H862" s="508"/>
      <c r="I862" s="508"/>
      <c r="J862" s="508"/>
      <c r="K862" s="508"/>
      <c r="L862" s="508"/>
      <c r="M862" s="508"/>
      <c r="N862" s="508"/>
      <c r="O862" s="508"/>
      <c r="P862" s="508"/>
      <c r="Q862" s="508"/>
      <c r="R862" s="508"/>
      <c r="S862" s="508"/>
      <c r="T862" s="508"/>
      <c r="U862" s="508"/>
      <c r="V862" s="508"/>
      <c r="W862" s="508"/>
      <c r="X862" s="508"/>
      <c r="Y862" s="508"/>
      <c r="Z862" s="508"/>
    </row>
    <row r="863" ht="13.5" customHeight="1">
      <c r="A863" s="508"/>
      <c r="B863" s="508"/>
      <c r="C863" s="508"/>
      <c r="D863" s="508"/>
      <c r="E863" s="508"/>
      <c r="F863" s="508"/>
      <c r="G863" s="533"/>
      <c r="H863" s="508"/>
      <c r="I863" s="508"/>
      <c r="J863" s="508"/>
      <c r="K863" s="508"/>
      <c r="L863" s="508"/>
      <c r="M863" s="508"/>
      <c r="N863" s="508"/>
      <c r="O863" s="508"/>
      <c r="P863" s="508"/>
      <c r="Q863" s="508"/>
      <c r="R863" s="508"/>
      <c r="S863" s="508"/>
      <c r="T863" s="508"/>
      <c r="U863" s="508"/>
      <c r="V863" s="508"/>
      <c r="W863" s="508"/>
      <c r="X863" s="508"/>
      <c r="Y863" s="508"/>
      <c r="Z863" s="508"/>
    </row>
    <row r="864" ht="13.5" customHeight="1">
      <c r="A864" s="508"/>
      <c r="B864" s="508"/>
      <c r="C864" s="508"/>
      <c r="D864" s="508"/>
      <c r="E864" s="508"/>
      <c r="F864" s="508"/>
      <c r="G864" s="533"/>
      <c r="H864" s="508"/>
      <c r="I864" s="508"/>
      <c r="J864" s="508"/>
      <c r="K864" s="508"/>
      <c r="L864" s="508"/>
      <c r="M864" s="508"/>
      <c r="N864" s="508"/>
      <c r="O864" s="508"/>
      <c r="P864" s="508"/>
      <c r="Q864" s="508"/>
      <c r="R864" s="508"/>
      <c r="S864" s="508"/>
      <c r="T864" s="508"/>
      <c r="U864" s="508"/>
      <c r="V864" s="508"/>
      <c r="W864" s="508"/>
      <c r="X864" s="508"/>
      <c r="Y864" s="508"/>
      <c r="Z864" s="508"/>
    </row>
    <row r="865" ht="13.5" customHeight="1">
      <c r="A865" s="508"/>
      <c r="B865" s="508"/>
      <c r="C865" s="508"/>
      <c r="D865" s="508"/>
      <c r="E865" s="508"/>
      <c r="F865" s="508"/>
      <c r="G865" s="533"/>
      <c r="H865" s="508"/>
      <c r="I865" s="508"/>
      <c r="J865" s="508"/>
      <c r="K865" s="508"/>
      <c r="L865" s="508"/>
      <c r="M865" s="508"/>
      <c r="N865" s="508"/>
      <c r="O865" s="508"/>
      <c r="P865" s="508"/>
      <c r="Q865" s="508"/>
      <c r="R865" s="508"/>
      <c r="S865" s="508"/>
      <c r="T865" s="508"/>
      <c r="U865" s="508"/>
      <c r="V865" s="508"/>
      <c r="W865" s="508"/>
      <c r="X865" s="508"/>
      <c r="Y865" s="508"/>
      <c r="Z865" s="508"/>
    </row>
    <row r="866" ht="13.5" customHeight="1">
      <c r="A866" s="508"/>
      <c r="B866" s="508"/>
      <c r="C866" s="508"/>
      <c r="D866" s="508"/>
      <c r="E866" s="508"/>
      <c r="F866" s="508"/>
      <c r="G866" s="533"/>
      <c r="H866" s="508"/>
      <c r="I866" s="508"/>
      <c r="J866" s="508"/>
      <c r="K866" s="508"/>
      <c r="L866" s="508"/>
      <c r="M866" s="508"/>
      <c r="N866" s="508"/>
      <c r="O866" s="508"/>
      <c r="P866" s="508"/>
      <c r="Q866" s="508"/>
      <c r="R866" s="508"/>
      <c r="S866" s="508"/>
      <c r="T866" s="508"/>
      <c r="U866" s="508"/>
      <c r="V866" s="508"/>
      <c r="W866" s="508"/>
      <c r="X866" s="508"/>
      <c r="Y866" s="508"/>
      <c r="Z866" s="508"/>
    </row>
    <row r="867" ht="13.5" customHeight="1">
      <c r="A867" s="508"/>
      <c r="B867" s="508"/>
      <c r="C867" s="508"/>
      <c r="D867" s="508"/>
      <c r="E867" s="508"/>
      <c r="F867" s="508"/>
      <c r="G867" s="533"/>
      <c r="H867" s="508"/>
      <c r="I867" s="508"/>
      <c r="J867" s="508"/>
      <c r="K867" s="508"/>
      <c r="L867" s="508"/>
      <c r="M867" s="508"/>
      <c r="N867" s="508"/>
      <c r="O867" s="508"/>
      <c r="P867" s="508"/>
      <c r="Q867" s="508"/>
      <c r="R867" s="508"/>
      <c r="S867" s="508"/>
      <c r="T867" s="508"/>
      <c r="U867" s="508"/>
      <c r="V867" s="508"/>
      <c r="W867" s="508"/>
      <c r="X867" s="508"/>
      <c r="Y867" s="508"/>
      <c r="Z867" s="508"/>
    </row>
    <row r="868" ht="13.5" customHeight="1">
      <c r="A868" s="508"/>
      <c r="B868" s="508"/>
      <c r="C868" s="508"/>
      <c r="D868" s="508"/>
      <c r="E868" s="508"/>
      <c r="F868" s="508"/>
      <c r="G868" s="533"/>
      <c r="H868" s="508"/>
      <c r="I868" s="508"/>
      <c r="J868" s="508"/>
      <c r="K868" s="508"/>
      <c r="L868" s="508"/>
      <c r="M868" s="508"/>
      <c r="N868" s="508"/>
      <c r="O868" s="508"/>
      <c r="P868" s="508"/>
      <c r="Q868" s="508"/>
      <c r="R868" s="508"/>
      <c r="S868" s="508"/>
      <c r="T868" s="508"/>
      <c r="U868" s="508"/>
      <c r="V868" s="508"/>
      <c r="W868" s="508"/>
      <c r="X868" s="508"/>
      <c r="Y868" s="508"/>
      <c r="Z868" s="508"/>
    </row>
    <row r="869" ht="13.5" customHeight="1">
      <c r="A869" s="508"/>
      <c r="B869" s="508"/>
      <c r="C869" s="508"/>
      <c r="D869" s="508"/>
      <c r="E869" s="508"/>
      <c r="F869" s="508"/>
      <c r="G869" s="533"/>
      <c r="H869" s="508"/>
      <c r="I869" s="508"/>
      <c r="J869" s="508"/>
      <c r="K869" s="508"/>
      <c r="L869" s="508"/>
      <c r="M869" s="508"/>
      <c r="N869" s="508"/>
      <c r="O869" s="508"/>
      <c r="P869" s="508"/>
      <c r="Q869" s="508"/>
      <c r="R869" s="508"/>
      <c r="S869" s="508"/>
      <c r="T869" s="508"/>
      <c r="U869" s="508"/>
      <c r="V869" s="508"/>
      <c r="W869" s="508"/>
      <c r="X869" s="508"/>
      <c r="Y869" s="508"/>
      <c r="Z869" s="508"/>
    </row>
    <row r="870" ht="13.5" customHeight="1">
      <c r="A870" s="508"/>
      <c r="B870" s="508"/>
      <c r="C870" s="508"/>
      <c r="D870" s="508"/>
      <c r="E870" s="508"/>
      <c r="F870" s="508"/>
      <c r="G870" s="533"/>
      <c r="H870" s="508"/>
      <c r="I870" s="508"/>
      <c r="J870" s="508"/>
      <c r="K870" s="508"/>
      <c r="L870" s="508"/>
      <c r="M870" s="508"/>
      <c r="N870" s="508"/>
      <c r="O870" s="508"/>
      <c r="P870" s="508"/>
      <c r="Q870" s="508"/>
      <c r="R870" s="508"/>
      <c r="S870" s="508"/>
      <c r="T870" s="508"/>
      <c r="U870" s="508"/>
      <c r="V870" s="508"/>
      <c r="W870" s="508"/>
      <c r="X870" s="508"/>
      <c r="Y870" s="508"/>
      <c r="Z870" s="508"/>
    </row>
    <row r="871" ht="13.5" customHeight="1">
      <c r="A871" s="508"/>
      <c r="B871" s="508"/>
      <c r="C871" s="508"/>
      <c r="D871" s="508"/>
      <c r="E871" s="508"/>
      <c r="F871" s="508"/>
      <c r="G871" s="533"/>
      <c r="H871" s="508"/>
      <c r="I871" s="508"/>
      <c r="J871" s="508"/>
      <c r="K871" s="508"/>
      <c r="L871" s="508"/>
      <c r="M871" s="508"/>
      <c r="N871" s="508"/>
      <c r="O871" s="508"/>
      <c r="P871" s="508"/>
      <c r="Q871" s="508"/>
      <c r="R871" s="508"/>
      <c r="S871" s="508"/>
      <c r="T871" s="508"/>
      <c r="U871" s="508"/>
      <c r="V871" s="508"/>
      <c r="W871" s="508"/>
      <c r="X871" s="508"/>
      <c r="Y871" s="508"/>
      <c r="Z871" s="508"/>
    </row>
    <row r="872" ht="13.5" customHeight="1">
      <c r="A872" s="508"/>
      <c r="B872" s="508"/>
      <c r="C872" s="508"/>
      <c r="D872" s="508"/>
      <c r="E872" s="508"/>
      <c r="F872" s="508"/>
      <c r="G872" s="533"/>
      <c r="H872" s="508"/>
      <c r="I872" s="508"/>
      <c r="J872" s="508"/>
      <c r="K872" s="508"/>
      <c r="L872" s="508"/>
      <c r="M872" s="508"/>
      <c r="N872" s="508"/>
      <c r="O872" s="508"/>
      <c r="P872" s="508"/>
      <c r="Q872" s="508"/>
      <c r="R872" s="508"/>
      <c r="S872" s="508"/>
      <c r="T872" s="508"/>
      <c r="U872" s="508"/>
      <c r="V872" s="508"/>
      <c r="W872" s="508"/>
      <c r="X872" s="508"/>
      <c r="Y872" s="508"/>
      <c r="Z872" s="508"/>
    </row>
    <row r="873" ht="13.5" customHeight="1">
      <c r="A873" s="508"/>
      <c r="B873" s="508"/>
      <c r="C873" s="508"/>
      <c r="D873" s="508"/>
      <c r="E873" s="508"/>
      <c r="F873" s="508"/>
      <c r="G873" s="533"/>
      <c r="H873" s="508"/>
      <c r="I873" s="508"/>
      <c r="J873" s="508"/>
      <c r="K873" s="508"/>
      <c r="L873" s="508"/>
      <c r="M873" s="508"/>
      <c r="N873" s="508"/>
      <c r="O873" s="508"/>
      <c r="P873" s="508"/>
      <c r="Q873" s="508"/>
      <c r="R873" s="508"/>
      <c r="S873" s="508"/>
      <c r="T873" s="508"/>
      <c r="U873" s="508"/>
      <c r="V873" s="508"/>
      <c r="W873" s="508"/>
      <c r="X873" s="508"/>
      <c r="Y873" s="508"/>
      <c r="Z873" s="508"/>
    </row>
    <row r="874" ht="13.5" customHeight="1">
      <c r="A874" s="508"/>
      <c r="B874" s="508"/>
      <c r="C874" s="508"/>
      <c r="D874" s="508"/>
      <c r="E874" s="508"/>
      <c r="F874" s="508"/>
      <c r="G874" s="533"/>
      <c r="H874" s="508"/>
      <c r="I874" s="508"/>
      <c r="J874" s="508"/>
      <c r="K874" s="508"/>
      <c r="L874" s="508"/>
      <c r="M874" s="508"/>
      <c r="N874" s="508"/>
      <c r="O874" s="508"/>
      <c r="P874" s="508"/>
      <c r="Q874" s="508"/>
      <c r="R874" s="508"/>
      <c r="S874" s="508"/>
      <c r="T874" s="508"/>
      <c r="U874" s="508"/>
      <c r="V874" s="508"/>
      <c r="W874" s="508"/>
      <c r="X874" s="508"/>
      <c r="Y874" s="508"/>
      <c r="Z874" s="508"/>
    </row>
    <row r="875" ht="13.5" customHeight="1">
      <c r="A875" s="508"/>
      <c r="B875" s="508"/>
      <c r="C875" s="508"/>
      <c r="D875" s="508"/>
      <c r="E875" s="508"/>
      <c r="F875" s="508"/>
      <c r="G875" s="533"/>
      <c r="H875" s="508"/>
      <c r="I875" s="508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508"/>
      <c r="Y875" s="508"/>
      <c r="Z875" s="508"/>
    </row>
    <row r="876" ht="13.5" customHeight="1">
      <c r="A876" s="508"/>
      <c r="B876" s="508"/>
      <c r="C876" s="508"/>
      <c r="D876" s="508"/>
      <c r="E876" s="508"/>
      <c r="F876" s="508"/>
      <c r="G876" s="533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8"/>
      <c r="Z876" s="508"/>
    </row>
    <row r="877" ht="13.5" customHeight="1">
      <c r="A877" s="508"/>
      <c r="B877" s="508"/>
      <c r="C877" s="508"/>
      <c r="D877" s="508"/>
      <c r="E877" s="508"/>
      <c r="F877" s="508"/>
      <c r="G877" s="533"/>
      <c r="H877" s="508"/>
      <c r="I877" s="508"/>
      <c r="J877" s="508"/>
      <c r="K877" s="508"/>
      <c r="L877" s="508"/>
      <c r="M877" s="508"/>
      <c r="N877" s="508"/>
      <c r="O877" s="508"/>
      <c r="P877" s="508"/>
      <c r="Q877" s="508"/>
      <c r="R877" s="508"/>
      <c r="S877" s="508"/>
      <c r="T877" s="508"/>
      <c r="U877" s="508"/>
      <c r="V877" s="508"/>
      <c r="W877" s="508"/>
      <c r="X877" s="508"/>
      <c r="Y877" s="508"/>
      <c r="Z877" s="508"/>
    </row>
    <row r="878" ht="13.5" customHeight="1">
      <c r="A878" s="508"/>
      <c r="B878" s="508"/>
      <c r="C878" s="508"/>
      <c r="D878" s="508"/>
      <c r="E878" s="508"/>
      <c r="F878" s="508"/>
      <c r="G878" s="533"/>
      <c r="H878" s="508"/>
      <c r="I878" s="508"/>
      <c r="J878" s="508"/>
      <c r="K878" s="508"/>
      <c r="L878" s="508"/>
      <c r="M878" s="508"/>
      <c r="N878" s="508"/>
      <c r="O878" s="508"/>
      <c r="P878" s="508"/>
      <c r="Q878" s="508"/>
      <c r="R878" s="508"/>
      <c r="S878" s="508"/>
      <c r="T878" s="508"/>
      <c r="U878" s="508"/>
      <c r="V878" s="508"/>
      <c r="W878" s="508"/>
      <c r="X878" s="508"/>
      <c r="Y878" s="508"/>
      <c r="Z878" s="508"/>
    </row>
    <row r="879" ht="13.5" customHeight="1">
      <c r="A879" s="508"/>
      <c r="B879" s="508"/>
      <c r="C879" s="508"/>
      <c r="D879" s="508"/>
      <c r="E879" s="508"/>
      <c r="F879" s="508"/>
      <c r="G879" s="533"/>
      <c r="H879" s="508"/>
      <c r="I879" s="508"/>
      <c r="J879" s="508"/>
      <c r="K879" s="508"/>
      <c r="L879" s="508"/>
      <c r="M879" s="508"/>
      <c r="N879" s="508"/>
      <c r="O879" s="508"/>
      <c r="P879" s="508"/>
      <c r="Q879" s="508"/>
      <c r="R879" s="508"/>
      <c r="S879" s="508"/>
      <c r="T879" s="508"/>
      <c r="U879" s="508"/>
      <c r="V879" s="508"/>
      <c r="W879" s="508"/>
      <c r="X879" s="508"/>
      <c r="Y879" s="508"/>
      <c r="Z879" s="508"/>
    </row>
    <row r="880" ht="13.5" customHeight="1">
      <c r="A880" s="508"/>
      <c r="B880" s="508"/>
      <c r="C880" s="508"/>
      <c r="D880" s="508"/>
      <c r="E880" s="508"/>
      <c r="F880" s="508"/>
      <c r="G880" s="533"/>
      <c r="H880" s="508"/>
      <c r="I880" s="508"/>
      <c r="J880" s="508"/>
      <c r="K880" s="508"/>
      <c r="L880" s="508"/>
      <c r="M880" s="508"/>
      <c r="N880" s="508"/>
      <c r="O880" s="508"/>
      <c r="P880" s="508"/>
      <c r="Q880" s="508"/>
      <c r="R880" s="508"/>
      <c r="S880" s="508"/>
      <c r="T880" s="508"/>
      <c r="U880" s="508"/>
      <c r="V880" s="508"/>
      <c r="W880" s="508"/>
      <c r="X880" s="508"/>
      <c r="Y880" s="508"/>
      <c r="Z880" s="508"/>
    </row>
    <row r="881" ht="13.5" customHeight="1">
      <c r="A881" s="508"/>
      <c r="B881" s="508"/>
      <c r="C881" s="508"/>
      <c r="D881" s="508"/>
      <c r="E881" s="508"/>
      <c r="F881" s="508"/>
      <c r="G881" s="533"/>
      <c r="H881" s="508"/>
      <c r="I881" s="508"/>
      <c r="J881" s="508"/>
      <c r="K881" s="508"/>
      <c r="L881" s="508"/>
      <c r="M881" s="508"/>
      <c r="N881" s="508"/>
      <c r="O881" s="508"/>
      <c r="P881" s="508"/>
      <c r="Q881" s="508"/>
      <c r="R881" s="508"/>
      <c r="S881" s="508"/>
      <c r="T881" s="508"/>
      <c r="U881" s="508"/>
      <c r="V881" s="508"/>
      <c r="W881" s="508"/>
      <c r="X881" s="508"/>
      <c r="Y881" s="508"/>
      <c r="Z881" s="508"/>
    </row>
    <row r="882" ht="13.5" customHeight="1">
      <c r="A882" s="508"/>
      <c r="B882" s="508"/>
      <c r="C882" s="508"/>
      <c r="D882" s="508"/>
      <c r="E882" s="508"/>
      <c r="F882" s="508"/>
      <c r="G882" s="533"/>
      <c r="H882" s="508"/>
      <c r="I882" s="508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U882" s="508"/>
      <c r="V882" s="508"/>
      <c r="W882" s="508"/>
      <c r="X882" s="508"/>
      <c r="Y882" s="508"/>
      <c r="Z882" s="508"/>
    </row>
    <row r="883" ht="13.5" customHeight="1">
      <c r="A883" s="508"/>
      <c r="B883" s="508"/>
      <c r="C883" s="508"/>
      <c r="D883" s="508"/>
      <c r="E883" s="508"/>
      <c r="F883" s="508"/>
      <c r="G883" s="533"/>
      <c r="H883" s="508"/>
      <c r="I883" s="508"/>
      <c r="J883" s="508"/>
      <c r="K883" s="508"/>
      <c r="L883" s="508"/>
      <c r="M883" s="508"/>
      <c r="N883" s="508"/>
      <c r="O883" s="508"/>
      <c r="P883" s="508"/>
      <c r="Q883" s="508"/>
      <c r="R883" s="508"/>
      <c r="S883" s="508"/>
      <c r="T883" s="508"/>
      <c r="U883" s="508"/>
      <c r="V883" s="508"/>
      <c r="W883" s="508"/>
      <c r="X883" s="508"/>
      <c r="Y883" s="508"/>
      <c r="Z883" s="508"/>
    </row>
    <row r="884" ht="13.5" customHeight="1">
      <c r="A884" s="508"/>
      <c r="B884" s="508"/>
      <c r="C884" s="508"/>
      <c r="D884" s="508"/>
      <c r="E884" s="508"/>
      <c r="F884" s="508"/>
      <c r="G884" s="533"/>
      <c r="H884" s="508"/>
      <c r="I884" s="508"/>
      <c r="J884" s="508"/>
      <c r="K884" s="508"/>
      <c r="L884" s="508"/>
      <c r="M884" s="508"/>
      <c r="N884" s="508"/>
      <c r="O884" s="508"/>
      <c r="P884" s="508"/>
      <c r="Q884" s="508"/>
      <c r="R884" s="508"/>
      <c r="S884" s="508"/>
      <c r="T884" s="508"/>
      <c r="U884" s="508"/>
      <c r="V884" s="508"/>
      <c r="W884" s="508"/>
      <c r="X884" s="508"/>
      <c r="Y884" s="508"/>
      <c r="Z884" s="508"/>
    </row>
    <row r="885" ht="13.5" customHeight="1">
      <c r="A885" s="508"/>
      <c r="B885" s="508"/>
      <c r="C885" s="508"/>
      <c r="D885" s="508"/>
      <c r="E885" s="508"/>
      <c r="F885" s="508"/>
      <c r="G885" s="533"/>
      <c r="H885" s="508"/>
      <c r="I885" s="508"/>
      <c r="J885" s="508"/>
      <c r="K885" s="508"/>
      <c r="L885" s="508"/>
      <c r="M885" s="508"/>
      <c r="N885" s="508"/>
      <c r="O885" s="508"/>
      <c r="P885" s="508"/>
      <c r="Q885" s="508"/>
      <c r="R885" s="508"/>
      <c r="S885" s="508"/>
      <c r="T885" s="508"/>
      <c r="U885" s="508"/>
      <c r="V885" s="508"/>
      <c r="W885" s="508"/>
      <c r="X885" s="508"/>
      <c r="Y885" s="508"/>
      <c r="Z885" s="508"/>
    </row>
    <row r="886" ht="13.5" customHeight="1">
      <c r="A886" s="508"/>
      <c r="B886" s="508"/>
      <c r="C886" s="508"/>
      <c r="D886" s="508"/>
      <c r="E886" s="508"/>
      <c r="F886" s="508"/>
      <c r="G886" s="533"/>
      <c r="H886" s="508"/>
      <c r="I886" s="508"/>
      <c r="J886" s="508"/>
      <c r="K886" s="508"/>
      <c r="L886" s="508"/>
      <c r="M886" s="508"/>
      <c r="N886" s="508"/>
      <c r="O886" s="508"/>
      <c r="P886" s="508"/>
      <c r="Q886" s="508"/>
      <c r="R886" s="508"/>
      <c r="S886" s="508"/>
      <c r="T886" s="508"/>
      <c r="U886" s="508"/>
      <c r="V886" s="508"/>
      <c r="W886" s="508"/>
      <c r="X886" s="508"/>
      <c r="Y886" s="508"/>
      <c r="Z886" s="508"/>
    </row>
    <row r="887" ht="13.5" customHeight="1">
      <c r="A887" s="508"/>
      <c r="B887" s="508"/>
      <c r="C887" s="508"/>
      <c r="D887" s="508"/>
      <c r="E887" s="508"/>
      <c r="F887" s="508"/>
      <c r="G887" s="533"/>
      <c r="H887" s="508"/>
      <c r="I887" s="508"/>
      <c r="J887" s="508"/>
      <c r="K887" s="508"/>
      <c r="L887" s="508"/>
      <c r="M887" s="508"/>
      <c r="N887" s="508"/>
      <c r="O887" s="508"/>
      <c r="P887" s="508"/>
      <c r="Q887" s="508"/>
      <c r="R887" s="508"/>
      <c r="S887" s="508"/>
      <c r="T887" s="508"/>
      <c r="U887" s="508"/>
      <c r="V887" s="508"/>
      <c r="W887" s="508"/>
      <c r="X887" s="508"/>
      <c r="Y887" s="508"/>
      <c r="Z887" s="508"/>
    </row>
    <row r="888" ht="13.5" customHeight="1">
      <c r="A888" s="508"/>
      <c r="B888" s="508"/>
      <c r="C888" s="508"/>
      <c r="D888" s="508"/>
      <c r="E888" s="508"/>
      <c r="F888" s="508"/>
      <c r="G888" s="533"/>
      <c r="H888" s="508"/>
      <c r="I888" s="508"/>
      <c r="J888" s="508"/>
      <c r="K888" s="508"/>
      <c r="L888" s="508"/>
      <c r="M888" s="508"/>
      <c r="N888" s="508"/>
      <c r="O888" s="508"/>
      <c r="P888" s="508"/>
      <c r="Q888" s="508"/>
      <c r="R888" s="508"/>
      <c r="S888" s="508"/>
      <c r="T888" s="508"/>
      <c r="U888" s="508"/>
      <c r="V888" s="508"/>
      <c r="W888" s="508"/>
      <c r="X888" s="508"/>
      <c r="Y888" s="508"/>
      <c r="Z888" s="508"/>
    </row>
    <row r="889" ht="13.5" customHeight="1">
      <c r="A889" s="508"/>
      <c r="B889" s="508"/>
      <c r="C889" s="508"/>
      <c r="D889" s="508"/>
      <c r="E889" s="508"/>
      <c r="F889" s="508"/>
      <c r="G889" s="533"/>
      <c r="H889" s="508"/>
      <c r="I889" s="508"/>
      <c r="J889" s="508"/>
      <c r="K889" s="508"/>
      <c r="L889" s="508"/>
      <c r="M889" s="508"/>
      <c r="N889" s="508"/>
      <c r="O889" s="508"/>
      <c r="P889" s="508"/>
      <c r="Q889" s="508"/>
      <c r="R889" s="508"/>
      <c r="S889" s="508"/>
      <c r="T889" s="508"/>
      <c r="U889" s="508"/>
      <c r="V889" s="508"/>
      <c r="W889" s="508"/>
      <c r="X889" s="508"/>
      <c r="Y889" s="508"/>
      <c r="Z889" s="508"/>
    </row>
    <row r="890" ht="13.5" customHeight="1">
      <c r="A890" s="508"/>
      <c r="B890" s="508"/>
      <c r="C890" s="508"/>
      <c r="D890" s="508"/>
      <c r="E890" s="508"/>
      <c r="F890" s="508"/>
      <c r="G890" s="533"/>
      <c r="H890" s="508"/>
      <c r="I890" s="508"/>
      <c r="J890" s="508"/>
      <c r="K890" s="508"/>
      <c r="L890" s="508"/>
      <c r="M890" s="508"/>
      <c r="N890" s="508"/>
      <c r="O890" s="508"/>
      <c r="P890" s="508"/>
      <c r="Q890" s="508"/>
      <c r="R890" s="508"/>
      <c r="S890" s="508"/>
      <c r="T890" s="508"/>
      <c r="U890" s="508"/>
      <c r="V890" s="508"/>
      <c r="W890" s="508"/>
      <c r="X890" s="508"/>
      <c r="Y890" s="508"/>
      <c r="Z890" s="508"/>
    </row>
    <row r="891" ht="13.5" customHeight="1">
      <c r="A891" s="508"/>
      <c r="B891" s="508"/>
      <c r="C891" s="508"/>
      <c r="D891" s="508"/>
      <c r="E891" s="508"/>
      <c r="F891" s="508"/>
      <c r="G891" s="533"/>
      <c r="H891" s="508"/>
      <c r="I891" s="508"/>
      <c r="J891" s="508"/>
      <c r="K891" s="508"/>
      <c r="L891" s="508"/>
      <c r="M891" s="508"/>
      <c r="N891" s="508"/>
      <c r="O891" s="508"/>
      <c r="P891" s="508"/>
      <c r="Q891" s="508"/>
      <c r="R891" s="508"/>
      <c r="S891" s="508"/>
      <c r="T891" s="508"/>
      <c r="U891" s="508"/>
      <c r="V891" s="508"/>
      <c r="W891" s="508"/>
      <c r="X891" s="508"/>
      <c r="Y891" s="508"/>
      <c r="Z891" s="508"/>
    </row>
    <row r="892" ht="13.5" customHeight="1">
      <c r="A892" s="508"/>
      <c r="B892" s="508"/>
      <c r="C892" s="508"/>
      <c r="D892" s="508"/>
      <c r="E892" s="508"/>
      <c r="F892" s="508"/>
      <c r="G892" s="533"/>
      <c r="H892" s="508"/>
      <c r="I892" s="508"/>
      <c r="J892" s="508"/>
      <c r="K892" s="508"/>
      <c r="L892" s="508"/>
      <c r="M892" s="508"/>
      <c r="N892" s="508"/>
      <c r="O892" s="508"/>
      <c r="P892" s="508"/>
      <c r="Q892" s="508"/>
      <c r="R892" s="508"/>
      <c r="S892" s="508"/>
      <c r="T892" s="508"/>
      <c r="U892" s="508"/>
      <c r="V892" s="508"/>
      <c r="W892" s="508"/>
      <c r="X892" s="508"/>
      <c r="Y892" s="508"/>
      <c r="Z892" s="508"/>
    </row>
    <row r="893" ht="13.5" customHeight="1">
      <c r="A893" s="508"/>
      <c r="B893" s="508"/>
      <c r="C893" s="508"/>
      <c r="D893" s="508"/>
      <c r="E893" s="508"/>
      <c r="F893" s="508"/>
      <c r="G893" s="533"/>
      <c r="H893" s="508"/>
      <c r="I893" s="508"/>
      <c r="J893" s="508"/>
      <c r="K893" s="508"/>
      <c r="L893" s="508"/>
      <c r="M893" s="508"/>
      <c r="N893" s="508"/>
      <c r="O893" s="508"/>
      <c r="P893" s="508"/>
      <c r="Q893" s="508"/>
      <c r="R893" s="508"/>
      <c r="S893" s="508"/>
      <c r="T893" s="508"/>
      <c r="U893" s="508"/>
      <c r="V893" s="508"/>
      <c r="W893" s="508"/>
      <c r="X893" s="508"/>
      <c r="Y893" s="508"/>
      <c r="Z893" s="508"/>
    </row>
    <row r="894" ht="13.5" customHeight="1">
      <c r="A894" s="508"/>
      <c r="B894" s="508"/>
      <c r="C894" s="508"/>
      <c r="D894" s="508"/>
      <c r="E894" s="508"/>
      <c r="F894" s="508"/>
      <c r="G894" s="533"/>
      <c r="H894" s="508"/>
      <c r="I894" s="508"/>
      <c r="J894" s="508"/>
      <c r="K894" s="508"/>
      <c r="L894" s="508"/>
      <c r="M894" s="508"/>
      <c r="N894" s="508"/>
      <c r="O894" s="508"/>
      <c r="P894" s="508"/>
      <c r="Q894" s="508"/>
      <c r="R894" s="508"/>
      <c r="S894" s="508"/>
      <c r="T894" s="508"/>
      <c r="U894" s="508"/>
      <c r="V894" s="508"/>
      <c r="W894" s="508"/>
      <c r="X894" s="508"/>
      <c r="Y894" s="508"/>
      <c r="Z894" s="508"/>
    </row>
    <row r="895" ht="13.5" customHeight="1">
      <c r="A895" s="508"/>
      <c r="B895" s="508"/>
      <c r="C895" s="508"/>
      <c r="D895" s="508"/>
      <c r="E895" s="508"/>
      <c r="F895" s="508"/>
      <c r="G895" s="533"/>
      <c r="H895" s="508"/>
      <c r="I895" s="508"/>
      <c r="J895" s="508"/>
      <c r="K895" s="508"/>
      <c r="L895" s="508"/>
      <c r="M895" s="508"/>
      <c r="N895" s="508"/>
      <c r="O895" s="508"/>
      <c r="P895" s="508"/>
      <c r="Q895" s="508"/>
      <c r="R895" s="508"/>
      <c r="S895" s="508"/>
      <c r="T895" s="508"/>
      <c r="U895" s="508"/>
      <c r="V895" s="508"/>
      <c r="W895" s="508"/>
      <c r="X895" s="508"/>
      <c r="Y895" s="508"/>
      <c r="Z895" s="508"/>
    </row>
    <row r="896" ht="13.5" customHeight="1">
      <c r="A896" s="508"/>
      <c r="B896" s="508"/>
      <c r="C896" s="508"/>
      <c r="D896" s="508"/>
      <c r="E896" s="508"/>
      <c r="F896" s="508"/>
      <c r="G896" s="533"/>
      <c r="H896" s="508"/>
      <c r="I896" s="508"/>
      <c r="J896" s="508"/>
      <c r="K896" s="508"/>
      <c r="L896" s="508"/>
      <c r="M896" s="508"/>
      <c r="N896" s="508"/>
      <c r="O896" s="508"/>
      <c r="P896" s="508"/>
      <c r="Q896" s="508"/>
      <c r="R896" s="508"/>
      <c r="S896" s="508"/>
      <c r="T896" s="508"/>
      <c r="U896" s="508"/>
      <c r="V896" s="508"/>
      <c r="W896" s="508"/>
      <c r="X896" s="508"/>
      <c r="Y896" s="508"/>
      <c r="Z896" s="508"/>
    </row>
    <row r="897" ht="13.5" customHeight="1">
      <c r="A897" s="508"/>
      <c r="B897" s="508"/>
      <c r="C897" s="508"/>
      <c r="D897" s="508"/>
      <c r="E897" s="508"/>
      <c r="F897" s="508"/>
      <c r="G897" s="533"/>
      <c r="H897" s="508"/>
      <c r="I897" s="508"/>
      <c r="J897" s="508"/>
      <c r="K897" s="508"/>
      <c r="L897" s="508"/>
      <c r="M897" s="508"/>
      <c r="N897" s="508"/>
      <c r="O897" s="508"/>
      <c r="P897" s="508"/>
      <c r="Q897" s="508"/>
      <c r="R897" s="508"/>
      <c r="S897" s="508"/>
      <c r="T897" s="508"/>
      <c r="U897" s="508"/>
      <c r="V897" s="508"/>
      <c r="W897" s="508"/>
      <c r="X897" s="508"/>
      <c r="Y897" s="508"/>
      <c r="Z897" s="508"/>
    </row>
    <row r="898" ht="13.5" customHeight="1">
      <c r="A898" s="508"/>
      <c r="B898" s="508"/>
      <c r="C898" s="508"/>
      <c r="D898" s="508"/>
      <c r="E898" s="508"/>
      <c r="F898" s="508"/>
      <c r="G898" s="533"/>
      <c r="H898" s="508"/>
      <c r="I898" s="508"/>
      <c r="J898" s="508"/>
      <c r="K898" s="508"/>
      <c r="L898" s="508"/>
      <c r="M898" s="508"/>
      <c r="N898" s="508"/>
      <c r="O898" s="508"/>
      <c r="P898" s="508"/>
      <c r="Q898" s="508"/>
      <c r="R898" s="508"/>
      <c r="S898" s="508"/>
      <c r="T898" s="508"/>
      <c r="U898" s="508"/>
      <c r="V898" s="508"/>
      <c r="W898" s="508"/>
      <c r="X898" s="508"/>
      <c r="Y898" s="508"/>
      <c r="Z898" s="508"/>
    </row>
    <row r="899" ht="13.5" customHeight="1">
      <c r="A899" s="508"/>
      <c r="B899" s="508"/>
      <c r="C899" s="508"/>
      <c r="D899" s="508"/>
      <c r="E899" s="508"/>
      <c r="F899" s="508"/>
      <c r="G899" s="533"/>
      <c r="H899" s="508"/>
      <c r="I899" s="508"/>
      <c r="J899" s="508"/>
      <c r="K899" s="508"/>
      <c r="L899" s="508"/>
      <c r="M899" s="508"/>
      <c r="N899" s="508"/>
      <c r="O899" s="508"/>
      <c r="P899" s="508"/>
      <c r="Q899" s="508"/>
      <c r="R899" s="508"/>
      <c r="S899" s="508"/>
      <c r="T899" s="508"/>
      <c r="U899" s="508"/>
      <c r="V899" s="508"/>
      <c r="W899" s="508"/>
      <c r="X899" s="508"/>
      <c r="Y899" s="508"/>
      <c r="Z899" s="508"/>
    </row>
    <row r="900" ht="13.5" customHeight="1">
      <c r="A900" s="508"/>
      <c r="B900" s="508"/>
      <c r="C900" s="508"/>
      <c r="D900" s="508"/>
      <c r="E900" s="508"/>
      <c r="F900" s="508"/>
      <c r="G900" s="533"/>
      <c r="H900" s="508"/>
      <c r="I900" s="508"/>
      <c r="J900" s="508"/>
      <c r="K900" s="508"/>
      <c r="L900" s="508"/>
      <c r="M900" s="508"/>
      <c r="N900" s="508"/>
      <c r="O900" s="508"/>
      <c r="P900" s="508"/>
      <c r="Q900" s="508"/>
      <c r="R900" s="508"/>
      <c r="S900" s="508"/>
      <c r="T900" s="508"/>
      <c r="U900" s="508"/>
      <c r="V900" s="508"/>
      <c r="W900" s="508"/>
      <c r="X900" s="508"/>
      <c r="Y900" s="508"/>
      <c r="Z900" s="508"/>
    </row>
    <row r="901" ht="13.5" customHeight="1">
      <c r="A901" s="508"/>
      <c r="B901" s="508"/>
      <c r="C901" s="508"/>
      <c r="D901" s="508"/>
      <c r="E901" s="508"/>
      <c r="F901" s="508"/>
      <c r="G901" s="533"/>
      <c r="H901" s="508"/>
      <c r="I901" s="508"/>
      <c r="J901" s="508"/>
      <c r="K901" s="508"/>
      <c r="L901" s="508"/>
      <c r="M901" s="508"/>
      <c r="N901" s="508"/>
      <c r="O901" s="508"/>
      <c r="P901" s="508"/>
      <c r="Q901" s="508"/>
      <c r="R901" s="508"/>
      <c r="S901" s="508"/>
      <c r="T901" s="508"/>
      <c r="U901" s="508"/>
      <c r="V901" s="508"/>
      <c r="W901" s="508"/>
      <c r="X901" s="508"/>
      <c r="Y901" s="508"/>
      <c r="Z901" s="508"/>
    </row>
    <row r="902" ht="13.5" customHeight="1">
      <c r="A902" s="508"/>
      <c r="B902" s="508"/>
      <c r="C902" s="508"/>
      <c r="D902" s="508"/>
      <c r="E902" s="508"/>
      <c r="F902" s="508"/>
      <c r="G902" s="533"/>
      <c r="H902" s="508"/>
      <c r="I902" s="508"/>
      <c r="J902" s="508"/>
      <c r="K902" s="508"/>
      <c r="L902" s="508"/>
      <c r="M902" s="508"/>
      <c r="N902" s="508"/>
      <c r="O902" s="508"/>
      <c r="P902" s="508"/>
      <c r="Q902" s="508"/>
      <c r="R902" s="508"/>
      <c r="S902" s="508"/>
      <c r="T902" s="508"/>
      <c r="U902" s="508"/>
      <c r="V902" s="508"/>
      <c r="W902" s="508"/>
      <c r="X902" s="508"/>
      <c r="Y902" s="508"/>
      <c r="Z902" s="508"/>
    </row>
    <row r="903" ht="13.5" customHeight="1">
      <c r="A903" s="508"/>
      <c r="B903" s="508"/>
      <c r="C903" s="508"/>
      <c r="D903" s="508"/>
      <c r="E903" s="508"/>
      <c r="F903" s="508"/>
      <c r="G903" s="533"/>
      <c r="H903" s="508"/>
      <c r="I903" s="508"/>
      <c r="J903" s="508"/>
      <c r="K903" s="508"/>
      <c r="L903" s="508"/>
      <c r="M903" s="508"/>
      <c r="N903" s="508"/>
      <c r="O903" s="508"/>
      <c r="P903" s="508"/>
      <c r="Q903" s="508"/>
      <c r="R903" s="508"/>
      <c r="S903" s="508"/>
      <c r="T903" s="508"/>
      <c r="U903" s="508"/>
      <c r="V903" s="508"/>
      <c r="W903" s="508"/>
      <c r="X903" s="508"/>
      <c r="Y903" s="508"/>
      <c r="Z903" s="508"/>
    </row>
    <row r="904" ht="13.5" customHeight="1">
      <c r="A904" s="508"/>
      <c r="B904" s="508"/>
      <c r="C904" s="508"/>
      <c r="D904" s="508"/>
      <c r="E904" s="508"/>
      <c r="F904" s="508"/>
      <c r="G904" s="533"/>
      <c r="H904" s="508"/>
      <c r="I904" s="508"/>
      <c r="J904" s="508"/>
      <c r="K904" s="508"/>
      <c r="L904" s="508"/>
      <c r="M904" s="508"/>
      <c r="N904" s="508"/>
      <c r="O904" s="508"/>
      <c r="P904" s="508"/>
      <c r="Q904" s="508"/>
      <c r="R904" s="508"/>
      <c r="S904" s="508"/>
      <c r="T904" s="508"/>
      <c r="U904" s="508"/>
      <c r="V904" s="508"/>
      <c r="W904" s="508"/>
      <c r="X904" s="508"/>
      <c r="Y904" s="508"/>
      <c r="Z904" s="508"/>
    </row>
    <row r="905" ht="13.5" customHeight="1">
      <c r="A905" s="508"/>
      <c r="B905" s="508"/>
      <c r="C905" s="508"/>
      <c r="D905" s="508"/>
      <c r="E905" s="508"/>
      <c r="F905" s="508"/>
      <c r="G905" s="533"/>
      <c r="H905" s="508"/>
      <c r="I905" s="508"/>
      <c r="J905" s="508"/>
      <c r="K905" s="508"/>
      <c r="L905" s="508"/>
      <c r="M905" s="508"/>
      <c r="N905" s="508"/>
      <c r="O905" s="508"/>
      <c r="P905" s="508"/>
      <c r="Q905" s="508"/>
      <c r="R905" s="508"/>
      <c r="S905" s="508"/>
      <c r="T905" s="508"/>
      <c r="U905" s="508"/>
      <c r="V905" s="508"/>
      <c r="W905" s="508"/>
      <c r="X905" s="508"/>
      <c r="Y905" s="508"/>
      <c r="Z905" s="508"/>
    </row>
    <row r="906" ht="13.5" customHeight="1">
      <c r="A906" s="508"/>
      <c r="B906" s="508"/>
      <c r="C906" s="508"/>
      <c r="D906" s="508"/>
      <c r="E906" s="508"/>
      <c r="F906" s="508"/>
      <c r="G906" s="533"/>
      <c r="H906" s="508"/>
      <c r="I906" s="508"/>
      <c r="J906" s="508"/>
      <c r="K906" s="508"/>
      <c r="L906" s="508"/>
      <c r="M906" s="508"/>
      <c r="N906" s="508"/>
      <c r="O906" s="508"/>
      <c r="P906" s="508"/>
      <c r="Q906" s="508"/>
      <c r="R906" s="508"/>
      <c r="S906" s="508"/>
      <c r="T906" s="508"/>
      <c r="U906" s="508"/>
      <c r="V906" s="508"/>
      <c r="W906" s="508"/>
      <c r="X906" s="508"/>
      <c r="Y906" s="508"/>
      <c r="Z906" s="508"/>
    </row>
    <row r="907" ht="13.5" customHeight="1">
      <c r="A907" s="508"/>
      <c r="B907" s="508"/>
      <c r="C907" s="508"/>
      <c r="D907" s="508"/>
      <c r="E907" s="508"/>
      <c r="F907" s="508"/>
      <c r="G907" s="533"/>
      <c r="H907" s="508"/>
      <c r="I907" s="508"/>
      <c r="J907" s="508"/>
      <c r="K907" s="508"/>
      <c r="L907" s="508"/>
      <c r="M907" s="508"/>
      <c r="N907" s="508"/>
      <c r="O907" s="508"/>
      <c r="P907" s="508"/>
      <c r="Q907" s="508"/>
      <c r="R907" s="508"/>
      <c r="S907" s="508"/>
      <c r="T907" s="508"/>
      <c r="U907" s="508"/>
      <c r="V907" s="508"/>
      <c r="W907" s="508"/>
      <c r="X907" s="508"/>
      <c r="Y907" s="508"/>
      <c r="Z907" s="508"/>
    </row>
    <row r="908" ht="13.5" customHeight="1">
      <c r="A908" s="508"/>
      <c r="B908" s="508"/>
      <c r="C908" s="508"/>
      <c r="D908" s="508"/>
      <c r="E908" s="508"/>
      <c r="F908" s="508"/>
      <c r="G908" s="533"/>
      <c r="H908" s="508"/>
      <c r="I908" s="508"/>
      <c r="J908" s="508"/>
      <c r="K908" s="508"/>
      <c r="L908" s="508"/>
      <c r="M908" s="508"/>
      <c r="N908" s="508"/>
      <c r="O908" s="508"/>
      <c r="P908" s="508"/>
      <c r="Q908" s="508"/>
      <c r="R908" s="508"/>
      <c r="S908" s="508"/>
      <c r="T908" s="508"/>
      <c r="U908" s="508"/>
      <c r="V908" s="508"/>
      <c r="W908" s="508"/>
      <c r="X908" s="508"/>
      <c r="Y908" s="508"/>
      <c r="Z908" s="508"/>
    </row>
    <row r="909" ht="13.5" customHeight="1">
      <c r="A909" s="508"/>
      <c r="B909" s="508"/>
      <c r="C909" s="508"/>
      <c r="D909" s="508"/>
      <c r="E909" s="508"/>
      <c r="F909" s="508"/>
      <c r="G909" s="533"/>
      <c r="H909" s="508"/>
      <c r="I909" s="508"/>
      <c r="J909" s="508"/>
      <c r="K909" s="508"/>
      <c r="L909" s="508"/>
      <c r="M909" s="508"/>
      <c r="N909" s="508"/>
      <c r="O909" s="508"/>
      <c r="P909" s="508"/>
      <c r="Q909" s="508"/>
      <c r="R909" s="508"/>
      <c r="S909" s="508"/>
      <c r="T909" s="508"/>
      <c r="U909" s="508"/>
      <c r="V909" s="508"/>
      <c r="W909" s="508"/>
      <c r="X909" s="508"/>
      <c r="Y909" s="508"/>
      <c r="Z909" s="508"/>
    </row>
    <row r="910" ht="13.5" customHeight="1">
      <c r="A910" s="508"/>
      <c r="B910" s="508"/>
      <c r="C910" s="508"/>
      <c r="D910" s="508"/>
      <c r="E910" s="508"/>
      <c r="F910" s="508"/>
      <c r="G910" s="533"/>
      <c r="H910" s="508"/>
      <c r="I910" s="508"/>
      <c r="J910" s="508"/>
      <c r="K910" s="508"/>
      <c r="L910" s="508"/>
      <c r="M910" s="508"/>
      <c r="N910" s="508"/>
      <c r="O910" s="508"/>
      <c r="P910" s="508"/>
      <c r="Q910" s="508"/>
      <c r="R910" s="508"/>
      <c r="S910" s="508"/>
      <c r="T910" s="508"/>
      <c r="U910" s="508"/>
      <c r="V910" s="508"/>
      <c r="W910" s="508"/>
      <c r="X910" s="508"/>
      <c r="Y910" s="508"/>
      <c r="Z910" s="508"/>
    </row>
    <row r="911" ht="13.5" customHeight="1">
      <c r="A911" s="508"/>
      <c r="B911" s="508"/>
      <c r="C911" s="508"/>
      <c r="D911" s="508"/>
      <c r="E911" s="508"/>
      <c r="F911" s="508"/>
      <c r="G911" s="533"/>
      <c r="H911" s="508"/>
      <c r="I911" s="508"/>
      <c r="J911" s="508"/>
      <c r="K911" s="508"/>
      <c r="L911" s="508"/>
      <c r="M911" s="508"/>
      <c r="N911" s="508"/>
      <c r="O911" s="508"/>
      <c r="P911" s="508"/>
      <c r="Q911" s="508"/>
      <c r="R911" s="508"/>
      <c r="S911" s="508"/>
      <c r="T911" s="508"/>
      <c r="U911" s="508"/>
      <c r="V911" s="508"/>
      <c r="W911" s="508"/>
      <c r="X911" s="508"/>
      <c r="Y911" s="508"/>
      <c r="Z911" s="508"/>
    </row>
    <row r="912" ht="13.5" customHeight="1">
      <c r="A912" s="508"/>
      <c r="B912" s="508"/>
      <c r="C912" s="508"/>
      <c r="D912" s="508"/>
      <c r="E912" s="508"/>
      <c r="F912" s="508"/>
      <c r="G912" s="533"/>
      <c r="H912" s="508"/>
      <c r="I912" s="508"/>
      <c r="J912" s="508"/>
      <c r="K912" s="508"/>
      <c r="L912" s="508"/>
      <c r="M912" s="508"/>
      <c r="N912" s="508"/>
      <c r="O912" s="508"/>
      <c r="P912" s="508"/>
      <c r="Q912" s="508"/>
      <c r="R912" s="508"/>
      <c r="S912" s="508"/>
      <c r="T912" s="508"/>
      <c r="U912" s="508"/>
      <c r="V912" s="508"/>
      <c r="W912" s="508"/>
      <c r="X912" s="508"/>
      <c r="Y912" s="508"/>
      <c r="Z912" s="508"/>
    </row>
    <row r="913" ht="13.5" customHeight="1">
      <c r="A913" s="508"/>
      <c r="B913" s="508"/>
      <c r="C913" s="508"/>
      <c r="D913" s="508"/>
      <c r="E913" s="508"/>
      <c r="F913" s="508"/>
      <c r="G913" s="533"/>
      <c r="H913" s="508"/>
      <c r="I913" s="508"/>
      <c r="J913" s="508"/>
      <c r="K913" s="508"/>
      <c r="L913" s="508"/>
      <c r="M913" s="508"/>
      <c r="N913" s="508"/>
      <c r="O913" s="508"/>
      <c r="P913" s="508"/>
      <c r="Q913" s="508"/>
      <c r="R913" s="508"/>
      <c r="S913" s="508"/>
      <c r="T913" s="508"/>
      <c r="U913" s="508"/>
      <c r="V913" s="508"/>
      <c r="W913" s="508"/>
      <c r="X913" s="508"/>
      <c r="Y913" s="508"/>
      <c r="Z913" s="508"/>
    </row>
    <row r="914" ht="13.5" customHeight="1">
      <c r="A914" s="508"/>
      <c r="B914" s="508"/>
      <c r="C914" s="508"/>
      <c r="D914" s="508"/>
      <c r="E914" s="508"/>
      <c r="F914" s="508"/>
      <c r="G914" s="533"/>
      <c r="H914" s="508"/>
      <c r="I914" s="508"/>
      <c r="J914" s="508"/>
      <c r="K914" s="508"/>
      <c r="L914" s="508"/>
      <c r="M914" s="508"/>
      <c r="N914" s="508"/>
      <c r="O914" s="508"/>
      <c r="P914" s="508"/>
      <c r="Q914" s="508"/>
      <c r="R914" s="508"/>
      <c r="S914" s="508"/>
      <c r="T914" s="508"/>
      <c r="U914" s="508"/>
      <c r="V914" s="508"/>
      <c r="W914" s="508"/>
      <c r="X914" s="508"/>
      <c r="Y914" s="508"/>
      <c r="Z914" s="508"/>
    </row>
    <row r="915" ht="13.5" customHeight="1">
      <c r="A915" s="508"/>
      <c r="B915" s="508"/>
      <c r="C915" s="508"/>
      <c r="D915" s="508"/>
      <c r="E915" s="508"/>
      <c r="F915" s="508"/>
      <c r="G915" s="533"/>
      <c r="H915" s="508"/>
      <c r="I915" s="508"/>
      <c r="J915" s="508"/>
      <c r="K915" s="508"/>
      <c r="L915" s="508"/>
      <c r="M915" s="508"/>
      <c r="N915" s="508"/>
      <c r="O915" s="508"/>
      <c r="P915" s="508"/>
      <c r="Q915" s="508"/>
      <c r="R915" s="508"/>
      <c r="S915" s="508"/>
      <c r="T915" s="508"/>
      <c r="U915" s="508"/>
      <c r="V915" s="508"/>
      <c r="W915" s="508"/>
      <c r="X915" s="508"/>
      <c r="Y915" s="508"/>
      <c r="Z915" s="508"/>
    </row>
    <row r="916" ht="13.5" customHeight="1">
      <c r="A916" s="508"/>
      <c r="B916" s="508"/>
      <c r="C916" s="508"/>
      <c r="D916" s="508"/>
      <c r="E916" s="508"/>
      <c r="F916" s="508"/>
      <c r="G916" s="533"/>
      <c r="H916" s="508"/>
      <c r="I916" s="508"/>
      <c r="J916" s="508"/>
      <c r="K916" s="508"/>
      <c r="L916" s="508"/>
      <c r="M916" s="508"/>
      <c r="N916" s="508"/>
      <c r="O916" s="508"/>
      <c r="P916" s="508"/>
      <c r="Q916" s="508"/>
      <c r="R916" s="508"/>
      <c r="S916" s="508"/>
      <c r="T916" s="508"/>
      <c r="U916" s="508"/>
      <c r="V916" s="508"/>
      <c r="W916" s="508"/>
      <c r="X916" s="508"/>
      <c r="Y916" s="508"/>
      <c r="Z916" s="508"/>
    </row>
    <row r="917" ht="13.5" customHeight="1">
      <c r="A917" s="508"/>
      <c r="B917" s="508"/>
      <c r="C917" s="508"/>
      <c r="D917" s="508"/>
      <c r="E917" s="508"/>
      <c r="F917" s="508"/>
      <c r="G917" s="533"/>
      <c r="H917" s="508"/>
      <c r="I917" s="508"/>
      <c r="J917" s="508"/>
      <c r="K917" s="508"/>
      <c r="L917" s="508"/>
      <c r="M917" s="508"/>
      <c r="N917" s="508"/>
      <c r="O917" s="508"/>
      <c r="P917" s="508"/>
      <c r="Q917" s="508"/>
      <c r="R917" s="508"/>
      <c r="S917" s="508"/>
      <c r="T917" s="508"/>
      <c r="U917" s="508"/>
      <c r="V917" s="508"/>
      <c r="W917" s="508"/>
      <c r="X917" s="508"/>
      <c r="Y917" s="508"/>
      <c r="Z917" s="508"/>
    </row>
    <row r="918" ht="13.5" customHeight="1">
      <c r="A918" s="508"/>
      <c r="B918" s="508"/>
      <c r="C918" s="508"/>
      <c r="D918" s="508"/>
      <c r="E918" s="508"/>
      <c r="F918" s="508"/>
      <c r="G918" s="533"/>
      <c r="H918" s="508"/>
      <c r="I918" s="508"/>
      <c r="J918" s="508"/>
      <c r="K918" s="508"/>
      <c r="L918" s="508"/>
      <c r="M918" s="508"/>
      <c r="N918" s="508"/>
      <c r="O918" s="508"/>
      <c r="P918" s="508"/>
      <c r="Q918" s="508"/>
      <c r="R918" s="508"/>
      <c r="S918" s="508"/>
      <c r="T918" s="508"/>
      <c r="U918" s="508"/>
      <c r="V918" s="508"/>
      <c r="W918" s="508"/>
      <c r="X918" s="508"/>
      <c r="Y918" s="508"/>
      <c r="Z918" s="508"/>
    </row>
    <row r="919" ht="13.5" customHeight="1">
      <c r="A919" s="508"/>
      <c r="B919" s="508"/>
      <c r="C919" s="508"/>
      <c r="D919" s="508"/>
      <c r="E919" s="508"/>
      <c r="F919" s="508"/>
      <c r="G919" s="533"/>
      <c r="H919" s="508"/>
      <c r="I919" s="508"/>
      <c r="J919" s="508"/>
      <c r="K919" s="508"/>
      <c r="L919" s="508"/>
      <c r="M919" s="508"/>
      <c r="N919" s="508"/>
      <c r="O919" s="508"/>
      <c r="P919" s="508"/>
      <c r="Q919" s="508"/>
      <c r="R919" s="508"/>
      <c r="S919" s="508"/>
      <c r="T919" s="508"/>
      <c r="U919" s="508"/>
      <c r="V919" s="508"/>
      <c r="W919" s="508"/>
      <c r="X919" s="508"/>
      <c r="Y919" s="508"/>
      <c r="Z919" s="508"/>
    </row>
    <row r="920" ht="13.5" customHeight="1">
      <c r="A920" s="508"/>
      <c r="B920" s="508"/>
      <c r="C920" s="508"/>
      <c r="D920" s="508"/>
      <c r="E920" s="508"/>
      <c r="F920" s="508"/>
      <c r="G920" s="533"/>
      <c r="H920" s="508"/>
      <c r="I920" s="508"/>
      <c r="J920" s="508"/>
      <c r="K920" s="508"/>
      <c r="L920" s="508"/>
      <c r="M920" s="508"/>
      <c r="N920" s="508"/>
      <c r="O920" s="508"/>
      <c r="P920" s="508"/>
      <c r="Q920" s="508"/>
      <c r="R920" s="508"/>
      <c r="S920" s="508"/>
      <c r="T920" s="508"/>
      <c r="U920" s="508"/>
      <c r="V920" s="508"/>
      <c r="W920" s="508"/>
      <c r="X920" s="508"/>
      <c r="Y920" s="508"/>
      <c r="Z920" s="508"/>
    </row>
    <row r="921" ht="13.5" customHeight="1">
      <c r="A921" s="508"/>
      <c r="B921" s="508"/>
      <c r="C921" s="508"/>
      <c r="D921" s="508"/>
      <c r="E921" s="508"/>
      <c r="F921" s="508"/>
      <c r="G921" s="533"/>
      <c r="H921" s="508"/>
      <c r="I921" s="508"/>
      <c r="J921" s="508"/>
      <c r="K921" s="508"/>
      <c r="L921" s="508"/>
      <c r="M921" s="508"/>
      <c r="N921" s="508"/>
      <c r="O921" s="508"/>
      <c r="P921" s="508"/>
      <c r="Q921" s="508"/>
      <c r="R921" s="508"/>
      <c r="S921" s="508"/>
      <c r="T921" s="508"/>
      <c r="U921" s="508"/>
      <c r="V921" s="508"/>
      <c r="W921" s="508"/>
      <c r="X921" s="508"/>
      <c r="Y921" s="508"/>
      <c r="Z921" s="508"/>
    </row>
    <row r="922" ht="13.5" customHeight="1">
      <c r="A922" s="508"/>
      <c r="B922" s="508"/>
      <c r="C922" s="508"/>
      <c r="D922" s="508"/>
      <c r="E922" s="508"/>
      <c r="F922" s="508"/>
      <c r="G922" s="533"/>
      <c r="H922" s="508"/>
      <c r="I922" s="508"/>
      <c r="J922" s="508"/>
      <c r="K922" s="508"/>
      <c r="L922" s="508"/>
      <c r="M922" s="508"/>
      <c r="N922" s="508"/>
      <c r="O922" s="508"/>
      <c r="P922" s="508"/>
      <c r="Q922" s="508"/>
      <c r="R922" s="508"/>
      <c r="S922" s="508"/>
      <c r="T922" s="508"/>
      <c r="U922" s="508"/>
      <c r="V922" s="508"/>
      <c r="W922" s="508"/>
      <c r="X922" s="508"/>
      <c r="Y922" s="508"/>
      <c r="Z922" s="508"/>
    </row>
    <row r="923" ht="13.5" customHeight="1">
      <c r="A923" s="508"/>
      <c r="B923" s="508"/>
      <c r="C923" s="508"/>
      <c r="D923" s="508"/>
      <c r="E923" s="508"/>
      <c r="F923" s="508"/>
      <c r="G923" s="533"/>
      <c r="H923" s="508"/>
      <c r="I923" s="508"/>
      <c r="J923" s="508"/>
      <c r="K923" s="508"/>
      <c r="L923" s="508"/>
      <c r="M923" s="508"/>
      <c r="N923" s="508"/>
      <c r="O923" s="508"/>
      <c r="P923" s="508"/>
      <c r="Q923" s="508"/>
      <c r="R923" s="508"/>
      <c r="S923" s="508"/>
      <c r="T923" s="508"/>
      <c r="U923" s="508"/>
      <c r="V923" s="508"/>
      <c r="W923" s="508"/>
      <c r="X923" s="508"/>
      <c r="Y923" s="508"/>
      <c r="Z923" s="508"/>
    </row>
    <row r="924" ht="13.5" customHeight="1">
      <c r="A924" s="508"/>
      <c r="B924" s="508"/>
      <c r="C924" s="508"/>
      <c r="D924" s="508"/>
      <c r="E924" s="508"/>
      <c r="F924" s="508"/>
      <c r="G924" s="533"/>
      <c r="H924" s="508"/>
      <c r="I924" s="508"/>
      <c r="J924" s="508"/>
      <c r="K924" s="508"/>
      <c r="L924" s="508"/>
      <c r="M924" s="508"/>
      <c r="N924" s="508"/>
      <c r="O924" s="508"/>
      <c r="P924" s="508"/>
      <c r="Q924" s="508"/>
      <c r="R924" s="508"/>
      <c r="S924" s="508"/>
      <c r="T924" s="508"/>
      <c r="U924" s="508"/>
      <c r="V924" s="508"/>
      <c r="W924" s="508"/>
      <c r="X924" s="508"/>
      <c r="Y924" s="508"/>
      <c r="Z924" s="508"/>
    </row>
    <row r="925" ht="13.5" customHeight="1">
      <c r="A925" s="508"/>
      <c r="B925" s="508"/>
      <c r="C925" s="508"/>
      <c r="D925" s="508"/>
      <c r="E925" s="508"/>
      <c r="F925" s="508"/>
      <c r="G925" s="533"/>
      <c r="H925" s="508"/>
      <c r="I925" s="508"/>
      <c r="J925" s="508"/>
      <c r="K925" s="508"/>
      <c r="L925" s="508"/>
      <c r="M925" s="508"/>
      <c r="N925" s="508"/>
      <c r="O925" s="508"/>
      <c r="P925" s="508"/>
      <c r="Q925" s="508"/>
      <c r="R925" s="508"/>
      <c r="S925" s="508"/>
      <c r="T925" s="508"/>
      <c r="U925" s="508"/>
      <c r="V925" s="508"/>
      <c r="W925" s="508"/>
      <c r="X925" s="508"/>
      <c r="Y925" s="508"/>
      <c r="Z925" s="508"/>
    </row>
    <row r="926" ht="13.5" customHeight="1">
      <c r="A926" s="508"/>
      <c r="B926" s="508"/>
      <c r="C926" s="508"/>
      <c r="D926" s="508"/>
      <c r="E926" s="508"/>
      <c r="F926" s="508"/>
      <c r="G926" s="533"/>
      <c r="H926" s="508"/>
      <c r="I926" s="508"/>
      <c r="J926" s="508"/>
      <c r="K926" s="508"/>
      <c r="L926" s="508"/>
      <c r="M926" s="508"/>
      <c r="N926" s="508"/>
      <c r="O926" s="508"/>
      <c r="P926" s="508"/>
      <c r="Q926" s="508"/>
      <c r="R926" s="508"/>
      <c r="S926" s="508"/>
      <c r="T926" s="508"/>
      <c r="U926" s="508"/>
      <c r="V926" s="508"/>
      <c r="W926" s="508"/>
      <c r="X926" s="508"/>
      <c r="Y926" s="508"/>
      <c r="Z926" s="508"/>
    </row>
    <row r="927" ht="13.5" customHeight="1">
      <c r="A927" s="508"/>
      <c r="B927" s="508"/>
      <c r="C927" s="508"/>
      <c r="D927" s="508"/>
      <c r="E927" s="508"/>
      <c r="F927" s="508"/>
      <c r="G927" s="533"/>
      <c r="H927" s="508"/>
      <c r="I927" s="508"/>
      <c r="J927" s="508"/>
      <c r="K927" s="508"/>
      <c r="L927" s="508"/>
      <c r="M927" s="508"/>
      <c r="N927" s="508"/>
      <c r="O927" s="508"/>
      <c r="P927" s="508"/>
      <c r="Q927" s="508"/>
      <c r="R927" s="508"/>
      <c r="S927" s="508"/>
      <c r="T927" s="508"/>
      <c r="U927" s="508"/>
      <c r="V927" s="508"/>
      <c r="W927" s="508"/>
      <c r="X927" s="508"/>
      <c r="Y927" s="508"/>
      <c r="Z927" s="508"/>
    </row>
    <row r="928" ht="13.5" customHeight="1">
      <c r="A928" s="508"/>
      <c r="B928" s="508"/>
      <c r="C928" s="508"/>
      <c r="D928" s="508"/>
      <c r="E928" s="508"/>
      <c r="F928" s="508"/>
      <c r="G928" s="533"/>
      <c r="H928" s="508"/>
      <c r="I928" s="508"/>
      <c r="J928" s="508"/>
      <c r="K928" s="508"/>
      <c r="L928" s="508"/>
      <c r="M928" s="508"/>
      <c r="N928" s="508"/>
      <c r="O928" s="508"/>
      <c r="P928" s="508"/>
      <c r="Q928" s="508"/>
      <c r="R928" s="508"/>
      <c r="S928" s="508"/>
      <c r="T928" s="508"/>
      <c r="U928" s="508"/>
      <c r="V928" s="508"/>
      <c r="W928" s="508"/>
      <c r="X928" s="508"/>
      <c r="Y928" s="508"/>
      <c r="Z928" s="508"/>
    </row>
    <row r="929" ht="13.5" customHeight="1">
      <c r="A929" s="508"/>
      <c r="B929" s="508"/>
      <c r="C929" s="508"/>
      <c r="D929" s="508"/>
      <c r="E929" s="508"/>
      <c r="F929" s="508"/>
      <c r="G929" s="533"/>
      <c r="H929" s="508"/>
      <c r="I929" s="508"/>
      <c r="J929" s="508"/>
      <c r="K929" s="508"/>
      <c r="L929" s="508"/>
      <c r="M929" s="508"/>
      <c r="N929" s="508"/>
      <c r="O929" s="508"/>
      <c r="P929" s="508"/>
      <c r="Q929" s="508"/>
      <c r="R929" s="508"/>
      <c r="S929" s="508"/>
      <c r="T929" s="508"/>
      <c r="U929" s="508"/>
      <c r="V929" s="508"/>
      <c r="W929" s="508"/>
      <c r="X929" s="508"/>
      <c r="Y929" s="508"/>
      <c r="Z929" s="508"/>
    </row>
    <row r="930" ht="13.5" customHeight="1">
      <c r="A930" s="508"/>
      <c r="B930" s="508"/>
      <c r="C930" s="508"/>
      <c r="D930" s="508"/>
      <c r="E930" s="508"/>
      <c r="F930" s="508"/>
      <c r="G930" s="533"/>
      <c r="H930" s="508"/>
      <c r="I930" s="508"/>
      <c r="J930" s="508"/>
      <c r="K930" s="508"/>
      <c r="L930" s="508"/>
      <c r="M930" s="508"/>
      <c r="N930" s="508"/>
      <c r="O930" s="508"/>
      <c r="P930" s="508"/>
      <c r="Q930" s="508"/>
      <c r="R930" s="508"/>
      <c r="S930" s="508"/>
      <c r="T930" s="508"/>
      <c r="U930" s="508"/>
      <c r="V930" s="508"/>
      <c r="W930" s="508"/>
      <c r="X930" s="508"/>
      <c r="Y930" s="508"/>
      <c r="Z930" s="508"/>
    </row>
    <row r="931" ht="13.5" customHeight="1">
      <c r="A931" s="508"/>
      <c r="B931" s="508"/>
      <c r="C931" s="508"/>
      <c r="D931" s="508"/>
      <c r="E931" s="508"/>
      <c r="F931" s="508"/>
      <c r="G931" s="533"/>
      <c r="H931" s="508"/>
      <c r="I931" s="508"/>
      <c r="J931" s="508"/>
      <c r="K931" s="508"/>
      <c r="L931" s="508"/>
      <c r="M931" s="508"/>
      <c r="N931" s="508"/>
      <c r="O931" s="508"/>
      <c r="P931" s="508"/>
      <c r="Q931" s="508"/>
      <c r="R931" s="508"/>
      <c r="S931" s="508"/>
      <c r="T931" s="508"/>
      <c r="U931" s="508"/>
      <c r="V931" s="508"/>
      <c r="W931" s="508"/>
      <c r="X931" s="508"/>
      <c r="Y931" s="508"/>
      <c r="Z931" s="508"/>
    </row>
    <row r="932" ht="13.5" customHeight="1">
      <c r="A932" s="508"/>
      <c r="B932" s="508"/>
      <c r="C932" s="508"/>
      <c r="D932" s="508"/>
      <c r="E932" s="508"/>
      <c r="F932" s="508"/>
      <c r="G932" s="533"/>
      <c r="H932" s="508"/>
      <c r="I932" s="508"/>
      <c r="J932" s="508"/>
      <c r="K932" s="508"/>
      <c r="L932" s="508"/>
      <c r="M932" s="508"/>
      <c r="N932" s="508"/>
      <c r="O932" s="508"/>
      <c r="P932" s="508"/>
      <c r="Q932" s="508"/>
      <c r="R932" s="508"/>
      <c r="S932" s="508"/>
      <c r="T932" s="508"/>
      <c r="U932" s="508"/>
      <c r="V932" s="508"/>
      <c r="W932" s="508"/>
      <c r="X932" s="508"/>
      <c r="Y932" s="508"/>
      <c r="Z932" s="508"/>
    </row>
    <row r="933" ht="13.5" customHeight="1">
      <c r="A933" s="508"/>
      <c r="B933" s="508"/>
      <c r="C933" s="508"/>
      <c r="D933" s="508"/>
      <c r="E933" s="508"/>
      <c r="F933" s="508"/>
      <c r="G933" s="533"/>
      <c r="H933" s="508"/>
      <c r="I933" s="508"/>
      <c r="J933" s="508"/>
      <c r="K933" s="508"/>
      <c r="L933" s="508"/>
      <c r="M933" s="508"/>
      <c r="N933" s="508"/>
      <c r="O933" s="508"/>
      <c r="P933" s="508"/>
      <c r="Q933" s="508"/>
      <c r="R933" s="508"/>
      <c r="S933" s="508"/>
      <c r="T933" s="508"/>
      <c r="U933" s="508"/>
      <c r="V933" s="508"/>
      <c r="W933" s="508"/>
      <c r="X933" s="508"/>
      <c r="Y933" s="508"/>
      <c r="Z933" s="508"/>
    </row>
    <row r="934" ht="13.5" customHeight="1">
      <c r="A934" s="508"/>
      <c r="B934" s="508"/>
      <c r="C934" s="508"/>
      <c r="D934" s="508"/>
      <c r="E934" s="508"/>
      <c r="F934" s="508"/>
      <c r="G934" s="533"/>
      <c r="H934" s="508"/>
      <c r="I934" s="508"/>
      <c r="J934" s="508"/>
      <c r="K934" s="508"/>
      <c r="L934" s="508"/>
      <c r="M934" s="508"/>
      <c r="N934" s="508"/>
      <c r="O934" s="508"/>
      <c r="P934" s="508"/>
      <c r="Q934" s="508"/>
      <c r="R934" s="508"/>
      <c r="S934" s="508"/>
      <c r="T934" s="508"/>
      <c r="U934" s="508"/>
      <c r="V934" s="508"/>
      <c r="W934" s="508"/>
      <c r="X934" s="508"/>
      <c r="Y934" s="508"/>
      <c r="Z934" s="508"/>
    </row>
    <row r="935" ht="13.5" customHeight="1">
      <c r="A935" s="508"/>
      <c r="B935" s="508"/>
      <c r="C935" s="508"/>
      <c r="D935" s="508"/>
      <c r="E935" s="508"/>
      <c r="F935" s="508"/>
      <c r="G935" s="533"/>
      <c r="H935" s="508"/>
      <c r="I935" s="508"/>
      <c r="J935" s="508"/>
      <c r="K935" s="508"/>
      <c r="L935" s="508"/>
      <c r="M935" s="508"/>
      <c r="N935" s="508"/>
      <c r="O935" s="508"/>
      <c r="P935" s="508"/>
      <c r="Q935" s="508"/>
      <c r="R935" s="508"/>
      <c r="S935" s="508"/>
      <c r="T935" s="508"/>
      <c r="U935" s="508"/>
      <c r="V935" s="508"/>
      <c r="W935" s="508"/>
      <c r="X935" s="508"/>
      <c r="Y935" s="508"/>
      <c r="Z935" s="508"/>
    </row>
    <row r="936" ht="13.5" customHeight="1">
      <c r="A936" s="508"/>
      <c r="B936" s="508"/>
      <c r="C936" s="508"/>
      <c r="D936" s="508"/>
      <c r="E936" s="508"/>
      <c r="F936" s="508"/>
      <c r="G936" s="533"/>
      <c r="H936" s="508"/>
      <c r="I936" s="508"/>
      <c r="J936" s="508"/>
      <c r="K936" s="508"/>
      <c r="L936" s="508"/>
      <c r="M936" s="508"/>
      <c r="N936" s="508"/>
      <c r="O936" s="508"/>
      <c r="P936" s="508"/>
      <c r="Q936" s="508"/>
      <c r="R936" s="508"/>
      <c r="S936" s="508"/>
      <c r="T936" s="508"/>
      <c r="U936" s="508"/>
      <c r="V936" s="508"/>
      <c r="W936" s="508"/>
      <c r="X936" s="508"/>
      <c r="Y936" s="508"/>
      <c r="Z936" s="508"/>
    </row>
    <row r="937" ht="13.5" customHeight="1">
      <c r="A937" s="508"/>
      <c r="B937" s="508"/>
      <c r="C937" s="508"/>
      <c r="D937" s="508"/>
      <c r="E937" s="508"/>
      <c r="F937" s="508"/>
      <c r="G937" s="533"/>
      <c r="H937" s="508"/>
      <c r="I937" s="508"/>
      <c r="J937" s="508"/>
      <c r="K937" s="508"/>
      <c r="L937" s="508"/>
      <c r="M937" s="508"/>
      <c r="N937" s="508"/>
      <c r="O937" s="508"/>
      <c r="P937" s="508"/>
      <c r="Q937" s="508"/>
      <c r="R937" s="508"/>
      <c r="S937" s="508"/>
      <c r="T937" s="508"/>
      <c r="U937" s="508"/>
      <c r="V937" s="508"/>
      <c r="W937" s="508"/>
      <c r="X937" s="508"/>
      <c r="Y937" s="508"/>
      <c r="Z937" s="508"/>
    </row>
    <row r="938" ht="13.5" customHeight="1">
      <c r="A938" s="508"/>
      <c r="B938" s="508"/>
      <c r="C938" s="508"/>
      <c r="D938" s="508"/>
      <c r="E938" s="508"/>
      <c r="F938" s="508"/>
      <c r="G938" s="533"/>
      <c r="H938" s="508"/>
      <c r="I938" s="508"/>
      <c r="J938" s="508"/>
      <c r="K938" s="508"/>
      <c r="L938" s="508"/>
      <c r="M938" s="508"/>
      <c r="N938" s="508"/>
      <c r="O938" s="508"/>
      <c r="P938" s="508"/>
      <c r="Q938" s="508"/>
      <c r="R938" s="508"/>
      <c r="S938" s="508"/>
      <c r="T938" s="508"/>
      <c r="U938" s="508"/>
      <c r="V938" s="508"/>
      <c r="W938" s="508"/>
      <c r="X938" s="508"/>
      <c r="Y938" s="508"/>
      <c r="Z938" s="508"/>
    </row>
    <row r="939" ht="13.5" customHeight="1">
      <c r="A939" s="508"/>
      <c r="B939" s="508"/>
      <c r="C939" s="508"/>
      <c r="D939" s="508"/>
      <c r="E939" s="508"/>
      <c r="F939" s="508"/>
      <c r="G939" s="533"/>
      <c r="H939" s="508"/>
      <c r="I939" s="508"/>
      <c r="J939" s="508"/>
      <c r="K939" s="508"/>
      <c r="L939" s="508"/>
      <c r="M939" s="508"/>
      <c r="N939" s="508"/>
      <c r="O939" s="508"/>
      <c r="P939" s="508"/>
      <c r="Q939" s="508"/>
      <c r="R939" s="508"/>
      <c r="S939" s="508"/>
      <c r="T939" s="508"/>
      <c r="U939" s="508"/>
      <c r="V939" s="508"/>
      <c r="W939" s="508"/>
      <c r="X939" s="508"/>
      <c r="Y939" s="508"/>
      <c r="Z939" s="508"/>
    </row>
    <row r="940" ht="13.5" customHeight="1">
      <c r="A940" s="508"/>
      <c r="B940" s="508"/>
      <c r="C940" s="508"/>
      <c r="D940" s="508"/>
      <c r="E940" s="508"/>
      <c r="F940" s="508"/>
      <c r="G940" s="533"/>
      <c r="H940" s="508"/>
      <c r="I940" s="508"/>
      <c r="J940" s="508"/>
      <c r="K940" s="508"/>
      <c r="L940" s="508"/>
      <c r="M940" s="508"/>
      <c r="N940" s="508"/>
      <c r="O940" s="508"/>
      <c r="P940" s="508"/>
      <c r="Q940" s="508"/>
      <c r="R940" s="508"/>
      <c r="S940" s="508"/>
      <c r="T940" s="508"/>
      <c r="U940" s="508"/>
      <c r="V940" s="508"/>
      <c r="W940" s="508"/>
      <c r="X940" s="508"/>
      <c r="Y940" s="508"/>
      <c r="Z940" s="508"/>
    </row>
    <row r="941" ht="13.5" customHeight="1">
      <c r="A941" s="508"/>
      <c r="B941" s="508"/>
      <c r="C941" s="508"/>
      <c r="D941" s="508"/>
      <c r="E941" s="508"/>
      <c r="F941" s="508"/>
      <c r="G941" s="533"/>
      <c r="H941" s="508"/>
      <c r="I941" s="508"/>
      <c r="J941" s="508"/>
      <c r="K941" s="508"/>
      <c r="L941" s="508"/>
      <c r="M941" s="508"/>
      <c r="N941" s="508"/>
      <c r="O941" s="508"/>
      <c r="P941" s="508"/>
      <c r="Q941" s="508"/>
      <c r="R941" s="508"/>
      <c r="S941" s="508"/>
      <c r="T941" s="508"/>
      <c r="U941" s="508"/>
      <c r="V941" s="508"/>
      <c r="W941" s="508"/>
      <c r="X941" s="508"/>
      <c r="Y941" s="508"/>
      <c r="Z941" s="508"/>
    </row>
    <row r="942" ht="13.5" customHeight="1">
      <c r="A942" s="508"/>
      <c r="B942" s="508"/>
      <c r="C942" s="508"/>
      <c r="D942" s="508"/>
      <c r="E942" s="508"/>
      <c r="F942" s="508"/>
      <c r="G942" s="533"/>
      <c r="H942" s="508"/>
      <c r="I942" s="508"/>
      <c r="J942" s="508"/>
      <c r="K942" s="508"/>
      <c r="L942" s="508"/>
      <c r="M942" s="508"/>
      <c r="N942" s="508"/>
      <c r="O942" s="508"/>
      <c r="P942" s="508"/>
      <c r="Q942" s="508"/>
      <c r="R942" s="508"/>
      <c r="S942" s="508"/>
      <c r="T942" s="508"/>
      <c r="U942" s="508"/>
      <c r="V942" s="508"/>
      <c r="W942" s="508"/>
      <c r="X942" s="508"/>
      <c r="Y942" s="508"/>
      <c r="Z942" s="508"/>
    </row>
    <row r="943" ht="13.5" customHeight="1">
      <c r="A943" s="508"/>
      <c r="B943" s="508"/>
      <c r="C943" s="508"/>
      <c r="D943" s="508"/>
      <c r="E943" s="508"/>
      <c r="F943" s="508"/>
      <c r="G943" s="533"/>
      <c r="H943" s="508"/>
      <c r="I943" s="508"/>
      <c r="J943" s="508"/>
      <c r="K943" s="508"/>
      <c r="L943" s="508"/>
      <c r="M943" s="508"/>
      <c r="N943" s="508"/>
      <c r="O943" s="508"/>
      <c r="P943" s="508"/>
      <c r="Q943" s="508"/>
      <c r="R943" s="508"/>
      <c r="S943" s="508"/>
      <c r="T943" s="508"/>
      <c r="U943" s="508"/>
      <c r="V943" s="508"/>
      <c r="W943" s="508"/>
      <c r="X943" s="508"/>
      <c r="Y943" s="508"/>
      <c r="Z943" s="508"/>
    </row>
    <row r="944" ht="13.5" customHeight="1">
      <c r="A944" s="508"/>
      <c r="B944" s="508"/>
      <c r="C944" s="508"/>
      <c r="D944" s="508"/>
      <c r="E944" s="508"/>
      <c r="F944" s="508"/>
      <c r="G944" s="533"/>
      <c r="H944" s="508"/>
      <c r="I944" s="508"/>
      <c r="J944" s="508"/>
      <c r="K944" s="508"/>
      <c r="L944" s="508"/>
      <c r="M944" s="508"/>
      <c r="N944" s="508"/>
      <c r="O944" s="508"/>
      <c r="P944" s="508"/>
      <c r="Q944" s="508"/>
      <c r="R944" s="508"/>
      <c r="S944" s="508"/>
      <c r="T944" s="508"/>
      <c r="U944" s="508"/>
      <c r="V944" s="508"/>
      <c r="W944" s="508"/>
      <c r="X944" s="508"/>
      <c r="Y944" s="508"/>
      <c r="Z944" s="508"/>
    </row>
    <row r="945" ht="13.5" customHeight="1">
      <c r="A945" s="508"/>
      <c r="B945" s="508"/>
      <c r="C945" s="508"/>
      <c r="D945" s="508"/>
      <c r="E945" s="508"/>
      <c r="F945" s="508"/>
      <c r="G945" s="533"/>
      <c r="H945" s="508"/>
      <c r="I945" s="508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508"/>
      <c r="Y945" s="508"/>
      <c r="Z945" s="508"/>
    </row>
    <row r="946" ht="13.5" customHeight="1">
      <c r="A946" s="508"/>
      <c r="B946" s="508"/>
      <c r="C946" s="508"/>
      <c r="D946" s="508"/>
      <c r="E946" s="508"/>
      <c r="F946" s="508"/>
      <c r="G946" s="533"/>
      <c r="H946" s="508"/>
      <c r="I946" s="508"/>
      <c r="J946" s="508"/>
      <c r="K946" s="508"/>
      <c r="L946" s="508"/>
      <c r="M946" s="508"/>
      <c r="N946" s="508"/>
      <c r="O946" s="508"/>
      <c r="P946" s="508"/>
      <c r="Q946" s="508"/>
      <c r="R946" s="508"/>
      <c r="S946" s="508"/>
      <c r="T946" s="508"/>
      <c r="U946" s="508"/>
      <c r="V946" s="508"/>
      <c r="W946" s="508"/>
      <c r="X946" s="508"/>
      <c r="Y946" s="508"/>
      <c r="Z946" s="508"/>
    </row>
    <row r="947" ht="13.5" customHeight="1">
      <c r="A947" s="508"/>
      <c r="B947" s="508"/>
      <c r="C947" s="508"/>
      <c r="D947" s="508"/>
      <c r="E947" s="508"/>
      <c r="F947" s="508"/>
      <c r="G947" s="533"/>
      <c r="H947" s="508"/>
      <c r="I947" s="508"/>
      <c r="J947" s="508"/>
      <c r="K947" s="508"/>
      <c r="L947" s="508"/>
      <c r="M947" s="508"/>
      <c r="N947" s="508"/>
      <c r="O947" s="508"/>
      <c r="P947" s="508"/>
      <c r="Q947" s="508"/>
      <c r="R947" s="508"/>
      <c r="S947" s="508"/>
      <c r="T947" s="508"/>
      <c r="U947" s="508"/>
      <c r="V947" s="508"/>
      <c r="W947" s="508"/>
      <c r="X947" s="508"/>
      <c r="Y947" s="508"/>
      <c r="Z947" s="508"/>
    </row>
    <row r="948" ht="13.5" customHeight="1">
      <c r="A948" s="508"/>
      <c r="B948" s="508"/>
      <c r="C948" s="508"/>
      <c r="D948" s="508"/>
      <c r="E948" s="508"/>
      <c r="F948" s="508"/>
      <c r="G948" s="533"/>
      <c r="H948" s="508"/>
      <c r="I948" s="508"/>
      <c r="J948" s="508"/>
      <c r="K948" s="508"/>
      <c r="L948" s="508"/>
      <c r="M948" s="508"/>
      <c r="N948" s="508"/>
      <c r="O948" s="508"/>
      <c r="P948" s="508"/>
      <c r="Q948" s="508"/>
      <c r="R948" s="508"/>
      <c r="S948" s="508"/>
      <c r="T948" s="508"/>
      <c r="U948" s="508"/>
      <c r="V948" s="508"/>
      <c r="W948" s="508"/>
      <c r="X948" s="508"/>
      <c r="Y948" s="508"/>
      <c r="Z948" s="508"/>
    </row>
    <row r="949" ht="13.5" customHeight="1">
      <c r="A949" s="508"/>
      <c r="B949" s="508"/>
      <c r="C949" s="508"/>
      <c r="D949" s="508"/>
      <c r="E949" s="508"/>
      <c r="F949" s="508"/>
      <c r="G949" s="533"/>
      <c r="H949" s="508"/>
      <c r="I949" s="508"/>
      <c r="J949" s="508"/>
      <c r="K949" s="508"/>
      <c r="L949" s="508"/>
      <c r="M949" s="508"/>
      <c r="N949" s="508"/>
      <c r="O949" s="508"/>
      <c r="P949" s="508"/>
      <c r="Q949" s="508"/>
      <c r="R949" s="508"/>
      <c r="S949" s="508"/>
      <c r="T949" s="508"/>
      <c r="U949" s="508"/>
      <c r="V949" s="508"/>
      <c r="W949" s="508"/>
      <c r="X949" s="508"/>
      <c r="Y949" s="508"/>
      <c r="Z949" s="508"/>
    </row>
    <row r="950" ht="13.5" customHeight="1">
      <c r="A950" s="508"/>
      <c r="B950" s="508"/>
      <c r="C950" s="508"/>
      <c r="D950" s="508"/>
      <c r="E950" s="508"/>
      <c r="F950" s="508"/>
      <c r="G950" s="533"/>
      <c r="H950" s="508"/>
      <c r="I950" s="508"/>
      <c r="J950" s="508"/>
      <c r="K950" s="508"/>
      <c r="L950" s="508"/>
      <c r="M950" s="508"/>
      <c r="N950" s="508"/>
      <c r="O950" s="508"/>
      <c r="P950" s="508"/>
      <c r="Q950" s="508"/>
      <c r="R950" s="508"/>
      <c r="S950" s="508"/>
      <c r="T950" s="508"/>
      <c r="U950" s="508"/>
      <c r="V950" s="508"/>
      <c r="W950" s="508"/>
      <c r="X950" s="508"/>
      <c r="Y950" s="508"/>
      <c r="Z950" s="508"/>
    </row>
    <row r="951" ht="13.5" customHeight="1">
      <c r="A951" s="508"/>
      <c r="B951" s="508"/>
      <c r="C951" s="508"/>
      <c r="D951" s="508"/>
      <c r="E951" s="508"/>
      <c r="F951" s="508"/>
      <c r="G951" s="533"/>
      <c r="H951" s="508"/>
      <c r="I951" s="508"/>
      <c r="J951" s="508"/>
      <c r="K951" s="508"/>
      <c r="L951" s="508"/>
      <c r="M951" s="508"/>
      <c r="N951" s="508"/>
      <c r="O951" s="508"/>
      <c r="P951" s="508"/>
      <c r="Q951" s="508"/>
      <c r="R951" s="508"/>
      <c r="S951" s="508"/>
      <c r="T951" s="508"/>
      <c r="U951" s="508"/>
      <c r="V951" s="508"/>
      <c r="W951" s="508"/>
      <c r="X951" s="508"/>
      <c r="Y951" s="508"/>
      <c r="Z951" s="508"/>
    </row>
    <row r="952" ht="13.5" customHeight="1">
      <c r="A952" s="508"/>
      <c r="B952" s="508"/>
      <c r="C952" s="508"/>
      <c r="D952" s="508"/>
      <c r="E952" s="508"/>
      <c r="F952" s="508"/>
      <c r="G952" s="533"/>
      <c r="H952" s="508"/>
      <c r="I952" s="508"/>
      <c r="J952" s="508"/>
      <c r="K952" s="508"/>
      <c r="L952" s="508"/>
      <c r="M952" s="508"/>
      <c r="N952" s="508"/>
      <c r="O952" s="508"/>
      <c r="P952" s="508"/>
      <c r="Q952" s="508"/>
      <c r="R952" s="508"/>
      <c r="S952" s="508"/>
      <c r="T952" s="508"/>
      <c r="U952" s="508"/>
      <c r="V952" s="508"/>
      <c r="W952" s="508"/>
      <c r="X952" s="508"/>
      <c r="Y952" s="508"/>
      <c r="Z952" s="508"/>
    </row>
    <row r="953" ht="13.5" customHeight="1">
      <c r="A953" s="508"/>
      <c r="B953" s="508"/>
      <c r="C953" s="508"/>
      <c r="D953" s="508"/>
      <c r="E953" s="508"/>
      <c r="F953" s="508"/>
      <c r="G953" s="533"/>
      <c r="H953" s="508"/>
      <c r="I953" s="508"/>
      <c r="J953" s="508"/>
      <c r="K953" s="508"/>
      <c r="L953" s="508"/>
      <c r="M953" s="508"/>
      <c r="N953" s="508"/>
      <c r="O953" s="508"/>
      <c r="P953" s="508"/>
      <c r="Q953" s="508"/>
      <c r="R953" s="508"/>
      <c r="S953" s="508"/>
      <c r="T953" s="508"/>
      <c r="U953" s="508"/>
      <c r="V953" s="508"/>
      <c r="W953" s="508"/>
      <c r="X953" s="508"/>
      <c r="Y953" s="508"/>
      <c r="Z953" s="508"/>
    </row>
    <row r="954" ht="13.5" customHeight="1">
      <c r="A954" s="508"/>
      <c r="B954" s="508"/>
      <c r="C954" s="508"/>
      <c r="D954" s="508"/>
      <c r="E954" s="508"/>
      <c r="F954" s="508"/>
      <c r="G954" s="533"/>
      <c r="H954" s="508"/>
      <c r="I954" s="508"/>
      <c r="J954" s="508"/>
      <c r="K954" s="508"/>
      <c r="L954" s="508"/>
      <c r="M954" s="508"/>
      <c r="N954" s="508"/>
      <c r="O954" s="508"/>
      <c r="P954" s="508"/>
      <c r="Q954" s="508"/>
      <c r="R954" s="508"/>
      <c r="S954" s="508"/>
      <c r="T954" s="508"/>
      <c r="U954" s="508"/>
      <c r="V954" s="508"/>
      <c r="W954" s="508"/>
      <c r="X954" s="508"/>
      <c r="Y954" s="508"/>
      <c r="Z954" s="508"/>
    </row>
    <row r="955" ht="13.5" customHeight="1">
      <c r="A955" s="508"/>
      <c r="B955" s="508"/>
      <c r="C955" s="508"/>
      <c r="D955" s="508"/>
      <c r="E955" s="508"/>
      <c r="F955" s="508"/>
      <c r="G955" s="533"/>
      <c r="H955" s="508"/>
      <c r="I955" s="508"/>
      <c r="J955" s="508"/>
      <c r="K955" s="508"/>
      <c r="L955" s="508"/>
      <c r="M955" s="508"/>
      <c r="N955" s="508"/>
      <c r="O955" s="508"/>
      <c r="P955" s="508"/>
      <c r="Q955" s="508"/>
      <c r="R955" s="508"/>
      <c r="S955" s="508"/>
      <c r="T955" s="508"/>
      <c r="U955" s="508"/>
      <c r="V955" s="508"/>
      <c r="W955" s="508"/>
      <c r="X955" s="508"/>
      <c r="Y955" s="508"/>
      <c r="Z955" s="508"/>
    </row>
    <row r="956" ht="13.5" customHeight="1">
      <c r="A956" s="508"/>
      <c r="B956" s="508"/>
      <c r="C956" s="508"/>
      <c r="D956" s="508"/>
      <c r="E956" s="508"/>
      <c r="F956" s="508"/>
      <c r="G956" s="533"/>
      <c r="H956" s="508"/>
      <c r="I956" s="508"/>
      <c r="J956" s="508"/>
      <c r="K956" s="508"/>
      <c r="L956" s="508"/>
      <c r="M956" s="508"/>
      <c r="N956" s="508"/>
      <c r="O956" s="508"/>
      <c r="P956" s="508"/>
      <c r="Q956" s="508"/>
      <c r="R956" s="508"/>
      <c r="S956" s="508"/>
      <c r="T956" s="508"/>
      <c r="U956" s="508"/>
      <c r="V956" s="508"/>
      <c r="W956" s="508"/>
      <c r="X956" s="508"/>
      <c r="Y956" s="508"/>
      <c r="Z956" s="508"/>
    </row>
    <row r="957" ht="13.5" customHeight="1">
      <c r="A957" s="508"/>
      <c r="B957" s="508"/>
      <c r="C957" s="508"/>
      <c r="D957" s="508"/>
      <c r="E957" s="508"/>
      <c r="F957" s="508"/>
      <c r="G957" s="533"/>
      <c r="H957" s="508"/>
      <c r="I957" s="508"/>
      <c r="J957" s="508"/>
      <c r="K957" s="508"/>
      <c r="L957" s="508"/>
      <c r="M957" s="508"/>
      <c r="N957" s="508"/>
      <c r="O957" s="508"/>
      <c r="P957" s="508"/>
      <c r="Q957" s="508"/>
      <c r="R957" s="508"/>
      <c r="S957" s="508"/>
      <c r="T957" s="508"/>
      <c r="U957" s="508"/>
      <c r="V957" s="508"/>
      <c r="W957" s="508"/>
      <c r="X957" s="508"/>
      <c r="Y957" s="508"/>
      <c r="Z957" s="508"/>
    </row>
    <row r="958" ht="13.5" customHeight="1">
      <c r="A958" s="508"/>
      <c r="B958" s="508"/>
      <c r="C958" s="508"/>
      <c r="D958" s="508"/>
      <c r="E958" s="508"/>
      <c r="F958" s="508"/>
      <c r="G958" s="533"/>
      <c r="H958" s="508"/>
      <c r="I958" s="508"/>
      <c r="J958" s="508"/>
      <c r="K958" s="508"/>
      <c r="L958" s="508"/>
      <c r="M958" s="508"/>
      <c r="N958" s="508"/>
      <c r="O958" s="508"/>
      <c r="P958" s="508"/>
      <c r="Q958" s="508"/>
      <c r="R958" s="508"/>
      <c r="S958" s="508"/>
      <c r="T958" s="508"/>
      <c r="U958" s="508"/>
      <c r="V958" s="508"/>
      <c r="W958" s="508"/>
      <c r="X958" s="508"/>
      <c r="Y958" s="508"/>
      <c r="Z958" s="508"/>
    </row>
    <row r="959" ht="13.5" customHeight="1">
      <c r="A959" s="508"/>
      <c r="B959" s="508"/>
      <c r="C959" s="508"/>
      <c r="D959" s="508"/>
      <c r="E959" s="508"/>
      <c r="F959" s="508"/>
      <c r="G959" s="533"/>
      <c r="H959" s="508"/>
      <c r="I959" s="508"/>
      <c r="J959" s="508"/>
      <c r="K959" s="508"/>
      <c r="L959" s="508"/>
      <c r="M959" s="508"/>
      <c r="N959" s="508"/>
      <c r="O959" s="508"/>
      <c r="P959" s="508"/>
      <c r="Q959" s="508"/>
      <c r="R959" s="508"/>
      <c r="S959" s="508"/>
      <c r="T959" s="508"/>
      <c r="U959" s="508"/>
      <c r="V959" s="508"/>
      <c r="W959" s="508"/>
      <c r="X959" s="508"/>
      <c r="Y959" s="508"/>
      <c r="Z959" s="508"/>
    </row>
    <row r="960" ht="13.5" customHeight="1">
      <c r="A960" s="508"/>
      <c r="B960" s="508"/>
      <c r="C960" s="508"/>
      <c r="D960" s="508"/>
      <c r="E960" s="508"/>
      <c r="F960" s="508"/>
      <c r="G960" s="533"/>
      <c r="H960" s="508"/>
      <c r="I960" s="508"/>
      <c r="J960" s="508"/>
      <c r="K960" s="508"/>
      <c r="L960" s="508"/>
      <c r="M960" s="508"/>
      <c r="N960" s="508"/>
      <c r="O960" s="508"/>
      <c r="P960" s="508"/>
      <c r="Q960" s="508"/>
      <c r="R960" s="508"/>
      <c r="S960" s="508"/>
      <c r="T960" s="508"/>
      <c r="U960" s="508"/>
      <c r="V960" s="508"/>
      <c r="W960" s="508"/>
      <c r="X960" s="508"/>
      <c r="Y960" s="508"/>
      <c r="Z960" s="508"/>
    </row>
    <row r="961" ht="13.5" customHeight="1">
      <c r="A961" s="508"/>
      <c r="B961" s="508"/>
      <c r="C961" s="508"/>
      <c r="D961" s="508"/>
      <c r="E961" s="508"/>
      <c r="F961" s="508"/>
      <c r="G961" s="533"/>
      <c r="H961" s="508"/>
      <c r="I961" s="508"/>
      <c r="J961" s="508"/>
      <c r="K961" s="508"/>
      <c r="L961" s="508"/>
      <c r="M961" s="508"/>
      <c r="N961" s="508"/>
      <c r="O961" s="508"/>
      <c r="P961" s="508"/>
      <c r="Q961" s="508"/>
      <c r="R961" s="508"/>
      <c r="S961" s="508"/>
      <c r="T961" s="508"/>
      <c r="U961" s="508"/>
      <c r="V961" s="508"/>
      <c r="W961" s="508"/>
      <c r="X961" s="508"/>
      <c r="Y961" s="508"/>
      <c r="Z961" s="508"/>
    </row>
    <row r="962" ht="13.5" customHeight="1">
      <c r="A962" s="508"/>
      <c r="B962" s="508"/>
      <c r="C962" s="508"/>
      <c r="D962" s="508"/>
      <c r="E962" s="508"/>
      <c r="F962" s="508"/>
      <c r="G962" s="533"/>
      <c r="H962" s="508"/>
      <c r="I962" s="508"/>
      <c r="J962" s="508"/>
      <c r="K962" s="508"/>
      <c r="L962" s="508"/>
      <c r="M962" s="508"/>
      <c r="N962" s="508"/>
      <c r="O962" s="508"/>
      <c r="P962" s="508"/>
      <c r="Q962" s="508"/>
      <c r="R962" s="508"/>
      <c r="S962" s="508"/>
      <c r="T962" s="508"/>
      <c r="U962" s="508"/>
      <c r="V962" s="508"/>
      <c r="W962" s="508"/>
      <c r="X962" s="508"/>
      <c r="Y962" s="508"/>
      <c r="Z962" s="508"/>
    </row>
    <row r="963" ht="13.5" customHeight="1">
      <c r="A963" s="508"/>
      <c r="B963" s="508"/>
      <c r="C963" s="508"/>
      <c r="D963" s="508"/>
      <c r="E963" s="508"/>
      <c r="F963" s="508"/>
      <c r="G963" s="533"/>
      <c r="H963" s="508"/>
      <c r="I963" s="508"/>
      <c r="J963" s="508"/>
      <c r="K963" s="508"/>
      <c r="L963" s="508"/>
      <c r="M963" s="508"/>
      <c r="N963" s="508"/>
      <c r="O963" s="508"/>
      <c r="P963" s="508"/>
      <c r="Q963" s="508"/>
      <c r="R963" s="508"/>
      <c r="S963" s="508"/>
      <c r="T963" s="508"/>
      <c r="U963" s="508"/>
      <c r="V963" s="508"/>
      <c r="W963" s="508"/>
      <c r="X963" s="508"/>
      <c r="Y963" s="508"/>
      <c r="Z963" s="508"/>
    </row>
    <row r="964" ht="13.5" customHeight="1">
      <c r="A964" s="508"/>
      <c r="B964" s="508"/>
      <c r="C964" s="508"/>
      <c r="D964" s="508"/>
      <c r="E964" s="508"/>
      <c r="F964" s="508"/>
      <c r="G964" s="533"/>
      <c r="H964" s="508"/>
      <c r="I964" s="508"/>
      <c r="J964" s="508"/>
      <c r="K964" s="508"/>
      <c r="L964" s="508"/>
      <c r="M964" s="508"/>
      <c r="N964" s="508"/>
      <c r="O964" s="508"/>
      <c r="P964" s="508"/>
      <c r="Q964" s="508"/>
      <c r="R964" s="508"/>
      <c r="S964" s="508"/>
      <c r="T964" s="508"/>
      <c r="U964" s="508"/>
      <c r="V964" s="508"/>
      <c r="W964" s="508"/>
      <c r="X964" s="508"/>
      <c r="Y964" s="508"/>
      <c r="Z964" s="508"/>
    </row>
    <row r="965" ht="13.5" customHeight="1">
      <c r="A965" s="508"/>
      <c r="B965" s="508"/>
      <c r="C965" s="508"/>
      <c r="D965" s="508"/>
      <c r="E965" s="508"/>
      <c r="F965" s="508"/>
      <c r="G965" s="533"/>
      <c r="H965" s="508"/>
      <c r="I965" s="508"/>
      <c r="J965" s="508"/>
      <c r="K965" s="508"/>
      <c r="L965" s="508"/>
      <c r="M965" s="508"/>
      <c r="N965" s="508"/>
      <c r="O965" s="508"/>
      <c r="P965" s="508"/>
      <c r="Q965" s="508"/>
      <c r="R965" s="508"/>
      <c r="S965" s="508"/>
      <c r="T965" s="508"/>
      <c r="U965" s="508"/>
      <c r="V965" s="508"/>
      <c r="W965" s="508"/>
      <c r="X965" s="508"/>
      <c r="Y965" s="508"/>
      <c r="Z965" s="508"/>
    </row>
    <row r="966" ht="13.5" customHeight="1">
      <c r="A966" s="508"/>
      <c r="B966" s="508"/>
      <c r="C966" s="508"/>
      <c r="D966" s="508"/>
      <c r="E966" s="508"/>
      <c r="F966" s="508"/>
      <c r="G966" s="533"/>
      <c r="H966" s="508"/>
      <c r="I966" s="508"/>
      <c r="J966" s="508"/>
      <c r="K966" s="508"/>
      <c r="L966" s="508"/>
      <c r="M966" s="508"/>
      <c r="N966" s="508"/>
      <c r="O966" s="508"/>
      <c r="P966" s="508"/>
      <c r="Q966" s="508"/>
      <c r="R966" s="508"/>
      <c r="S966" s="508"/>
      <c r="T966" s="508"/>
      <c r="U966" s="508"/>
      <c r="V966" s="508"/>
      <c r="W966" s="508"/>
      <c r="X966" s="508"/>
      <c r="Y966" s="508"/>
      <c r="Z966" s="508"/>
    </row>
    <row r="967" ht="13.5" customHeight="1">
      <c r="A967" s="508"/>
      <c r="B967" s="508"/>
      <c r="C967" s="508"/>
      <c r="D967" s="508"/>
      <c r="E967" s="508"/>
      <c r="F967" s="508"/>
      <c r="G967" s="533"/>
      <c r="H967" s="508"/>
      <c r="I967" s="508"/>
      <c r="J967" s="508"/>
      <c r="K967" s="508"/>
      <c r="L967" s="508"/>
      <c r="M967" s="508"/>
      <c r="N967" s="508"/>
      <c r="O967" s="508"/>
      <c r="P967" s="508"/>
      <c r="Q967" s="508"/>
      <c r="R967" s="508"/>
      <c r="S967" s="508"/>
      <c r="T967" s="508"/>
      <c r="U967" s="508"/>
      <c r="V967" s="508"/>
      <c r="W967" s="508"/>
      <c r="X967" s="508"/>
      <c r="Y967" s="508"/>
      <c r="Z967" s="508"/>
    </row>
    <row r="968" ht="13.5" customHeight="1">
      <c r="A968" s="508"/>
      <c r="B968" s="508"/>
      <c r="C968" s="508"/>
      <c r="D968" s="508"/>
      <c r="E968" s="508"/>
      <c r="F968" s="508"/>
      <c r="G968" s="533"/>
      <c r="H968" s="508"/>
      <c r="I968" s="508"/>
      <c r="J968" s="508"/>
      <c r="K968" s="508"/>
      <c r="L968" s="508"/>
      <c r="M968" s="508"/>
      <c r="N968" s="508"/>
      <c r="O968" s="508"/>
      <c r="P968" s="508"/>
      <c r="Q968" s="508"/>
      <c r="R968" s="508"/>
      <c r="S968" s="508"/>
      <c r="T968" s="508"/>
      <c r="U968" s="508"/>
      <c r="V968" s="508"/>
      <c r="W968" s="508"/>
      <c r="X968" s="508"/>
      <c r="Y968" s="508"/>
      <c r="Z968" s="508"/>
    </row>
    <row r="969" ht="13.5" customHeight="1">
      <c r="A969" s="508"/>
      <c r="B969" s="508"/>
      <c r="C969" s="508"/>
      <c r="D969" s="508"/>
      <c r="E969" s="508"/>
      <c r="F969" s="508"/>
      <c r="G969" s="533"/>
      <c r="H969" s="508"/>
      <c r="I969" s="508"/>
      <c r="J969" s="508"/>
      <c r="K969" s="508"/>
      <c r="L969" s="508"/>
      <c r="M969" s="508"/>
      <c r="N969" s="508"/>
      <c r="O969" s="508"/>
      <c r="P969" s="508"/>
      <c r="Q969" s="508"/>
      <c r="R969" s="508"/>
      <c r="S969" s="508"/>
      <c r="T969" s="508"/>
      <c r="U969" s="508"/>
      <c r="V969" s="508"/>
      <c r="W969" s="508"/>
      <c r="X969" s="508"/>
      <c r="Y969" s="508"/>
      <c r="Z969" s="508"/>
    </row>
    <row r="970" ht="13.5" customHeight="1">
      <c r="A970" s="508"/>
      <c r="B970" s="508"/>
      <c r="C970" s="508"/>
      <c r="D970" s="508"/>
      <c r="E970" s="508"/>
      <c r="F970" s="508"/>
      <c r="G970" s="533"/>
      <c r="H970" s="508"/>
      <c r="I970" s="508"/>
      <c r="J970" s="508"/>
      <c r="K970" s="508"/>
      <c r="L970" s="508"/>
      <c r="M970" s="508"/>
      <c r="N970" s="508"/>
      <c r="O970" s="508"/>
      <c r="P970" s="508"/>
      <c r="Q970" s="508"/>
      <c r="R970" s="508"/>
      <c r="S970" s="508"/>
      <c r="T970" s="508"/>
      <c r="U970" s="508"/>
      <c r="V970" s="508"/>
      <c r="W970" s="508"/>
      <c r="X970" s="508"/>
      <c r="Y970" s="508"/>
      <c r="Z970" s="508"/>
    </row>
    <row r="971" ht="13.5" customHeight="1">
      <c r="A971" s="508"/>
      <c r="B971" s="508"/>
      <c r="C971" s="508"/>
      <c r="D971" s="508"/>
      <c r="E971" s="508"/>
      <c r="F971" s="508"/>
      <c r="G971" s="533"/>
      <c r="H971" s="508"/>
      <c r="I971" s="508"/>
      <c r="J971" s="508"/>
      <c r="K971" s="508"/>
      <c r="L971" s="508"/>
      <c r="M971" s="508"/>
      <c r="N971" s="508"/>
      <c r="O971" s="508"/>
      <c r="P971" s="508"/>
      <c r="Q971" s="508"/>
      <c r="R971" s="508"/>
      <c r="S971" s="508"/>
      <c r="T971" s="508"/>
      <c r="U971" s="508"/>
      <c r="V971" s="508"/>
      <c r="W971" s="508"/>
      <c r="X971" s="508"/>
      <c r="Y971" s="508"/>
      <c r="Z971" s="508"/>
    </row>
    <row r="972" ht="13.5" customHeight="1">
      <c r="A972" s="508"/>
      <c r="B972" s="508"/>
      <c r="C972" s="508"/>
      <c r="D972" s="508"/>
      <c r="E972" s="508"/>
      <c r="F972" s="508"/>
      <c r="G972" s="533"/>
      <c r="H972" s="508"/>
      <c r="I972" s="508"/>
      <c r="J972" s="508"/>
      <c r="K972" s="508"/>
      <c r="L972" s="508"/>
      <c r="M972" s="508"/>
      <c r="N972" s="508"/>
      <c r="O972" s="508"/>
      <c r="P972" s="508"/>
      <c r="Q972" s="508"/>
      <c r="R972" s="508"/>
      <c r="S972" s="508"/>
      <c r="T972" s="508"/>
      <c r="U972" s="508"/>
      <c r="V972" s="508"/>
      <c r="W972" s="508"/>
      <c r="X972" s="508"/>
      <c r="Y972" s="508"/>
      <c r="Z972" s="508"/>
    </row>
    <row r="973" ht="13.5" customHeight="1">
      <c r="A973" s="508"/>
      <c r="B973" s="508"/>
      <c r="C973" s="508"/>
      <c r="D973" s="508"/>
      <c r="E973" s="508"/>
      <c r="F973" s="508"/>
      <c r="G973" s="533"/>
      <c r="H973" s="508"/>
      <c r="I973" s="508"/>
      <c r="J973" s="508"/>
      <c r="K973" s="508"/>
      <c r="L973" s="508"/>
      <c r="M973" s="508"/>
      <c r="N973" s="508"/>
      <c r="O973" s="508"/>
      <c r="P973" s="508"/>
      <c r="Q973" s="508"/>
      <c r="R973" s="508"/>
      <c r="S973" s="508"/>
      <c r="T973" s="508"/>
      <c r="U973" s="508"/>
      <c r="V973" s="508"/>
      <c r="W973" s="508"/>
      <c r="X973" s="508"/>
      <c r="Y973" s="508"/>
      <c r="Z973" s="508"/>
    </row>
    <row r="974" ht="13.5" customHeight="1">
      <c r="A974" s="508"/>
      <c r="B974" s="508"/>
      <c r="C974" s="508"/>
      <c r="D974" s="508"/>
      <c r="E974" s="508"/>
      <c r="F974" s="508"/>
      <c r="G974" s="533"/>
      <c r="H974" s="508"/>
      <c r="I974" s="508"/>
      <c r="J974" s="508"/>
      <c r="K974" s="508"/>
      <c r="L974" s="508"/>
      <c r="M974" s="508"/>
      <c r="N974" s="508"/>
      <c r="O974" s="508"/>
      <c r="P974" s="508"/>
      <c r="Q974" s="508"/>
      <c r="R974" s="508"/>
      <c r="S974" s="508"/>
      <c r="T974" s="508"/>
      <c r="U974" s="508"/>
      <c r="V974" s="508"/>
      <c r="W974" s="508"/>
      <c r="X974" s="508"/>
      <c r="Y974" s="508"/>
      <c r="Z974" s="508"/>
    </row>
    <row r="975" ht="13.5" customHeight="1">
      <c r="A975" s="508"/>
      <c r="B975" s="508"/>
      <c r="C975" s="508"/>
      <c r="D975" s="508"/>
      <c r="E975" s="508"/>
      <c r="F975" s="508"/>
      <c r="G975" s="533"/>
      <c r="H975" s="508"/>
      <c r="I975" s="508"/>
      <c r="J975" s="508"/>
      <c r="K975" s="508"/>
      <c r="L975" s="508"/>
      <c r="M975" s="508"/>
      <c r="N975" s="508"/>
      <c r="O975" s="508"/>
      <c r="P975" s="508"/>
      <c r="Q975" s="508"/>
      <c r="R975" s="508"/>
      <c r="S975" s="508"/>
      <c r="T975" s="508"/>
      <c r="U975" s="508"/>
      <c r="V975" s="508"/>
      <c r="W975" s="508"/>
      <c r="X975" s="508"/>
      <c r="Y975" s="508"/>
      <c r="Z975" s="508"/>
    </row>
    <row r="976" ht="13.5" customHeight="1">
      <c r="A976" s="508"/>
      <c r="B976" s="508"/>
      <c r="C976" s="508"/>
      <c r="D976" s="508"/>
      <c r="E976" s="508"/>
      <c r="F976" s="508"/>
      <c r="G976" s="533"/>
      <c r="H976" s="508"/>
      <c r="I976" s="508"/>
      <c r="J976" s="508"/>
      <c r="K976" s="508"/>
      <c r="L976" s="508"/>
      <c r="M976" s="508"/>
      <c r="N976" s="508"/>
      <c r="O976" s="508"/>
      <c r="P976" s="508"/>
      <c r="Q976" s="508"/>
      <c r="R976" s="508"/>
      <c r="S976" s="508"/>
      <c r="T976" s="508"/>
      <c r="U976" s="508"/>
      <c r="V976" s="508"/>
      <c r="W976" s="508"/>
      <c r="X976" s="508"/>
      <c r="Y976" s="508"/>
      <c r="Z976" s="508"/>
    </row>
    <row r="977" ht="13.5" customHeight="1">
      <c r="A977" s="508"/>
      <c r="B977" s="508"/>
      <c r="C977" s="508"/>
      <c r="D977" s="508"/>
      <c r="E977" s="508"/>
      <c r="F977" s="508"/>
      <c r="G977" s="533"/>
      <c r="H977" s="508"/>
      <c r="I977" s="508"/>
      <c r="J977" s="508"/>
      <c r="K977" s="508"/>
      <c r="L977" s="508"/>
      <c r="M977" s="508"/>
      <c r="N977" s="508"/>
      <c r="O977" s="508"/>
      <c r="P977" s="508"/>
      <c r="Q977" s="508"/>
      <c r="R977" s="508"/>
      <c r="S977" s="508"/>
      <c r="T977" s="508"/>
      <c r="U977" s="508"/>
      <c r="V977" s="508"/>
      <c r="W977" s="508"/>
      <c r="X977" s="508"/>
      <c r="Y977" s="508"/>
      <c r="Z977" s="508"/>
    </row>
    <row r="978" ht="13.5" customHeight="1">
      <c r="A978" s="508"/>
      <c r="B978" s="508"/>
      <c r="C978" s="508"/>
      <c r="D978" s="508"/>
      <c r="E978" s="508"/>
      <c r="F978" s="508"/>
      <c r="G978" s="533"/>
      <c r="H978" s="508"/>
      <c r="I978" s="508"/>
      <c r="J978" s="508"/>
      <c r="K978" s="508"/>
      <c r="L978" s="508"/>
      <c r="M978" s="508"/>
      <c r="N978" s="508"/>
      <c r="O978" s="508"/>
      <c r="P978" s="508"/>
      <c r="Q978" s="508"/>
      <c r="R978" s="508"/>
      <c r="S978" s="508"/>
      <c r="T978" s="508"/>
      <c r="U978" s="508"/>
      <c r="V978" s="508"/>
      <c r="W978" s="508"/>
      <c r="X978" s="508"/>
      <c r="Y978" s="508"/>
      <c r="Z978" s="508"/>
    </row>
    <row r="979" ht="13.5" customHeight="1">
      <c r="A979" s="508"/>
      <c r="B979" s="508"/>
      <c r="C979" s="508"/>
      <c r="D979" s="508"/>
      <c r="E979" s="508"/>
      <c r="F979" s="508"/>
      <c r="G979" s="533"/>
      <c r="H979" s="508"/>
      <c r="I979" s="508"/>
      <c r="J979" s="508"/>
      <c r="K979" s="508"/>
      <c r="L979" s="508"/>
      <c r="M979" s="508"/>
      <c r="N979" s="508"/>
      <c r="O979" s="508"/>
      <c r="P979" s="508"/>
      <c r="Q979" s="508"/>
      <c r="R979" s="508"/>
      <c r="S979" s="508"/>
      <c r="T979" s="508"/>
      <c r="U979" s="508"/>
      <c r="V979" s="508"/>
      <c r="W979" s="508"/>
      <c r="X979" s="508"/>
      <c r="Y979" s="508"/>
      <c r="Z979" s="508"/>
    </row>
    <row r="980" ht="13.5" customHeight="1">
      <c r="A980" s="508"/>
      <c r="B980" s="508"/>
      <c r="C980" s="508"/>
      <c r="D980" s="508"/>
      <c r="E980" s="508"/>
      <c r="F980" s="508"/>
      <c r="G980" s="533"/>
      <c r="H980" s="508"/>
      <c r="I980" s="508"/>
      <c r="J980" s="508"/>
      <c r="K980" s="508"/>
      <c r="L980" s="508"/>
      <c r="M980" s="508"/>
      <c r="N980" s="508"/>
      <c r="O980" s="508"/>
      <c r="P980" s="508"/>
      <c r="Q980" s="508"/>
      <c r="R980" s="508"/>
      <c r="S980" s="508"/>
      <c r="T980" s="508"/>
      <c r="U980" s="508"/>
      <c r="V980" s="508"/>
      <c r="W980" s="508"/>
      <c r="X980" s="508"/>
      <c r="Y980" s="508"/>
      <c r="Z980" s="508"/>
    </row>
    <row r="981" ht="13.5" customHeight="1">
      <c r="A981" s="508"/>
      <c r="B981" s="508"/>
      <c r="C981" s="508"/>
      <c r="D981" s="508"/>
      <c r="E981" s="508"/>
      <c r="F981" s="508"/>
      <c r="G981" s="533"/>
      <c r="H981" s="508"/>
      <c r="I981" s="508"/>
      <c r="J981" s="508"/>
      <c r="K981" s="508"/>
      <c r="L981" s="508"/>
      <c r="M981" s="508"/>
      <c r="N981" s="508"/>
      <c r="O981" s="508"/>
      <c r="P981" s="508"/>
      <c r="Q981" s="508"/>
      <c r="R981" s="508"/>
      <c r="S981" s="508"/>
      <c r="T981" s="508"/>
      <c r="U981" s="508"/>
      <c r="V981" s="508"/>
      <c r="W981" s="508"/>
      <c r="X981" s="508"/>
      <c r="Y981" s="508"/>
      <c r="Z981" s="508"/>
    </row>
    <row r="982" ht="13.5" customHeight="1">
      <c r="A982" s="508"/>
      <c r="B982" s="508"/>
      <c r="C982" s="508"/>
      <c r="D982" s="508"/>
      <c r="E982" s="508"/>
      <c r="F982" s="508"/>
      <c r="G982" s="533"/>
      <c r="H982" s="508"/>
      <c r="I982" s="508"/>
      <c r="J982" s="508"/>
      <c r="K982" s="508"/>
      <c r="L982" s="508"/>
      <c r="M982" s="508"/>
      <c r="N982" s="508"/>
      <c r="O982" s="508"/>
      <c r="P982" s="508"/>
      <c r="Q982" s="508"/>
      <c r="R982" s="508"/>
      <c r="S982" s="508"/>
      <c r="T982" s="508"/>
      <c r="U982" s="508"/>
      <c r="V982" s="508"/>
      <c r="W982" s="508"/>
      <c r="X982" s="508"/>
      <c r="Y982" s="508"/>
      <c r="Z982" s="508"/>
    </row>
    <row r="983" ht="13.5" customHeight="1">
      <c r="A983" s="508"/>
      <c r="B983" s="508"/>
      <c r="C983" s="508"/>
      <c r="D983" s="508"/>
      <c r="E983" s="508"/>
      <c r="F983" s="508"/>
      <c r="G983" s="533"/>
      <c r="H983" s="508"/>
      <c r="I983" s="508"/>
      <c r="J983" s="508"/>
      <c r="K983" s="508"/>
      <c r="L983" s="508"/>
      <c r="M983" s="508"/>
      <c r="N983" s="508"/>
      <c r="O983" s="508"/>
      <c r="P983" s="508"/>
      <c r="Q983" s="508"/>
      <c r="R983" s="508"/>
      <c r="S983" s="508"/>
      <c r="T983" s="508"/>
      <c r="U983" s="508"/>
      <c r="V983" s="508"/>
      <c r="W983" s="508"/>
      <c r="X983" s="508"/>
      <c r="Y983" s="508"/>
      <c r="Z983" s="508"/>
    </row>
    <row r="984" ht="13.5" customHeight="1">
      <c r="A984" s="508"/>
      <c r="B984" s="508"/>
      <c r="C984" s="508"/>
      <c r="D984" s="508"/>
      <c r="E984" s="508"/>
      <c r="F984" s="508"/>
      <c r="G984" s="533"/>
      <c r="H984" s="508"/>
      <c r="I984" s="508"/>
      <c r="J984" s="508"/>
      <c r="K984" s="508"/>
      <c r="L984" s="508"/>
      <c r="M984" s="508"/>
      <c r="N984" s="508"/>
      <c r="O984" s="508"/>
      <c r="P984" s="508"/>
      <c r="Q984" s="508"/>
      <c r="R984" s="508"/>
      <c r="S984" s="508"/>
      <c r="T984" s="508"/>
      <c r="U984" s="508"/>
      <c r="V984" s="508"/>
      <c r="W984" s="508"/>
      <c r="X984" s="508"/>
      <c r="Y984" s="508"/>
      <c r="Z984" s="508"/>
    </row>
    <row r="985" ht="13.5" customHeight="1">
      <c r="A985" s="508"/>
      <c r="B985" s="508"/>
      <c r="C985" s="508"/>
      <c r="D985" s="508"/>
      <c r="E985" s="508"/>
      <c r="F985" s="508"/>
      <c r="G985" s="533"/>
      <c r="H985" s="508"/>
      <c r="I985" s="508"/>
      <c r="J985" s="508"/>
      <c r="K985" s="508"/>
      <c r="L985" s="508"/>
      <c r="M985" s="508"/>
      <c r="N985" s="508"/>
      <c r="O985" s="508"/>
      <c r="P985" s="508"/>
      <c r="Q985" s="508"/>
      <c r="R985" s="508"/>
      <c r="S985" s="508"/>
      <c r="T985" s="508"/>
      <c r="U985" s="508"/>
      <c r="V985" s="508"/>
      <c r="W985" s="508"/>
      <c r="X985" s="508"/>
      <c r="Y985" s="508"/>
      <c r="Z985" s="508"/>
    </row>
    <row r="986" ht="13.5" customHeight="1">
      <c r="A986" s="508"/>
      <c r="B986" s="508"/>
      <c r="C986" s="508"/>
      <c r="D986" s="508"/>
      <c r="E986" s="508"/>
      <c r="F986" s="508"/>
      <c r="G986" s="533"/>
      <c r="H986" s="508"/>
      <c r="I986" s="508"/>
      <c r="J986" s="508"/>
      <c r="K986" s="508"/>
      <c r="L986" s="508"/>
      <c r="M986" s="508"/>
      <c r="N986" s="508"/>
      <c r="O986" s="508"/>
      <c r="P986" s="508"/>
      <c r="Q986" s="508"/>
      <c r="R986" s="508"/>
      <c r="S986" s="508"/>
      <c r="T986" s="508"/>
      <c r="U986" s="508"/>
      <c r="V986" s="508"/>
      <c r="W986" s="508"/>
      <c r="X986" s="508"/>
      <c r="Y986" s="508"/>
      <c r="Z986" s="508"/>
    </row>
    <row r="987" ht="13.5" customHeight="1">
      <c r="A987" s="508"/>
      <c r="B987" s="508"/>
      <c r="C987" s="508"/>
      <c r="D987" s="508"/>
      <c r="E987" s="508"/>
      <c r="F987" s="508"/>
      <c r="G987" s="533"/>
      <c r="H987" s="508"/>
      <c r="I987" s="508"/>
      <c r="J987" s="508"/>
      <c r="K987" s="508"/>
      <c r="L987" s="508"/>
      <c r="M987" s="508"/>
      <c r="N987" s="508"/>
      <c r="O987" s="508"/>
      <c r="P987" s="508"/>
      <c r="Q987" s="508"/>
      <c r="R987" s="508"/>
      <c r="S987" s="508"/>
      <c r="T987" s="508"/>
      <c r="U987" s="508"/>
      <c r="V987" s="508"/>
      <c r="W987" s="508"/>
      <c r="X987" s="508"/>
      <c r="Y987" s="508"/>
      <c r="Z987" s="508"/>
    </row>
    <row r="988" ht="13.5" customHeight="1">
      <c r="A988" s="508"/>
      <c r="B988" s="508"/>
      <c r="C988" s="508"/>
      <c r="D988" s="508"/>
      <c r="E988" s="508"/>
      <c r="F988" s="508"/>
      <c r="G988" s="533"/>
      <c r="H988" s="508"/>
      <c r="I988" s="508"/>
      <c r="J988" s="508"/>
      <c r="K988" s="508"/>
      <c r="L988" s="508"/>
      <c r="M988" s="508"/>
      <c r="N988" s="508"/>
      <c r="O988" s="508"/>
      <c r="P988" s="508"/>
      <c r="Q988" s="508"/>
      <c r="R988" s="508"/>
      <c r="S988" s="508"/>
      <c r="T988" s="508"/>
      <c r="U988" s="508"/>
      <c r="V988" s="508"/>
      <c r="W988" s="508"/>
      <c r="X988" s="508"/>
      <c r="Y988" s="508"/>
      <c r="Z988" s="508"/>
    </row>
    <row r="989" ht="13.5" customHeight="1">
      <c r="A989" s="508"/>
      <c r="B989" s="508"/>
      <c r="C989" s="508"/>
      <c r="D989" s="508"/>
      <c r="E989" s="508"/>
      <c r="F989" s="508"/>
      <c r="G989" s="533"/>
      <c r="H989" s="508"/>
      <c r="I989" s="508"/>
      <c r="J989" s="508"/>
      <c r="K989" s="508"/>
      <c r="L989" s="508"/>
      <c r="M989" s="508"/>
      <c r="N989" s="508"/>
      <c r="O989" s="508"/>
      <c r="P989" s="508"/>
      <c r="Q989" s="508"/>
      <c r="R989" s="508"/>
      <c r="S989" s="508"/>
      <c r="T989" s="508"/>
      <c r="U989" s="508"/>
      <c r="V989" s="508"/>
      <c r="W989" s="508"/>
      <c r="X989" s="508"/>
      <c r="Y989" s="508"/>
      <c r="Z989" s="508"/>
    </row>
    <row r="990" ht="13.5" customHeight="1">
      <c r="A990" s="508"/>
      <c r="B990" s="508"/>
      <c r="C990" s="508"/>
      <c r="D990" s="508"/>
      <c r="E990" s="508"/>
      <c r="F990" s="508"/>
      <c r="G990" s="533"/>
      <c r="H990" s="508"/>
      <c r="I990" s="508"/>
      <c r="J990" s="508"/>
      <c r="K990" s="508"/>
      <c r="L990" s="508"/>
      <c r="M990" s="508"/>
      <c r="N990" s="508"/>
      <c r="O990" s="508"/>
      <c r="P990" s="508"/>
      <c r="Q990" s="508"/>
      <c r="R990" s="508"/>
      <c r="S990" s="508"/>
      <c r="T990" s="508"/>
      <c r="U990" s="508"/>
      <c r="V990" s="508"/>
      <c r="W990" s="508"/>
      <c r="X990" s="508"/>
      <c r="Y990" s="508"/>
      <c r="Z990" s="508"/>
    </row>
    <row r="991" ht="13.5" customHeight="1">
      <c r="A991" s="508"/>
      <c r="B991" s="508"/>
      <c r="C991" s="508"/>
      <c r="D991" s="508"/>
      <c r="E991" s="508"/>
      <c r="F991" s="508"/>
      <c r="G991" s="533"/>
      <c r="H991" s="508"/>
      <c r="I991" s="508"/>
      <c r="J991" s="508"/>
      <c r="K991" s="508"/>
      <c r="L991" s="508"/>
      <c r="M991" s="508"/>
      <c r="N991" s="508"/>
      <c r="O991" s="508"/>
      <c r="P991" s="508"/>
      <c r="Q991" s="508"/>
      <c r="R991" s="508"/>
      <c r="S991" s="508"/>
      <c r="T991" s="508"/>
      <c r="U991" s="508"/>
      <c r="V991" s="508"/>
      <c r="W991" s="508"/>
      <c r="X991" s="508"/>
      <c r="Y991" s="508"/>
      <c r="Z991" s="508"/>
    </row>
    <row r="992" ht="13.5" customHeight="1">
      <c r="A992" s="508"/>
      <c r="B992" s="508"/>
      <c r="C992" s="508"/>
      <c r="D992" s="508"/>
      <c r="E992" s="508"/>
      <c r="F992" s="508"/>
      <c r="G992" s="533"/>
      <c r="H992" s="508"/>
      <c r="I992" s="508"/>
      <c r="J992" s="508"/>
      <c r="K992" s="508"/>
      <c r="L992" s="508"/>
      <c r="M992" s="508"/>
      <c r="N992" s="508"/>
      <c r="O992" s="508"/>
      <c r="P992" s="508"/>
      <c r="Q992" s="508"/>
      <c r="R992" s="508"/>
      <c r="S992" s="508"/>
      <c r="T992" s="508"/>
      <c r="U992" s="508"/>
      <c r="V992" s="508"/>
      <c r="W992" s="508"/>
      <c r="X992" s="508"/>
      <c r="Y992" s="508"/>
      <c r="Z992" s="508"/>
    </row>
    <row r="993" ht="13.5" customHeight="1">
      <c r="A993" s="508"/>
      <c r="B993" s="508"/>
      <c r="C993" s="508"/>
      <c r="D993" s="508"/>
      <c r="E993" s="508"/>
      <c r="F993" s="508"/>
      <c r="G993" s="533"/>
      <c r="H993" s="508"/>
      <c r="I993" s="508"/>
      <c r="J993" s="508"/>
      <c r="K993" s="508"/>
      <c r="L993" s="508"/>
      <c r="M993" s="508"/>
      <c r="N993" s="508"/>
      <c r="O993" s="508"/>
      <c r="P993" s="508"/>
      <c r="Q993" s="508"/>
      <c r="R993" s="508"/>
      <c r="S993" s="508"/>
      <c r="T993" s="508"/>
      <c r="U993" s="508"/>
      <c r="V993" s="508"/>
      <c r="W993" s="508"/>
      <c r="X993" s="508"/>
      <c r="Y993" s="508"/>
      <c r="Z993" s="508"/>
    </row>
    <row r="994" ht="13.5" customHeight="1">
      <c r="A994" s="508"/>
      <c r="B994" s="508"/>
      <c r="C994" s="508"/>
      <c r="D994" s="508"/>
      <c r="E994" s="508"/>
      <c r="F994" s="508"/>
      <c r="G994" s="533"/>
      <c r="H994" s="508"/>
      <c r="I994" s="508"/>
      <c r="J994" s="508"/>
      <c r="K994" s="508"/>
      <c r="L994" s="508"/>
      <c r="M994" s="508"/>
      <c r="N994" s="508"/>
      <c r="O994" s="508"/>
      <c r="P994" s="508"/>
      <c r="Q994" s="508"/>
      <c r="R994" s="508"/>
      <c r="S994" s="508"/>
      <c r="T994" s="508"/>
      <c r="U994" s="508"/>
      <c r="V994" s="508"/>
      <c r="W994" s="508"/>
      <c r="X994" s="508"/>
      <c r="Y994" s="508"/>
      <c r="Z994" s="508"/>
    </row>
    <row r="995" ht="13.5" customHeight="1">
      <c r="A995" s="508"/>
      <c r="B995" s="508"/>
      <c r="C995" s="508"/>
      <c r="D995" s="508"/>
      <c r="E995" s="508"/>
      <c r="F995" s="508"/>
      <c r="G995" s="533"/>
      <c r="H995" s="508"/>
      <c r="I995" s="508"/>
      <c r="J995" s="508"/>
      <c r="K995" s="508"/>
      <c r="L995" s="508"/>
      <c r="M995" s="508"/>
      <c r="N995" s="508"/>
      <c r="O995" s="508"/>
      <c r="P995" s="508"/>
      <c r="Q995" s="508"/>
      <c r="R995" s="508"/>
      <c r="S995" s="508"/>
      <c r="T995" s="508"/>
      <c r="U995" s="508"/>
      <c r="V995" s="508"/>
      <c r="W995" s="508"/>
      <c r="X995" s="508"/>
      <c r="Y995" s="508"/>
      <c r="Z995" s="508"/>
    </row>
    <row r="996" ht="13.5" customHeight="1">
      <c r="A996" s="508"/>
      <c r="B996" s="508"/>
      <c r="C996" s="508"/>
      <c r="D996" s="508"/>
      <c r="E996" s="508"/>
      <c r="F996" s="508"/>
      <c r="G996" s="533"/>
      <c r="H996" s="508"/>
      <c r="I996" s="508"/>
      <c r="J996" s="508"/>
      <c r="K996" s="508"/>
      <c r="L996" s="508"/>
      <c r="M996" s="508"/>
      <c r="N996" s="508"/>
      <c r="O996" s="508"/>
      <c r="P996" s="508"/>
      <c r="Q996" s="508"/>
      <c r="R996" s="508"/>
      <c r="S996" s="508"/>
      <c r="T996" s="508"/>
      <c r="U996" s="508"/>
      <c r="V996" s="508"/>
      <c r="W996" s="508"/>
      <c r="X996" s="508"/>
      <c r="Y996" s="508"/>
      <c r="Z996" s="508"/>
    </row>
    <row r="997" ht="13.5" customHeight="1">
      <c r="A997" s="508"/>
      <c r="B997" s="508"/>
      <c r="C997" s="508"/>
      <c r="D997" s="508"/>
      <c r="E997" s="508"/>
      <c r="F997" s="508"/>
      <c r="G997" s="533"/>
      <c r="H997" s="508"/>
      <c r="I997" s="508"/>
      <c r="J997" s="508"/>
      <c r="K997" s="508"/>
      <c r="L997" s="508"/>
      <c r="M997" s="508"/>
      <c r="N997" s="508"/>
      <c r="O997" s="508"/>
      <c r="P997" s="508"/>
      <c r="Q997" s="508"/>
      <c r="R997" s="508"/>
      <c r="S997" s="508"/>
      <c r="T997" s="508"/>
      <c r="U997" s="508"/>
      <c r="V997" s="508"/>
      <c r="W997" s="508"/>
      <c r="X997" s="508"/>
      <c r="Y997" s="508"/>
      <c r="Z997" s="508"/>
    </row>
    <row r="998" ht="13.5" customHeight="1">
      <c r="A998" s="508"/>
      <c r="B998" s="508"/>
      <c r="C998" s="508"/>
      <c r="D998" s="508"/>
      <c r="E998" s="508"/>
      <c r="F998" s="508"/>
      <c r="G998" s="533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8"/>
      <c r="Z998" s="508"/>
    </row>
    <row r="999" ht="13.5" customHeight="1">
      <c r="A999" s="508"/>
      <c r="B999" s="508"/>
      <c r="C999" s="508"/>
      <c r="D999" s="508"/>
      <c r="E999" s="508"/>
      <c r="F999" s="508"/>
      <c r="G999" s="533"/>
      <c r="H999" s="508"/>
      <c r="I999" s="508"/>
      <c r="J999" s="508"/>
      <c r="K999" s="508"/>
      <c r="L999" s="508"/>
      <c r="M999" s="508"/>
      <c r="N999" s="508"/>
      <c r="O999" s="508"/>
      <c r="P999" s="508"/>
      <c r="Q999" s="508"/>
      <c r="R999" s="508"/>
      <c r="S999" s="508"/>
      <c r="T999" s="508"/>
      <c r="U999" s="508"/>
      <c r="V999" s="508"/>
      <c r="W999" s="508"/>
      <c r="X999" s="508"/>
      <c r="Y999" s="508"/>
      <c r="Z999" s="508"/>
    </row>
    <row r="1000" ht="13.5" customHeight="1">
      <c r="A1000" s="508"/>
      <c r="B1000" s="508"/>
      <c r="C1000" s="508"/>
      <c r="D1000" s="508"/>
      <c r="E1000" s="508"/>
      <c r="F1000" s="508"/>
      <c r="G1000" s="533"/>
      <c r="H1000" s="508"/>
      <c r="I1000" s="508"/>
      <c r="J1000" s="508"/>
      <c r="K1000" s="508"/>
      <c r="L1000" s="508"/>
      <c r="M1000" s="508"/>
      <c r="N1000" s="508"/>
      <c r="O1000" s="508"/>
      <c r="P1000" s="508"/>
      <c r="Q1000" s="508"/>
      <c r="R1000" s="508"/>
      <c r="S1000" s="508"/>
      <c r="T1000" s="508"/>
      <c r="U1000" s="508"/>
      <c r="V1000" s="508"/>
      <c r="W1000" s="508"/>
      <c r="X1000" s="508"/>
      <c r="Y1000" s="508"/>
      <c r="Z1000" s="508"/>
    </row>
  </sheetData>
  <mergeCells count="47">
    <mergeCell ref="B3:D3"/>
    <mergeCell ref="B4:G4"/>
    <mergeCell ref="C5:F5"/>
    <mergeCell ref="C6:F6"/>
    <mergeCell ref="B8:D8"/>
    <mergeCell ref="B10:D10"/>
    <mergeCell ref="B12:D12"/>
    <mergeCell ref="B13:D13"/>
    <mergeCell ref="B14:C14"/>
    <mergeCell ref="E14:G14"/>
    <mergeCell ref="B15:D15"/>
    <mergeCell ref="B16:D16"/>
    <mergeCell ref="B17:D17"/>
    <mergeCell ref="C18:D18"/>
    <mergeCell ref="C19:D19"/>
    <mergeCell ref="B20:D20"/>
    <mergeCell ref="B21:D21"/>
    <mergeCell ref="B22:D22"/>
    <mergeCell ref="B23:D23"/>
    <mergeCell ref="C24:D24"/>
    <mergeCell ref="B27:D27"/>
    <mergeCell ref="C28:D28"/>
    <mergeCell ref="B29:D29"/>
    <mergeCell ref="C30:D30"/>
    <mergeCell ref="B32:D33"/>
    <mergeCell ref="B34:D34"/>
    <mergeCell ref="B36:D36"/>
    <mergeCell ref="C37:D37"/>
    <mergeCell ref="C38:D38"/>
    <mergeCell ref="C39:D39"/>
    <mergeCell ref="C40:D40"/>
    <mergeCell ref="C41:D41"/>
    <mergeCell ref="C42:D42"/>
    <mergeCell ref="C43:D43"/>
    <mergeCell ref="B44:D44"/>
    <mergeCell ref="C52:D52"/>
    <mergeCell ref="C53:D53"/>
    <mergeCell ref="E53:F53"/>
    <mergeCell ref="C55:G55"/>
    <mergeCell ref="C56:D56"/>
    <mergeCell ref="B45:D45"/>
    <mergeCell ref="B46:C46"/>
    <mergeCell ref="C47:D47"/>
    <mergeCell ref="C48:D48"/>
    <mergeCell ref="C49:D49"/>
    <mergeCell ref="C50:D50"/>
    <mergeCell ref="E52:F52"/>
  </mergeCells>
  <printOptions/>
  <pageMargins bottom="0.17" footer="0.0" header="0.0" left="0.17" right="0.17" top="0.17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4.0" ySplit="9.0" topLeftCell="E10" activePane="bottomRight" state="frozen"/>
      <selection activeCell="E1" sqref="E1" pane="topRight"/>
      <selection activeCell="A10" sqref="A10" pane="bottomLeft"/>
      <selection activeCell="E10" sqref="E10" pane="bottomRight"/>
    </sheetView>
  </sheetViews>
  <sheetFormatPr customHeight="1" defaultColWidth="14.43" defaultRowHeight="15.0"/>
  <cols>
    <col customWidth="1" min="1" max="1" width="0.29"/>
    <col customWidth="1" min="2" max="2" width="5.0"/>
    <col customWidth="1" min="3" max="3" width="13.14"/>
    <col customWidth="1" min="4" max="4" width="17.14"/>
    <col customWidth="1" min="5" max="5" width="12.86"/>
    <col customWidth="1" hidden="1" min="6" max="6" width="12.0"/>
    <col customWidth="1" hidden="1" min="7" max="7" width="10.86"/>
    <col customWidth="1" hidden="1" min="8" max="8" width="11.14"/>
    <col customWidth="1" hidden="1" min="9" max="11" width="9.0"/>
    <col customWidth="1" hidden="1" min="12" max="12" width="13.14"/>
    <col customWidth="1" hidden="1" min="13" max="13" width="14.0"/>
    <col customWidth="1" hidden="1" min="14" max="14" width="12.0"/>
    <col customWidth="1" hidden="1" min="15" max="15" width="15.86"/>
    <col customWidth="1" hidden="1" min="16" max="16" width="17.14"/>
    <col customWidth="1" hidden="1" min="17" max="17" width="18.71"/>
    <col customWidth="1" hidden="1" min="18" max="20" width="16.57"/>
    <col customWidth="1" hidden="1" min="21" max="21" width="10.86"/>
    <col customWidth="1" hidden="1" min="22" max="22" width="17.86"/>
    <col customWidth="1" hidden="1" min="23" max="23" width="15.86"/>
    <col customWidth="1" hidden="1" min="24" max="24" width="17.14"/>
    <col customWidth="1" hidden="1" min="25" max="25" width="18.71"/>
    <col customWidth="1" hidden="1" min="26" max="28" width="16.57"/>
    <col customWidth="1" hidden="1" min="29" max="29" width="10.86"/>
    <col customWidth="1" hidden="1" min="30" max="30" width="17.86"/>
    <col customWidth="1" hidden="1" min="31" max="31" width="15.86"/>
    <col customWidth="1" hidden="1" min="32" max="32" width="17.14"/>
    <col customWidth="1" hidden="1" min="33" max="33" width="18.71"/>
    <col customWidth="1" hidden="1" min="34" max="36" width="16.57"/>
    <col customWidth="1" hidden="1" min="37" max="37" width="10.86"/>
    <col customWidth="1" hidden="1" min="38" max="38" width="17.86"/>
    <col customWidth="1" hidden="1" min="39" max="39" width="12.0"/>
    <col customWidth="1" hidden="1" min="40" max="40" width="5.43"/>
    <col customWidth="1" min="42" max="43" width="13.29"/>
    <col customWidth="1" min="44" max="44" width="15.14"/>
    <col customWidth="1" min="45" max="45" width="13.71"/>
    <col customWidth="1" min="46" max="46" width="14.71"/>
    <col customWidth="1" min="47" max="47" width="10.57"/>
    <col customWidth="1" min="48" max="48" width="11.14"/>
  </cols>
  <sheetData>
    <row r="1" ht="11.25" customHeight="1">
      <c r="A1" s="558"/>
      <c r="B1" s="559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/>
      <c r="AN1" s="558"/>
      <c r="AO1" s="558"/>
      <c r="AP1" s="558"/>
      <c r="AQ1" s="558"/>
      <c r="AR1" s="558"/>
      <c r="AS1" s="558"/>
      <c r="AT1" s="558"/>
      <c r="AU1" s="559"/>
      <c r="AV1" s="558"/>
    </row>
    <row r="2" ht="11.25" customHeight="1">
      <c r="A2" s="558"/>
      <c r="B2" s="559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  <c r="AB2" s="558"/>
      <c r="AC2" s="558"/>
      <c r="AD2" s="558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558"/>
      <c r="AU2" s="559"/>
      <c r="AV2" s="558"/>
    </row>
    <row r="3" ht="11.25" customHeight="1">
      <c r="A3" s="558"/>
      <c r="B3" s="559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8"/>
      <c r="AD3" s="558"/>
      <c r="AE3" s="558"/>
      <c r="AF3" s="558"/>
      <c r="AG3" s="558"/>
      <c r="AH3" s="558"/>
      <c r="AI3" s="558"/>
      <c r="AJ3" s="558"/>
      <c r="AK3" s="558"/>
      <c r="AL3" s="558"/>
      <c r="AM3" s="558"/>
      <c r="AN3" s="558"/>
      <c r="AO3" s="558"/>
      <c r="AP3" s="558"/>
      <c r="AQ3" s="558"/>
      <c r="AR3" s="558"/>
      <c r="AS3" s="558"/>
      <c r="AT3" s="558"/>
      <c r="AU3" s="559"/>
      <c r="AV3" s="558"/>
    </row>
    <row r="4" ht="11.25" customHeight="1">
      <c r="A4" s="558"/>
      <c r="B4" s="559"/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558"/>
      <c r="AK4" s="558"/>
      <c r="AL4" s="558"/>
      <c r="AM4" s="558"/>
      <c r="AN4" s="558"/>
      <c r="AO4" s="558"/>
      <c r="AP4" s="558"/>
      <c r="AQ4" s="558"/>
      <c r="AR4" s="558"/>
      <c r="AS4" s="558"/>
      <c r="AT4" s="558"/>
      <c r="AU4" s="559"/>
      <c r="AV4" s="558"/>
    </row>
    <row r="5" ht="11.25" customHeight="1">
      <c r="A5" s="558"/>
      <c r="B5" s="560"/>
      <c r="C5" s="558"/>
      <c r="D5" s="558"/>
      <c r="E5" s="561" t="s">
        <v>470</v>
      </c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562"/>
      <c r="AR5" s="558"/>
      <c r="AS5" s="558"/>
      <c r="AT5" s="558"/>
      <c r="AU5" s="559"/>
      <c r="AV5" s="558"/>
    </row>
    <row r="6" ht="11.25" customHeight="1">
      <c r="A6" s="558"/>
      <c r="B6" s="560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8"/>
      <c r="AP6" s="558"/>
      <c r="AQ6" s="558"/>
      <c r="AR6" s="558"/>
      <c r="AS6" s="558"/>
      <c r="AT6" s="558"/>
      <c r="AU6" s="559"/>
      <c r="AV6" s="558"/>
    </row>
    <row r="7" ht="11.25" customHeight="1">
      <c r="A7" s="558"/>
      <c r="B7" s="563" t="s">
        <v>0</v>
      </c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64" t="s">
        <v>471</v>
      </c>
      <c r="N7" s="564"/>
      <c r="O7" s="558"/>
      <c r="P7" s="558"/>
      <c r="Q7" s="558"/>
      <c r="R7" s="558"/>
      <c r="S7" s="558"/>
      <c r="T7" s="558"/>
      <c r="U7" s="558"/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8"/>
      <c r="AK7" s="558"/>
      <c r="AL7" s="558"/>
      <c r="AM7" s="558"/>
      <c r="AN7" s="558"/>
      <c r="AO7" s="558"/>
      <c r="AP7" s="558"/>
      <c r="AQ7" s="558"/>
      <c r="AR7" s="558"/>
      <c r="AS7" s="564" t="s">
        <v>472</v>
      </c>
      <c r="AT7" s="558"/>
      <c r="AU7" s="559"/>
      <c r="AV7" s="558"/>
    </row>
    <row r="8" ht="11.25" customHeight="1">
      <c r="A8" s="565"/>
      <c r="B8" s="566" t="s">
        <v>473</v>
      </c>
      <c r="C8" s="567" t="s">
        <v>474</v>
      </c>
      <c r="D8" s="567" t="s">
        <v>475</v>
      </c>
      <c r="E8" s="568" t="s">
        <v>476</v>
      </c>
      <c r="F8" s="568" t="s">
        <v>477</v>
      </c>
      <c r="G8" s="569" t="s">
        <v>478</v>
      </c>
      <c r="H8" s="570"/>
      <c r="I8" s="569" t="s">
        <v>479</v>
      </c>
      <c r="J8" s="570"/>
      <c r="K8" s="570"/>
      <c r="L8" s="568" t="s">
        <v>480</v>
      </c>
      <c r="M8" s="568" t="s">
        <v>481</v>
      </c>
      <c r="N8" s="568" t="s">
        <v>482</v>
      </c>
      <c r="O8" s="568" t="s">
        <v>483</v>
      </c>
      <c r="P8" s="569" t="s">
        <v>484</v>
      </c>
      <c r="Q8" s="570"/>
      <c r="R8" s="569" t="s">
        <v>479</v>
      </c>
      <c r="S8" s="570"/>
      <c r="T8" s="570"/>
      <c r="U8" s="571" t="s">
        <v>481</v>
      </c>
      <c r="V8" s="568" t="s">
        <v>485</v>
      </c>
      <c r="W8" s="568" t="s">
        <v>486</v>
      </c>
      <c r="X8" s="569" t="s">
        <v>484</v>
      </c>
      <c r="Y8" s="570"/>
      <c r="Z8" s="569" t="s">
        <v>479</v>
      </c>
      <c r="AA8" s="570"/>
      <c r="AB8" s="570"/>
      <c r="AC8" s="571" t="s">
        <v>481</v>
      </c>
      <c r="AD8" s="568" t="s">
        <v>485</v>
      </c>
      <c r="AE8" s="568" t="s">
        <v>487</v>
      </c>
      <c r="AF8" s="569" t="s">
        <v>484</v>
      </c>
      <c r="AG8" s="570"/>
      <c r="AH8" s="569" t="s">
        <v>479</v>
      </c>
      <c r="AI8" s="570"/>
      <c r="AJ8" s="570"/>
      <c r="AK8" s="571" t="s">
        <v>481</v>
      </c>
      <c r="AL8" s="568" t="s">
        <v>485</v>
      </c>
      <c r="AM8" s="568" t="s">
        <v>488</v>
      </c>
      <c r="AN8" s="568" t="s">
        <v>335</v>
      </c>
      <c r="AO8" s="568" t="s">
        <v>489</v>
      </c>
      <c r="AP8" s="569" t="s">
        <v>478</v>
      </c>
      <c r="AQ8" s="570"/>
      <c r="AR8" s="570"/>
      <c r="AS8" s="568" t="s">
        <v>481</v>
      </c>
      <c r="AT8" s="568" t="s">
        <v>490</v>
      </c>
      <c r="AU8" s="572" t="s">
        <v>491</v>
      </c>
      <c r="AV8" s="558"/>
    </row>
    <row r="9" ht="11.25" customHeight="1">
      <c r="A9" s="565"/>
      <c r="B9" s="19"/>
      <c r="C9" s="19"/>
      <c r="D9" s="19"/>
      <c r="E9" s="19"/>
      <c r="F9" s="19"/>
      <c r="G9" s="573" t="s">
        <v>492</v>
      </c>
      <c r="H9" s="573" t="s">
        <v>493</v>
      </c>
      <c r="I9" s="573" t="s">
        <v>147</v>
      </c>
      <c r="J9" s="573" t="s">
        <v>148</v>
      </c>
      <c r="K9" s="573" t="s">
        <v>149</v>
      </c>
      <c r="L9" s="19"/>
      <c r="M9" s="19"/>
      <c r="N9" s="19"/>
      <c r="O9" s="19"/>
      <c r="P9" s="573" t="s">
        <v>492</v>
      </c>
      <c r="Q9" s="573" t="s">
        <v>493</v>
      </c>
      <c r="R9" s="573" t="s">
        <v>150</v>
      </c>
      <c r="S9" s="573" t="s">
        <v>151</v>
      </c>
      <c r="T9" s="573" t="s">
        <v>152</v>
      </c>
      <c r="U9" s="571"/>
      <c r="V9" s="19"/>
      <c r="W9" s="19"/>
      <c r="X9" s="573" t="s">
        <v>492</v>
      </c>
      <c r="Y9" s="573" t="s">
        <v>493</v>
      </c>
      <c r="Z9" s="573" t="s">
        <v>153</v>
      </c>
      <c r="AA9" s="573" t="s">
        <v>154</v>
      </c>
      <c r="AB9" s="573" t="s">
        <v>155</v>
      </c>
      <c r="AC9" s="571"/>
      <c r="AD9" s="19"/>
      <c r="AE9" s="19"/>
      <c r="AF9" s="573" t="s">
        <v>492</v>
      </c>
      <c r="AG9" s="573" t="s">
        <v>493</v>
      </c>
      <c r="AH9" s="573" t="s">
        <v>156</v>
      </c>
      <c r="AI9" s="573" t="s">
        <v>157</v>
      </c>
      <c r="AJ9" s="573" t="s">
        <v>158</v>
      </c>
      <c r="AK9" s="571"/>
      <c r="AL9" s="19"/>
      <c r="AM9" s="19"/>
      <c r="AN9" s="19"/>
      <c r="AO9" s="19"/>
      <c r="AP9" s="573" t="s">
        <v>492</v>
      </c>
      <c r="AQ9" s="573" t="s">
        <v>494</v>
      </c>
      <c r="AR9" s="573" t="s">
        <v>493</v>
      </c>
      <c r="AS9" s="19"/>
      <c r="AT9" s="19"/>
      <c r="AV9" s="558"/>
    </row>
    <row r="10" ht="11.25" customHeight="1">
      <c r="A10" s="558"/>
      <c r="B10" s="574">
        <v>1.0</v>
      </c>
      <c r="C10" s="575" t="s">
        <v>495</v>
      </c>
      <c r="D10" s="576" t="s">
        <v>254</v>
      </c>
      <c r="E10" s="576" t="s">
        <v>496</v>
      </c>
      <c r="F10" s="558">
        <f>22486222*3</f>
        <v>67458666</v>
      </c>
      <c r="G10" s="558">
        <f>264000*3</f>
        <v>792000</v>
      </c>
      <c r="H10" s="577">
        <f>2222222.23*3</f>
        <v>6666666.69</v>
      </c>
      <c r="I10" s="577">
        <v>0.0</v>
      </c>
      <c r="J10" s="577">
        <v>0.0</v>
      </c>
      <c r="K10" s="577">
        <v>0.0</v>
      </c>
      <c r="L10" s="577"/>
      <c r="M10" s="577"/>
      <c r="N10" s="577">
        <f t="shared" ref="N10:N20" si="1">+F10-G10-H10</f>
        <v>59999999.31</v>
      </c>
      <c r="O10" s="558">
        <f>22486222*3</f>
        <v>67458666</v>
      </c>
      <c r="P10" s="558">
        <f>264000*3</f>
        <v>792000</v>
      </c>
      <c r="Q10" s="577">
        <v>6666666.0</v>
      </c>
      <c r="R10" s="577">
        <v>0.0</v>
      </c>
      <c r="S10" s="577">
        <v>0.0</v>
      </c>
      <c r="T10" s="577"/>
      <c r="U10" s="578">
        <f t="shared" ref="U10:U21" si="2">SUM(R10:T10)</f>
        <v>0</v>
      </c>
      <c r="V10" s="579">
        <f t="shared" ref="V10:V21" si="3">+O10-P10-Q10</f>
        <v>60000000</v>
      </c>
      <c r="W10" s="558">
        <f>22486222*2+237152888.9</f>
        <v>282125332.9</v>
      </c>
      <c r="X10" s="558">
        <f>264000*3</f>
        <v>792000</v>
      </c>
      <c r="Y10" s="577">
        <f>2222222.23*2+23688888.89</f>
        <v>28133333.35</v>
      </c>
      <c r="Z10" s="577">
        <v>0.0</v>
      </c>
      <c r="AA10" s="577">
        <v>0.0</v>
      </c>
      <c r="AB10" s="577"/>
      <c r="AC10" s="578">
        <f t="shared" ref="AC10:AC23" si="4">SUM(Z10:AB10)</f>
        <v>0</v>
      </c>
      <c r="AD10" s="579">
        <f t="shared" ref="AD10:AD23" si="5">+W10-X10-Y10</f>
        <v>253199999.6</v>
      </c>
      <c r="AE10" s="558">
        <f>22486222*2+54502008.33</f>
        <v>99474452.33</v>
      </c>
      <c r="AF10" s="558">
        <f>264000*3</f>
        <v>792000</v>
      </c>
      <c r="AG10" s="577">
        <f>2222222.23*2+5423800.83</f>
        <v>9868245.29</v>
      </c>
      <c r="AH10" s="577">
        <v>0.0</v>
      </c>
      <c r="AI10" s="577">
        <v>0.0</v>
      </c>
      <c r="AJ10" s="577"/>
      <c r="AK10" s="578">
        <f t="shared" ref="AK10:AK17" si="6">SUM(AH10:AJ10)</f>
        <v>0</v>
      </c>
      <c r="AL10" s="579">
        <f t="shared" ref="AL10:AL25" si="7">+AE10-AF10-AG10</f>
        <v>88814207.04</v>
      </c>
      <c r="AM10" s="579">
        <f>48814207.5+20000000.1*2</f>
        <v>88814207.7</v>
      </c>
      <c r="AN10" s="579">
        <f t="shared" ref="AN10:AN25" si="8">+AL10-AM10</f>
        <v>-0.6600000113</v>
      </c>
      <c r="AO10" s="577">
        <f>F10+O10+W10+AE10+3</f>
        <v>516517120.2</v>
      </c>
      <c r="AP10" s="577">
        <f t="shared" ref="AP10:AP11" si="9">G10+P10+X10+AF10</f>
        <v>3168000</v>
      </c>
      <c r="AQ10" s="577"/>
      <c r="AR10" s="577">
        <f>+H10+Q10+Y10+AG10</f>
        <v>51334911.33</v>
      </c>
      <c r="AS10" s="577">
        <f>+U10+M10+AC10+AK10</f>
        <v>0</v>
      </c>
      <c r="AT10" s="577">
        <f>+AO10*12%</f>
        <v>61982054.43</v>
      </c>
      <c r="AU10" s="559"/>
      <c r="AV10" s="558"/>
    </row>
    <row r="11" ht="11.25" customHeight="1">
      <c r="A11" s="558"/>
      <c r="B11" s="574">
        <v>2.0</v>
      </c>
      <c r="C11" s="580" t="s">
        <v>497</v>
      </c>
      <c r="D11" s="558" t="s">
        <v>498</v>
      </c>
      <c r="E11" s="558" t="s">
        <v>499</v>
      </c>
      <c r="F11" s="558">
        <f>522820+2032765.28+2888666.45</f>
        <v>5444251.73</v>
      </c>
      <c r="G11" s="558">
        <f>57510.16+223604+264000</f>
        <v>545114.16</v>
      </c>
      <c r="H11" s="577">
        <f>33197.62+172583+257467</f>
        <v>463247.62</v>
      </c>
      <c r="I11" s="577">
        <v>5000.0</v>
      </c>
      <c r="J11" s="577">
        <v>8333.0</v>
      </c>
      <c r="K11" s="577">
        <f>13333.33</f>
        <v>13333.33</v>
      </c>
      <c r="L11" s="577">
        <f t="shared" ref="L11:L20" si="10">SUM(I11:K11)</f>
        <v>26666.33</v>
      </c>
      <c r="M11" s="577">
        <f t="shared" ref="M11:M19" si="11">+L11</f>
        <v>26666.33</v>
      </c>
      <c r="N11" s="577">
        <f t="shared" si="1"/>
        <v>4435889.95</v>
      </c>
      <c r="O11" s="558">
        <f>2236772.7826087+1451975.2+1361800</f>
        <v>5050547.983</v>
      </c>
      <c r="P11" s="558">
        <f>246045.006086957+159717.27+149797.99</f>
        <v>555560.2661</v>
      </c>
      <c r="Q11" s="577">
        <f>190739.777652174+119225.79+111200.19</f>
        <v>421165.7577</v>
      </c>
      <c r="R11" s="577">
        <v>8333.0</v>
      </c>
      <c r="S11" s="577">
        <v>10000.0</v>
      </c>
      <c r="T11" s="577">
        <v>10000.0</v>
      </c>
      <c r="U11" s="578">
        <f t="shared" si="2"/>
        <v>28333</v>
      </c>
      <c r="V11" s="579">
        <f t="shared" si="3"/>
        <v>4073821.959</v>
      </c>
      <c r="W11" s="558">
        <f>1815733+5533752.03+2515657.65</f>
        <v>9865142.68</v>
      </c>
      <c r="X11" s="558">
        <f>199730.65+264000*2</f>
        <v>727730.65</v>
      </c>
      <c r="Y11" s="577">
        <f>153266.92+526975.2+218499.09</f>
        <v>898741.21</v>
      </c>
      <c r="Z11" s="577">
        <v>6666.67</v>
      </c>
      <c r="AA11" s="577">
        <v>0.0</v>
      </c>
      <c r="AB11" s="577">
        <v>8333.33</v>
      </c>
      <c r="AC11" s="578">
        <f t="shared" si="4"/>
        <v>15000</v>
      </c>
      <c r="AD11" s="579">
        <f t="shared" si="5"/>
        <v>8238670.82</v>
      </c>
      <c r="AE11" s="558">
        <f>5827512.7+1856999.86+1010932</f>
        <v>8695444.56</v>
      </c>
      <c r="AF11" s="558">
        <f>111202.52+204269.99+264000</f>
        <v>579472.51</v>
      </c>
      <c r="AG11" s="577">
        <f>78305.95+156939.66+556351.27</f>
        <v>791596.88</v>
      </c>
      <c r="AH11" s="577">
        <v>11667.0</v>
      </c>
      <c r="AI11" s="577">
        <v>8333.33</v>
      </c>
      <c r="AJ11" s="577">
        <v>0.0</v>
      </c>
      <c r="AK11" s="578">
        <f t="shared" si="6"/>
        <v>20000.33</v>
      </c>
      <c r="AL11" s="579">
        <f t="shared" si="7"/>
        <v>7324375.17</v>
      </c>
      <c r="AM11" s="579">
        <f>821423.53+1495790.22+5007161.43</f>
        <v>7324375.18</v>
      </c>
      <c r="AN11" s="579">
        <f t="shared" si="8"/>
        <v>-0.009999998845</v>
      </c>
      <c r="AO11" s="577">
        <f>F11+O11+W11+AE11+350068</f>
        <v>29405454.95</v>
      </c>
      <c r="AP11" s="577">
        <f t="shared" si="9"/>
        <v>2407877.586</v>
      </c>
      <c r="AQ11" s="577">
        <v>9999.7</v>
      </c>
      <c r="AR11" s="577">
        <f t="shared" ref="AR11:AR13" si="13">+H11+Q11+Y11+AG11+AQ11</f>
        <v>2584751.168</v>
      </c>
      <c r="AS11" s="577">
        <f>+U11+M11+AC11+AK11-AQ11</f>
        <v>79999.96</v>
      </c>
      <c r="AT11" s="577">
        <v>3486646.4343130444</v>
      </c>
      <c r="AU11" s="559" t="str">
        <f>+AO11-[6]ХАОАТ!$AB$18</f>
        <v>#ERROR!</v>
      </c>
      <c r="AV11" s="558" t="str">
        <f>+AP11-[6]ХАОАТ!$AC$18</f>
        <v>#ERROR!</v>
      </c>
    </row>
    <row r="12" ht="11.25" customHeight="1">
      <c r="A12" s="558"/>
      <c r="B12" s="574">
        <v>3.0</v>
      </c>
      <c r="C12" s="580" t="s">
        <v>500</v>
      </c>
      <c r="D12" s="558" t="s">
        <v>501</v>
      </c>
      <c r="E12" s="558" t="s">
        <v>502</v>
      </c>
      <c r="F12" s="558">
        <f>3102641.75+2751110.91+3026222</f>
        <v>8879974.66</v>
      </c>
      <c r="G12" s="579">
        <f>264000*3</f>
        <v>792000</v>
      </c>
      <c r="H12" s="577">
        <f>278864.17+242044+271222</f>
        <v>792130.17</v>
      </c>
      <c r="I12" s="577">
        <v>5000.0</v>
      </c>
      <c r="J12" s="577">
        <v>6667.0</v>
      </c>
      <c r="K12" s="577">
        <v>5000.0</v>
      </c>
      <c r="L12" s="577">
        <f t="shared" si="10"/>
        <v>16667</v>
      </c>
      <c r="M12" s="577">
        <f t="shared" si="11"/>
        <v>16667</v>
      </c>
      <c r="N12" s="577">
        <f t="shared" si="1"/>
        <v>7295844.49</v>
      </c>
      <c r="O12" s="558">
        <f>3026222*3</f>
        <v>9078666</v>
      </c>
      <c r="P12" s="579">
        <f>264000*3</f>
        <v>792000</v>
      </c>
      <c r="Q12" s="577">
        <f>271222.2*3</f>
        <v>813666.6</v>
      </c>
      <c r="R12" s="577">
        <v>5000.0</v>
      </c>
      <c r="S12" s="577">
        <v>5000.0</v>
      </c>
      <c r="T12" s="577">
        <v>5000.0</v>
      </c>
      <c r="U12" s="578">
        <f t="shared" si="2"/>
        <v>15000</v>
      </c>
      <c r="V12" s="579">
        <f t="shared" si="3"/>
        <v>7472999.4</v>
      </c>
      <c r="W12" s="558">
        <f>3026222+4213404+2584853.72</f>
        <v>9824479.72</v>
      </c>
      <c r="X12" s="579">
        <f>264000*3</f>
        <v>792000</v>
      </c>
      <c r="Y12" s="577">
        <f>271222.2+394970.84+225418.7</f>
        <v>891611.74</v>
      </c>
      <c r="Z12" s="577">
        <v>6666.67</v>
      </c>
      <c r="AA12" s="577"/>
      <c r="AB12" s="577">
        <v>5000.0</v>
      </c>
      <c r="AC12" s="578">
        <f t="shared" si="4"/>
        <v>11666.67</v>
      </c>
      <c r="AD12" s="579">
        <f t="shared" si="5"/>
        <v>8140867.98</v>
      </c>
      <c r="AE12" s="558">
        <f>3781166.26+3026222+5827512.7</f>
        <v>12634900.96</v>
      </c>
      <c r="AF12" s="579">
        <f>264000*3</f>
        <v>792000</v>
      </c>
      <c r="AG12" s="577">
        <f>351716.63+271222.2+556351.27</f>
        <v>1179290.1</v>
      </c>
      <c r="AH12" s="577">
        <v>0.0</v>
      </c>
      <c r="AI12" s="577">
        <v>5000.0</v>
      </c>
      <c r="AJ12" s="577">
        <v>0.0</v>
      </c>
      <c r="AK12" s="578">
        <f t="shared" si="6"/>
        <v>5000</v>
      </c>
      <c r="AL12" s="579">
        <f t="shared" si="7"/>
        <v>10663610.86</v>
      </c>
      <c r="AM12" s="579">
        <f>5007161.43+2490999.8+3165449.63</f>
        <v>10663610.86</v>
      </c>
      <c r="AN12" s="579">
        <f t="shared" si="8"/>
        <v>0.000000001862645149</v>
      </c>
      <c r="AO12" s="577">
        <f t="shared" ref="AO12:AP12" si="12">F12+O12+W12+AE12</f>
        <v>40418021.34</v>
      </c>
      <c r="AP12" s="577">
        <f t="shared" si="12"/>
        <v>3168000</v>
      </c>
      <c r="AQ12" s="577">
        <v>48333.67</v>
      </c>
      <c r="AR12" s="577">
        <f t="shared" si="13"/>
        <v>3725032.28</v>
      </c>
      <c r="AS12" s="577">
        <f>48333.67-AQ12</f>
        <v>0</v>
      </c>
      <c r="AT12" s="577">
        <f t="shared" ref="AT12:AT13" si="15">+AO12*12%</f>
        <v>4850162.561</v>
      </c>
      <c r="AU12" s="559"/>
      <c r="AV12" s="558"/>
    </row>
    <row r="13" ht="11.25" customHeight="1">
      <c r="A13" s="558"/>
      <c r="B13" s="574">
        <v>4.0</v>
      </c>
      <c r="C13" s="580" t="s">
        <v>503</v>
      </c>
      <c r="D13" s="558" t="s">
        <v>504</v>
      </c>
      <c r="E13" s="558" t="s">
        <v>505</v>
      </c>
      <c r="F13" s="558">
        <v>1622781.0</v>
      </c>
      <c r="G13" s="579">
        <v>178506.0</v>
      </c>
      <c r="H13" s="577">
        <v>134427.0</v>
      </c>
      <c r="I13" s="577">
        <v>10000.0</v>
      </c>
      <c r="J13" s="577">
        <v>0.0</v>
      </c>
      <c r="K13" s="577">
        <v>0.0</v>
      </c>
      <c r="L13" s="577">
        <f t="shared" si="10"/>
        <v>10000</v>
      </c>
      <c r="M13" s="577">
        <f t="shared" si="11"/>
        <v>10000</v>
      </c>
      <c r="N13" s="577">
        <f t="shared" si="1"/>
        <v>1309848</v>
      </c>
      <c r="O13" s="558"/>
      <c r="P13" s="579">
        <v>0.0</v>
      </c>
      <c r="Q13" s="577">
        <v>0.0</v>
      </c>
      <c r="R13" s="577">
        <v>0.0</v>
      </c>
      <c r="S13" s="577">
        <v>0.0</v>
      </c>
      <c r="T13" s="577"/>
      <c r="U13" s="578">
        <f t="shared" si="2"/>
        <v>0</v>
      </c>
      <c r="V13" s="579">
        <f t="shared" si="3"/>
        <v>0</v>
      </c>
      <c r="W13" s="558"/>
      <c r="X13" s="579">
        <v>0.0</v>
      </c>
      <c r="Y13" s="577">
        <v>0.0</v>
      </c>
      <c r="Z13" s="577">
        <v>0.0</v>
      </c>
      <c r="AA13" s="577">
        <v>0.0</v>
      </c>
      <c r="AB13" s="577"/>
      <c r="AC13" s="578">
        <f t="shared" si="4"/>
        <v>0</v>
      </c>
      <c r="AD13" s="579">
        <f t="shared" si="5"/>
        <v>0</v>
      </c>
      <c r="AE13" s="558"/>
      <c r="AF13" s="579">
        <v>0.0</v>
      </c>
      <c r="AG13" s="577">
        <v>0.0</v>
      </c>
      <c r="AH13" s="577">
        <v>0.0</v>
      </c>
      <c r="AI13" s="577">
        <v>0.0</v>
      </c>
      <c r="AJ13" s="577"/>
      <c r="AK13" s="578">
        <f t="shared" si="6"/>
        <v>0</v>
      </c>
      <c r="AL13" s="579">
        <f t="shared" si="7"/>
        <v>0</v>
      </c>
      <c r="AM13" s="579">
        <v>0.0</v>
      </c>
      <c r="AN13" s="579">
        <f t="shared" si="8"/>
        <v>0</v>
      </c>
      <c r="AO13" s="577">
        <f t="shared" ref="AO13:AP13" si="14">F13+O13+W13+AE13</f>
        <v>1622781</v>
      </c>
      <c r="AP13" s="577">
        <f t="shared" si="14"/>
        <v>178506</v>
      </c>
      <c r="AQ13" s="577"/>
      <c r="AR13" s="577">
        <f t="shared" si="13"/>
        <v>134427</v>
      </c>
      <c r="AS13" s="577">
        <f>10000-AQ13</f>
        <v>10000</v>
      </c>
      <c r="AT13" s="577">
        <f t="shared" si="15"/>
        <v>194733.72</v>
      </c>
      <c r="AU13" s="559"/>
      <c r="AV13" s="558"/>
    </row>
    <row r="14" ht="11.25" customHeight="1">
      <c r="A14" s="558"/>
      <c r="B14" s="574">
        <v>5.0</v>
      </c>
      <c r="C14" s="580" t="s">
        <v>506</v>
      </c>
      <c r="D14" s="558" t="s">
        <v>507</v>
      </c>
      <c r="E14" s="558" t="s">
        <v>508</v>
      </c>
      <c r="F14" s="558">
        <f>548245*3</f>
        <v>1644735</v>
      </c>
      <c r="G14" s="579">
        <f>48245.56*3</f>
        <v>144736.68</v>
      </c>
      <c r="H14" s="577">
        <v>149999.83200000002</v>
      </c>
      <c r="I14" s="577">
        <f t="shared" ref="I14:I15" si="20">+H14/3</f>
        <v>49999.944</v>
      </c>
      <c r="J14" s="577">
        <f t="shared" ref="J14:K14" si="16">+I14</f>
        <v>49999.944</v>
      </c>
      <c r="K14" s="577">
        <f t="shared" si="16"/>
        <v>49999.944</v>
      </c>
      <c r="L14" s="577">
        <f t="shared" si="10"/>
        <v>149999.832</v>
      </c>
      <c r="M14" s="577">
        <f t="shared" si="11"/>
        <v>149999.832</v>
      </c>
      <c r="N14" s="577">
        <f t="shared" si="1"/>
        <v>1349998.488</v>
      </c>
      <c r="O14" s="558">
        <f>548245*3</f>
        <v>1644735</v>
      </c>
      <c r="P14" s="579">
        <f>48245.56*3</f>
        <v>144736.68</v>
      </c>
      <c r="Q14" s="577">
        <v>149999.832</v>
      </c>
      <c r="R14" s="577">
        <f t="shared" ref="R14:R15" si="22">+Q14/3</f>
        <v>49999.944</v>
      </c>
      <c r="S14" s="577">
        <f t="shared" ref="S14:T14" si="17">+R14</f>
        <v>49999.944</v>
      </c>
      <c r="T14" s="577">
        <f t="shared" si="17"/>
        <v>49999.944</v>
      </c>
      <c r="U14" s="578">
        <f t="shared" si="2"/>
        <v>149999.832</v>
      </c>
      <c r="V14" s="579">
        <f t="shared" si="3"/>
        <v>1349998.488</v>
      </c>
      <c r="W14" s="558">
        <f>548245*3</f>
        <v>1644735</v>
      </c>
      <c r="X14" s="579">
        <f>48245.56*3</f>
        <v>144736.68</v>
      </c>
      <c r="Y14" s="577">
        <v>149999.83200000002</v>
      </c>
      <c r="Z14" s="577">
        <v>49999.94400000001</v>
      </c>
      <c r="AA14" s="577">
        <v>49999.94400000001</v>
      </c>
      <c r="AB14" s="577">
        <v>49999.94400000001</v>
      </c>
      <c r="AC14" s="578">
        <f t="shared" si="4"/>
        <v>149999.832</v>
      </c>
      <c r="AD14" s="579">
        <f t="shared" si="5"/>
        <v>1349998.488</v>
      </c>
      <c r="AE14" s="558">
        <f>548245*2+1671052</f>
        <v>2767542</v>
      </c>
      <c r="AF14" s="579">
        <f>48245.56*2+147052.58</f>
        <v>243543.7</v>
      </c>
      <c r="AG14" s="577">
        <v>252399.8</v>
      </c>
      <c r="AH14" s="577">
        <f>49999.944+102400</f>
        <v>152399.944</v>
      </c>
      <c r="AI14" s="577">
        <v>49999.94400000001</v>
      </c>
      <c r="AJ14" s="577">
        <v>49999.94400000001</v>
      </c>
      <c r="AK14" s="578">
        <f t="shared" si="6"/>
        <v>252399.832</v>
      </c>
      <c r="AL14" s="579">
        <f t="shared" si="7"/>
        <v>2271598.5</v>
      </c>
      <c r="AM14" s="579">
        <f>1523999.42+499999.54*2-AK14</f>
        <v>2271598.668</v>
      </c>
      <c r="AN14" s="579">
        <f t="shared" si="8"/>
        <v>-0.1680000001</v>
      </c>
      <c r="AO14" s="577">
        <f t="shared" ref="AO14:AP14" si="18">F14+O14+W14+AE14</f>
        <v>7701747</v>
      </c>
      <c r="AP14" s="577">
        <f t="shared" si="18"/>
        <v>677753.74</v>
      </c>
      <c r="AQ14" s="577"/>
      <c r="AR14" s="577">
        <f t="shared" ref="AR14:AS14" si="19">+T14+L14+AB14+AJ14</f>
        <v>299999.664</v>
      </c>
      <c r="AS14" s="577">
        <f t="shared" si="19"/>
        <v>702399.328</v>
      </c>
      <c r="AT14" s="577">
        <f t="shared" ref="AT14:AT15" si="26">+AO14*9.8%</f>
        <v>754771.206</v>
      </c>
      <c r="AU14" s="559"/>
      <c r="AV14" s="558"/>
    </row>
    <row r="15" ht="11.25" customHeight="1">
      <c r="A15" s="558"/>
      <c r="B15" s="574">
        <v>6.0</v>
      </c>
      <c r="C15" s="580" t="s">
        <v>509</v>
      </c>
      <c r="D15" s="558" t="s">
        <v>510</v>
      </c>
      <c r="E15" s="558" t="s">
        <v>511</v>
      </c>
      <c r="F15" s="558">
        <f>242632*3</f>
        <v>727896</v>
      </c>
      <c r="G15" s="579">
        <f>21352*3</f>
        <v>64056</v>
      </c>
      <c r="H15" s="577">
        <v>66384.0</v>
      </c>
      <c r="I15" s="577">
        <f t="shared" si="20"/>
        <v>22128</v>
      </c>
      <c r="J15" s="577">
        <f t="shared" ref="J15:K15" si="21">+I15</f>
        <v>22128</v>
      </c>
      <c r="K15" s="577">
        <f t="shared" si="21"/>
        <v>22128</v>
      </c>
      <c r="L15" s="577">
        <f t="shared" si="10"/>
        <v>66384</v>
      </c>
      <c r="M15" s="577">
        <f t="shared" si="11"/>
        <v>66384</v>
      </c>
      <c r="N15" s="577">
        <f t="shared" si="1"/>
        <v>597456</v>
      </c>
      <c r="O15" s="558">
        <f>242632*3</f>
        <v>727896</v>
      </c>
      <c r="P15" s="579">
        <f>21352*3</f>
        <v>64056</v>
      </c>
      <c r="Q15" s="577">
        <v>66384.0</v>
      </c>
      <c r="R15" s="577">
        <f t="shared" si="22"/>
        <v>22128</v>
      </c>
      <c r="S15" s="577">
        <f t="shared" ref="S15:T15" si="23">+R15</f>
        <v>22128</v>
      </c>
      <c r="T15" s="577">
        <f t="shared" si="23"/>
        <v>22128</v>
      </c>
      <c r="U15" s="578">
        <f t="shared" si="2"/>
        <v>66384</v>
      </c>
      <c r="V15" s="579">
        <f t="shared" si="3"/>
        <v>597456</v>
      </c>
      <c r="W15" s="558">
        <f>242632*3</f>
        <v>727896</v>
      </c>
      <c r="X15" s="579">
        <f>21352*3</f>
        <v>64056</v>
      </c>
      <c r="Y15" s="577">
        <v>66384.0</v>
      </c>
      <c r="Z15" s="577">
        <v>22128.0</v>
      </c>
      <c r="AA15" s="577">
        <v>22128.0</v>
      </c>
      <c r="AB15" s="577">
        <v>22128.0</v>
      </c>
      <c r="AC15" s="578">
        <f t="shared" si="4"/>
        <v>66384</v>
      </c>
      <c r="AD15" s="579">
        <f t="shared" si="5"/>
        <v>597456</v>
      </c>
      <c r="AE15" s="558">
        <f>242632*2+1005471</f>
        <v>1490735</v>
      </c>
      <c r="AF15" s="579">
        <f>21352*2+88481.45</f>
        <v>131185.45</v>
      </c>
      <c r="AG15" s="577">
        <v>135955.4</v>
      </c>
      <c r="AH15" s="577">
        <f>22128+69571.4</f>
        <v>91699.4</v>
      </c>
      <c r="AI15" s="577">
        <v>22128.0</v>
      </c>
      <c r="AJ15" s="577">
        <v>22128.0</v>
      </c>
      <c r="AK15" s="578">
        <f t="shared" si="6"/>
        <v>135955.4</v>
      </c>
      <c r="AL15" s="579">
        <f t="shared" si="7"/>
        <v>1223594.15</v>
      </c>
      <c r="AM15" s="579">
        <f>916989.55+221280.38*2-AK15</f>
        <v>1223594.91</v>
      </c>
      <c r="AN15" s="579">
        <f t="shared" si="8"/>
        <v>-0.76</v>
      </c>
      <c r="AO15" s="577">
        <f t="shared" ref="AO15:AP15" si="24">F15+O15+W15+AE15</f>
        <v>3674423</v>
      </c>
      <c r="AP15" s="577">
        <f t="shared" si="24"/>
        <v>323353.45</v>
      </c>
      <c r="AQ15" s="577"/>
      <c r="AR15" s="577">
        <f t="shared" ref="AR15:AS15" si="25">+T15+L15+AB15+AJ15</f>
        <v>132768</v>
      </c>
      <c r="AS15" s="577">
        <f t="shared" si="25"/>
        <v>335107.4</v>
      </c>
      <c r="AT15" s="577">
        <f t="shared" si="26"/>
        <v>360093.454</v>
      </c>
      <c r="AU15" s="559"/>
      <c r="AV15" s="558"/>
    </row>
    <row r="16" ht="11.25" customHeight="1">
      <c r="A16" s="558"/>
      <c r="B16" s="574">
        <v>7.0</v>
      </c>
      <c r="C16" s="580" t="s">
        <v>512</v>
      </c>
      <c r="D16" s="558" t="s">
        <v>261</v>
      </c>
      <c r="E16" s="558" t="s">
        <v>513</v>
      </c>
      <c r="F16" s="558">
        <f>1802773.82+1915447+2446198.03</f>
        <v>6164418.85</v>
      </c>
      <c r="G16" s="558">
        <f>198305+210699+264000</f>
        <v>673004</v>
      </c>
      <c r="H16" s="577">
        <f>152114+162142+211552</f>
        <v>525808</v>
      </c>
      <c r="I16" s="577">
        <f>8333</f>
        <v>8333</v>
      </c>
      <c r="J16" s="577">
        <v>8333.0</v>
      </c>
      <c r="K16" s="577">
        <v>6667.0</v>
      </c>
      <c r="L16" s="577">
        <f t="shared" si="10"/>
        <v>23333</v>
      </c>
      <c r="M16" s="577">
        <f t="shared" si="11"/>
        <v>23333</v>
      </c>
      <c r="N16" s="577">
        <f t="shared" si="1"/>
        <v>4965606.85</v>
      </c>
      <c r="O16" s="558">
        <f>2478814*3</f>
        <v>7436442</v>
      </c>
      <c r="P16" s="558">
        <f t="shared" ref="P16:P17" si="27">264000*3</f>
        <v>792000</v>
      </c>
      <c r="Q16" s="577">
        <f>214814.4*3</f>
        <v>644443.2</v>
      </c>
      <c r="R16" s="577">
        <v>6667.0</v>
      </c>
      <c r="S16" s="577">
        <v>6667.0</v>
      </c>
      <c r="T16" s="577"/>
      <c r="U16" s="578">
        <f t="shared" si="2"/>
        <v>13334</v>
      </c>
      <c r="V16" s="579">
        <f t="shared" si="3"/>
        <v>5999998.8</v>
      </c>
      <c r="W16" s="558">
        <f>2478814+4228239.59+1826784.45</f>
        <v>8533838.04</v>
      </c>
      <c r="X16" s="558">
        <f>264000*2+200946.29</f>
        <v>728946.29</v>
      </c>
      <c r="Y16" s="577">
        <f>214814.73+396423.96+154250.49</f>
        <v>765489.18</v>
      </c>
      <c r="Z16" s="577">
        <v>8333.33</v>
      </c>
      <c r="AA16" s="577">
        <v>0.0</v>
      </c>
      <c r="AB16" s="577">
        <v>6666.67</v>
      </c>
      <c r="AC16" s="578">
        <f t="shared" si="4"/>
        <v>15000</v>
      </c>
      <c r="AD16" s="579">
        <f t="shared" si="5"/>
        <v>7039402.57</v>
      </c>
      <c r="AE16" s="558">
        <f>3760222.66+2478814+4753795.11</f>
        <v>10992831.77</v>
      </c>
      <c r="AF16" s="558">
        <f t="shared" ref="AF16:AF17" si="28">264000*3</f>
        <v>792000</v>
      </c>
      <c r="AG16" s="577">
        <f>349622.37+214814.73+448979.51</f>
        <v>1013416.61</v>
      </c>
      <c r="AH16" s="577"/>
      <c r="AI16" s="577">
        <v>6666.67</v>
      </c>
      <c r="AJ16" s="577"/>
      <c r="AK16" s="578">
        <f t="shared" si="6"/>
        <v>6666.67</v>
      </c>
      <c r="AL16" s="579">
        <f t="shared" si="7"/>
        <v>9187415.16</v>
      </c>
      <c r="AM16" s="579">
        <f>3146600.39+1999999.27+4040815.6</f>
        <v>9187415.26</v>
      </c>
      <c r="AN16" s="579">
        <f t="shared" si="8"/>
        <v>-0.09999999963</v>
      </c>
      <c r="AO16" s="577">
        <f>F16+O16+W16+AE16+309375</f>
        <v>33436905.66</v>
      </c>
      <c r="AP16" s="577">
        <f t="shared" ref="AP16:AP17" si="29">G16+P16+X16+AF16</f>
        <v>2985950.29</v>
      </c>
      <c r="AQ16" s="577">
        <v>4995.33</v>
      </c>
      <c r="AR16" s="577">
        <f t="shared" ref="AR16:AR17" si="30">+H16+Q16+Y16+AG16+AQ16</f>
        <v>2954152.32</v>
      </c>
      <c r="AS16" s="577">
        <f t="shared" ref="AS16:AS17" si="31">+U16+M16+AC16+AK16-AQ16</f>
        <v>53338.34</v>
      </c>
      <c r="AT16" s="577">
        <v>3975303.6791999997</v>
      </c>
      <c r="AU16" s="559" t="str">
        <f>+AO16-[6]ХАОАТ!$J$18</f>
        <v>#ERROR!</v>
      </c>
      <c r="AV16" s="558" t="str">
        <f>+AP16-[6]ХАОАТ!$K$18</f>
        <v>#ERROR!</v>
      </c>
    </row>
    <row r="17" ht="11.25" customHeight="1">
      <c r="A17" s="558"/>
      <c r="B17" s="574">
        <v>8.0</v>
      </c>
      <c r="C17" s="580" t="s">
        <v>254</v>
      </c>
      <c r="D17" s="558" t="s">
        <v>270</v>
      </c>
      <c r="E17" s="558" t="s">
        <v>514</v>
      </c>
      <c r="F17" s="558">
        <f>2839999.74+3560996+3597333</f>
        <v>9998328.74</v>
      </c>
      <c r="G17" s="579">
        <f t="shared" ref="G17:G18" si="32">264000*3</f>
        <v>792000</v>
      </c>
      <c r="H17" s="577">
        <f>252599.97+329700+333333</f>
        <v>915632.97</v>
      </c>
      <c r="I17" s="577">
        <v>0.0</v>
      </c>
      <c r="J17" s="577">
        <v>0.0</v>
      </c>
      <c r="K17" s="577">
        <f>5000</f>
        <v>5000</v>
      </c>
      <c r="L17" s="577">
        <f t="shared" si="10"/>
        <v>5000</v>
      </c>
      <c r="M17" s="577">
        <f t="shared" si="11"/>
        <v>5000</v>
      </c>
      <c r="N17" s="577">
        <f t="shared" si="1"/>
        <v>8290695.77</v>
      </c>
      <c r="O17" s="558">
        <f>3597333*3</f>
        <v>10791999</v>
      </c>
      <c r="P17" s="579">
        <f t="shared" si="27"/>
        <v>792000</v>
      </c>
      <c r="Q17" s="577">
        <f>333333.3*3</f>
        <v>999999.9</v>
      </c>
      <c r="R17" s="577">
        <v>0.0</v>
      </c>
      <c r="S17" s="577">
        <v>0.0</v>
      </c>
      <c r="T17" s="577"/>
      <c r="U17" s="578">
        <f t="shared" si="2"/>
        <v>0</v>
      </c>
      <c r="V17" s="579">
        <f t="shared" si="3"/>
        <v>8999999.1</v>
      </c>
      <c r="W17" s="558">
        <f>3597333+3131496.54+3544109.3</f>
        <v>10272938.84</v>
      </c>
      <c r="X17" s="579">
        <f>264000*3</f>
        <v>792000</v>
      </c>
      <c r="Y17" s="577">
        <f>333333.3+281749.65+328010.93</f>
        <v>943093.88</v>
      </c>
      <c r="Z17" s="577">
        <v>0.0</v>
      </c>
      <c r="AA17" s="577">
        <v>5000.0</v>
      </c>
      <c r="AB17" s="577">
        <v>0.0</v>
      </c>
      <c r="AC17" s="578">
        <f t="shared" si="4"/>
        <v>5000</v>
      </c>
      <c r="AD17" s="579">
        <f t="shared" si="5"/>
        <v>8537844.96</v>
      </c>
      <c r="AE17" s="558">
        <f>8031895+7520110.36+6177251.24</f>
        <v>21729256.6</v>
      </c>
      <c r="AF17" s="579">
        <f t="shared" si="28"/>
        <v>792000</v>
      </c>
      <c r="AG17" s="577">
        <f>591325.12+725611.04+776789.5</f>
        <v>2093725.66</v>
      </c>
      <c r="AH17" s="577">
        <v>0.0</v>
      </c>
      <c r="AI17" s="577">
        <v>0.0</v>
      </c>
      <c r="AJ17" s="577"/>
      <c r="AK17" s="578">
        <f t="shared" si="6"/>
        <v>0</v>
      </c>
      <c r="AL17" s="579">
        <f t="shared" si="7"/>
        <v>18843530.94</v>
      </c>
      <c r="AM17" s="579">
        <f>6991105.5+6530499.33+5626541.5-304615.38</f>
        <v>18843530.95</v>
      </c>
      <c r="AN17" s="579">
        <f t="shared" si="8"/>
        <v>-0.009999997914</v>
      </c>
      <c r="AO17" s="577">
        <f>F17+O17+W17+AE17+243692+304616.4</f>
        <v>53340831.58</v>
      </c>
      <c r="AP17" s="577">
        <f t="shared" si="29"/>
        <v>3168000</v>
      </c>
      <c r="AQ17" s="577">
        <v>10000.0</v>
      </c>
      <c r="AR17" s="577">
        <f t="shared" si="30"/>
        <v>4962452.41</v>
      </c>
      <c r="AS17" s="577">
        <f t="shared" si="31"/>
        <v>0</v>
      </c>
      <c r="AT17" s="577">
        <v>6335102.7816</v>
      </c>
      <c r="AU17" s="559" t="str">
        <f>+AO17-[6]ХАОАТ!$AT$18</f>
        <v>#ERROR!</v>
      </c>
      <c r="AV17" s="558" t="str">
        <f>+AP17-[6]ХАОАТ!$AU$18</f>
        <v>#ERROR!</v>
      </c>
    </row>
    <row r="18" ht="11.25" customHeight="1">
      <c r="A18" s="558"/>
      <c r="B18" s="574">
        <v>9.0</v>
      </c>
      <c r="C18" s="580" t="s">
        <v>506</v>
      </c>
      <c r="D18" s="558" t="s">
        <v>515</v>
      </c>
      <c r="E18" s="558" t="s">
        <v>516</v>
      </c>
      <c r="F18" s="558">
        <f>3026222*2+2949802</f>
        <v>9002246</v>
      </c>
      <c r="G18" s="579">
        <f t="shared" si="32"/>
        <v>792000</v>
      </c>
      <c r="H18" s="577">
        <f>271222.2+263580+271222</f>
        <v>806024.2</v>
      </c>
      <c r="I18" s="577">
        <v>5000.0</v>
      </c>
      <c r="J18" s="577">
        <v>5000.0</v>
      </c>
      <c r="K18" s="577">
        <v>5000.0</v>
      </c>
      <c r="L18" s="577">
        <f t="shared" si="10"/>
        <v>15000</v>
      </c>
      <c r="M18" s="577">
        <f t="shared" si="11"/>
        <v>15000</v>
      </c>
      <c r="N18" s="577">
        <f t="shared" si="1"/>
        <v>7404221.8</v>
      </c>
      <c r="O18" s="558">
        <v>4215042.237375043</v>
      </c>
      <c r="P18" s="558">
        <v>264000.0</v>
      </c>
      <c r="Q18" s="577">
        <v>395104.22373750433</v>
      </c>
      <c r="R18" s="577">
        <v>0.0</v>
      </c>
      <c r="S18" s="577">
        <v>0.0</v>
      </c>
      <c r="T18" s="577">
        <v>0.0</v>
      </c>
      <c r="U18" s="578">
        <f t="shared" si="2"/>
        <v>0</v>
      </c>
      <c r="V18" s="579">
        <f t="shared" si="3"/>
        <v>3555938.014</v>
      </c>
      <c r="W18" s="558"/>
      <c r="X18" s="558"/>
      <c r="Y18" s="577"/>
      <c r="Z18" s="577"/>
      <c r="AA18" s="577"/>
      <c r="AB18" s="577"/>
      <c r="AC18" s="578">
        <f t="shared" si="4"/>
        <v>0</v>
      </c>
      <c r="AD18" s="579">
        <f t="shared" si="5"/>
        <v>0</v>
      </c>
      <c r="AE18" s="558"/>
      <c r="AF18" s="558"/>
      <c r="AG18" s="577"/>
      <c r="AH18" s="577"/>
      <c r="AI18" s="577"/>
      <c r="AJ18" s="577"/>
      <c r="AK18" s="578"/>
      <c r="AL18" s="579">
        <f t="shared" si="7"/>
        <v>0</v>
      </c>
      <c r="AM18" s="579">
        <v>0.0</v>
      </c>
      <c r="AN18" s="579">
        <f t="shared" si="8"/>
        <v>0</v>
      </c>
      <c r="AO18" s="577">
        <f t="shared" ref="AO18:AP18" si="33">F18+O18+W18+AE18</f>
        <v>13217288.24</v>
      </c>
      <c r="AP18" s="577">
        <f t="shared" si="33"/>
        <v>1056000</v>
      </c>
      <c r="AQ18" s="577"/>
      <c r="AR18" s="577">
        <f>+H18+Q18+Y18+AG18</f>
        <v>1201128.424</v>
      </c>
      <c r="AS18" s="577">
        <f>+U18+M18+AC18+AK18</f>
        <v>15000</v>
      </c>
      <c r="AT18" s="577">
        <f t="shared" ref="AT18:AT25" si="35">+AO18*12%</f>
        <v>1586074.588</v>
      </c>
      <c r="AU18" s="559"/>
      <c r="AV18" s="558"/>
    </row>
    <row r="19" ht="11.25" customHeight="1">
      <c r="A19" s="558"/>
      <c r="B19" s="574">
        <v>10.0</v>
      </c>
      <c r="C19" s="580" t="s">
        <v>517</v>
      </c>
      <c r="D19" s="558" t="s">
        <v>518</v>
      </c>
      <c r="E19" s="558" t="s">
        <v>519</v>
      </c>
      <c r="F19" s="558">
        <f>2647944.25+2582987+2307876.37</f>
        <v>7538807.62</v>
      </c>
      <c r="G19" s="579">
        <f>253866+264000*2</f>
        <v>781866</v>
      </c>
      <c r="H19" s="577">
        <f>231727.43+225232+198734</f>
        <v>655693.43</v>
      </c>
      <c r="I19" s="577">
        <v>6667.0</v>
      </c>
      <c r="J19" s="577">
        <v>6667.0</v>
      </c>
      <c r="K19" s="577">
        <v>6667.0</v>
      </c>
      <c r="L19" s="577">
        <f t="shared" si="10"/>
        <v>20001</v>
      </c>
      <c r="M19" s="577">
        <f t="shared" si="11"/>
        <v>20001</v>
      </c>
      <c r="N19" s="577">
        <f t="shared" si="1"/>
        <v>6101248.19</v>
      </c>
      <c r="O19" s="558">
        <f>3026222*2+2353728</f>
        <v>8406172</v>
      </c>
      <c r="P19" s="579">
        <f>258910+264000*2</f>
        <v>786910</v>
      </c>
      <c r="Q19" s="577">
        <f>271222.2*2+202815.4</f>
        <v>745259.8</v>
      </c>
      <c r="R19" s="577">
        <v>5000.0</v>
      </c>
      <c r="S19" s="577">
        <v>5000.0</v>
      </c>
      <c r="T19" s="577">
        <v>6667.0</v>
      </c>
      <c r="U19" s="578">
        <f t="shared" si="2"/>
        <v>16667</v>
      </c>
      <c r="V19" s="579">
        <f t="shared" si="3"/>
        <v>6874002.2</v>
      </c>
      <c r="W19" s="558">
        <f>3026222+1394966.07+3506268</f>
        <v>7927456.07</v>
      </c>
      <c r="X19" s="579">
        <f>153446.27+264000*2</f>
        <v>681446.27</v>
      </c>
      <c r="Y19" s="577">
        <f>271222.2+114151.98+324226.8</f>
        <v>709600.98</v>
      </c>
      <c r="Z19" s="577">
        <v>0.0</v>
      </c>
      <c r="AA19" s="577">
        <v>10000.0</v>
      </c>
      <c r="AB19" s="577">
        <v>5000.0</v>
      </c>
      <c r="AC19" s="578">
        <f t="shared" si="4"/>
        <v>15000</v>
      </c>
      <c r="AD19" s="579">
        <f t="shared" si="5"/>
        <v>6536408.82</v>
      </c>
      <c r="AE19" s="558">
        <f>1658657.87+1690557.65+3898462</f>
        <v>7247677.52</v>
      </c>
      <c r="AF19" s="579">
        <f>264000+185961.34+182452.37</f>
        <v>632413.71</v>
      </c>
      <c r="AG19" s="577">
        <f>127617.55+142126.3+363446.2</f>
        <v>633190.05</v>
      </c>
      <c r="AH19" s="577">
        <v>0.0</v>
      </c>
      <c r="AI19" s="577">
        <v>10000.0</v>
      </c>
      <c r="AJ19" s="577">
        <v>5000.0</v>
      </c>
      <c r="AK19" s="578">
        <f t="shared" ref="AK19:AK25" si="36">SUM(AH19:AJ19)</f>
        <v>15000</v>
      </c>
      <c r="AL19" s="579">
        <f t="shared" si="7"/>
        <v>5982073.76</v>
      </c>
      <c r="AM19" s="579">
        <f>3271015.8+1362470.01+1348587.95</f>
        <v>5982073.76</v>
      </c>
      <c r="AN19" s="579">
        <f t="shared" si="8"/>
        <v>0</v>
      </c>
      <c r="AO19" s="577">
        <f t="shared" ref="AO19:AP19" si="34">F19+O19+W19+AE19</f>
        <v>31120113.21</v>
      </c>
      <c r="AP19" s="577">
        <f t="shared" si="34"/>
        <v>2882635.98</v>
      </c>
      <c r="AQ19" s="577">
        <v>-10003.0</v>
      </c>
      <c r="AR19" s="577">
        <f>2753747.76+AQ19</f>
        <v>2743744.76</v>
      </c>
      <c r="AS19" s="577">
        <f>69997-AQ19</f>
        <v>80000</v>
      </c>
      <c r="AT19" s="577">
        <f t="shared" si="35"/>
        <v>3734413.585</v>
      </c>
      <c r="AU19" s="559"/>
      <c r="AV19" s="558"/>
    </row>
    <row r="20" ht="11.25" customHeight="1">
      <c r="A20" s="558"/>
      <c r="B20" s="574">
        <v>11.0</v>
      </c>
      <c r="C20" s="580" t="s">
        <v>520</v>
      </c>
      <c r="D20" s="558" t="s">
        <v>521</v>
      </c>
      <c r="E20" s="558" t="s">
        <v>522</v>
      </c>
      <c r="F20" s="558">
        <f>4531778*3</f>
        <v>13595334</v>
      </c>
      <c r="G20" s="579">
        <f>264000*3</f>
        <v>792000</v>
      </c>
      <c r="H20" s="577">
        <f>426777.8*3</f>
        <v>1280333.4</v>
      </c>
      <c r="I20" s="577">
        <v>0.0</v>
      </c>
      <c r="J20" s="577">
        <v>0.0</v>
      </c>
      <c r="K20" s="577">
        <v>0.0</v>
      </c>
      <c r="L20" s="577">
        <f t="shared" si="10"/>
        <v>0</v>
      </c>
      <c r="M20" s="577">
        <v>0.0</v>
      </c>
      <c r="N20" s="577">
        <f t="shared" si="1"/>
        <v>11523000.6</v>
      </c>
      <c r="O20" s="558">
        <f>4531778*3</f>
        <v>13595334</v>
      </c>
      <c r="P20" s="579">
        <f t="shared" ref="P20:P21" si="38">264000*3</f>
        <v>792000</v>
      </c>
      <c r="Q20" s="577">
        <v>1280333.4</v>
      </c>
      <c r="R20" s="577">
        <v>0.0</v>
      </c>
      <c r="S20" s="577">
        <v>0.0</v>
      </c>
      <c r="T20" s="577"/>
      <c r="U20" s="578">
        <f t="shared" si="2"/>
        <v>0</v>
      </c>
      <c r="V20" s="579">
        <f t="shared" si="3"/>
        <v>11523000.6</v>
      </c>
      <c r="W20" s="558">
        <f>4531778*3</f>
        <v>13595334</v>
      </c>
      <c r="X20" s="579">
        <f>264000*3</f>
        <v>792000</v>
      </c>
      <c r="Y20" s="577">
        <v>1280333.4</v>
      </c>
      <c r="Z20" s="577">
        <v>0.0</v>
      </c>
      <c r="AA20" s="577">
        <v>0.0</v>
      </c>
      <c r="AB20" s="577"/>
      <c r="AC20" s="578">
        <f t="shared" si="4"/>
        <v>0</v>
      </c>
      <c r="AD20" s="579">
        <f t="shared" si="5"/>
        <v>11523000.6</v>
      </c>
      <c r="AE20" s="558">
        <f>8842664.64+4531778+5349609</f>
        <v>18724051.64</v>
      </c>
      <c r="AF20" s="579">
        <f t="shared" ref="AF20:AF21" si="39">264000*3</f>
        <v>792000</v>
      </c>
      <c r="AG20" s="577">
        <f>508560.9+426777.8+857866.46</f>
        <v>1793205.16</v>
      </c>
      <c r="AH20" s="577">
        <v>0.0</v>
      </c>
      <c r="AI20" s="577">
        <v>0.0</v>
      </c>
      <c r="AJ20" s="577"/>
      <c r="AK20" s="578">
        <f t="shared" si="36"/>
        <v>0</v>
      </c>
      <c r="AL20" s="579">
        <f t="shared" si="7"/>
        <v>16138846.48</v>
      </c>
      <c r="AM20" s="579">
        <f>7720798.18+3841000.2+4577048.1</f>
        <v>16138846.48</v>
      </c>
      <c r="AN20" s="579">
        <f t="shared" si="8"/>
        <v>0.000000001862645149</v>
      </c>
      <c r="AO20" s="577">
        <f t="shared" ref="AO20:AP20" si="37">F20+O20+W20+AE20</f>
        <v>59510053.64</v>
      </c>
      <c r="AP20" s="577">
        <f t="shared" si="37"/>
        <v>3168000</v>
      </c>
      <c r="AQ20" s="577"/>
      <c r="AR20" s="577">
        <f t="shared" ref="AR20:AR25" si="41">+H20+Q20+Y20+AG20</f>
        <v>5634205.36</v>
      </c>
      <c r="AS20" s="577">
        <f t="shared" ref="AS20:AS25" si="42">+U20+M20+AC20+AK20</f>
        <v>0</v>
      </c>
      <c r="AT20" s="577">
        <f t="shared" si="35"/>
        <v>7141206.437</v>
      </c>
      <c r="AU20" s="559"/>
      <c r="AV20" s="558"/>
    </row>
    <row r="21" ht="11.25" customHeight="1">
      <c r="A21" s="558"/>
      <c r="B21" s="574">
        <v>12.0</v>
      </c>
      <c r="C21" s="580" t="s">
        <v>523</v>
      </c>
      <c r="D21" s="558" t="s">
        <v>524</v>
      </c>
      <c r="E21" s="581" t="s">
        <v>525</v>
      </c>
      <c r="F21" s="558"/>
      <c r="G21" s="579"/>
      <c r="H21" s="577"/>
      <c r="I21" s="577"/>
      <c r="J21" s="577"/>
      <c r="K21" s="577"/>
      <c r="L21" s="577"/>
      <c r="M21" s="577"/>
      <c r="N21" s="577"/>
      <c r="O21" s="558">
        <f>3000000*3</f>
        <v>9000000</v>
      </c>
      <c r="P21" s="579">
        <f t="shared" si="38"/>
        <v>792000</v>
      </c>
      <c r="Q21" s="577">
        <f>268600*3</f>
        <v>805800</v>
      </c>
      <c r="R21" s="577">
        <v>5000.0</v>
      </c>
      <c r="S21" s="577">
        <v>5000.0</v>
      </c>
      <c r="T21" s="577">
        <v>5000.0</v>
      </c>
      <c r="U21" s="578">
        <f t="shared" si="2"/>
        <v>15000</v>
      </c>
      <c r="V21" s="579">
        <f t="shared" si="3"/>
        <v>7402200</v>
      </c>
      <c r="W21" s="558">
        <f>3000000*2+2318181.82</f>
        <v>8318181.82</v>
      </c>
      <c r="X21" s="579">
        <f>264000*2+255000</f>
        <v>783000</v>
      </c>
      <c r="Y21" s="577">
        <f>268600*2+199651.51</f>
        <v>736851.51</v>
      </c>
      <c r="Z21" s="577">
        <v>5000.0</v>
      </c>
      <c r="AA21" s="577">
        <v>6666.67</v>
      </c>
      <c r="AB21" s="577">
        <v>5000.0</v>
      </c>
      <c r="AC21" s="578">
        <f t="shared" si="4"/>
        <v>16666.67</v>
      </c>
      <c r="AD21" s="579">
        <f t="shared" si="5"/>
        <v>6798330.31</v>
      </c>
      <c r="AE21" s="558">
        <f>3000000*3</f>
        <v>9000000</v>
      </c>
      <c r="AF21" s="579">
        <f t="shared" si="39"/>
        <v>792000</v>
      </c>
      <c r="AG21" s="577">
        <f>268600*3</f>
        <v>805800</v>
      </c>
      <c r="AH21" s="577">
        <v>5000.0</v>
      </c>
      <c r="AI21" s="577">
        <v>5000.0</v>
      </c>
      <c r="AJ21" s="577">
        <v>5000.0</v>
      </c>
      <c r="AK21" s="578">
        <f t="shared" si="36"/>
        <v>15000</v>
      </c>
      <c r="AL21" s="579">
        <f t="shared" si="7"/>
        <v>7402200</v>
      </c>
      <c r="AM21" s="579">
        <f>2467400*3</f>
        <v>7402200</v>
      </c>
      <c r="AN21" s="579">
        <f t="shared" si="8"/>
        <v>0</v>
      </c>
      <c r="AO21" s="577">
        <f t="shared" ref="AO21:AP21" si="40">F21+O21+W21+AE21</f>
        <v>26318181.82</v>
      </c>
      <c r="AP21" s="577">
        <f t="shared" si="40"/>
        <v>2367000</v>
      </c>
      <c r="AQ21" s="577"/>
      <c r="AR21" s="577">
        <f t="shared" si="41"/>
        <v>2348451.51</v>
      </c>
      <c r="AS21" s="577">
        <f t="shared" si="42"/>
        <v>46666.67</v>
      </c>
      <c r="AT21" s="577">
        <f t="shared" si="35"/>
        <v>3158181.818</v>
      </c>
      <c r="AU21" s="559"/>
      <c r="AV21" s="558"/>
    </row>
    <row r="22" ht="11.25" customHeight="1">
      <c r="A22" s="558"/>
      <c r="B22" s="574">
        <v>13.0</v>
      </c>
      <c r="C22" s="580" t="s">
        <v>526</v>
      </c>
      <c r="D22" s="558" t="s">
        <v>527</v>
      </c>
      <c r="E22" s="582" t="s">
        <v>528</v>
      </c>
      <c r="F22" s="558"/>
      <c r="G22" s="579"/>
      <c r="H22" s="577"/>
      <c r="I22" s="577"/>
      <c r="J22" s="577"/>
      <c r="K22" s="577"/>
      <c r="L22" s="577"/>
      <c r="M22" s="577"/>
      <c r="N22" s="577"/>
      <c r="O22" s="558"/>
      <c r="P22" s="579"/>
      <c r="Q22" s="577"/>
      <c r="R22" s="577"/>
      <c r="S22" s="577"/>
      <c r="T22" s="577"/>
      <c r="U22" s="578"/>
      <c r="V22" s="579"/>
      <c r="W22" s="558">
        <v>3264000.0</v>
      </c>
      <c r="X22" s="579">
        <v>264000.0</v>
      </c>
      <c r="Y22" s="577">
        <v>295000.0</v>
      </c>
      <c r="Z22" s="577">
        <v>0.0</v>
      </c>
      <c r="AA22" s="577">
        <v>0.0</v>
      </c>
      <c r="AB22" s="577">
        <v>5000.0</v>
      </c>
      <c r="AC22" s="578">
        <f t="shared" si="4"/>
        <v>5000</v>
      </c>
      <c r="AD22" s="579">
        <f t="shared" si="5"/>
        <v>2705000</v>
      </c>
      <c r="AE22" s="558">
        <v>0.0</v>
      </c>
      <c r="AF22" s="579">
        <v>0.0</v>
      </c>
      <c r="AG22" s="577">
        <v>0.0</v>
      </c>
      <c r="AH22" s="577">
        <v>0.0</v>
      </c>
      <c r="AI22" s="577">
        <v>0.0</v>
      </c>
      <c r="AJ22" s="577">
        <v>5000.0</v>
      </c>
      <c r="AK22" s="578">
        <f t="shared" si="36"/>
        <v>5000</v>
      </c>
      <c r="AL22" s="579">
        <f t="shared" si="7"/>
        <v>0</v>
      </c>
      <c r="AM22" s="579"/>
      <c r="AN22" s="579">
        <f t="shared" si="8"/>
        <v>0</v>
      </c>
      <c r="AO22" s="577">
        <f t="shared" ref="AO22:AP22" si="43">F22+O22+W22+AE22</f>
        <v>3264000</v>
      </c>
      <c r="AP22" s="577">
        <f t="shared" si="43"/>
        <v>264000</v>
      </c>
      <c r="AQ22" s="577"/>
      <c r="AR22" s="577">
        <f t="shared" si="41"/>
        <v>295000</v>
      </c>
      <c r="AS22" s="577">
        <f t="shared" si="42"/>
        <v>10000</v>
      </c>
      <c r="AT22" s="577">
        <f t="shared" si="35"/>
        <v>391680</v>
      </c>
      <c r="AU22" s="559"/>
      <c r="AV22" s="558"/>
    </row>
    <row r="23" ht="11.25" customHeight="1">
      <c r="A23" s="558"/>
      <c r="B23" s="574">
        <v>14.0</v>
      </c>
      <c r="C23" s="580" t="s">
        <v>529</v>
      </c>
      <c r="D23" s="558" t="s">
        <v>530</v>
      </c>
      <c r="E23" s="582" t="s">
        <v>531</v>
      </c>
      <c r="F23" s="558"/>
      <c r="G23" s="579"/>
      <c r="H23" s="577"/>
      <c r="I23" s="577"/>
      <c r="J23" s="577"/>
      <c r="K23" s="577"/>
      <c r="L23" s="577"/>
      <c r="M23" s="577"/>
      <c r="N23" s="577"/>
      <c r="O23" s="558">
        <f>700000*2</f>
        <v>1400000</v>
      </c>
      <c r="P23" s="579">
        <f>77000*2</f>
        <v>154000</v>
      </c>
      <c r="Q23" s="577">
        <f>50633.33*2</f>
        <v>101266.66</v>
      </c>
      <c r="R23" s="577">
        <v>0.0</v>
      </c>
      <c r="S23" s="577">
        <v>11667.0</v>
      </c>
      <c r="T23" s="577">
        <v>11667.0</v>
      </c>
      <c r="U23" s="578">
        <f>SUM(R23:T23)</f>
        <v>23334</v>
      </c>
      <c r="V23" s="579">
        <f>+O23-P23-Q23</f>
        <v>1144733.34</v>
      </c>
      <c r="W23" s="558">
        <f>1000000+689393.94+604005.85</f>
        <v>2293399.79</v>
      </c>
      <c r="X23" s="579">
        <f>110000+75833.33+66440.64</f>
        <v>252273.97</v>
      </c>
      <c r="Y23" s="577">
        <f>77333.33+49689.39+42089.85</f>
        <v>169112.57</v>
      </c>
      <c r="Z23" s="577">
        <v>11667.0</v>
      </c>
      <c r="AA23" s="577">
        <v>11667.0</v>
      </c>
      <c r="AB23" s="577">
        <v>11667.0</v>
      </c>
      <c r="AC23" s="578">
        <f t="shared" si="4"/>
        <v>35001</v>
      </c>
      <c r="AD23" s="579">
        <f t="shared" si="5"/>
        <v>1872013.25</v>
      </c>
      <c r="AE23" s="558">
        <f>1000000*2+1173863.72</f>
        <v>3173863.72</v>
      </c>
      <c r="AF23" s="579">
        <f>110000*2+129125.01</f>
        <v>349125.01</v>
      </c>
      <c r="AG23" s="577">
        <f>77333.33*2+94473.87</f>
        <v>249140.53</v>
      </c>
      <c r="AH23" s="577">
        <v>11667.0</v>
      </c>
      <c r="AI23" s="577">
        <v>11667.0</v>
      </c>
      <c r="AJ23" s="577">
        <v>10000.0</v>
      </c>
      <c r="AK23" s="578">
        <f t="shared" si="36"/>
        <v>33334</v>
      </c>
      <c r="AL23" s="579">
        <f t="shared" si="7"/>
        <v>2575598.18</v>
      </c>
      <c r="AM23" s="579">
        <f>812666.67*2+950264.84</f>
        <v>2575598.18</v>
      </c>
      <c r="AN23" s="579">
        <f t="shared" si="8"/>
        <v>0</v>
      </c>
      <c r="AO23" s="577">
        <f t="shared" ref="AO23:AP23" si="44">F23+O23+W23+AE23</f>
        <v>6867263.51</v>
      </c>
      <c r="AP23" s="577">
        <f t="shared" si="44"/>
        <v>755398.98</v>
      </c>
      <c r="AQ23" s="577"/>
      <c r="AR23" s="577">
        <f t="shared" si="41"/>
        <v>519519.76</v>
      </c>
      <c r="AS23" s="577">
        <f t="shared" si="42"/>
        <v>91669</v>
      </c>
      <c r="AT23" s="577">
        <f t="shared" si="35"/>
        <v>824071.6212</v>
      </c>
      <c r="AU23" s="559"/>
      <c r="AV23" s="558"/>
    </row>
    <row r="24" ht="11.25" customHeight="1">
      <c r="A24" s="558"/>
      <c r="B24" s="574">
        <v>15.0</v>
      </c>
      <c r="C24" s="580" t="s">
        <v>532</v>
      </c>
      <c r="D24" s="558" t="s">
        <v>533</v>
      </c>
      <c r="E24" s="581" t="s">
        <v>534</v>
      </c>
      <c r="F24" s="558"/>
      <c r="G24" s="579"/>
      <c r="H24" s="577"/>
      <c r="I24" s="577"/>
      <c r="J24" s="577"/>
      <c r="K24" s="577"/>
      <c r="L24" s="577"/>
      <c r="M24" s="577"/>
      <c r="N24" s="577"/>
      <c r="O24" s="558"/>
      <c r="P24" s="579"/>
      <c r="Q24" s="577"/>
      <c r="R24" s="577"/>
      <c r="S24" s="577"/>
      <c r="T24" s="577"/>
      <c r="U24" s="578"/>
      <c r="V24" s="579"/>
      <c r="W24" s="558"/>
      <c r="X24" s="579"/>
      <c r="Y24" s="577"/>
      <c r="Z24" s="577"/>
      <c r="AA24" s="577"/>
      <c r="AB24" s="577"/>
      <c r="AC24" s="578"/>
      <c r="AD24" s="579"/>
      <c r="AE24" s="558">
        <v>723809.52</v>
      </c>
      <c r="AF24" s="579">
        <v>79619.05</v>
      </c>
      <c r="AG24" s="577">
        <v>52752.05</v>
      </c>
      <c r="AH24" s="577">
        <v>0.0</v>
      </c>
      <c r="AI24" s="577">
        <v>0.0</v>
      </c>
      <c r="AJ24" s="577">
        <v>11667.0</v>
      </c>
      <c r="AK24" s="578">
        <f t="shared" si="36"/>
        <v>11667</v>
      </c>
      <c r="AL24" s="579">
        <f t="shared" si="7"/>
        <v>591438.42</v>
      </c>
      <c r="AM24" s="579">
        <v>591438.43</v>
      </c>
      <c r="AN24" s="579">
        <f t="shared" si="8"/>
        <v>-0.01000000013</v>
      </c>
      <c r="AO24" s="577">
        <f t="shared" ref="AO24:AP24" si="45">F24+O24+W24+AE24</f>
        <v>723809.52</v>
      </c>
      <c r="AP24" s="577">
        <f t="shared" si="45"/>
        <v>79619.05</v>
      </c>
      <c r="AQ24" s="577"/>
      <c r="AR24" s="577">
        <f t="shared" si="41"/>
        <v>52752.05</v>
      </c>
      <c r="AS24" s="577">
        <f t="shared" si="42"/>
        <v>11667</v>
      </c>
      <c r="AT24" s="577">
        <f t="shared" si="35"/>
        <v>86857.1424</v>
      </c>
      <c r="AU24" s="559"/>
      <c r="AV24" s="558"/>
    </row>
    <row r="25" ht="11.25" customHeight="1">
      <c r="A25" s="558"/>
      <c r="B25" s="574">
        <v>16.0</v>
      </c>
      <c r="C25" s="580" t="s">
        <v>535</v>
      </c>
      <c r="D25" s="558" t="s">
        <v>536</v>
      </c>
      <c r="E25" s="583" t="s">
        <v>537</v>
      </c>
      <c r="F25" s="558"/>
      <c r="G25" s="579"/>
      <c r="H25" s="577"/>
      <c r="I25" s="577"/>
      <c r="J25" s="577"/>
      <c r="K25" s="577"/>
      <c r="L25" s="577"/>
      <c r="M25" s="577"/>
      <c r="N25" s="577"/>
      <c r="O25" s="558">
        <v>560000.0</v>
      </c>
      <c r="P25" s="579">
        <v>61600.0</v>
      </c>
      <c r="Q25" s="577">
        <v>36506.67</v>
      </c>
      <c r="R25" s="577">
        <v>0.0</v>
      </c>
      <c r="S25" s="577">
        <v>0.0</v>
      </c>
      <c r="T25" s="577">
        <v>13333.33</v>
      </c>
      <c r="U25" s="578">
        <f>SUM(R25:T25)</f>
        <v>13333.33</v>
      </c>
      <c r="V25" s="579">
        <f>+O25-P25-Q25</f>
        <v>461893.33</v>
      </c>
      <c r="W25" s="558">
        <f>560000+203636.36</f>
        <v>763636.36</v>
      </c>
      <c r="X25" s="579">
        <f>61600+22400</f>
        <v>84000</v>
      </c>
      <c r="Y25" s="577">
        <f>4790.31+36506.67</f>
        <v>41296.98</v>
      </c>
      <c r="Z25" s="577">
        <v>13333.33</v>
      </c>
      <c r="AA25" s="577">
        <v>13333.33</v>
      </c>
      <c r="AB25" s="577">
        <v>13333.3</v>
      </c>
      <c r="AC25" s="578">
        <f>SUM(Z25:AB25)</f>
        <v>39999.96</v>
      </c>
      <c r="AD25" s="579">
        <f>+W25-X25-Y25</f>
        <v>638339.38</v>
      </c>
      <c r="AE25" s="558">
        <v>0.0</v>
      </c>
      <c r="AF25" s="579">
        <v>0.0</v>
      </c>
      <c r="AG25" s="577">
        <v>0.0</v>
      </c>
      <c r="AH25" s="577">
        <v>13333.33</v>
      </c>
      <c r="AI25" s="577">
        <v>13333.33</v>
      </c>
      <c r="AJ25" s="577">
        <v>13333.3</v>
      </c>
      <c r="AK25" s="578">
        <f t="shared" si="36"/>
        <v>39999.96</v>
      </c>
      <c r="AL25" s="579">
        <f t="shared" si="7"/>
        <v>0</v>
      </c>
      <c r="AM25" s="579"/>
      <c r="AN25" s="579">
        <f t="shared" si="8"/>
        <v>0</v>
      </c>
      <c r="AO25" s="577">
        <f t="shared" ref="AO25:AP25" si="46">F25+O25+W25+AE25</f>
        <v>1323636.36</v>
      </c>
      <c r="AP25" s="577">
        <f t="shared" si="46"/>
        <v>145600</v>
      </c>
      <c r="AQ25" s="577"/>
      <c r="AR25" s="577">
        <f t="shared" si="41"/>
        <v>77803.65</v>
      </c>
      <c r="AS25" s="577">
        <f t="shared" si="42"/>
        <v>93333.25</v>
      </c>
      <c r="AT25" s="577">
        <f t="shared" si="35"/>
        <v>158836.3632</v>
      </c>
      <c r="AU25" s="559"/>
      <c r="AV25" s="558"/>
    </row>
    <row r="26" ht="11.25" customHeight="1">
      <c r="A26" s="565"/>
      <c r="B26" s="584"/>
      <c r="C26" s="585" t="s">
        <v>538</v>
      </c>
      <c r="D26" s="585"/>
      <c r="E26" s="586"/>
      <c r="F26" s="586">
        <f t="shared" ref="F26:AU26" si="47">SUM(F10:F25)</f>
        <v>132077439.6</v>
      </c>
      <c r="G26" s="586">
        <f t="shared" si="47"/>
        <v>6347282.84</v>
      </c>
      <c r="H26" s="586">
        <f t="shared" si="47"/>
        <v>12456347.31</v>
      </c>
      <c r="I26" s="586">
        <f t="shared" si="47"/>
        <v>112127.944</v>
      </c>
      <c r="J26" s="586">
        <f t="shared" si="47"/>
        <v>107127.944</v>
      </c>
      <c r="K26" s="586">
        <f t="shared" si="47"/>
        <v>113795.274</v>
      </c>
      <c r="L26" s="586">
        <f t="shared" si="47"/>
        <v>333051.162</v>
      </c>
      <c r="M26" s="586">
        <f t="shared" si="47"/>
        <v>333051.162</v>
      </c>
      <c r="N26" s="586">
        <f t="shared" si="47"/>
        <v>113273809.4</v>
      </c>
      <c r="O26" s="586">
        <f t="shared" si="47"/>
        <v>139365500.2</v>
      </c>
      <c r="P26" s="586">
        <f t="shared" si="47"/>
        <v>6782862.946</v>
      </c>
      <c r="Q26" s="586">
        <f t="shared" si="47"/>
        <v>13126596.04</v>
      </c>
      <c r="R26" s="586">
        <f t="shared" si="47"/>
        <v>102127.944</v>
      </c>
      <c r="S26" s="586">
        <f t="shared" si="47"/>
        <v>115461.944</v>
      </c>
      <c r="T26" s="586">
        <f t="shared" si="47"/>
        <v>123795.274</v>
      </c>
      <c r="U26" s="586">
        <f t="shared" si="47"/>
        <v>341385.162</v>
      </c>
      <c r="V26" s="586">
        <f t="shared" si="47"/>
        <v>119456041.2</v>
      </c>
      <c r="W26" s="586">
        <f t="shared" si="47"/>
        <v>359156371.2</v>
      </c>
      <c r="X26" s="586">
        <f t="shared" si="47"/>
        <v>6898189.86</v>
      </c>
      <c r="Y26" s="586">
        <f t="shared" si="47"/>
        <v>35080848.63</v>
      </c>
      <c r="Z26" s="586">
        <f t="shared" si="47"/>
        <v>123794.944</v>
      </c>
      <c r="AA26" s="586">
        <f t="shared" si="47"/>
        <v>118794.944</v>
      </c>
      <c r="AB26" s="586">
        <f t="shared" si="47"/>
        <v>132128.244</v>
      </c>
      <c r="AC26" s="586">
        <f t="shared" si="47"/>
        <v>374718.132</v>
      </c>
      <c r="AD26" s="586">
        <f t="shared" si="47"/>
        <v>317177332.7</v>
      </c>
      <c r="AE26" s="586">
        <f t="shared" si="47"/>
        <v>196654565.6</v>
      </c>
      <c r="AF26" s="586">
        <f t="shared" si="47"/>
        <v>6767359.43</v>
      </c>
      <c r="AG26" s="586">
        <f t="shared" si="47"/>
        <v>18868717.53</v>
      </c>
      <c r="AH26" s="586">
        <f t="shared" si="47"/>
        <v>285766.674</v>
      </c>
      <c r="AI26" s="586">
        <f t="shared" si="47"/>
        <v>132128.274</v>
      </c>
      <c r="AJ26" s="586">
        <f t="shared" si="47"/>
        <v>122128.244</v>
      </c>
      <c r="AK26" s="586">
        <f t="shared" si="47"/>
        <v>540023.192</v>
      </c>
      <c r="AL26" s="586">
        <f t="shared" si="47"/>
        <v>171018488.7</v>
      </c>
      <c r="AM26" s="586">
        <f t="shared" si="47"/>
        <v>171018490.4</v>
      </c>
      <c r="AN26" s="586">
        <f t="shared" si="47"/>
        <v>-1.718000004</v>
      </c>
      <c r="AO26" s="586">
        <f t="shared" si="47"/>
        <v>828461631.1</v>
      </c>
      <c r="AP26" s="586">
        <f t="shared" si="47"/>
        <v>26795695.08</v>
      </c>
      <c r="AQ26" s="586">
        <f t="shared" si="47"/>
        <v>63325.7</v>
      </c>
      <c r="AR26" s="586">
        <f t="shared" si="47"/>
        <v>79001099.69</v>
      </c>
      <c r="AS26" s="586">
        <f t="shared" si="47"/>
        <v>1529180.948</v>
      </c>
      <c r="AT26" s="586">
        <f t="shared" si="47"/>
        <v>99020189.82</v>
      </c>
      <c r="AU26" s="586" t="str">
        <f t="shared" si="47"/>
        <v>#ERROR!</v>
      </c>
      <c r="AV26" s="558"/>
    </row>
    <row r="27" ht="21.0" customHeight="1">
      <c r="A27" s="558"/>
      <c r="B27" s="559"/>
      <c r="C27" s="558"/>
      <c r="D27" s="558"/>
      <c r="E27" s="558"/>
      <c r="F27" s="558">
        <f>+F26-Sheet3!H7</f>
        <v>-903136.7828</v>
      </c>
      <c r="G27" s="558"/>
      <c r="H27" s="558">
        <f>+H26-4267519.72-4044280.64-3928164.91</f>
        <v>216382.042</v>
      </c>
      <c r="I27" s="558"/>
      <c r="J27" s="558"/>
      <c r="K27" s="558"/>
      <c r="L27" s="558"/>
      <c r="M27" s="558"/>
      <c r="N27" s="558"/>
      <c r="O27" s="587">
        <v>1.4136550176E8</v>
      </c>
      <c r="P27" s="558"/>
      <c r="Q27" s="558">
        <f>+Q26-4307791.94-4178051.26-4594036.18</f>
        <v>46716.66339</v>
      </c>
      <c r="R27" s="558"/>
      <c r="S27" s="558"/>
      <c r="T27" s="558"/>
      <c r="U27" s="558"/>
      <c r="V27" s="558"/>
      <c r="W27" s="587">
        <f>+W26-49017201.53-264188613.18-45950556.29</f>
        <v>0.220000051</v>
      </c>
      <c r="X27" s="558">
        <f>+X26-2491327.83-2160276.78-2246584.11</f>
        <v>1.140000001</v>
      </c>
      <c r="Y27" s="558">
        <f>+Y26-4533792.72-26084069.54-4246602.57</f>
        <v>216383.802</v>
      </c>
      <c r="Z27" s="558"/>
      <c r="AA27" s="558"/>
      <c r="AB27" s="558"/>
      <c r="AC27" s="558"/>
      <c r="AD27" s="558"/>
      <c r="AE27" s="587">
        <f>+AE26-61262166.84-48381581.21-87010818.25</f>
        <v>-0.6800000072</v>
      </c>
      <c r="AF27" s="558"/>
      <c r="AG27" s="558"/>
      <c r="AH27" s="558"/>
      <c r="AI27" s="558"/>
      <c r="AJ27" s="558"/>
      <c r="AK27" s="558"/>
      <c r="AL27" s="558"/>
      <c r="AM27" s="558"/>
      <c r="AN27" s="558"/>
      <c r="AO27" s="588">
        <f>+Sheet3!H18-'ТТ-11-1'!AO26</f>
        <v>0.02721631527</v>
      </c>
      <c r="AP27" s="589">
        <f>+AP26-Sheet3!G71+Sheet3!F58</f>
        <v>3.323776949</v>
      </c>
      <c r="AQ27" s="589"/>
      <c r="AR27" s="588">
        <f>+AR26-Sheet3!G96</f>
        <v>253128.8639</v>
      </c>
      <c r="AS27" s="589"/>
      <c r="AT27" s="588">
        <f>+AT26-Sheet3!H39</f>
        <v>-0.1256619841</v>
      </c>
      <c r="AU27" s="559"/>
      <c r="AV27" s="558"/>
    </row>
    <row r="28" ht="11.25" customHeight="1">
      <c r="A28" s="558"/>
      <c r="B28" s="559"/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90">
        <f>+O27-O26</f>
        <v>2000001.54</v>
      </c>
      <c r="P28" s="587" t="str">
        <f>+[7]Sheet1!$H$19+[7]Sheet1!$H$24+[7]Sheet1!$H$39+[7]Sheet1!$H$31</f>
        <v>#ERROR!</v>
      </c>
      <c r="Q28" s="587"/>
      <c r="R28" s="591"/>
      <c r="S28" s="591"/>
      <c r="T28" s="591"/>
      <c r="U28" s="558"/>
      <c r="V28" s="558"/>
      <c r="W28" s="590"/>
      <c r="X28" s="587"/>
      <c r="Y28" s="587"/>
      <c r="Z28" s="591"/>
      <c r="AA28" s="591"/>
      <c r="AB28" s="591"/>
      <c r="AC28" s="558"/>
      <c r="AD28" s="558"/>
      <c r="AE28" s="590"/>
      <c r="AF28" s="587"/>
      <c r="AG28" s="587"/>
      <c r="AH28" s="591"/>
      <c r="AI28" s="591"/>
      <c r="AJ28" s="591"/>
      <c r="AK28" s="558"/>
      <c r="AL28" s="558"/>
      <c r="AM28" s="558"/>
      <c r="AN28" s="558"/>
      <c r="AO28" s="589"/>
      <c r="AP28" s="589"/>
      <c r="AQ28" s="589"/>
      <c r="AR28" s="589">
        <f>+AR27-Sheet3!F86</f>
        <v>83462.19389</v>
      </c>
      <c r="AS28" s="589"/>
      <c r="AT28" s="589"/>
      <c r="AU28" s="559"/>
      <c r="AV28" s="558"/>
    </row>
    <row r="29" ht="11.25" customHeight="1">
      <c r="A29" s="558"/>
      <c r="B29" s="559"/>
      <c r="C29" s="558"/>
      <c r="D29" s="558"/>
      <c r="E29" s="558" t="s">
        <v>57</v>
      </c>
      <c r="F29" s="558"/>
      <c r="G29" s="558"/>
      <c r="H29" s="558"/>
      <c r="I29" s="558"/>
      <c r="J29" s="558"/>
      <c r="K29" s="558"/>
      <c r="L29" s="558"/>
      <c r="M29" s="558"/>
      <c r="N29" s="558" t="s">
        <v>172</v>
      </c>
      <c r="O29" s="558"/>
      <c r="P29" s="587"/>
      <c r="Q29" s="558"/>
      <c r="R29" s="558"/>
      <c r="S29" s="558"/>
      <c r="T29" s="558"/>
      <c r="U29" s="590"/>
      <c r="V29" s="558"/>
      <c r="W29" s="558"/>
      <c r="X29" s="587"/>
      <c r="Y29" s="587"/>
      <c r="Z29" s="558"/>
      <c r="AA29" s="558"/>
      <c r="AB29" s="558"/>
      <c r="AC29" s="590"/>
      <c r="AD29" s="558"/>
      <c r="AE29" s="558"/>
      <c r="AF29" s="587"/>
      <c r="AG29" s="587"/>
      <c r="AH29" s="558"/>
      <c r="AI29" s="558"/>
      <c r="AJ29" s="558"/>
      <c r="AK29" s="590"/>
      <c r="AL29" s="558"/>
      <c r="AM29" s="558"/>
      <c r="AN29" s="558"/>
      <c r="AO29" s="589"/>
      <c r="AP29" s="589"/>
      <c r="AQ29" s="589"/>
      <c r="AR29" s="589">
        <f>+AR28-AQ26</f>
        <v>20136.49389</v>
      </c>
      <c r="AS29" s="589"/>
      <c r="AT29" s="588"/>
      <c r="AU29" s="559"/>
      <c r="AV29" s="558"/>
    </row>
    <row r="30" ht="11.25" customHeight="1">
      <c r="A30" s="558"/>
      <c r="B30" s="559"/>
      <c r="C30" s="558"/>
      <c r="D30" s="558"/>
      <c r="E30" s="558" t="s">
        <v>61</v>
      </c>
      <c r="F30" s="558"/>
      <c r="G30" s="558"/>
      <c r="H30" s="558"/>
      <c r="I30" s="558"/>
      <c r="J30" s="558"/>
      <c r="K30" s="558"/>
      <c r="L30" s="558"/>
      <c r="M30" s="558"/>
      <c r="N30" s="558" t="s">
        <v>63</v>
      </c>
      <c r="O30" s="558"/>
      <c r="P30" s="558"/>
      <c r="Q30" s="558"/>
      <c r="R30" s="558"/>
      <c r="S30" s="558"/>
      <c r="T30" s="558"/>
      <c r="U30" s="558"/>
      <c r="V30" s="558"/>
      <c r="W30" s="558"/>
      <c r="X30" s="558"/>
      <c r="Y30" s="558">
        <f>+Y14+Y15</f>
        <v>216383.832</v>
      </c>
      <c r="Z30" s="558"/>
      <c r="AA30" s="558"/>
      <c r="AB30" s="558"/>
      <c r="AC30" s="558"/>
      <c r="AD30" s="558"/>
      <c r="AE30" s="558"/>
      <c r="AF30" s="558"/>
      <c r="AG30" s="558"/>
      <c r="AH30" s="558"/>
      <c r="AI30" s="558"/>
      <c r="AJ30" s="558"/>
      <c r="AK30" s="558"/>
      <c r="AL30" s="558" t="str">
        <f>+#REF!-#REF!</f>
        <v>#REF!</v>
      </c>
      <c r="AM30" s="558"/>
      <c r="AN30" s="558"/>
      <c r="AO30" s="589"/>
      <c r="AP30" s="589"/>
      <c r="AQ30" s="589"/>
      <c r="AR30" s="589"/>
      <c r="AS30" s="589"/>
      <c r="AT30" s="589"/>
      <c r="AU30" s="559"/>
      <c r="AV30" s="558"/>
    </row>
    <row r="31" ht="11.25" customHeight="1">
      <c r="A31" s="558"/>
      <c r="B31" s="559"/>
      <c r="C31" s="558"/>
      <c r="D31" s="558"/>
      <c r="E31" s="558"/>
      <c r="F31" s="558"/>
      <c r="G31" s="558"/>
      <c r="H31" s="558"/>
      <c r="I31" s="558"/>
      <c r="J31" s="558"/>
      <c r="K31" s="558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8"/>
      <c r="AM31" s="558"/>
      <c r="AN31" s="558"/>
      <c r="AO31" s="589"/>
      <c r="AP31" s="589"/>
      <c r="AQ31" s="589"/>
      <c r="AR31" s="589"/>
      <c r="AS31" s="589"/>
      <c r="AT31" s="589"/>
      <c r="AU31" s="559"/>
      <c r="AV31" s="558"/>
    </row>
    <row r="32" ht="11.25" customHeight="1">
      <c r="A32" s="558"/>
      <c r="B32" s="559"/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  <c r="Y32" s="558"/>
      <c r="Z32" s="558"/>
      <c r="AA32" s="558"/>
      <c r="AB32" s="558"/>
      <c r="AC32" s="558"/>
      <c r="AD32" s="558"/>
      <c r="AE32" s="558"/>
      <c r="AF32" s="558"/>
      <c r="AG32" s="558"/>
      <c r="AH32" s="558"/>
      <c r="AI32" s="558"/>
      <c r="AJ32" s="558"/>
      <c r="AK32" s="558"/>
      <c r="AL32" s="558"/>
      <c r="AM32" s="558"/>
      <c r="AN32" s="558"/>
      <c r="AO32" s="589"/>
      <c r="AP32" s="589"/>
      <c r="AQ32" s="589"/>
      <c r="AR32" s="589"/>
      <c r="AS32" s="589"/>
      <c r="AT32" s="589"/>
      <c r="AU32" s="559"/>
      <c r="AV32" s="558"/>
    </row>
    <row r="33" ht="11.25" customHeight="1">
      <c r="A33" s="558"/>
      <c r="B33" s="559"/>
      <c r="C33" s="558"/>
      <c r="D33" s="558"/>
      <c r="E33" s="558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  <c r="Q33" s="558"/>
      <c r="R33" s="558"/>
      <c r="S33" s="558"/>
      <c r="T33" s="558"/>
      <c r="U33" s="558"/>
      <c r="V33" s="558"/>
      <c r="W33" s="558"/>
      <c r="X33" s="558"/>
      <c r="Y33" s="558"/>
      <c r="Z33" s="558"/>
      <c r="AA33" s="558"/>
      <c r="AB33" s="558"/>
      <c r="AC33" s="558"/>
      <c r="AD33" s="558"/>
      <c r="AE33" s="558"/>
      <c r="AF33" s="558"/>
      <c r="AG33" s="558"/>
      <c r="AH33" s="558"/>
      <c r="AI33" s="558"/>
      <c r="AJ33" s="558"/>
      <c r="AK33" s="558"/>
      <c r="AL33" s="558"/>
      <c r="AM33" s="558"/>
      <c r="AN33" s="558"/>
      <c r="AO33" s="589"/>
      <c r="AP33" s="589"/>
      <c r="AQ33" s="589"/>
      <c r="AR33" s="589"/>
      <c r="AS33" s="589"/>
      <c r="AT33" s="589"/>
      <c r="AU33" s="559"/>
      <c r="AV33" s="558"/>
    </row>
    <row r="34" ht="11.25" customHeight="1">
      <c r="A34" s="558"/>
      <c r="B34" s="559"/>
      <c r="C34" s="558"/>
      <c r="D34" s="558"/>
      <c r="E34" s="558"/>
      <c r="F34" s="558"/>
      <c r="G34" s="558"/>
      <c r="H34" s="558"/>
      <c r="I34" s="558"/>
      <c r="J34" s="558"/>
      <c r="K34" s="558"/>
      <c r="L34" s="558"/>
      <c r="M34" s="558"/>
      <c r="N34" s="558"/>
      <c r="O34" s="558"/>
      <c r="P34" s="558"/>
      <c r="Q34" s="558"/>
      <c r="R34" s="558"/>
      <c r="S34" s="558"/>
      <c r="T34" s="558"/>
      <c r="U34" s="558"/>
      <c r="V34" s="558"/>
      <c r="W34" s="558"/>
      <c r="X34" s="558"/>
      <c r="Y34" s="558">
        <f>+Y29-Y30</f>
        <v>-216383.832</v>
      </c>
      <c r="Z34" s="558"/>
      <c r="AA34" s="558"/>
      <c r="AB34" s="558"/>
      <c r="AC34" s="558"/>
      <c r="AD34" s="558"/>
      <c r="AE34" s="558"/>
      <c r="AF34" s="558"/>
      <c r="AG34" s="558"/>
      <c r="AH34" s="558"/>
      <c r="AI34" s="558"/>
      <c r="AJ34" s="558"/>
      <c r="AK34" s="558"/>
      <c r="AL34" s="558" t="str">
        <f>+AL30*0.1</f>
        <v>#REF!</v>
      </c>
      <c r="AM34" s="558"/>
      <c r="AN34" s="558"/>
      <c r="AO34" s="589"/>
      <c r="AP34" s="589"/>
      <c r="AQ34" s="589"/>
      <c r="AR34" s="589"/>
      <c r="AS34" s="589"/>
      <c r="AT34" s="589"/>
      <c r="AU34" s="559"/>
      <c r="AV34" s="558"/>
    </row>
    <row r="35" ht="11.25" customHeight="1">
      <c r="A35" s="558"/>
      <c r="B35" s="559"/>
      <c r="C35" s="558">
        <f>+B25</f>
        <v>16</v>
      </c>
      <c r="D35" s="592">
        <v>1.0</v>
      </c>
      <c r="E35" s="558"/>
      <c r="F35" s="558"/>
      <c r="G35" s="558"/>
      <c r="H35" s="558"/>
      <c r="I35" s="558"/>
      <c r="J35" s="558"/>
      <c r="K35" s="558"/>
      <c r="L35" s="558"/>
      <c r="M35" s="558"/>
      <c r="N35" s="558"/>
      <c r="O35" s="558"/>
      <c r="P35" s="558"/>
      <c r="Q35" s="558"/>
      <c r="R35" s="558"/>
      <c r="S35" s="558"/>
      <c r="T35" s="558"/>
      <c r="U35" s="558"/>
      <c r="V35" s="558"/>
      <c r="W35" s="558"/>
      <c r="X35" s="558"/>
      <c r="Y35" s="558"/>
      <c r="Z35" s="558"/>
      <c r="AA35" s="558"/>
      <c r="AB35" s="558"/>
      <c r="AC35" s="558"/>
      <c r="AD35" s="558"/>
      <c r="AE35" s="558"/>
      <c r="AF35" s="558"/>
      <c r="AG35" s="558"/>
      <c r="AH35" s="558"/>
      <c r="AI35" s="558"/>
      <c r="AJ35" s="558"/>
      <c r="AK35" s="558"/>
      <c r="AL35" s="558" t="str">
        <f>+AL34-AX26</f>
        <v>#REF!</v>
      </c>
      <c r="AM35" s="558"/>
      <c r="AN35" s="558"/>
      <c r="AO35" s="593">
        <f>+AD35+169666.67-60184279.6</f>
        <v>-60014612.93</v>
      </c>
      <c r="AP35" s="558"/>
      <c r="AQ35" s="558"/>
      <c r="AR35" s="558"/>
      <c r="AS35" s="558"/>
      <c r="AT35" s="558"/>
      <c r="AU35" s="559"/>
      <c r="AV35" s="558"/>
    </row>
    <row r="36" ht="11.25" customHeight="1">
      <c r="A36" s="558"/>
      <c r="B36" s="559"/>
      <c r="C36" s="558">
        <v>2.0</v>
      </c>
      <c r="D36" s="592">
        <f>+(D35*C36)/C35</f>
        <v>0.125</v>
      </c>
      <c r="E36" s="558"/>
      <c r="F36" s="558"/>
      <c r="G36" s="558"/>
      <c r="H36" s="558"/>
      <c r="I36" s="558"/>
      <c r="J36" s="558"/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8"/>
      <c r="X36" s="558"/>
      <c r="Y36" s="558"/>
      <c r="Z36" s="558"/>
      <c r="AA36" s="558"/>
      <c r="AB36" s="558"/>
      <c r="AC36" s="558"/>
      <c r="AD36" s="558"/>
      <c r="AE36" s="558"/>
      <c r="AF36" s="558"/>
      <c r="AG36" s="558"/>
      <c r="AH36" s="558"/>
      <c r="AI36" s="558"/>
      <c r="AJ36" s="558"/>
      <c r="AK36" s="558"/>
      <c r="AL36" s="558"/>
      <c r="AM36" s="558"/>
      <c r="AN36" s="558"/>
      <c r="AO36" s="558"/>
      <c r="AP36" s="558"/>
      <c r="AQ36" s="558"/>
      <c r="AR36" s="558"/>
      <c r="AS36" s="558"/>
      <c r="AT36" s="558"/>
      <c r="AU36" s="559"/>
      <c r="AV36" s="558"/>
    </row>
    <row r="37" ht="11.25" customHeight="1">
      <c r="A37" s="565"/>
      <c r="B37" s="181"/>
      <c r="C37" s="565"/>
      <c r="D37" s="565"/>
      <c r="E37" s="565"/>
      <c r="F37" s="565"/>
      <c r="G37" s="565"/>
      <c r="H37" s="565"/>
      <c r="I37" s="565"/>
      <c r="J37" s="565"/>
      <c r="K37" s="565"/>
      <c r="L37" s="565"/>
      <c r="M37" s="565"/>
      <c r="N37" s="565"/>
      <c r="O37" s="565"/>
      <c r="P37" s="565"/>
      <c r="Q37" s="565"/>
      <c r="R37" s="565"/>
      <c r="S37" s="565"/>
      <c r="T37" s="565"/>
      <c r="U37" s="565"/>
      <c r="V37" s="565"/>
      <c r="W37" s="565"/>
      <c r="X37" s="565"/>
      <c r="Y37" s="565"/>
      <c r="Z37" s="565"/>
      <c r="AA37" s="565"/>
      <c r="AB37" s="565"/>
      <c r="AC37" s="565"/>
      <c r="AD37" s="565"/>
      <c r="AE37" s="565"/>
      <c r="AF37" s="565"/>
      <c r="AG37" s="565"/>
      <c r="AH37" s="565"/>
      <c r="AI37" s="565"/>
      <c r="AJ37" s="565"/>
      <c r="AK37" s="565"/>
      <c r="AL37" s="565"/>
      <c r="AM37" s="565"/>
      <c r="AN37" s="565"/>
      <c r="AO37" s="565"/>
      <c r="AP37" s="565"/>
      <c r="AQ37" s="565"/>
      <c r="AR37" s="565"/>
      <c r="AS37" s="565"/>
      <c r="AT37" s="565"/>
      <c r="AU37" s="181"/>
      <c r="AV37" s="558"/>
    </row>
    <row r="38" ht="11.25" customHeight="1">
      <c r="A38" s="565"/>
      <c r="B38" s="181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181"/>
      <c r="AV38" s="558"/>
    </row>
    <row r="39" ht="11.25" customHeight="1">
      <c r="A39" s="565"/>
      <c r="B39" s="181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181"/>
      <c r="AV39" s="558"/>
    </row>
    <row r="40" ht="11.25" customHeight="1">
      <c r="A40" s="565"/>
      <c r="B40" s="181"/>
      <c r="C40" s="565"/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181"/>
      <c r="AV40" s="558"/>
    </row>
    <row r="41" ht="11.25" customHeight="1">
      <c r="A41" s="565"/>
      <c r="B41" s="181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181"/>
      <c r="AV41" s="558"/>
    </row>
    <row r="42" ht="11.25" customHeight="1">
      <c r="A42" s="565"/>
      <c r="B42" s="181"/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181"/>
      <c r="AV42" s="558"/>
    </row>
    <row r="43" ht="11.25" customHeight="1">
      <c r="A43" s="565"/>
      <c r="B43" s="181"/>
      <c r="C43" s="565"/>
      <c r="D43" s="565"/>
      <c r="E43" s="565"/>
      <c r="F43" s="565"/>
      <c r="G43" s="565"/>
      <c r="H43" s="565"/>
      <c r="I43" s="565"/>
      <c r="J43" s="565"/>
      <c r="K43" s="565"/>
      <c r="L43" s="565"/>
      <c r="M43" s="565"/>
      <c r="N43" s="565"/>
      <c r="O43" s="565"/>
      <c r="P43" s="565"/>
      <c r="Q43" s="565"/>
      <c r="R43" s="565"/>
      <c r="S43" s="565"/>
      <c r="T43" s="565"/>
      <c r="U43" s="565"/>
      <c r="V43" s="565"/>
      <c r="W43" s="565"/>
      <c r="X43" s="565"/>
      <c r="Y43" s="565"/>
      <c r="Z43" s="565"/>
      <c r="AA43" s="565"/>
      <c r="AB43" s="565"/>
      <c r="AC43" s="565"/>
      <c r="AD43" s="565"/>
      <c r="AE43" s="565"/>
      <c r="AF43" s="565"/>
      <c r="AG43" s="565"/>
      <c r="AH43" s="565"/>
      <c r="AI43" s="565"/>
      <c r="AJ43" s="565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181"/>
      <c r="AV43" s="558"/>
    </row>
    <row r="44" ht="11.25" customHeight="1">
      <c r="A44" s="565"/>
      <c r="B44" s="181"/>
      <c r="C44" s="565"/>
      <c r="D44" s="565"/>
      <c r="E44" s="565"/>
      <c r="F44" s="565"/>
      <c r="G44" s="565"/>
      <c r="H44" s="565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181"/>
      <c r="AV44" s="558"/>
    </row>
    <row r="45" ht="11.25" customHeight="1">
      <c r="A45" s="565"/>
      <c r="B45" s="181"/>
      <c r="C45" s="565"/>
      <c r="D45" s="565"/>
      <c r="E45" s="565"/>
      <c r="F45" s="565"/>
      <c r="G45" s="565"/>
      <c r="H45" s="565"/>
      <c r="I45" s="565"/>
      <c r="J45" s="565"/>
      <c r="K45" s="565"/>
      <c r="L45" s="565"/>
      <c r="M45" s="565"/>
      <c r="N45" s="565"/>
      <c r="O45" s="565"/>
      <c r="P45" s="565"/>
      <c r="Q45" s="565"/>
      <c r="R45" s="565"/>
      <c r="S45" s="565"/>
      <c r="T45" s="565"/>
      <c r="U45" s="565"/>
      <c r="V45" s="565"/>
      <c r="W45" s="565"/>
      <c r="X45" s="565"/>
      <c r="Y45" s="565"/>
      <c r="Z45" s="565"/>
      <c r="AA45" s="565"/>
      <c r="AB45" s="565"/>
      <c r="AC45" s="565"/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181"/>
      <c r="AV45" s="558"/>
    </row>
    <row r="46" ht="11.25" customHeight="1">
      <c r="A46" s="565"/>
      <c r="B46" s="181"/>
      <c r="C46" s="565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181"/>
      <c r="AV46" s="558"/>
    </row>
    <row r="47" ht="11.25" customHeight="1">
      <c r="A47" s="565"/>
      <c r="B47" s="181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181"/>
      <c r="AV47" s="558"/>
    </row>
    <row r="48" ht="11.25" customHeight="1">
      <c r="A48" s="565"/>
      <c r="B48" s="181"/>
      <c r="C48" s="565"/>
      <c r="D48" s="565"/>
      <c r="E48" s="565"/>
      <c r="F48" s="565"/>
      <c r="G48" s="565"/>
      <c r="H48" s="565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181"/>
      <c r="AV48" s="558"/>
    </row>
    <row r="49" ht="11.25" customHeight="1">
      <c r="A49" s="565"/>
      <c r="B49" s="181"/>
      <c r="C49" s="565"/>
      <c r="D49" s="565"/>
      <c r="E49" s="565"/>
      <c r="F49" s="565"/>
      <c r="G49" s="565"/>
      <c r="H49" s="565"/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5"/>
      <c r="T49" s="565"/>
      <c r="U49" s="565"/>
      <c r="V49" s="565"/>
      <c r="W49" s="565"/>
      <c r="X49" s="565"/>
      <c r="Y49" s="565"/>
      <c r="Z49" s="565"/>
      <c r="AA49" s="565"/>
      <c r="AB49" s="565"/>
      <c r="AC49" s="565"/>
      <c r="AD49" s="565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181"/>
      <c r="AV49" s="558"/>
    </row>
    <row r="50" ht="11.25" customHeight="1">
      <c r="A50" s="565"/>
      <c r="B50" s="181"/>
      <c r="C50" s="565"/>
      <c r="D50" s="565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5"/>
      <c r="P50" s="565"/>
      <c r="Q50" s="565"/>
      <c r="R50" s="565"/>
      <c r="S50" s="565"/>
      <c r="T50" s="565"/>
      <c r="U50" s="565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181"/>
      <c r="AV50" s="558"/>
    </row>
    <row r="51" ht="11.25" customHeight="1">
      <c r="A51" s="565"/>
      <c r="B51" s="181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181"/>
      <c r="AV51" s="558"/>
    </row>
    <row r="52" ht="11.25" customHeight="1">
      <c r="A52" s="565"/>
      <c r="B52" s="181"/>
      <c r="C52" s="565"/>
      <c r="D52" s="565"/>
      <c r="E52" s="565"/>
      <c r="F52" s="565"/>
      <c r="G52" s="565"/>
      <c r="H52" s="565"/>
      <c r="I52" s="565"/>
      <c r="J52" s="565"/>
      <c r="K52" s="565"/>
      <c r="L52" s="565"/>
      <c r="M52" s="565"/>
      <c r="N52" s="565"/>
      <c r="O52" s="565"/>
      <c r="P52" s="565"/>
      <c r="Q52" s="565"/>
      <c r="R52" s="565"/>
      <c r="S52" s="565"/>
      <c r="T52" s="565"/>
      <c r="U52" s="565"/>
      <c r="V52" s="565"/>
      <c r="W52" s="565"/>
      <c r="X52" s="565"/>
      <c r="Y52" s="565"/>
      <c r="Z52" s="565"/>
      <c r="AA52" s="565"/>
      <c r="AB52" s="565"/>
      <c r="AC52" s="565"/>
      <c r="AD52" s="565"/>
      <c r="AE52" s="565"/>
      <c r="AF52" s="565"/>
      <c r="AG52" s="565"/>
      <c r="AH52" s="565"/>
      <c r="AI52" s="565"/>
      <c r="AJ52" s="565"/>
      <c r="AK52" s="565"/>
      <c r="AL52" s="565"/>
      <c r="AM52" s="565"/>
      <c r="AN52" s="565"/>
      <c r="AO52" s="565"/>
      <c r="AP52" s="565"/>
      <c r="AQ52" s="565"/>
      <c r="AR52" s="565"/>
      <c r="AS52" s="565"/>
      <c r="AT52" s="565"/>
      <c r="AU52" s="181"/>
      <c r="AV52" s="558"/>
    </row>
    <row r="53" ht="11.25" customHeight="1">
      <c r="A53" s="565"/>
      <c r="B53" s="181"/>
      <c r="C53" s="565"/>
      <c r="D53" s="565"/>
      <c r="E53" s="565"/>
      <c r="F53" s="565"/>
      <c r="G53" s="565"/>
      <c r="H53" s="565"/>
      <c r="I53" s="565"/>
      <c r="J53" s="565"/>
      <c r="K53" s="565"/>
      <c r="L53" s="565"/>
      <c r="M53" s="565"/>
      <c r="N53" s="565"/>
      <c r="O53" s="565"/>
      <c r="P53" s="565"/>
      <c r="Q53" s="565"/>
      <c r="R53" s="565"/>
      <c r="S53" s="565"/>
      <c r="T53" s="565"/>
      <c r="U53" s="565"/>
      <c r="V53" s="565"/>
      <c r="W53" s="565"/>
      <c r="X53" s="565"/>
      <c r="Y53" s="565"/>
      <c r="Z53" s="565"/>
      <c r="AA53" s="565"/>
      <c r="AB53" s="565"/>
      <c r="AC53" s="565"/>
      <c r="AD53" s="565"/>
      <c r="AE53" s="565"/>
      <c r="AF53" s="565"/>
      <c r="AG53" s="565"/>
      <c r="AH53" s="565"/>
      <c r="AI53" s="565"/>
      <c r="AJ53" s="565"/>
      <c r="AK53" s="565"/>
      <c r="AL53" s="565"/>
      <c r="AM53" s="565"/>
      <c r="AN53" s="565"/>
      <c r="AO53" s="565"/>
      <c r="AP53" s="565"/>
      <c r="AQ53" s="565"/>
      <c r="AR53" s="565"/>
      <c r="AS53" s="565"/>
      <c r="AT53" s="565"/>
      <c r="AU53" s="181"/>
      <c r="AV53" s="558"/>
    </row>
    <row r="54" ht="11.25" customHeight="1">
      <c r="A54" s="565"/>
      <c r="B54" s="181"/>
      <c r="C54" s="565"/>
      <c r="D54" s="565"/>
      <c r="E54" s="565"/>
      <c r="F54" s="565"/>
      <c r="G54" s="565"/>
      <c r="H54" s="565"/>
      <c r="I54" s="565"/>
      <c r="J54" s="565"/>
      <c r="K54" s="565"/>
      <c r="L54" s="565"/>
      <c r="M54" s="565"/>
      <c r="N54" s="565"/>
      <c r="O54" s="565"/>
      <c r="P54" s="565"/>
      <c r="Q54" s="565"/>
      <c r="R54" s="565"/>
      <c r="S54" s="565"/>
      <c r="T54" s="565"/>
      <c r="U54" s="565"/>
      <c r="V54" s="565"/>
      <c r="W54" s="565"/>
      <c r="X54" s="565"/>
      <c r="Y54" s="565"/>
      <c r="Z54" s="565"/>
      <c r="AA54" s="565"/>
      <c r="AB54" s="565"/>
      <c r="AC54" s="565"/>
      <c r="AD54" s="565"/>
      <c r="AE54" s="565"/>
      <c r="AF54" s="565"/>
      <c r="AG54" s="565"/>
      <c r="AH54" s="565"/>
      <c r="AI54" s="565"/>
      <c r="AJ54" s="565"/>
      <c r="AK54" s="565"/>
      <c r="AL54" s="565"/>
      <c r="AM54" s="565"/>
      <c r="AN54" s="565"/>
      <c r="AO54" s="565"/>
      <c r="AP54" s="565"/>
      <c r="AQ54" s="565"/>
      <c r="AR54" s="565"/>
      <c r="AS54" s="565"/>
      <c r="AT54" s="565"/>
      <c r="AU54" s="181"/>
      <c r="AV54" s="558"/>
    </row>
    <row r="55" ht="11.25" customHeight="1">
      <c r="A55" s="565"/>
      <c r="B55" s="181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  <c r="N55" s="565"/>
      <c r="O55" s="565"/>
      <c r="P55" s="565"/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65"/>
      <c r="AR55" s="565"/>
      <c r="AS55" s="565"/>
      <c r="AT55" s="565"/>
      <c r="AU55" s="181"/>
      <c r="AV55" s="558"/>
    </row>
    <row r="56" ht="11.25" customHeight="1">
      <c r="A56" s="565"/>
      <c r="B56" s="181"/>
      <c r="C56" s="565"/>
      <c r="D56" s="565"/>
      <c r="E56" s="565"/>
      <c r="F56" s="565"/>
      <c r="G56" s="565"/>
      <c r="H56" s="565"/>
      <c r="I56" s="565"/>
      <c r="J56" s="565"/>
      <c r="K56" s="565"/>
      <c r="L56" s="565"/>
      <c r="M56" s="565"/>
      <c r="N56" s="565"/>
      <c r="O56" s="565"/>
      <c r="P56" s="565"/>
      <c r="Q56" s="565"/>
      <c r="R56" s="565"/>
      <c r="S56" s="565"/>
      <c r="T56" s="565"/>
      <c r="U56" s="565"/>
      <c r="V56" s="565"/>
      <c r="W56" s="565"/>
      <c r="X56" s="565"/>
      <c r="Y56" s="565"/>
      <c r="Z56" s="565"/>
      <c r="AA56" s="565"/>
      <c r="AB56" s="565"/>
      <c r="AC56" s="565"/>
      <c r="AD56" s="565"/>
      <c r="AE56" s="565"/>
      <c r="AF56" s="565"/>
      <c r="AG56" s="565"/>
      <c r="AH56" s="565"/>
      <c r="AI56" s="565"/>
      <c r="AJ56" s="565"/>
      <c r="AK56" s="565"/>
      <c r="AL56" s="565"/>
      <c r="AM56" s="565"/>
      <c r="AN56" s="565"/>
      <c r="AO56" s="565"/>
      <c r="AP56" s="565"/>
      <c r="AQ56" s="565"/>
      <c r="AR56" s="565"/>
      <c r="AS56" s="565"/>
      <c r="AT56" s="565"/>
      <c r="AU56" s="181"/>
      <c r="AV56" s="558"/>
    </row>
    <row r="57" ht="11.25" customHeight="1">
      <c r="A57" s="565"/>
      <c r="B57" s="181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  <c r="N57" s="565"/>
      <c r="O57" s="565"/>
      <c r="P57" s="565"/>
      <c r="Q57" s="565"/>
      <c r="R57" s="565"/>
      <c r="S57" s="565"/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65"/>
      <c r="AS57" s="565"/>
      <c r="AT57" s="565"/>
      <c r="AU57" s="181"/>
      <c r="AV57" s="558"/>
    </row>
    <row r="58" ht="11.25" customHeight="1">
      <c r="A58" s="565"/>
      <c r="B58" s="181"/>
      <c r="C58" s="565"/>
      <c r="D58" s="565"/>
      <c r="E58" s="565"/>
      <c r="F58" s="565"/>
      <c r="G58" s="565"/>
      <c r="H58" s="565"/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5"/>
      <c r="T58" s="565"/>
      <c r="U58" s="565"/>
      <c r="V58" s="565"/>
      <c r="W58" s="565"/>
      <c r="X58" s="565"/>
      <c r="Y58" s="565"/>
      <c r="Z58" s="565"/>
      <c r="AA58" s="565"/>
      <c r="AB58" s="565"/>
      <c r="AC58" s="565"/>
      <c r="AD58" s="565"/>
      <c r="AE58" s="565"/>
      <c r="AF58" s="565"/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181"/>
      <c r="AV58" s="558"/>
    </row>
    <row r="59" ht="11.25" customHeight="1">
      <c r="A59" s="565"/>
      <c r="B59" s="181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565"/>
      <c r="AP59" s="565"/>
      <c r="AQ59" s="565"/>
      <c r="AR59" s="565"/>
      <c r="AS59" s="565"/>
      <c r="AT59" s="565"/>
      <c r="AU59" s="181"/>
      <c r="AV59" s="558"/>
    </row>
    <row r="60" ht="11.25" customHeight="1">
      <c r="A60" s="565"/>
      <c r="B60" s="181"/>
      <c r="C60" s="565"/>
      <c r="D60" s="565"/>
      <c r="E60" s="565"/>
      <c r="F60" s="565"/>
      <c r="G60" s="565"/>
      <c r="H60" s="565"/>
      <c r="I60" s="565"/>
      <c r="J60" s="565"/>
      <c r="K60" s="565"/>
      <c r="L60" s="565"/>
      <c r="M60" s="565"/>
      <c r="N60" s="565"/>
      <c r="O60" s="565"/>
      <c r="P60" s="565"/>
      <c r="Q60" s="565"/>
      <c r="R60" s="565"/>
      <c r="S60" s="565"/>
      <c r="T60" s="565"/>
      <c r="U60" s="565"/>
      <c r="V60" s="565"/>
      <c r="W60" s="565"/>
      <c r="X60" s="565"/>
      <c r="Y60" s="565"/>
      <c r="Z60" s="565"/>
      <c r="AA60" s="565"/>
      <c r="AB60" s="565"/>
      <c r="AC60" s="565"/>
      <c r="AD60" s="565"/>
      <c r="AE60" s="565"/>
      <c r="AF60" s="565"/>
      <c r="AG60" s="565"/>
      <c r="AH60" s="565"/>
      <c r="AI60" s="565"/>
      <c r="AJ60" s="565"/>
      <c r="AK60" s="565"/>
      <c r="AL60" s="565"/>
      <c r="AM60" s="565"/>
      <c r="AN60" s="565"/>
      <c r="AO60" s="565"/>
      <c r="AP60" s="565"/>
      <c r="AQ60" s="565"/>
      <c r="AR60" s="565"/>
      <c r="AS60" s="565"/>
      <c r="AT60" s="565"/>
      <c r="AU60" s="181"/>
      <c r="AV60" s="558"/>
    </row>
    <row r="61" ht="11.25" customHeight="1">
      <c r="A61" s="565"/>
      <c r="B61" s="181"/>
      <c r="C61" s="565"/>
      <c r="D61" s="565"/>
      <c r="E61" s="565"/>
      <c r="F61" s="565"/>
      <c r="G61" s="565"/>
      <c r="H61" s="565"/>
      <c r="I61" s="565"/>
      <c r="J61" s="565"/>
      <c r="K61" s="565"/>
      <c r="L61" s="565"/>
      <c r="M61" s="565"/>
      <c r="N61" s="565"/>
      <c r="O61" s="565"/>
      <c r="P61" s="565"/>
      <c r="Q61" s="565"/>
      <c r="R61" s="565"/>
      <c r="S61" s="565"/>
      <c r="T61" s="565"/>
      <c r="U61" s="565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  <c r="AF61" s="565"/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181"/>
      <c r="AV61" s="558"/>
    </row>
    <row r="62" ht="11.25" customHeight="1">
      <c r="A62" s="565"/>
      <c r="B62" s="181"/>
      <c r="C62" s="565"/>
      <c r="D62" s="565"/>
      <c r="E62" s="565"/>
      <c r="F62" s="565"/>
      <c r="G62" s="565"/>
      <c r="H62" s="565"/>
      <c r="I62" s="565"/>
      <c r="J62" s="565"/>
      <c r="K62" s="565"/>
      <c r="L62" s="565"/>
      <c r="M62" s="565"/>
      <c r="N62" s="565"/>
      <c r="O62" s="565"/>
      <c r="P62" s="565"/>
      <c r="Q62" s="565"/>
      <c r="R62" s="565"/>
      <c r="S62" s="565"/>
      <c r="T62" s="565"/>
      <c r="U62" s="565"/>
      <c r="V62" s="565"/>
      <c r="W62" s="565"/>
      <c r="X62" s="565"/>
      <c r="Y62" s="565"/>
      <c r="Z62" s="565"/>
      <c r="AA62" s="565"/>
      <c r="AB62" s="565"/>
      <c r="AC62" s="565"/>
      <c r="AD62" s="565"/>
      <c r="AE62" s="565"/>
      <c r="AF62" s="565"/>
      <c r="AG62" s="565"/>
      <c r="AH62" s="565"/>
      <c r="AI62" s="565"/>
      <c r="AJ62" s="565"/>
      <c r="AK62" s="565"/>
      <c r="AL62" s="565"/>
      <c r="AM62" s="565"/>
      <c r="AN62" s="565"/>
      <c r="AO62" s="565"/>
      <c r="AP62" s="565"/>
      <c r="AQ62" s="565"/>
      <c r="AR62" s="565"/>
      <c r="AS62" s="565"/>
      <c r="AT62" s="565"/>
      <c r="AU62" s="181"/>
      <c r="AV62" s="558"/>
    </row>
    <row r="63" ht="11.25" customHeight="1">
      <c r="A63" s="565"/>
      <c r="B63" s="181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181"/>
      <c r="AV63" s="558"/>
    </row>
    <row r="64" ht="11.25" customHeight="1">
      <c r="A64" s="565"/>
      <c r="B64" s="181"/>
      <c r="C64" s="565"/>
      <c r="D64" s="565"/>
      <c r="E64" s="565"/>
      <c r="F64" s="565"/>
      <c r="G64" s="565"/>
      <c r="H64" s="565"/>
      <c r="I64" s="565"/>
      <c r="J64" s="565"/>
      <c r="K64" s="565"/>
      <c r="L64" s="565"/>
      <c r="M64" s="565"/>
      <c r="N64" s="565"/>
      <c r="O64" s="565"/>
      <c r="P64" s="565"/>
      <c r="Q64" s="565"/>
      <c r="R64" s="565"/>
      <c r="S64" s="565"/>
      <c r="T64" s="565"/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  <c r="AI64" s="565"/>
      <c r="AJ64" s="565"/>
      <c r="AK64" s="565"/>
      <c r="AL64" s="565"/>
      <c r="AM64" s="565"/>
      <c r="AN64" s="565"/>
      <c r="AO64" s="565"/>
      <c r="AP64" s="565"/>
      <c r="AQ64" s="565"/>
      <c r="AR64" s="565"/>
      <c r="AS64" s="565"/>
      <c r="AT64" s="565"/>
      <c r="AU64" s="181"/>
      <c r="AV64" s="558"/>
    </row>
    <row r="65" ht="11.25" customHeight="1">
      <c r="A65" s="565"/>
      <c r="B65" s="181"/>
      <c r="C65" s="565"/>
      <c r="D65" s="565"/>
      <c r="E65" s="565"/>
      <c r="F65" s="565"/>
      <c r="G65" s="565"/>
      <c r="H65" s="565"/>
      <c r="I65" s="565"/>
      <c r="J65" s="565"/>
      <c r="K65" s="565"/>
      <c r="L65" s="565"/>
      <c r="M65" s="565"/>
      <c r="N65" s="565"/>
      <c r="O65" s="565"/>
      <c r="P65" s="565"/>
      <c r="Q65" s="565"/>
      <c r="R65" s="565"/>
      <c r="S65" s="565"/>
      <c r="T65" s="565"/>
      <c r="U65" s="565"/>
      <c r="V65" s="565"/>
      <c r="W65" s="565"/>
      <c r="X65" s="565"/>
      <c r="Y65" s="565"/>
      <c r="Z65" s="565"/>
      <c r="AA65" s="565"/>
      <c r="AB65" s="565"/>
      <c r="AC65" s="565"/>
      <c r="AD65" s="565"/>
      <c r="AE65" s="565"/>
      <c r="AF65" s="565"/>
      <c r="AG65" s="565"/>
      <c r="AH65" s="565"/>
      <c r="AI65" s="565"/>
      <c r="AJ65" s="565"/>
      <c r="AK65" s="565"/>
      <c r="AL65" s="565"/>
      <c r="AM65" s="565"/>
      <c r="AN65" s="565"/>
      <c r="AO65" s="565"/>
      <c r="AP65" s="565"/>
      <c r="AQ65" s="565"/>
      <c r="AR65" s="565"/>
      <c r="AS65" s="565"/>
      <c r="AT65" s="565"/>
      <c r="AU65" s="181"/>
      <c r="AV65" s="558"/>
    </row>
    <row r="66" ht="11.25" customHeight="1">
      <c r="A66" s="565"/>
      <c r="B66" s="181"/>
      <c r="C66" s="565"/>
      <c r="D66" s="565"/>
      <c r="E66" s="565"/>
      <c r="F66" s="565"/>
      <c r="G66" s="565"/>
      <c r="H66" s="565"/>
      <c r="I66" s="565"/>
      <c r="J66" s="565"/>
      <c r="K66" s="565"/>
      <c r="L66" s="565"/>
      <c r="M66" s="565"/>
      <c r="N66" s="565"/>
      <c r="O66" s="565"/>
      <c r="P66" s="565"/>
      <c r="Q66" s="565"/>
      <c r="R66" s="565"/>
      <c r="S66" s="565"/>
      <c r="T66" s="56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  <c r="AI66" s="565"/>
      <c r="AJ66" s="565"/>
      <c r="AK66" s="565"/>
      <c r="AL66" s="565"/>
      <c r="AM66" s="565"/>
      <c r="AN66" s="565"/>
      <c r="AO66" s="565"/>
      <c r="AP66" s="565"/>
      <c r="AQ66" s="565"/>
      <c r="AR66" s="565"/>
      <c r="AS66" s="565"/>
      <c r="AT66" s="565"/>
      <c r="AU66" s="181"/>
      <c r="AV66" s="558"/>
    </row>
    <row r="67" ht="11.25" customHeight="1">
      <c r="A67" s="565"/>
      <c r="B67" s="181"/>
      <c r="C67" s="565"/>
      <c r="D67" s="565"/>
      <c r="E67" s="565"/>
      <c r="F67" s="565"/>
      <c r="G67" s="565"/>
      <c r="H67" s="565"/>
      <c r="I67" s="565"/>
      <c r="J67" s="565"/>
      <c r="K67" s="565"/>
      <c r="L67" s="565"/>
      <c r="M67" s="565"/>
      <c r="N67" s="565"/>
      <c r="O67" s="565"/>
      <c r="P67" s="565"/>
      <c r="Q67" s="565"/>
      <c r="R67" s="565"/>
      <c r="S67" s="565"/>
      <c r="T67" s="565"/>
      <c r="U67" s="565"/>
      <c r="V67" s="565"/>
      <c r="W67" s="565"/>
      <c r="X67" s="565"/>
      <c r="Y67" s="565"/>
      <c r="Z67" s="565"/>
      <c r="AA67" s="565"/>
      <c r="AB67" s="565"/>
      <c r="AC67" s="565"/>
      <c r="AD67" s="565"/>
      <c r="AE67" s="565"/>
      <c r="AF67" s="565"/>
      <c r="AG67" s="565"/>
      <c r="AH67" s="565"/>
      <c r="AI67" s="565"/>
      <c r="AJ67" s="565"/>
      <c r="AK67" s="565"/>
      <c r="AL67" s="565"/>
      <c r="AM67" s="565"/>
      <c r="AN67" s="565"/>
      <c r="AO67" s="565"/>
      <c r="AP67" s="565"/>
      <c r="AQ67" s="565"/>
      <c r="AR67" s="565"/>
      <c r="AS67" s="565"/>
      <c r="AT67" s="565"/>
      <c r="AU67" s="181"/>
      <c r="AV67" s="558"/>
    </row>
    <row r="68" ht="11.25" customHeight="1">
      <c r="A68" s="565"/>
      <c r="B68" s="181"/>
      <c r="C68" s="565"/>
      <c r="D68" s="565"/>
      <c r="E68" s="565"/>
      <c r="F68" s="565"/>
      <c r="G68" s="565"/>
      <c r="H68" s="565"/>
      <c r="I68" s="565"/>
      <c r="J68" s="565"/>
      <c r="K68" s="565"/>
      <c r="L68" s="565"/>
      <c r="M68" s="565"/>
      <c r="N68" s="565"/>
      <c r="O68" s="565"/>
      <c r="P68" s="565"/>
      <c r="Q68" s="565"/>
      <c r="R68" s="565"/>
      <c r="S68" s="565"/>
      <c r="T68" s="565"/>
      <c r="U68" s="565"/>
      <c r="V68" s="565"/>
      <c r="W68" s="565"/>
      <c r="X68" s="565"/>
      <c r="Y68" s="565"/>
      <c r="Z68" s="565"/>
      <c r="AA68" s="565"/>
      <c r="AB68" s="565"/>
      <c r="AC68" s="565"/>
      <c r="AD68" s="565"/>
      <c r="AE68" s="565"/>
      <c r="AF68" s="565"/>
      <c r="AG68" s="565"/>
      <c r="AH68" s="565"/>
      <c r="AI68" s="565"/>
      <c r="AJ68" s="565"/>
      <c r="AK68" s="565"/>
      <c r="AL68" s="565"/>
      <c r="AM68" s="565"/>
      <c r="AN68" s="565"/>
      <c r="AO68" s="565"/>
      <c r="AP68" s="565"/>
      <c r="AQ68" s="565"/>
      <c r="AR68" s="565"/>
      <c r="AS68" s="565"/>
      <c r="AT68" s="565"/>
      <c r="AU68" s="181"/>
      <c r="AV68" s="558"/>
    </row>
    <row r="69" ht="11.25" customHeight="1">
      <c r="A69" s="565"/>
      <c r="B69" s="181"/>
      <c r="C69" s="565"/>
      <c r="D69" s="565"/>
      <c r="E69" s="565"/>
      <c r="F69" s="565"/>
      <c r="G69" s="565"/>
      <c r="H69" s="565"/>
      <c r="I69" s="565"/>
      <c r="J69" s="565"/>
      <c r="K69" s="565"/>
      <c r="L69" s="565"/>
      <c r="M69" s="565"/>
      <c r="N69" s="565"/>
      <c r="O69" s="565"/>
      <c r="P69" s="565"/>
      <c r="Q69" s="565"/>
      <c r="R69" s="565"/>
      <c r="S69" s="565"/>
      <c r="T69" s="565"/>
      <c r="U69" s="565"/>
      <c r="V69" s="565"/>
      <c r="W69" s="565"/>
      <c r="X69" s="565"/>
      <c r="Y69" s="565"/>
      <c r="Z69" s="565"/>
      <c r="AA69" s="565"/>
      <c r="AB69" s="565"/>
      <c r="AC69" s="565"/>
      <c r="AD69" s="565"/>
      <c r="AE69" s="565"/>
      <c r="AF69" s="565"/>
      <c r="AG69" s="565"/>
      <c r="AH69" s="565"/>
      <c r="AI69" s="565"/>
      <c r="AJ69" s="565"/>
      <c r="AK69" s="565"/>
      <c r="AL69" s="565"/>
      <c r="AM69" s="565"/>
      <c r="AN69" s="565"/>
      <c r="AO69" s="565"/>
      <c r="AP69" s="565"/>
      <c r="AQ69" s="565"/>
      <c r="AR69" s="565"/>
      <c r="AS69" s="565"/>
      <c r="AT69" s="565"/>
      <c r="AU69" s="181"/>
      <c r="AV69" s="558"/>
    </row>
    <row r="70" ht="11.25" customHeight="1">
      <c r="A70" s="565"/>
      <c r="B70" s="181"/>
      <c r="C70" s="565"/>
      <c r="D70" s="565"/>
      <c r="E70" s="565"/>
      <c r="F70" s="565"/>
      <c r="G70" s="565"/>
      <c r="H70" s="565"/>
      <c r="I70" s="565"/>
      <c r="J70" s="565"/>
      <c r="K70" s="565"/>
      <c r="L70" s="565"/>
      <c r="M70" s="565"/>
      <c r="N70" s="565"/>
      <c r="O70" s="565"/>
      <c r="P70" s="565"/>
      <c r="Q70" s="565"/>
      <c r="R70" s="565"/>
      <c r="S70" s="565"/>
      <c r="T70" s="565"/>
      <c r="U70" s="565"/>
      <c r="V70" s="565"/>
      <c r="W70" s="565"/>
      <c r="X70" s="565"/>
      <c r="Y70" s="565"/>
      <c r="Z70" s="565"/>
      <c r="AA70" s="565"/>
      <c r="AB70" s="565"/>
      <c r="AC70" s="565"/>
      <c r="AD70" s="565"/>
      <c r="AE70" s="565"/>
      <c r="AF70" s="565"/>
      <c r="AG70" s="565"/>
      <c r="AH70" s="565"/>
      <c r="AI70" s="565"/>
      <c r="AJ70" s="565"/>
      <c r="AK70" s="565"/>
      <c r="AL70" s="565"/>
      <c r="AM70" s="565"/>
      <c r="AN70" s="565"/>
      <c r="AO70" s="565"/>
      <c r="AP70" s="565"/>
      <c r="AQ70" s="565"/>
      <c r="AR70" s="565"/>
      <c r="AS70" s="565"/>
      <c r="AT70" s="565"/>
      <c r="AU70" s="181"/>
      <c r="AV70" s="558"/>
    </row>
    <row r="71" ht="11.25" customHeight="1">
      <c r="A71" s="565"/>
      <c r="B71" s="181"/>
      <c r="C71" s="565"/>
      <c r="D71" s="565"/>
      <c r="E71" s="565"/>
      <c r="F71" s="565"/>
      <c r="G71" s="565"/>
      <c r="H71" s="565"/>
      <c r="I71" s="565"/>
      <c r="J71" s="565"/>
      <c r="K71" s="565"/>
      <c r="L71" s="565"/>
      <c r="M71" s="565"/>
      <c r="N71" s="565"/>
      <c r="O71" s="565"/>
      <c r="P71" s="565"/>
      <c r="Q71" s="565"/>
      <c r="R71" s="565"/>
      <c r="S71" s="565"/>
      <c r="T71" s="565"/>
      <c r="U71" s="565"/>
      <c r="V71" s="565"/>
      <c r="W71" s="565"/>
      <c r="X71" s="565"/>
      <c r="Y71" s="565"/>
      <c r="Z71" s="565"/>
      <c r="AA71" s="565"/>
      <c r="AB71" s="565"/>
      <c r="AC71" s="565"/>
      <c r="AD71" s="565"/>
      <c r="AE71" s="565"/>
      <c r="AF71" s="565"/>
      <c r="AG71" s="565"/>
      <c r="AH71" s="565"/>
      <c r="AI71" s="565"/>
      <c r="AJ71" s="565"/>
      <c r="AK71" s="565"/>
      <c r="AL71" s="565"/>
      <c r="AM71" s="565"/>
      <c r="AN71" s="565"/>
      <c r="AO71" s="565"/>
      <c r="AP71" s="565"/>
      <c r="AQ71" s="565"/>
      <c r="AR71" s="565"/>
      <c r="AS71" s="565"/>
      <c r="AT71" s="565"/>
      <c r="AU71" s="181"/>
      <c r="AV71" s="558"/>
    </row>
    <row r="72" ht="11.25" customHeight="1">
      <c r="A72" s="565"/>
      <c r="B72" s="181"/>
      <c r="C72" s="565"/>
      <c r="D72" s="565"/>
      <c r="E72" s="565"/>
      <c r="F72" s="565"/>
      <c r="G72" s="565"/>
      <c r="H72" s="565"/>
      <c r="I72" s="565"/>
      <c r="J72" s="565"/>
      <c r="K72" s="565"/>
      <c r="L72" s="565"/>
      <c r="M72" s="565"/>
      <c r="N72" s="565"/>
      <c r="O72" s="565"/>
      <c r="P72" s="565"/>
      <c r="Q72" s="565"/>
      <c r="R72" s="565"/>
      <c r="S72" s="565"/>
      <c r="T72" s="565"/>
      <c r="U72" s="565"/>
      <c r="V72" s="565"/>
      <c r="W72" s="565"/>
      <c r="X72" s="565"/>
      <c r="Y72" s="565"/>
      <c r="Z72" s="565"/>
      <c r="AA72" s="565"/>
      <c r="AB72" s="565"/>
      <c r="AC72" s="565"/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181"/>
      <c r="AV72" s="558"/>
    </row>
    <row r="73" ht="11.25" customHeight="1">
      <c r="A73" s="565"/>
      <c r="B73" s="181"/>
      <c r="C73" s="565"/>
      <c r="D73" s="565"/>
      <c r="E73" s="565"/>
      <c r="F73" s="565"/>
      <c r="G73" s="565"/>
      <c r="H73" s="565"/>
      <c r="I73" s="565"/>
      <c r="J73" s="565"/>
      <c r="K73" s="565"/>
      <c r="L73" s="565"/>
      <c r="M73" s="565"/>
      <c r="N73" s="565"/>
      <c r="O73" s="565"/>
      <c r="P73" s="565"/>
      <c r="Q73" s="565"/>
      <c r="R73" s="565"/>
      <c r="S73" s="565"/>
      <c r="T73" s="565"/>
      <c r="U73" s="565"/>
      <c r="V73" s="565"/>
      <c r="W73" s="565"/>
      <c r="X73" s="565"/>
      <c r="Y73" s="565"/>
      <c r="Z73" s="565"/>
      <c r="AA73" s="565"/>
      <c r="AB73" s="565"/>
      <c r="AC73" s="565"/>
      <c r="AD73" s="565"/>
      <c r="AE73" s="565"/>
      <c r="AF73" s="565"/>
      <c r="AG73" s="565"/>
      <c r="AH73" s="565"/>
      <c r="AI73" s="565"/>
      <c r="AJ73" s="565"/>
      <c r="AK73" s="565"/>
      <c r="AL73" s="565"/>
      <c r="AM73" s="565"/>
      <c r="AN73" s="565"/>
      <c r="AO73" s="565"/>
      <c r="AP73" s="565"/>
      <c r="AQ73" s="565"/>
      <c r="AR73" s="565"/>
      <c r="AS73" s="565"/>
      <c r="AT73" s="565"/>
      <c r="AU73" s="181"/>
      <c r="AV73" s="558"/>
    </row>
    <row r="74" ht="11.25" customHeight="1">
      <c r="A74" s="565"/>
      <c r="B74" s="181"/>
      <c r="C74" s="565"/>
      <c r="D74" s="565"/>
      <c r="E74" s="565"/>
      <c r="F74" s="565"/>
      <c r="G74" s="565"/>
      <c r="H74" s="565"/>
      <c r="I74" s="565"/>
      <c r="J74" s="565"/>
      <c r="K74" s="565"/>
      <c r="L74" s="565"/>
      <c r="M74" s="565"/>
      <c r="N74" s="565"/>
      <c r="O74" s="565"/>
      <c r="P74" s="565"/>
      <c r="Q74" s="565"/>
      <c r="R74" s="565"/>
      <c r="S74" s="565"/>
      <c r="T74" s="565"/>
      <c r="U74" s="565"/>
      <c r="V74" s="565"/>
      <c r="W74" s="565"/>
      <c r="X74" s="565"/>
      <c r="Y74" s="565"/>
      <c r="Z74" s="565"/>
      <c r="AA74" s="565"/>
      <c r="AB74" s="565"/>
      <c r="AC74" s="565"/>
      <c r="AD74" s="565"/>
      <c r="AE74" s="565"/>
      <c r="AF74" s="565"/>
      <c r="AG74" s="565"/>
      <c r="AH74" s="565"/>
      <c r="AI74" s="565"/>
      <c r="AJ74" s="565"/>
      <c r="AK74" s="565"/>
      <c r="AL74" s="565"/>
      <c r="AM74" s="565"/>
      <c r="AN74" s="565"/>
      <c r="AO74" s="565"/>
      <c r="AP74" s="565"/>
      <c r="AQ74" s="565"/>
      <c r="AR74" s="565"/>
      <c r="AS74" s="565"/>
      <c r="AT74" s="565"/>
      <c r="AU74" s="181"/>
      <c r="AV74" s="558"/>
    </row>
    <row r="75" ht="11.25" customHeight="1">
      <c r="A75" s="565"/>
      <c r="B75" s="181"/>
      <c r="C75" s="565"/>
      <c r="D75" s="565"/>
      <c r="E75" s="565"/>
      <c r="F75" s="565"/>
      <c r="G75" s="565"/>
      <c r="H75" s="565"/>
      <c r="I75" s="565"/>
      <c r="J75" s="565"/>
      <c r="K75" s="565"/>
      <c r="L75" s="565"/>
      <c r="M75" s="565"/>
      <c r="N75" s="565"/>
      <c r="O75" s="565"/>
      <c r="P75" s="565"/>
      <c r="Q75" s="565"/>
      <c r="R75" s="565"/>
      <c r="S75" s="565"/>
      <c r="T75" s="565"/>
      <c r="U75" s="565"/>
      <c r="V75" s="565"/>
      <c r="W75" s="565"/>
      <c r="X75" s="565"/>
      <c r="Y75" s="565"/>
      <c r="Z75" s="565"/>
      <c r="AA75" s="565"/>
      <c r="AB75" s="565"/>
      <c r="AC75" s="565"/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565"/>
      <c r="AS75" s="565"/>
      <c r="AT75" s="565"/>
      <c r="AU75" s="181"/>
      <c r="AV75" s="558"/>
    </row>
    <row r="76" ht="11.25" customHeight="1">
      <c r="A76" s="565"/>
      <c r="B76" s="181"/>
      <c r="C76" s="565"/>
      <c r="D76" s="565"/>
      <c r="E76" s="565"/>
      <c r="F76" s="565"/>
      <c r="G76" s="565"/>
      <c r="H76" s="565"/>
      <c r="I76" s="565"/>
      <c r="J76" s="565"/>
      <c r="K76" s="565"/>
      <c r="L76" s="565"/>
      <c r="M76" s="565"/>
      <c r="N76" s="565"/>
      <c r="O76" s="565"/>
      <c r="P76" s="565"/>
      <c r="Q76" s="565"/>
      <c r="R76" s="565"/>
      <c r="S76" s="565"/>
      <c r="T76" s="565"/>
      <c r="U76" s="565"/>
      <c r="V76" s="565"/>
      <c r="W76" s="565"/>
      <c r="X76" s="565"/>
      <c r="Y76" s="565"/>
      <c r="Z76" s="565"/>
      <c r="AA76" s="565"/>
      <c r="AB76" s="565"/>
      <c r="AC76" s="565"/>
      <c r="AD76" s="565"/>
      <c r="AE76" s="565"/>
      <c r="AF76" s="565"/>
      <c r="AG76" s="565"/>
      <c r="AH76" s="565"/>
      <c r="AI76" s="565"/>
      <c r="AJ76" s="565"/>
      <c r="AK76" s="565"/>
      <c r="AL76" s="565"/>
      <c r="AM76" s="565"/>
      <c r="AN76" s="565"/>
      <c r="AO76" s="565"/>
      <c r="AP76" s="565"/>
      <c r="AQ76" s="565"/>
      <c r="AR76" s="565"/>
      <c r="AS76" s="565"/>
      <c r="AT76" s="565"/>
      <c r="AU76" s="181"/>
      <c r="AV76" s="558"/>
    </row>
    <row r="77" ht="11.25" customHeight="1">
      <c r="A77" s="565"/>
      <c r="B77" s="181"/>
      <c r="C77" s="565"/>
      <c r="D77" s="565"/>
      <c r="E77" s="565"/>
      <c r="F77" s="565"/>
      <c r="G77" s="565"/>
      <c r="H77" s="565"/>
      <c r="I77" s="565"/>
      <c r="J77" s="565"/>
      <c r="K77" s="565"/>
      <c r="L77" s="565"/>
      <c r="M77" s="565"/>
      <c r="N77" s="565"/>
      <c r="O77" s="565"/>
      <c r="P77" s="565"/>
      <c r="Q77" s="565"/>
      <c r="R77" s="565"/>
      <c r="S77" s="565"/>
      <c r="T77" s="565"/>
      <c r="U77" s="565"/>
      <c r="V77" s="565"/>
      <c r="W77" s="565"/>
      <c r="X77" s="565"/>
      <c r="Y77" s="565"/>
      <c r="Z77" s="565"/>
      <c r="AA77" s="565"/>
      <c r="AB77" s="565"/>
      <c r="AC77" s="565"/>
      <c r="AD77" s="565"/>
      <c r="AE77" s="565"/>
      <c r="AF77" s="565"/>
      <c r="AG77" s="565"/>
      <c r="AH77" s="565"/>
      <c r="AI77" s="565"/>
      <c r="AJ77" s="565"/>
      <c r="AK77" s="565"/>
      <c r="AL77" s="565"/>
      <c r="AM77" s="565"/>
      <c r="AN77" s="565"/>
      <c r="AO77" s="565"/>
      <c r="AP77" s="565"/>
      <c r="AQ77" s="565"/>
      <c r="AR77" s="565"/>
      <c r="AS77" s="565"/>
      <c r="AT77" s="565"/>
      <c r="AU77" s="181"/>
      <c r="AV77" s="558"/>
    </row>
    <row r="78" ht="11.25" customHeight="1">
      <c r="A78" s="565"/>
      <c r="B78" s="181"/>
      <c r="C78" s="565"/>
      <c r="D78" s="565"/>
      <c r="E78" s="565"/>
      <c r="F78" s="565"/>
      <c r="G78" s="565"/>
      <c r="H78" s="565"/>
      <c r="I78" s="565"/>
      <c r="J78" s="565"/>
      <c r="K78" s="565"/>
      <c r="L78" s="565"/>
      <c r="M78" s="565"/>
      <c r="N78" s="565"/>
      <c r="O78" s="565"/>
      <c r="P78" s="565"/>
      <c r="Q78" s="565"/>
      <c r="R78" s="565"/>
      <c r="S78" s="565"/>
      <c r="T78" s="565"/>
      <c r="U78" s="565"/>
      <c r="V78" s="565"/>
      <c r="W78" s="565"/>
      <c r="X78" s="565"/>
      <c r="Y78" s="565"/>
      <c r="Z78" s="565"/>
      <c r="AA78" s="565"/>
      <c r="AB78" s="565"/>
      <c r="AC78" s="565"/>
      <c r="AD78" s="565"/>
      <c r="AE78" s="565"/>
      <c r="AF78" s="565"/>
      <c r="AG78" s="565"/>
      <c r="AH78" s="565"/>
      <c r="AI78" s="565"/>
      <c r="AJ78" s="565"/>
      <c r="AK78" s="565"/>
      <c r="AL78" s="565"/>
      <c r="AM78" s="565"/>
      <c r="AN78" s="565"/>
      <c r="AO78" s="565"/>
      <c r="AP78" s="565"/>
      <c r="AQ78" s="565"/>
      <c r="AR78" s="565"/>
      <c r="AS78" s="565"/>
      <c r="AT78" s="565"/>
      <c r="AU78" s="181"/>
      <c r="AV78" s="558"/>
    </row>
    <row r="79" ht="11.25" customHeight="1">
      <c r="A79" s="565"/>
      <c r="B79" s="181"/>
      <c r="C79" s="565"/>
      <c r="D79" s="565"/>
      <c r="E79" s="565"/>
      <c r="F79" s="565"/>
      <c r="G79" s="565"/>
      <c r="H79" s="565"/>
      <c r="I79" s="565"/>
      <c r="J79" s="565"/>
      <c r="K79" s="565"/>
      <c r="L79" s="565"/>
      <c r="M79" s="565"/>
      <c r="N79" s="565"/>
      <c r="O79" s="565"/>
      <c r="P79" s="565"/>
      <c r="Q79" s="565"/>
      <c r="R79" s="565"/>
      <c r="S79" s="565"/>
      <c r="T79" s="565"/>
      <c r="U79" s="565"/>
      <c r="V79" s="565"/>
      <c r="W79" s="565"/>
      <c r="X79" s="565"/>
      <c r="Y79" s="565"/>
      <c r="Z79" s="565"/>
      <c r="AA79" s="565"/>
      <c r="AB79" s="565"/>
      <c r="AC79" s="565"/>
      <c r="AD79" s="565"/>
      <c r="AE79" s="565"/>
      <c r="AF79" s="565"/>
      <c r="AG79" s="565"/>
      <c r="AH79" s="565"/>
      <c r="AI79" s="565"/>
      <c r="AJ79" s="565"/>
      <c r="AK79" s="565"/>
      <c r="AL79" s="565"/>
      <c r="AM79" s="565"/>
      <c r="AN79" s="565"/>
      <c r="AO79" s="565"/>
      <c r="AP79" s="565"/>
      <c r="AQ79" s="565"/>
      <c r="AR79" s="565"/>
      <c r="AS79" s="565"/>
      <c r="AT79" s="565"/>
      <c r="AU79" s="181"/>
      <c r="AV79" s="558"/>
    </row>
    <row r="80" ht="11.25" customHeight="1">
      <c r="A80" s="565"/>
      <c r="B80" s="181"/>
      <c r="C80" s="565"/>
      <c r="D80" s="565"/>
      <c r="E80" s="565"/>
      <c r="F80" s="565"/>
      <c r="G80" s="565"/>
      <c r="H80" s="565"/>
      <c r="I80" s="565"/>
      <c r="J80" s="565"/>
      <c r="K80" s="565"/>
      <c r="L80" s="565"/>
      <c r="M80" s="565"/>
      <c r="N80" s="565"/>
      <c r="O80" s="565"/>
      <c r="P80" s="565"/>
      <c r="Q80" s="565"/>
      <c r="R80" s="565"/>
      <c r="S80" s="565"/>
      <c r="T80" s="565"/>
      <c r="U80" s="565"/>
      <c r="V80" s="565"/>
      <c r="W80" s="565"/>
      <c r="X80" s="565"/>
      <c r="Y80" s="565"/>
      <c r="Z80" s="565"/>
      <c r="AA80" s="565"/>
      <c r="AB80" s="565"/>
      <c r="AC80" s="565"/>
      <c r="AD80" s="565"/>
      <c r="AE80" s="565"/>
      <c r="AF80" s="565"/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181"/>
      <c r="AV80" s="558"/>
    </row>
    <row r="81" ht="11.25" customHeight="1">
      <c r="A81" s="565"/>
      <c r="B81" s="181"/>
      <c r="C81" s="565"/>
      <c r="D81" s="565"/>
      <c r="E81" s="565"/>
      <c r="F81" s="565"/>
      <c r="G81" s="565"/>
      <c r="H81" s="565"/>
      <c r="I81" s="565"/>
      <c r="J81" s="565"/>
      <c r="K81" s="565"/>
      <c r="L81" s="565"/>
      <c r="M81" s="565"/>
      <c r="N81" s="565"/>
      <c r="O81" s="565"/>
      <c r="P81" s="565"/>
      <c r="Q81" s="565"/>
      <c r="R81" s="565"/>
      <c r="S81" s="565"/>
      <c r="T81" s="565"/>
      <c r="U81" s="565"/>
      <c r="V81" s="565"/>
      <c r="W81" s="565"/>
      <c r="X81" s="565"/>
      <c r="Y81" s="565"/>
      <c r="Z81" s="565"/>
      <c r="AA81" s="565"/>
      <c r="AB81" s="565"/>
      <c r="AC81" s="565"/>
      <c r="AD81" s="565"/>
      <c r="AE81" s="565"/>
      <c r="AF81" s="565"/>
      <c r="AG81" s="565"/>
      <c r="AH81" s="565"/>
      <c r="AI81" s="565"/>
      <c r="AJ81" s="565"/>
      <c r="AK81" s="565"/>
      <c r="AL81" s="565"/>
      <c r="AM81" s="565"/>
      <c r="AN81" s="565"/>
      <c r="AO81" s="565"/>
      <c r="AP81" s="565"/>
      <c r="AQ81" s="565"/>
      <c r="AR81" s="565"/>
      <c r="AS81" s="565"/>
      <c r="AT81" s="565"/>
      <c r="AU81" s="181"/>
      <c r="AV81" s="558"/>
    </row>
    <row r="82" ht="11.25" customHeight="1">
      <c r="A82" s="565"/>
      <c r="B82" s="181"/>
      <c r="C82" s="565"/>
      <c r="D82" s="565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  <c r="Q82" s="565"/>
      <c r="R82" s="565"/>
      <c r="S82" s="565"/>
      <c r="T82" s="565"/>
      <c r="U82" s="565"/>
      <c r="V82" s="565"/>
      <c r="W82" s="565"/>
      <c r="X82" s="565"/>
      <c r="Y82" s="565"/>
      <c r="Z82" s="565"/>
      <c r="AA82" s="565"/>
      <c r="AB82" s="565"/>
      <c r="AC82" s="565"/>
      <c r="AD82" s="565"/>
      <c r="AE82" s="565"/>
      <c r="AF82" s="565"/>
      <c r="AG82" s="565"/>
      <c r="AH82" s="565"/>
      <c r="AI82" s="565"/>
      <c r="AJ82" s="565"/>
      <c r="AK82" s="565"/>
      <c r="AL82" s="565"/>
      <c r="AM82" s="565"/>
      <c r="AN82" s="565"/>
      <c r="AO82" s="565"/>
      <c r="AP82" s="565"/>
      <c r="AQ82" s="565"/>
      <c r="AR82" s="565"/>
      <c r="AS82" s="565"/>
      <c r="AT82" s="565"/>
      <c r="AU82" s="181"/>
      <c r="AV82" s="558"/>
    </row>
    <row r="83" ht="11.25" customHeight="1">
      <c r="A83" s="565"/>
      <c r="B83" s="181"/>
      <c r="C83" s="565"/>
      <c r="D83" s="565"/>
      <c r="E83" s="565"/>
      <c r="F83" s="565"/>
      <c r="G83" s="565"/>
      <c r="H83" s="565"/>
      <c r="I83" s="565"/>
      <c r="J83" s="565"/>
      <c r="K83" s="565"/>
      <c r="L83" s="565"/>
      <c r="M83" s="565"/>
      <c r="N83" s="565"/>
      <c r="O83" s="565"/>
      <c r="P83" s="565"/>
      <c r="Q83" s="565"/>
      <c r="R83" s="565"/>
      <c r="S83" s="565"/>
      <c r="T83" s="565"/>
      <c r="U83" s="565"/>
      <c r="V83" s="565"/>
      <c r="W83" s="565"/>
      <c r="X83" s="565"/>
      <c r="Y83" s="565"/>
      <c r="Z83" s="565"/>
      <c r="AA83" s="565"/>
      <c r="AB83" s="565"/>
      <c r="AC83" s="565"/>
      <c r="AD83" s="565"/>
      <c r="AE83" s="565"/>
      <c r="AF83" s="565"/>
      <c r="AG83" s="565"/>
      <c r="AH83" s="565"/>
      <c r="AI83" s="565"/>
      <c r="AJ83" s="565"/>
      <c r="AK83" s="565"/>
      <c r="AL83" s="565"/>
      <c r="AM83" s="565"/>
      <c r="AN83" s="565"/>
      <c r="AO83" s="565"/>
      <c r="AP83" s="565"/>
      <c r="AQ83" s="565"/>
      <c r="AR83" s="565"/>
      <c r="AS83" s="565"/>
      <c r="AT83" s="565"/>
      <c r="AU83" s="181"/>
      <c r="AV83" s="558"/>
    </row>
    <row r="84" ht="11.25" customHeight="1">
      <c r="A84" s="565"/>
      <c r="B84" s="181"/>
      <c r="C84" s="565"/>
      <c r="D84" s="565"/>
      <c r="E84" s="565"/>
      <c r="F84" s="565"/>
      <c r="G84" s="565"/>
      <c r="H84" s="565"/>
      <c r="I84" s="565"/>
      <c r="J84" s="565"/>
      <c r="K84" s="565"/>
      <c r="L84" s="565"/>
      <c r="M84" s="565"/>
      <c r="N84" s="565"/>
      <c r="O84" s="565"/>
      <c r="P84" s="565"/>
      <c r="Q84" s="565"/>
      <c r="R84" s="565"/>
      <c r="S84" s="565"/>
      <c r="T84" s="565"/>
      <c r="U84" s="565"/>
      <c r="V84" s="565"/>
      <c r="W84" s="565"/>
      <c r="X84" s="565"/>
      <c r="Y84" s="565"/>
      <c r="Z84" s="565"/>
      <c r="AA84" s="565"/>
      <c r="AB84" s="565"/>
      <c r="AC84" s="565"/>
      <c r="AD84" s="565"/>
      <c r="AE84" s="565"/>
      <c r="AF84" s="565"/>
      <c r="AG84" s="565"/>
      <c r="AH84" s="565"/>
      <c r="AI84" s="565"/>
      <c r="AJ84" s="565"/>
      <c r="AK84" s="565"/>
      <c r="AL84" s="565"/>
      <c r="AM84" s="565"/>
      <c r="AN84" s="565"/>
      <c r="AO84" s="565"/>
      <c r="AP84" s="565"/>
      <c r="AQ84" s="565"/>
      <c r="AR84" s="565"/>
      <c r="AS84" s="565"/>
      <c r="AT84" s="565"/>
      <c r="AU84" s="181"/>
      <c r="AV84" s="558"/>
    </row>
    <row r="85" ht="11.25" customHeight="1">
      <c r="A85" s="565"/>
      <c r="B85" s="181"/>
      <c r="C85" s="565"/>
      <c r="D85" s="565"/>
      <c r="E85" s="565"/>
      <c r="F85" s="565"/>
      <c r="G85" s="565"/>
      <c r="H85" s="565"/>
      <c r="I85" s="565"/>
      <c r="J85" s="565"/>
      <c r="K85" s="565"/>
      <c r="L85" s="565"/>
      <c r="M85" s="565"/>
      <c r="N85" s="565"/>
      <c r="O85" s="565"/>
      <c r="P85" s="565"/>
      <c r="Q85" s="565"/>
      <c r="R85" s="565"/>
      <c r="S85" s="565"/>
      <c r="T85" s="565"/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5"/>
      <c r="AF85" s="565"/>
      <c r="AG85" s="565"/>
      <c r="AH85" s="565"/>
      <c r="AI85" s="565"/>
      <c r="AJ85" s="565"/>
      <c r="AK85" s="565"/>
      <c r="AL85" s="565"/>
      <c r="AM85" s="565"/>
      <c r="AN85" s="565"/>
      <c r="AO85" s="565"/>
      <c r="AP85" s="565"/>
      <c r="AQ85" s="565"/>
      <c r="AR85" s="565"/>
      <c r="AS85" s="565"/>
      <c r="AT85" s="565"/>
      <c r="AU85" s="181"/>
      <c r="AV85" s="558"/>
    </row>
    <row r="86" ht="11.25" customHeight="1">
      <c r="A86" s="565"/>
      <c r="B86" s="181"/>
      <c r="C86" s="565"/>
      <c r="D86" s="565"/>
      <c r="E86" s="565"/>
      <c r="F86" s="565"/>
      <c r="G86" s="565"/>
      <c r="H86" s="565"/>
      <c r="I86" s="565"/>
      <c r="J86" s="565"/>
      <c r="K86" s="565"/>
      <c r="L86" s="565"/>
      <c r="M86" s="565"/>
      <c r="N86" s="565"/>
      <c r="O86" s="565"/>
      <c r="P86" s="565"/>
      <c r="Q86" s="565"/>
      <c r="R86" s="565"/>
      <c r="S86" s="565"/>
      <c r="T86" s="565"/>
      <c r="U86" s="565"/>
      <c r="V86" s="565"/>
      <c r="W86" s="565"/>
      <c r="X86" s="565"/>
      <c r="Y86" s="565"/>
      <c r="Z86" s="565"/>
      <c r="AA86" s="565"/>
      <c r="AB86" s="565"/>
      <c r="AC86" s="565"/>
      <c r="AD86" s="565"/>
      <c r="AE86" s="565"/>
      <c r="AF86" s="565"/>
      <c r="AG86" s="565"/>
      <c r="AH86" s="565"/>
      <c r="AI86" s="565"/>
      <c r="AJ86" s="565"/>
      <c r="AK86" s="565"/>
      <c r="AL86" s="565"/>
      <c r="AM86" s="565"/>
      <c r="AN86" s="565"/>
      <c r="AO86" s="565"/>
      <c r="AP86" s="565"/>
      <c r="AQ86" s="565"/>
      <c r="AR86" s="565"/>
      <c r="AS86" s="565"/>
      <c r="AT86" s="565"/>
      <c r="AU86" s="181"/>
      <c r="AV86" s="558"/>
    </row>
    <row r="87" ht="11.25" customHeight="1">
      <c r="A87" s="565"/>
      <c r="B87" s="181"/>
      <c r="C87" s="565"/>
      <c r="D87" s="565"/>
      <c r="E87" s="565"/>
      <c r="F87" s="565"/>
      <c r="G87" s="565"/>
      <c r="H87" s="565"/>
      <c r="I87" s="565"/>
      <c r="J87" s="565"/>
      <c r="K87" s="565"/>
      <c r="L87" s="565"/>
      <c r="M87" s="565"/>
      <c r="N87" s="565"/>
      <c r="O87" s="565"/>
      <c r="P87" s="565"/>
      <c r="Q87" s="565"/>
      <c r="R87" s="565"/>
      <c r="S87" s="565"/>
      <c r="T87" s="565"/>
      <c r="U87" s="565"/>
      <c r="V87" s="565"/>
      <c r="W87" s="565"/>
      <c r="X87" s="565"/>
      <c r="Y87" s="565"/>
      <c r="Z87" s="565"/>
      <c r="AA87" s="565"/>
      <c r="AB87" s="565"/>
      <c r="AC87" s="565"/>
      <c r="AD87" s="565"/>
      <c r="AE87" s="565"/>
      <c r="AF87" s="565"/>
      <c r="AG87" s="565"/>
      <c r="AH87" s="565"/>
      <c r="AI87" s="565"/>
      <c r="AJ87" s="565"/>
      <c r="AK87" s="565"/>
      <c r="AL87" s="565"/>
      <c r="AM87" s="565"/>
      <c r="AN87" s="565"/>
      <c r="AO87" s="565"/>
      <c r="AP87" s="565"/>
      <c r="AQ87" s="565"/>
      <c r="AR87" s="565"/>
      <c r="AS87" s="565"/>
      <c r="AT87" s="565"/>
      <c r="AU87" s="181"/>
      <c r="AV87" s="558"/>
    </row>
    <row r="88" ht="11.25" customHeight="1">
      <c r="A88" s="565"/>
      <c r="B88" s="181"/>
      <c r="C88" s="565"/>
      <c r="D88" s="565"/>
      <c r="E88" s="565"/>
      <c r="F88" s="565"/>
      <c r="G88" s="565"/>
      <c r="H88" s="565"/>
      <c r="I88" s="565"/>
      <c r="J88" s="565"/>
      <c r="K88" s="565"/>
      <c r="L88" s="565"/>
      <c r="M88" s="565"/>
      <c r="N88" s="565"/>
      <c r="O88" s="565"/>
      <c r="P88" s="565"/>
      <c r="Q88" s="565"/>
      <c r="R88" s="565"/>
      <c r="S88" s="565"/>
      <c r="T88" s="565"/>
      <c r="U88" s="565"/>
      <c r="V88" s="565"/>
      <c r="W88" s="565"/>
      <c r="X88" s="565"/>
      <c r="Y88" s="565"/>
      <c r="Z88" s="565"/>
      <c r="AA88" s="565"/>
      <c r="AB88" s="565"/>
      <c r="AC88" s="565"/>
      <c r="AD88" s="565"/>
      <c r="AE88" s="565"/>
      <c r="AF88" s="565"/>
      <c r="AG88" s="565"/>
      <c r="AH88" s="565"/>
      <c r="AI88" s="565"/>
      <c r="AJ88" s="565"/>
      <c r="AK88" s="565"/>
      <c r="AL88" s="565"/>
      <c r="AM88" s="565"/>
      <c r="AN88" s="565"/>
      <c r="AO88" s="565"/>
      <c r="AP88" s="565"/>
      <c r="AQ88" s="565"/>
      <c r="AR88" s="565"/>
      <c r="AS88" s="565"/>
      <c r="AT88" s="565"/>
      <c r="AU88" s="181"/>
      <c r="AV88" s="558"/>
    </row>
    <row r="89" ht="11.25" customHeight="1">
      <c r="A89" s="565"/>
      <c r="B89" s="181"/>
      <c r="C89" s="565"/>
      <c r="D89" s="565"/>
      <c r="E89" s="565"/>
      <c r="F89" s="565"/>
      <c r="G89" s="565"/>
      <c r="H89" s="565"/>
      <c r="I89" s="565"/>
      <c r="J89" s="565"/>
      <c r="K89" s="565"/>
      <c r="L89" s="565"/>
      <c r="M89" s="565"/>
      <c r="N89" s="565"/>
      <c r="O89" s="565"/>
      <c r="P89" s="565"/>
      <c r="Q89" s="565"/>
      <c r="R89" s="565"/>
      <c r="S89" s="565"/>
      <c r="T89" s="565"/>
      <c r="U89" s="565"/>
      <c r="V89" s="565"/>
      <c r="W89" s="565"/>
      <c r="X89" s="565"/>
      <c r="Y89" s="565"/>
      <c r="Z89" s="565"/>
      <c r="AA89" s="565"/>
      <c r="AB89" s="565"/>
      <c r="AC89" s="565"/>
      <c r="AD89" s="565"/>
      <c r="AE89" s="565"/>
      <c r="AF89" s="565"/>
      <c r="AG89" s="565"/>
      <c r="AH89" s="565"/>
      <c r="AI89" s="565"/>
      <c r="AJ89" s="565"/>
      <c r="AK89" s="565"/>
      <c r="AL89" s="565"/>
      <c r="AM89" s="565"/>
      <c r="AN89" s="565"/>
      <c r="AO89" s="565"/>
      <c r="AP89" s="565"/>
      <c r="AQ89" s="565"/>
      <c r="AR89" s="565"/>
      <c r="AS89" s="565"/>
      <c r="AT89" s="565"/>
      <c r="AU89" s="181"/>
      <c r="AV89" s="558"/>
    </row>
    <row r="90" ht="11.25" customHeight="1">
      <c r="A90" s="565"/>
      <c r="B90" s="181"/>
      <c r="C90" s="565"/>
      <c r="D90" s="565"/>
      <c r="E90" s="565"/>
      <c r="F90" s="565"/>
      <c r="G90" s="565"/>
      <c r="H90" s="565"/>
      <c r="I90" s="565"/>
      <c r="J90" s="565"/>
      <c r="K90" s="565"/>
      <c r="L90" s="565"/>
      <c r="M90" s="565"/>
      <c r="N90" s="565"/>
      <c r="O90" s="565"/>
      <c r="P90" s="565"/>
      <c r="Q90" s="565"/>
      <c r="R90" s="565"/>
      <c r="S90" s="565"/>
      <c r="T90" s="565"/>
      <c r="U90" s="565"/>
      <c r="V90" s="565"/>
      <c r="W90" s="565"/>
      <c r="X90" s="565"/>
      <c r="Y90" s="565"/>
      <c r="Z90" s="565"/>
      <c r="AA90" s="565"/>
      <c r="AB90" s="565"/>
      <c r="AC90" s="565"/>
      <c r="AD90" s="565"/>
      <c r="AE90" s="565"/>
      <c r="AF90" s="565"/>
      <c r="AG90" s="565"/>
      <c r="AH90" s="565"/>
      <c r="AI90" s="565"/>
      <c r="AJ90" s="565"/>
      <c r="AK90" s="565"/>
      <c r="AL90" s="565"/>
      <c r="AM90" s="565"/>
      <c r="AN90" s="565"/>
      <c r="AO90" s="565"/>
      <c r="AP90" s="565"/>
      <c r="AQ90" s="565"/>
      <c r="AR90" s="565"/>
      <c r="AS90" s="565"/>
      <c r="AT90" s="565"/>
      <c r="AU90" s="181"/>
      <c r="AV90" s="558"/>
    </row>
    <row r="91" ht="11.25" customHeight="1">
      <c r="A91" s="565"/>
      <c r="B91" s="181"/>
      <c r="C91" s="565"/>
      <c r="D91" s="565"/>
      <c r="E91" s="565"/>
      <c r="F91" s="565"/>
      <c r="G91" s="565"/>
      <c r="H91" s="565"/>
      <c r="I91" s="565"/>
      <c r="J91" s="565"/>
      <c r="K91" s="565"/>
      <c r="L91" s="565"/>
      <c r="M91" s="565"/>
      <c r="N91" s="565"/>
      <c r="O91" s="565"/>
      <c r="P91" s="565"/>
      <c r="Q91" s="565"/>
      <c r="R91" s="565"/>
      <c r="S91" s="565"/>
      <c r="T91" s="565"/>
      <c r="U91" s="565"/>
      <c r="V91" s="565"/>
      <c r="W91" s="565"/>
      <c r="X91" s="565"/>
      <c r="Y91" s="565"/>
      <c r="Z91" s="565"/>
      <c r="AA91" s="565"/>
      <c r="AB91" s="565"/>
      <c r="AC91" s="565"/>
      <c r="AD91" s="565"/>
      <c r="AE91" s="565"/>
      <c r="AF91" s="565"/>
      <c r="AG91" s="565"/>
      <c r="AH91" s="565"/>
      <c r="AI91" s="565"/>
      <c r="AJ91" s="565"/>
      <c r="AK91" s="565"/>
      <c r="AL91" s="565"/>
      <c r="AM91" s="565"/>
      <c r="AN91" s="565"/>
      <c r="AO91" s="565"/>
      <c r="AP91" s="565"/>
      <c r="AQ91" s="565"/>
      <c r="AR91" s="565"/>
      <c r="AS91" s="565"/>
      <c r="AT91" s="565"/>
      <c r="AU91" s="181"/>
      <c r="AV91" s="558"/>
    </row>
    <row r="92" ht="11.25" customHeight="1">
      <c r="A92" s="565"/>
      <c r="B92" s="181"/>
      <c r="C92" s="565"/>
      <c r="D92" s="565"/>
      <c r="E92" s="565"/>
      <c r="F92" s="565"/>
      <c r="G92" s="565"/>
      <c r="H92" s="565"/>
      <c r="I92" s="565"/>
      <c r="J92" s="565"/>
      <c r="K92" s="565"/>
      <c r="L92" s="565"/>
      <c r="M92" s="565"/>
      <c r="N92" s="565"/>
      <c r="O92" s="565"/>
      <c r="P92" s="565"/>
      <c r="Q92" s="565"/>
      <c r="R92" s="565"/>
      <c r="S92" s="565"/>
      <c r="T92" s="565"/>
      <c r="U92" s="565"/>
      <c r="V92" s="565"/>
      <c r="W92" s="565"/>
      <c r="X92" s="565"/>
      <c r="Y92" s="565"/>
      <c r="Z92" s="565"/>
      <c r="AA92" s="565"/>
      <c r="AB92" s="565"/>
      <c r="AC92" s="565"/>
      <c r="AD92" s="565"/>
      <c r="AE92" s="565"/>
      <c r="AF92" s="565"/>
      <c r="AG92" s="565"/>
      <c r="AH92" s="565"/>
      <c r="AI92" s="565"/>
      <c r="AJ92" s="565"/>
      <c r="AK92" s="565"/>
      <c r="AL92" s="565"/>
      <c r="AM92" s="565"/>
      <c r="AN92" s="565"/>
      <c r="AO92" s="565"/>
      <c r="AP92" s="565"/>
      <c r="AQ92" s="565"/>
      <c r="AR92" s="565"/>
      <c r="AS92" s="565"/>
      <c r="AT92" s="565"/>
      <c r="AU92" s="181"/>
      <c r="AV92" s="558"/>
    </row>
    <row r="93" ht="11.25" customHeight="1">
      <c r="A93" s="565"/>
      <c r="B93" s="181"/>
      <c r="C93" s="565"/>
      <c r="D93" s="565"/>
      <c r="E93" s="565"/>
      <c r="F93" s="565"/>
      <c r="G93" s="565"/>
      <c r="H93" s="565"/>
      <c r="I93" s="565"/>
      <c r="J93" s="565"/>
      <c r="K93" s="565"/>
      <c r="L93" s="565"/>
      <c r="M93" s="565"/>
      <c r="N93" s="565"/>
      <c r="O93" s="565"/>
      <c r="P93" s="565"/>
      <c r="Q93" s="565"/>
      <c r="R93" s="565"/>
      <c r="S93" s="565"/>
      <c r="T93" s="565"/>
      <c r="U93" s="565"/>
      <c r="V93" s="565"/>
      <c r="W93" s="565"/>
      <c r="X93" s="565"/>
      <c r="Y93" s="565"/>
      <c r="Z93" s="565"/>
      <c r="AA93" s="565"/>
      <c r="AB93" s="565"/>
      <c r="AC93" s="565"/>
      <c r="AD93" s="565"/>
      <c r="AE93" s="565"/>
      <c r="AF93" s="565"/>
      <c r="AG93" s="565"/>
      <c r="AH93" s="565"/>
      <c r="AI93" s="565"/>
      <c r="AJ93" s="565"/>
      <c r="AK93" s="565"/>
      <c r="AL93" s="565"/>
      <c r="AM93" s="565"/>
      <c r="AN93" s="565"/>
      <c r="AO93" s="565"/>
      <c r="AP93" s="565"/>
      <c r="AQ93" s="565"/>
      <c r="AR93" s="565"/>
      <c r="AS93" s="565"/>
      <c r="AT93" s="565"/>
      <c r="AU93" s="181"/>
      <c r="AV93" s="558"/>
    </row>
    <row r="94" ht="11.25" customHeight="1">
      <c r="A94" s="565"/>
      <c r="B94" s="181"/>
      <c r="C94" s="565"/>
      <c r="D94" s="565"/>
      <c r="E94" s="565"/>
      <c r="F94" s="565"/>
      <c r="G94" s="565"/>
      <c r="H94" s="565"/>
      <c r="I94" s="565"/>
      <c r="J94" s="565"/>
      <c r="K94" s="565"/>
      <c r="L94" s="565"/>
      <c r="M94" s="565"/>
      <c r="N94" s="565"/>
      <c r="O94" s="565"/>
      <c r="P94" s="565"/>
      <c r="Q94" s="565"/>
      <c r="R94" s="565"/>
      <c r="S94" s="565"/>
      <c r="T94" s="565"/>
      <c r="U94" s="565"/>
      <c r="V94" s="565"/>
      <c r="W94" s="565"/>
      <c r="X94" s="565"/>
      <c r="Y94" s="565"/>
      <c r="Z94" s="565"/>
      <c r="AA94" s="565"/>
      <c r="AB94" s="565"/>
      <c r="AC94" s="565"/>
      <c r="AD94" s="565"/>
      <c r="AE94" s="565"/>
      <c r="AF94" s="565"/>
      <c r="AG94" s="565"/>
      <c r="AH94" s="565"/>
      <c r="AI94" s="565"/>
      <c r="AJ94" s="565"/>
      <c r="AK94" s="565"/>
      <c r="AL94" s="565"/>
      <c r="AM94" s="565"/>
      <c r="AN94" s="565"/>
      <c r="AO94" s="565"/>
      <c r="AP94" s="565"/>
      <c r="AQ94" s="565"/>
      <c r="AR94" s="565"/>
      <c r="AS94" s="565"/>
      <c r="AT94" s="565"/>
      <c r="AU94" s="181"/>
      <c r="AV94" s="558"/>
    </row>
    <row r="95" ht="11.25" customHeight="1">
      <c r="A95" s="565"/>
      <c r="B95" s="181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181"/>
      <c r="AV95" s="558"/>
    </row>
    <row r="96" ht="11.25" customHeight="1">
      <c r="A96" s="565"/>
      <c r="B96" s="181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181"/>
      <c r="AV96" s="558"/>
    </row>
    <row r="97" ht="11.25" customHeight="1">
      <c r="A97" s="565"/>
      <c r="B97" s="181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181"/>
      <c r="AV97" s="558"/>
    </row>
    <row r="98" ht="11.25" customHeight="1">
      <c r="A98" s="565"/>
      <c r="B98" s="181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181"/>
      <c r="AV98" s="558"/>
    </row>
    <row r="99" ht="11.25" customHeight="1">
      <c r="A99" s="565"/>
      <c r="B99" s="181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181"/>
      <c r="AV99" s="558"/>
    </row>
    <row r="100" ht="11.25" customHeight="1">
      <c r="A100" s="565"/>
      <c r="B100" s="181"/>
      <c r="C100" s="565"/>
      <c r="D100" s="565"/>
      <c r="E100" s="565"/>
      <c r="F100" s="565"/>
      <c r="G100" s="565"/>
      <c r="H100" s="565"/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565"/>
      <c r="U100" s="565"/>
      <c r="V100" s="565"/>
      <c r="W100" s="565"/>
      <c r="X100" s="565"/>
      <c r="Y100" s="565"/>
      <c r="Z100" s="565"/>
      <c r="AA100" s="565"/>
      <c r="AB100" s="565"/>
      <c r="AC100" s="565"/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565"/>
      <c r="AR100" s="565"/>
      <c r="AS100" s="565"/>
      <c r="AT100" s="565"/>
      <c r="AU100" s="181"/>
      <c r="AV100" s="558"/>
    </row>
    <row r="101" ht="11.25" customHeight="1">
      <c r="A101" s="565"/>
      <c r="B101" s="181"/>
      <c r="C101" s="565"/>
      <c r="D101" s="565"/>
      <c r="E101" s="565"/>
      <c r="F101" s="565"/>
      <c r="G101" s="565"/>
      <c r="H101" s="565"/>
      <c r="I101" s="565"/>
      <c r="J101" s="565"/>
      <c r="K101" s="565"/>
      <c r="L101" s="565"/>
      <c r="M101" s="565"/>
      <c r="N101" s="565"/>
      <c r="O101" s="565"/>
      <c r="P101" s="565"/>
      <c r="Q101" s="565"/>
      <c r="R101" s="565"/>
      <c r="S101" s="565"/>
      <c r="T101" s="565"/>
      <c r="U101" s="565"/>
      <c r="V101" s="565"/>
      <c r="W101" s="565"/>
      <c r="X101" s="565"/>
      <c r="Y101" s="565"/>
      <c r="Z101" s="565"/>
      <c r="AA101" s="565"/>
      <c r="AB101" s="565"/>
      <c r="AC101" s="565"/>
      <c r="AD101" s="565"/>
      <c r="AE101" s="565"/>
      <c r="AF101" s="565"/>
      <c r="AG101" s="565"/>
      <c r="AH101" s="565"/>
      <c r="AI101" s="565"/>
      <c r="AJ101" s="565"/>
      <c r="AK101" s="565"/>
      <c r="AL101" s="565"/>
      <c r="AM101" s="565"/>
      <c r="AN101" s="565"/>
      <c r="AO101" s="565"/>
      <c r="AP101" s="565"/>
      <c r="AQ101" s="565"/>
      <c r="AR101" s="565"/>
      <c r="AS101" s="565"/>
      <c r="AT101" s="565"/>
      <c r="AU101" s="181"/>
      <c r="AV101" s="558"/>
    </row>
    <row r="102" ht="11.25" customHeight="1">
      <c r="A102" s="565"/>
      <c r="B102" s="181"/>
      <c r="C102" s="565"/>
      <c r="D102" s="565"/>
      <c r="E102" s="565"/>
      <c r="F102" s="565"/>
      <c r="G102" s="565"/>
      <c r="H102" s="565"/>
      <c r="I102" s="565"/>
      <c r="J102" s="565"/>
      <c r="K102" s="565"/>
      <c r="L102" s="565"/>
      <c r="M102" s="565"/>
      <c r="N102" s="565"/>
      <c r="O102" s="565"/>
      <c r="P102" s="565"/>
      <c r="Q102" s="565"/>
      <c r="R102" s="565"/>
      <c r="S102" s="565"/>
      <c r="T102" s="565"/>
      <c r="U102" s="565"/>
      <c r="V102" s="565"/>
      <c r="W102" s="565"/>
      <c r="X102" s="565"/>
      <c r="Y102" s="565"/>
      <c r="Z102" s="565"/>
      <c r="AA102" s="565"/>
      <c r="AB102" s="565"/>
      <c r="AC102" s="565"/>
      <c r="AD102" s="565"/>
      <c r="AE102" s="565"/>
      <c r="AF102" s="565"/>
      <c r="AG102" s="565"/>
      <c r="AH102" s="565"/>
      <c r="AI102" s="565"/>
      <c r="AJ102" s="565"/>
      <c r="AK102" s="565"/>
      <c r="AL102" s="565"/>
      <c r="AM102" s="565"/>
      <c r="AN102" s="565"/>
      <c r="AO102" s="565"/>
      <c r="AP102" s="565"/>
      <c r="AQ102" s="565"/>
      <c r="AR102" s="565"/>
      <c r="AS102" s="565"/>
      <c r="AT102" s="565"/>
      <c r="AU102" s="181"/>
      <c r="AV102" s="558"/>
    </row>
    <row r="103" ht="11.25" customHeight="1">
      <c r="A103" s="565"/>
      <c r="B103" s="181"/>
      <c r="C103" s="565"/>
      <c r="D103" s="565"/>
      <c r="E103" s="565"/>
      <c r="F103" s="565"/>
      <c r="G103" s="565"/>
      <c r="H103" s="565"/>
      <c r="I103" s="565"/>
      <c r="J103" s="565"/>
      <c r="K103" s="565"/>
      <c r="L103" s="565"/>
      <c r="M103" s="565"/>
      <c r="N103" s="565"/>
      <c r="O103" s="565"/>
      <c r="P103" s="565"/>
      <c r="Q103" s="565"/>
      <c r="R103" s="565"/>
      <c r="S103" s="565"/>
      <c r="T103" s="565"/>
      <c r="U103" s="565"/>
      <c r="V103" s="565"/>
      <c r="W103" s="565"/>
      <c r="X103" s="565"/>
      <c r="Y103" s="565"/>
      <c r="Z103" s="565"/>
      <c r="AA103" s="565"/>
      <c r="AB103" s="565"/>
      <c r="AC103" s="565"/>
      <c r="AD103" s="565"/>
      <c r="AE103" s="565"/>
      <c r="AF103" s="565"/>
      <c r="AG103" s="565"/>
      <c r="AH103" s="565"/>
      <c r="AI103" s="565"/>
      <c r="AJ103" s="565"/>
      <c r="AK103" s="565"/>
      <c r="AL103" s="565"/>
      <c r="AM103" s="565"/>
      <c r="AN103" s="565"/>
      <c r="AO103" s="565"/>
      <c r="AP103" s="565"/>
      <c r="AQ103" s="565"/>
      <c r="AR103" s="565"/>
      <c r="AS103" s="565"/>
      <c r="AT103" s="565"/>
      <c r="AU103" s="181"/>
      <c r="AV103" s="558"/>
    </row>
    <row r="104" ht="11.25" customHeight="1">
      <c r="A104" s="565"/>
      <c r="B104" s="181"/>
      <c r="C104" s="565"/>
      <c r="D104" s="565"/>
      <c r="E104" s="565"/>
      <c r="F104" s="565"/>
      <c r="G104" s="565"/>
      <c r="H104" s="565"/>
      <c r="I104" s="565"/>
      <c r="J104" s="565"/>
      <c r="K104" s="565"/>
      <c r="L104" s="565"/>
      <c r="M104" s="565"/>
      <c r="N104" s="565"/>
      <c r="O104" s="565"/>
      <c r="P104" s="565"/>
      <c r="Q104" s="565"/>
      <c r="R104" s="565"/>
      <c r="S104" s="565"/>
      <c r="T104" s="565"/>
      <c r="U104" s="565"/>
      <c r="V104" s="565"/>
      <c r="W104" s="565"/>
      <c r="X104" s="565"/>
      <c r="Y104" s="565"/>
      <c r="Z104" s="565"/>
      <c r="AA104" s="565"/>
      <c r="AB104" s="565"/>
      <c r="AC104" s="565"/>
      <c r="AD104" s="565"/>
      <c r="AE104" s="565"/>
      <c r="AF104" s="565"/>
      <c r="AG104" s="565"/>
      <c r="AH104" s="565"/>
      <c r="AI104" s="565"/>
      <c r="AJ104" s="565"/>
      <c r="AK104" s="565"/>
      <c r="AL104" s="565"/>
      <c r="AM104" s="565"/>
      <c r="AN104" s="565"/>
      <c r="AO104" s="565"/>
      <c r="AP104" s="565"/>
      <c r="AQ104" s="565"/>
      <c r="AR104" s="565"/>
      <c r="AS104" s="565"/>
      <c r="AT104" s="565"/>
      <c r="AU104" s="181"/>
      <c r="AV104" s="558"/>
    </row>
    <row r="105" ht="11.25" customHeight="1">
      <c r="A105" s="565"/>
      <c r="B105" s="181"/>
      <c r="C105" s="565"/>
      <c r="D105" s="565"/>
      <c r="E105" s="565"/>
      <c r="F105" s="565"/>
      <c r="G105" s="565"/>
      <c r="H105" s="565"/>
      <c r="I105" s="565"/>
      <c r="J105" s="565"/>
      <c r="K105" s="565"/>
      <c r="L105" s="565"/>
      <c r="M105" s="565"/>
      <c r="N105" s="565"/>
      <c r="O105" s="565"/>
      <c r="P105" s="565"/>
      <c r="Q105" s="565"/>
      <c r="R105" s="565"/>
      <c r="S105" s="565"/>
      <c r="T105" s="565"/>
      <c r="U105" s="565"/>
      <c r="V105" s="565"/>
      <c r="W105" s="565"/>
      <c r="X105" s="565"/>
      <c r="Y105" s="565"/>
      <c r="Z105" s="565"/>
      <c r="AA105" s="565"/>
      <c r="AB105" s="565"/>
      <c r="AC105" s="565"/>
      <c r="AD105" s="565"/>
      <c r="AE105" s="565"/>
      <c r="AF105" s="565"/>
      <c r="AG105" s="565"/>
      <c r="AH105" s="565"/>
      <c r="AI105" s="565"/>
      <c r="AJ105" s="565"/>
      <c r="AK105" s="565"/>
      <c r="AL105" s="565"/>
      <c r="AM105" s="565"/>
      <c r="AN105" s="565"/>
      <c r="AO105" s="565"/>
      <c r="AP105" s="565"/>
      <c r="AQ105" s="565"/>
      <c r="AR105" s="565"/>
      <c r="AS105" s="565"/>
      <c r="AT105" s="565"/>
      <c r="AU105" s="181"/>
      <c r="AV105" s="558"/>
    </row>
    <row r="106" ht="11.25" customHeight="1">
      <c r="A106" s="565"/>
      <c r="B106" s="181"/>
      <c r="C106" s="565"/>
      <c r="D106" s="565"/>
      <c r="E106" s="565"/>
      <c r="F106" s="565"/>
      <c r="G106" s="565"/>
      <c r="H106" s="565"/>
      <c r="I106" s="565"/>
      <c r="J106" s="565"/>
      <c r="K106" s="565"/>
      <c r="L106" s="565"/>
      <c r="M106" s="565"/>
      <c r="N106" s="565"/>
      <c r="O106" s="565"/>
      <c r="P106" s="565"/>
      <c r="Q106" s="565"/>
      <c r="R106" s="565"/>
      <c r="S106" s="565"/>
      <c r="T106" s="565"/>
      <c r="U106" s="565"/>
      <c r="V106" s="565"/>
      <c r="W106" s="565"/>
      <c r="X106" s="565"/>
      <c r="Y106" s="565"/>
      <c r="Z106" s="565"/>
      <c r="AA106" s="565"/>
      <c r="AB106" s="565"/>
      <c r="AC106" s="565"/>
      <c r="AD106" s="565"/>
      <c r="AE106" s="565"/>
      <c r="AF106" s="565"/>
      <c r="AG106" s="565"/>
      <c r="AH106" s="565"/>
      <c r="AI106" s="565"/>
      <c r="AJ106" s="565"/>
      <c r="AK106" s="565"/>
      <c r="AL106" s="565"/>
      <c r="AM106" s="565"/>
      <c r="AN106" s="565"/>
      <c r="AO106" s="565"/>
      <c r="AP106" s="565"/>
      <c r="AQ106" s="565"/>
      <c r="AR106" s="565"/>
      <c r="AS106" s="565"/>
      <c r="AT106" s="565"/>
      <c r="AU106" s="181"/>
      <c r="AV106" s="558"/>
    </row>
    <row r="107" ht="11.25" customHeight="1">
      <c r="A107" s="565"/>
      <c r="B107" s="181"/>
      <c r="C107" s="565"/>
      <c r="D107" s="565"/>
      <c r="E107" s="565"/>
      <c r="F107" s="565"/>
      <c r="G107" s="565"/>
      <c r="H107" s="565"/>
      <c r="I107" s="565"/>
      <c r="J107" s="565"/>
      <c r="K107" s="565"/>
      <c r="L107" s="565"/>
      <c r="M107" s="565"/>
      <c r="N107" s="565"/>
      <c r="O107" s="565"/>
      <c r="P107" s="565"/>
      <c r="Q107" s="565"/>
      <c r="R107" s="565"/>
      <c r="S107" s="565"/>
      <c r="T107" s="565"/>
      <c r="U107" s="565"/>
      <c r="V107" s="565"/>
      <c r="W107" s="565"/>
      <c r="X107" s="565"/>
      <c r="Y107" s="565"/>
      <c r="Z107" s="565"/>
      <c r="AA107" s="565"/>
      <c r="AB107" s="565"/>
      <c r="AC107" s="565"/>
      <c r="AD107" s="565"/>
      <c r="AE107" s="565"/>
      <c r="AF107" s="565"/>
      <c r="AG107" s="565"/>
      <c r="AH107" s="565"/>
      <c r="AI107" s="565"/>
      <c r="AJ107" s="565"/>
      <c r="AK107" s="565"/>
      <c r="AL107" s="565"/>
      <c r="AM107" s="565"/>
      <c r="AN107" s="565"/>
      <c r="AO107" s="565"/>
      <c r="AP107" s="565"/>
      <c r="AQ107" s="565"/>
      <c r="AR107" s="565"/>
      <c r="AS107" s="565"/>
      <c r="AT107" s="565"/>
      <c r="AU107" s="181"/>
      <c r="AV107" s="558"/>
    </row>
    <row r="108" ht="11.25" customHeight="1">
      <c r="A108" s="565"/>
      <c r="B108" s="181"/>
      <c r="C108" s="565"/>
      <c r="D108" s="565"/>
      <c r="E108" s="565"/>
      <c r="F108" s="565"/>
      <c r="G108" s="565"/>
      <c r="H108" s="565"/>
      <c r="I108" s="565"/>
      <c r="J108" s="565"/>
      <c r="K108" s="565"/>
      <c r="L108" s="565"/>
      <c r="M108" s="565"/>
      <c r="N108" s="565"/>
      <c r="O108" s="565"/>
      <c r="P108" s="565"/>
      <c r="Q108" s="565"/>
      <c r="R108" s="565"/>
      <c r="S108" s="565"/>
      <c r="T108" s="565"/>
      <c r="U108" s="565"/>
      <c r="V108" s="565"/>
      <c r="W108" s="565"/>
      <c r="X108" s="565"/>
      <c r="Y108" s="565"/>
      <c r="Z108" s="565"/>
      <c r="AA108" s="565"/>
      <c r="AB108" s="565"/>
      <c r="AC108" s="565"/>
      <c r="AD108" s="565"/>
      <c r="AE108" s="565"/>
      <c r="AF108" s="565"/>
      <c r="AG108" s="565"/>
      <c r="AH108" s="565"/>
      <c r="AI108" s="565"/>
      <c r="AJ108" s="565"/>
      <c r="AK108" s="565"/>
      <c r="AL108" s="565"/>
      <c r="AM108" s="565"/>
      <c r="AN108" s="565"/>
      <c r="AO108" s="565"/>
      <c r="AP108" s="565"/>
      <c r="AQ108" s="565"/>
      <c r="AR108" s="565"/>
      <c r="AS108" s="565"/>
      <c r="AT108" s="565"/>
      <c r="AU108" s="181"/>
      <c r="AV108" s="558"/>
    </row>
    <row r="109" ht="11.25" customHeight="1">
      <c r="A109" s="565"/>
      <c r="B109" s="181"/>
      <c r="C109" s="565"/>
      <c r="D109" s="565"/>
      <c r="E109" s="565"/>
      <c r="F109" s="565"/>
      <c r="G109" s="565"/>
      <c r="H109" s="565"/>
      <c r="I109" s="565"/>
      <c r="J109" s="565"/>
      <c r="K109" s="565"/>
      <c r="L109" s="565"/>
      <c r="M109" s="565"/>
      <c r="N109" s="565"/>
      <c r="O109" s="565"/>
      <c r="P109" s="565"/>
      <c r="Q109" s="565"/>
      <c r="R109" s="565"/>
      <c r="S109" s="565"/>
      <c r="T109" s="565"/>
      <c r="U109" s="565"/>
      <c r="V109" s="565"/>
      <c r="W109" s="565"/>
      <c r="X109" s="565"/>
      <c r="Y109" s="565"/>
      <c r="Z109" s="565"/>
      <c r="AA109" s="565"/>
      <c r="AB109" s="565"/>
      <c r="AC109" s="565"/>
      <c r="AD109" s="565"/>
      <c r="AE109" s="565"/>
      <c r="AF109" s="565"/>
      <c r="AG109" s="565"/>
      <c r="AH109" s="565"/>
      <c r="AI109" s="565"/>
      <c r="AJ109" s="565"/>
      <c r="AK109" s="565"/>
      <c r="AL109" s="565"/>
      <c r="AM109" s="565"/>
      <c r="AN109" s="565"/>
      <c r="AO109" s="565"/>
      <c r="AP109" s="565"/>
      <c r="AQ109" s="565"/>
      <c r="AR109" s="565"/>
      <c r="AS109" s="565"/>
      <c r="AT109" s="565"/>
      <c r="AU109" s="181"/>
      <c r="AV109" s="558"/>
    </row>
    <row r="110" ht="11.25" customHeight="1">
      <c r="A110" s="565"/>
      <c r="B110" s="181"/>
      <c r="C110" s="565"/>
      <c r="D110" s="565"/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  <c r="AC110" s="565"/>
      <c r="AD110" s="565"/>
      <c r="AE110" s="565"/>
      <c r="AF110" s="565"/>
      <c r="AG110" s="565"/>
      <c r="AH110" s="565"/>
      <c r="AI110" s="565"/>
      <c r="AJ110" s="565"/>
      <c r="AK110" s="565"/>
      <c r="AL110" s="565"/>
      <c r="AM110" s="565"/>
      <c r="AN110" s="565"/>
      <c r="AO110" s="565"/>
      <c r="AP110" s="565"/>
      <c r="AQ110" s="565"/>
      <c r="AR110" s="565"/>
      <c r="AS110" s="565"/>
      <c r="AT110" s="565"/>
      <c r="AU110" s="181"/>
      <c r="AV110" s="558"/>
    </row>
    <row r="111" ht="11.25" customHeight="1">
      <c r="A111" s="565"/>
      <c r="B111" s="181"/>
      <c r="C111" s="565"/>
      <c r="D111" s="565"/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  <c r="AC111" s="565"/>
      <c r="AD111" s="565"/>
      <c r="AE111" s="565"/>
      <c r="AF111" s="565"/>
      <c r="AG111" s="565"/>
      <c r="AH111" s="565"/>
      <c r="AI111" s="565"/>
      <c r="AJ111" s="565"/>
      <c r="AK111" s="565"/>
      <c r="AL111" s="565"/>
      <c r="AM111" s="565"/>
      <c r="AN111" s="565"/>
      <c r="AO111" s="565"/>
      <c r="AP111" s="565"/>
      <c r="AQ111" s="565"/>
      <c r="AR111" s="565"/>
      <c r="AS111" s="565"/>
      <c r="AT111" s="565"/>
      <c r="AU111" s="181"/>
      <c r="AV111" s="558"/>
    </row>
    <row r="112" ht="11.25" customHeight="1">
      <c r="A112" s="565"/>
      <c r="B112" s="181"/>
      <c r="C112" s="565"/>
      <c r="D112" s="565"/>
      <c r="E112" s="565"/>
      <c r="F112" s="565"/>
      <c r="G112" s="565"/>
      <c r="H112" s="565"/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565"/>
      <c r="U112" s="565"/>
      <c r="V112" s="565"/>
      <c r="W112" s="565"/>
      <c r="X112" s="565"/>
      <c r="Y112" s="565"/>
      <c r="Z112" s="565"/>
      <c r="AA112" s="565"/>
      <c r="AB112" s="565"/>
      <c r="AC112" s="565"/>
      <c r="AD112" s="565"/>
      <c r="AE112" s="565"/>
      <c r="AF112" s="565"/>
      <c r="AG112" s="565"/>
      <c r="AH112" s="565"/>
      <c r="AI112" s="565"/>
      <c r="AJ112" s="565"/>
      <c r="AK112" s="565"/>
      <c r="AL112" s="565"/>
      <c r="AM112" s="565"/>
      <c r="AN112" s="565"/>
      <c r="AO112" s="565"/>
      <c r="AP112" s="565"/>
      <c r="AQ112" s="565"/>
      <c r="AR112" s="565"/>
      <c r="AS112" s="565"/>
      <c r="AT112" s="565"/>
      <c r="AU112" s="181"/>
      <c r="AV112" s="558"/>
    </row>
    <row r="113" ht="11.25" customHeight="1">
      <c r="A113" s="565"/>
      <c r="B113" s="181"/>
      <c r="C113" s="565"/>
      <c r="D113" s="565"/>
      <c r="E113" s="565"/>
      <c r="F113" s="565"/>
      <c r="G113" s="565"/>
      <c r="H113" s="565"/>
      <c r="I113" s="565"/>
      <c r="J113" s="565"/>
      <c r="K113" s="565"/>
      <c r="L113" s="565"/>
      <c r="M113" s="565"/>
      <c r="N113" s="565"/>
      <c r="O113" s="565"/>
      <c r="P113" s="565"/>
      <c r="Q113" s="565"/>
      <c r="R113" s="565"/>
      <c r="S113" s="565"/>
      <c r="T113" s="565"/>
      <c r="U113" s="565"/>
      <c r="V113" s="565"/>
      <c r="W113" s="565"/>
      <c r="X113" s="565"/>
      <c r="Y113" s="565"/>
      <c r="Z113" s="565"/>
      <c r="AA113" s="565"/>
      <c r="AB113" s="565"/>
      <c r="AC113" s="565"/>
      <c r="AD113" s="565"/>
      <c r="AE113" s="565"/>
      <c r="AF113" s="565"/>
      <c r="AG113" s="565"/>
      <c r="AH113" s="565"/>
      <c r="AI113" s="565"/>
      <c r="AJ113" s="565"/>
      <c r="AK113" s="565"/>
      <c r="AL113" s="565"/>
      <c r="AM113" s="565"/>
      <c r="AN113" s="565"/>
      <c r="AO113" s="565"/>
      <c r="AP113" s="565"/>
      <c r="AQ113" s="565"/>
      <c r="AR113" s="565"/>
      <c r="AS113" s="565"/>
      <c r="AT113" s="565"/>
      <c r="AU113" s="181"/>
      <c r="AV113" s="558"/>
    </row>
    <row r="114" ht="11.25" customHeight="1">
      <c r="A114" s="565"/>
      <c r="B114" s="181"/>
      <c r="C114" s="565"/>
      <c r="D114" s="565"/>
      <c r="E114" s="565"/>
      <c r="F114" s="565"/>
      <c r="G114" s="565"/>
      <c r="H114" s="565"/>
      <c r="I114" s="565"/>
      <c r="J114" s="565"/>
      <c r="K114" s="565"/>
      <c r="L114" s="565"/>
      <c r="M114" s="565"/>
      <c r="N114" s="565"/>
      <c r="O114" s="565"/>
      <c r="P114" s="565"/>
      <c r="Q114" s="565"/>
      <c r="R114" s="565"/>
      <c r="S114" s="565"/>
      <c r="T114" s="565"/>
      <c r="U114" s="565"/>
      <c r="V114" s="565"/>
      <c r="W114" s="565"/>
      <c r="X114" s="565"/>
      <c r="Y114" s="565"/>
      <c r="Z114" s="565"/>
      <c r="AA114" s="565"/>
      <c r="AB114" s="565"/>
      <c r="AC114" s="565"/>
      <c r="AD114" s="565"/>
      <c r="AE114" s="565"/>
      <c r="AF114" s="565"/>
      <c r="AG114" s="565"/>
      <c r="AH114" s="565"/>
      <c r="AI114" s="565"/>
      <c r="AJ114" s="565"/>
      <c r="AK114" s="565"/>
      <c r="AL114" s="565"/>
      <c r="AM114" s="565"/>
      <c r="AN114" s="565"/>
      <c r="AO114" s="565"/>
      <c r="AP114" s="565"/>
      <c r="AQ114" s="565"/>
      <c r="AR114" s="565"/>
      <c r="AS114" s="565"/>
      <c r="AT114" s="565"/>
      <c r="AU114" s="181"/>
      <c r="AV114" s="558"/>
    </row>
    <row r="115" ht="11.25" customHeight="1">
      <c r="A115" s="565"/>
      <c r="B115" s="181"/>
      <c r="C115" s="565"/>
      <c r="D115" s="565"/>
      <c r="E115" s="565"/>
      <c r="F115" s="565"/>
      <c r="G115" s="565"/>
      <c r="H115" s="565"/>
      <c r="I115" s="565"/>
      <c r="J115" s="565"/>
      <c r="K115" s="565"/>
      <c r="L115" s="565"/>
      <c r="M115" s="565"/>
      <c r="N115" s="565"/>
      <c r="O115" s="565"/>
      <c r="P115" s="565"/>
      <c r="Q115" s="565"/>
      <c r="R115" s="565"/>
      <c r="S115" s="565"/>
      <c r="T115" s="565"/>
      <c r="U115" s="565"/>
      <c r="V115" s="565"/>
      <c r="W115" s="565"/>
      <c r="X115" s="565"/>
      <c r="Y115" s="565"/>
      <c r="Z115" s="565"/>
      <c r="AA115" s="565"/>
      <c r="AB115" s="565"/>
      <c r="AC115" s="565"/>
      <c r="AD115" s="565"/>
      <c r="AE115" s="565"/>
      <c r="AF115" s="565"/>
      <c r="AG115" s="565"/>
      <c r="AH115" s="565"/>
      <c r="AI115" s="565"/>
      <c r="AJ115" s="565"/>
      <c r="AK115" s="565"/>
      <c r="AL115" s="565"/>
      <c r="AM115" s="565"/>
      <c r="AN115" s="565"/>
      <c r="AO115" s="565"/>
      <c r="AP115" s="565"/>
      <c r="AQ115" s="565"/>
      <c r="AR115" s="565"/>
      <c r="AS115" s="565"/>
      <c r="AT115" s="565"/>
      <c r="AU115" s="181"/>
      <c r="AV115" s="558"/>
    </row>
    <row r="116" ht="11.25" customHeight="1">
      <c r="A116" s="565"/>
      <c r="B116" s="181"/>
      <c r="C116" s="565"/>
      <c r="D116" s="565"/>
      <c r="E116" s="565"/>
      <c r="F116" s="565"/>
      <c r="G116" s="565"/>
      <c r="H116" s="565"/>
      <c r="I116" s="565"/>
      <c r="J116" s="565"/>
      <c r="K116" s="565"/>
      <c r="L116" s="565"/>
      <c r="M116" s="565"/>
      <c r="N116" s="565"/>
      <c r="O116" s="565"/>
      <c r="P116" s="565"/>
      <c r="Q116" s="565"/>
      <c r="R116" s="565"/>
      <c r="S116" s="565"/>
      <c r="T116" s="565"/>
      <c r="U116" s="565"/>
      <c r="V116" s="565"/>
      <c r="W116" s="565"/>
      <c r="X116" s="565"/>
      <c r="Y116" s="565"/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65"/>
      <c r="AJ116" s="565"/>
      <c r="AK116" s="565"/>
      <c r="AL116" s="565"/>
      <c r="AM116" s="565"/>
      <c r="AN116" s="565"/>
      <c r="AO116" s="565"/>
      <c r="AP116" s="565"/>
      <c r="AQ116" s="565"/>
      <c r="AR116" s="565"/>
      <c r="AS116" s="565"/>
      <c r="AT116" s="565"/>
      <c r="AU116" s="181"/>
      <c r="AV116" s="558"/>
    </row>
    <row r="117" ht="11.25" customHeight="1">
      <c r="A117" s="565"/>
      <c r="B117" s="181"/>
      <c r="C117" s="565"/>
      <c r="D117" s="565"/>
      <c r="E117" s="565"/>
      <c r="F117" s="565"/>
      <c r="G117" s="565"/>
      <c r="H117" s="565"/>
      <c r="I117" s="565"/>
      <c r="J117" s="565"/>
      <c r="K117" s="565"/>
      <c r="L117" s="565"/>
      <c r="M117" s="565"/>
      <c r="N117" s="565"/>
      <c r="O117" s="565"/>
      <c r="P117" s="565"/>
      <c r="Q117" s="565"/>
      <c r="R117" s="565"/>
      <c r="S117" s="565"/>
      <c r="T117" s="565"/>
      <c r="U117" s="565"/>
      <c r="V117" s="565"/>
      <c r="W117" s="565"/>
      <c r="X117" s="565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5"/>
      <c r="AS117" s="565"/>
      <c r="AT117" s="565"/>
      <c r="AU117" s="181"/>
      <c r="AV117" s="558"/>
    </row>
    <row r="118" ht="11.25" customHeight="1">
      <c r="A118" s="565"/>
      <c r="B118" s="181"/>
      <c r="C118" s="565"/>
      <c r="D118" s="565"/>
      <c r="E118" s="565"/>
      <c r="F118" s="565"/>
      <c r="G118" s="565"/>
      <c r="H118" s="565"/>
      <c r="I118" s="565"/>
      <c r="J118" s="565"/>
      <c r="K118" s="565"/>
      <c r="L118" s="565"/>
      <c r="M118" s="565"/>
      <c r="N118" s="565"/>
      <c r="O118" s="565"/>
      <c r="P118" s="565"/>
      <c r="Q118" s="565"/>
      <c r="R118" s="565"/>
      <c r="S118" s="565"/>
      <c r="T118" s="565"/>
      <c r="U118" s="565"/>
      <c r="V118" s="565"/>
      <c r="W118" s="565"/>
      <c r="X118" s="565"/>
      <c r="Y118" s="565"/>
      <c r="Z118" s="565"/>
      <c r="AA118" s="565"/>
      <c r="AB118" s="565"/>
      <c r="AC118" s="565"/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181"/>
      <c r="AV118" s="558"/>
    </row>
    <row r="119" ht="11.25" customHeight="1">
      <c r="A119" s="565"/>
      <c r="B119" s="181"/>
      <c r="C119" s="565"/>
      <c r="D119" s="565"/>
      <c r="E119" s="565"/>
      <c r="F119" s="565"/>
      <c r="G119" s="565"/>
      <c r="H119" s="565"/>
      <c r="I119" s="565"/>
      <c r="J119" s="565"/>
      <c r="K119" s="565"/>
      <c r="L119" s="565"/>
      <c r="M119" s="565"/>
      <c r="N119" s="565"/>
      <c r="O119" s="565"/>
      <c r="P119" s="565"/>
      <c r="Q119" s="565"/>
      <c r="R119" s="565"/>
      <c r="S119" s="565"/>
      <c r="T119" s="565"/>
      <c r="U119" s="565"/>
      <c r="V119" s="565"/>
      <c r="W119" s="565"/>
      <c r="X119" s="565"/>
      <c r="Y119" s="565"/>
      <c r="Z119" s="565"/>
      <c r="AA119" s="565"/>
      <c r="AB119" s="565"/>
      <c r="AC119" s="565"/>
      <c r="AD119" s="565"/>
      <c r="AE119" s="565"/>
      <c r="AF119" s="565"/>
      <c r="AG119" s="565"/>
      <c r="AH119" s="565"/>
      <c r="AI119" s="565"/>
      <c r="AJ119" s="565"/>
      <c r="AK119" s="565"/>
      <c r="AL119" s="565"/>
      <c r="AM119" s="565"/>
      <c r="AN119" s="565"/>
      <c r="AO119" s="565"/>
      <c r="AP119" s="565"/>
      <c r="AQ119" s="565"/>
      <c r="AR119" s="565"/>
      <c r="AS119" s="565"/>
      <c r="AT119" s="565"/>
      <c r="AU119" s="181"/>
      <c r="AV119" s="558"/>
    </row>
    <row r="120" ht="11.25" customHeight="1">
      <c r="A120" s="565"/>
      <c r="B120" s="181"/>
      <c r="C120" s="565"/>
      <c r="D120" s="565"/>
      <c r="E120" s="565"/>
      <c r="F120" s="565"/>
      <c r="G120" s="565"/>
      <c r="H120" s="565"/>
      <c r="I120" s="565"/>
      <c r="J120" s="565"/>
      <c r="K120" s="565"/>
      <c r="L120" s="565"/>
      <c r="M120" s="565"/>
      <c r="N120" s="565"/>
      <c r="O120" s="565"/>
      <c r="P120" s="565"/>
      <c r="Q120" s="565"/>
      <c r="R120" s="565"/>
      <c r="S120" s="565"/>
      <c r="T120" s="565"/>
      <c r="U120" s="565"/>
      <c r="V120" s="565"/>
      <c r="W120" s="565"/>
      <c r="X120" s="565"/>
      <c r="Y120" s="565"/>
      <c r="Z120" s="565"/>
      <c r="AA120" s="565"/>
      <c r="AB120" s="565"/>
      <c r="AC120" s="565"/>
      <c r="AD120" s="565"/>
      <c r="AE120" s="565"/>
      <c r="AF120" s="565"/>
      <c r="AG120" s="565"/>
      <c r="AH120" s="565"/>
      <c r="AI120" s="565"/>
      <c r="AJ120" s="565"/>
      <c r="AK120" s="565"/>
      <c r="AL120" s="565"/>
      <c r="AM120" s="565"/>
      <c r="AN120" s="565"/>
      <c r="AO120" s="565"/>
      <c r="AP120" s="565"/>
      <c r="AQ120" s="565"/>
      <c r="AR120" s="565"/>
      <c r="AS120" s="565"/>
      <c r="AT120" s="565"/>
      <c r="AU120" s="181"/>
      <c r="AV120" s="558"/>
    </row>
    <row r="121" ht="11.25" customHeight="1">
      <c r="A121" s="565"/>
      <c r="B121" s="181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181"/>
      <c r="AV121" s="558"/>
    </row>
    <row r="122" ht="11.25" customHeight="1">
      <c r="A122" s="565"/>
      <c r="B122" s="181"/>
      <c r="C122" s="565"/>
      <c r="D122" s="565"/>
      <c r="E122" s="565"/>
      <c r="F122" s="565"/>
      <c r="G122" s="565"/>
      <c r="H122" s="565"/>
      <c r="I122" s="565"/>
      <c r="J122" s="565"/>
      <c r="K122" s="565"/>
      <c r="L122" s="565"/>
      <c r="M122" s="565"/>
      <c r="N122" s="565"/>
      <c r="O122" s="565"/>
      <c r="P122" s="565"/>
      <c r="Q122" s="565"/>
      <c r="R122" s="565"/>
      <c r="S122" s="565"/>
      <c r="T122" s="565"/>
      <c r="U122" s="565"/>
      <c r="V122" s="565"/>
      <c r="W122" s="565"/>
      <c r="X122" s="565"/>
      <c r="Y122" s="565"/>
      <c r="Z122" s="565"/>
      <c r="AA122" s="565"/>
      <c r="AB122" s="565"/>
      <c r="AC122" s="565"/>
      <c r="AD122" s="565"/>
      <c r="AE122" s="565"/>
      <c r="AF122" s="565"/>
      <c r="AG122" s="565"/>
      <c r="AH122" s="565"/>
      <c r="AI122" s="565"/>
      <c r="AJ122" s="565"/>
      <c r="AK122" s="565"/>
      <c r="AL122" s="565"/>
      <c r="AM122" s="565"/>
      <c r="AN122" s="565"/>
      <c r="AO122" s="565"/>
      <c r="AP122" s="565"/>
      <c r="AQ122" s="565"/>
      <c r="AR122" s="565"/>
      <c r="AS122" s="565"/>
      <c r="AT122" s="565"/>
      <c r="AU122" s="181"/>
      <c r="AV122" s="558"/>
    </row>
    <row r="123" ht="11.25" customHeight="1">
      <c r="A123" s="565"/>
      <c r="B123" s="181"/>
      <c r="C123" s="565"/>
      <c r="D123" s="565"/>
      <c r="E123" s="565"/>
      <c r="F123" s="565"/>
      <c r="G123" s="565"/>
      <c r="H123" s="565"/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5"/>
      <c r="T123" s="565"/>
      <c r="U123" s="565"/>
      <c r="V123" s="565"/>
      <c r="W123" s="565"/>
      <c r="X123" s="565"/>
      <c r="Y123" s="565"/>
      <c r="Z123" s="565"/>
      <c r="AA123" s="565"/>
      <c r="AB123" s="565"/>
      <c r="AC123" s="565"/>
      <c r="AD123" s="565"/>
      <c r="AE123" s="565"/>
      <c r="AF123" s="565"/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  <c r="AQ123" s="565"/>
      <c r="AR123" s="565"/>
      <c r="AS123" s="565"/>
      <c r="AT123" s="565"/>
      <c r="AU123" s="181"/>
      <c r="AV123" s="558"/>
    </row>
    <row r="124" ht="11.25" customHeight="1">
      <c r="A124" s="565"/>
      <c r="B124" s="181"/>
      <c r="C124" s="565"/>
      <c r="D124" s="565"/>
      <c r="E124" s="565"/>
      <c r="F124" s="565"/>
      <c r="G124" s="565"/>
      <c r="H124" s="565"/>
      <c r="I124" s="565"/>
      <c r="J124" s="565"/>
      <c r="K124" s="565"/>
      <c r="L124" s="565"/>
      <c r="M124" s="565"/>
      <c r="N124" s="565"/>
      <c r="O124" s="565"/>
      <c r="P124" s="565"/>
      <c r="Q124" s="565"/>
      <c r="R124" s="565"/>
      <c r="S124" s="565"/>
      <c r="T124" s="565"/>
      <c r="U124" s="565"/>
      <c r="V124" s="565"/>
      <c r="W124" s="565"/>
      <c r="X124" s="565"/>
      <c r="Y124" s="565"/>
      <c r="Z124" s="565"/>
      <c r="AA124" s="565"/>
      <c r="AB124" s="565"/>
      <c r="AC124" s="565"/>
      <c r="AD124" s="565"/>
      <c r="AE124" s="565"/>
      <c r="AF124" s="565"/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  <c r="AQ124" s="565"/>
      <c r="AR124" s="565"/>
      <c r="AS124" s="565"/>
      <c r="AT124" s="565"/>
      <c r="AU124" s="181"/>
      <c r="AV124" s="558"/>
    </row>
    <row r="125" ht="11.25" customHeight="1">
      <c r="A125" s="565"/>
      <c r="B125" s="181"/>
      <c r="C125" s="565"/>
      <c r="D125" s="565"/>
      <c r="E125" s="565"/>
      <c r="F125" s="565"/>
      <c r="G125" s="565"/>
      <c r="H125" s="565"/>
      <c r="I125" s="565"/>
      <c r="J125" s="565"/>
      <c r="K125" s="565"/>
      <c r="L125" s="565"/>
      <c r="M125" s="565"/>
      <c r="N125" s="565"/>
      <c r="O125" s="565"/>
      <c r="P125" s="565"/>
      <c r="Q125" s="565"/>
      <c r="R125" s="565"/>
      <c r="S125" s="565"/>
      <c r="T125" s="565"/>
      <c r="U125" s="565"/>
      <c r="V125" s="565"/>
      <c r="W125" s="565"/>
      <c r="X125" s="565"/>
      <c r="Y125" s="565"/>
      <c r="Z125" s="565"/>
      <c r="AA125" s="565"/>
      <c r="AB125" s="565"/>
      <c r="AC125" s="565"/>
      <c r="AD125" s="565"/>
      <c r="AE125" s="565"/>
      <c r="AF125" s="565"/>
      <c r="AG125" s="565"/>
      <c r="AH125" s="565"/>
      <c r="AI125" s="565"/>
      <c r="AJ125" s="565"/>
      <c r="AK125" s="565"/>
      <c r="AL125" s="565"/>
      <c r="AM125" s="565"/>
      <c r="AN125" s="565"/>
      <c r="AO125" s="565"/>
      <c r="AP125" s="565"/>
      <c r="AQ125" s="565"/>
      <c r="AR125" s="565"/>
      <c r="AS125" s="565"/>
      <c r="AT125" s="565"/>
      <c r="AU125" s="181"/>
      <c r="AV125" s="558"/>
    </row>
    <row r="126" ht="11.25" customHeight="1">
      <c r="A126" s="565"/>
      <c r="B126" s="181"/>
      <c r="C126" s="565"/>
      <c r="D126" s="565"/>
      <c r="E126" s="565"/>
      <c r="F126" s="565"/>
      <c r="G126" s="565"/>
      <c r="H126" s="565"/>
      <c r="I126" s="565"/>
      <c r="J126" s="565"/>
      <c r="K126" s="565"/>
      <c r="L126" s="565"/>
      <c r="M126" s="565"/>
      <c r="N126" s="565"/>
      <c r="O126" s="565"/>
      <c r="P126" s="565"/>
      <c r="Q126" s="565"/>
      <c r="R126" s="565"/>
      <c r="S126" s="565"/>
      <c r="T126" s="565"/>
      <c r="U126" s="565"/>
      <c r="V126" s="565"/>
      <c r="W126" s="565"/>
      <c r="X126" s="565"/>
      <c r="Y126" s="565"/>
      <c r="Z126" s="565"/>
      <c r="AA126" s="565"/>
      <c r="AB126" s="565"/>
      <c r="AC126" s="565"/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5"/>
      <c r="AS126" s="565"/>
      <c r="AT126" s="565"/>
      <c r="AU126" s="181"/>
      <c r="AV126" s="558"/>
    </row>
    <row r="127" ht="11.25" customHeight="1">
      <c r="A127" s="565"/>
      <c r="B127" s="181"/>
      <c r="C127" s="565"/>
      <c r="D127" s="565"/>
      <c r="E127" s="565"/>
      <c r="F127" s="565"/>
      <c r="G127" s="565"/>
      <c r="H127" s="565"/>
      <c r="I127" s="565"/>
      <c r="J127" s="565"/>
      <c r="K127" s="565"/>
      <c r="L127" s="565"/>
      <c r="M127" s="565"/>
      <c r="N127" s="565"/>
      <c r="O127" s="565"/>
      <c r="P127" s="565"/>
      <c r="Q127" s="565"/>
      <c r="R127" s="565"/>
      <c r="S127" s="565"/>
      <c r="T127" s="565"/>
      <c r="U127" s="565"/>
      <c r="V127" s="565"/>
      <c r="W127" s="565"/>
      <c r="X127" s="565"/>
      <c r="Y127" s="565"/>
      <c r="Z127" s="565"/>
      <c r="AA127" s="565"/>
      <c r="AB127" s="565"/>
      <c r="AC127" s="565"/>
      <c r="AD127" s="565"/>
      <c r="AE127" s="565"/>
      <c r="AF127" s="565"/>
      <c r="AG127" s="565"/>
      <c r="AH127" s="565"/>
      <c r="AI127" s="565"/>
      <c r="AJ127" s="565"/>
      <c r="AK127" s="565"/>
      <c r="AL127" s="565"/>
      <c r="AM127" s="565"/>
      <c r="AN127" s="565"/>
      <c r="AO127" s="565"/>
      <c r="AP127" s="565"/>
      <c r="AQ127" s="565"/>
      <c r="AR127" s="565"/>
      <c r="AS127" s="565"/>
      <c r="AT127" s="565"/>
      <c r="AU127" s="181"/>
      <c r="AV127" s="558"/>
    </row>
    <row r="128" ht="11.25" customHeight="1">
      <c r="A128" s="565"/>
      <c r="B128" s="181"/>
      <c r="C128" s="565"/>
      <c r="D128" s="565"/>
      <c r="E128" s="565"/>
      <c r="F128" s="565"/>
      <c r="G128" s="565"/>
      <c r="H128" s="565"/>
      <c r="I128" s="565"/>
      <c r="J128" s="565"/>
      <c r="K128" s="565"/>
      <c r="L128" s="565"/>
      <c r="M128" s="565"/>
      <c r="N128" s="565"/>
      <c r="O128" s="565"/>
      <c r="P128" s="565"/>
      <c r="Q128" s="565"/>
      <c r="R128" s="565"/>
      <c r="S128" s="565"/>
      <c r="T128" s="565"/>
      <c r="U128" s="565"/>
      <c r="V128" s="565"/>
      <c r="W128" s="565"/>
      <c r="X128" s="565"/>
      <c r="Y128" s="565"/>
      <c r="Z128" s="565"/>
      <c r="AA128" s="565"/>
      <c r="AB128" s="565"/>
      <c r="AC128" s="565"/>
      <c r="AD128" s="565"/>
      <c r="AE128" s="565"/>
      <c r="AF128" s="565"/>
      <c r="AG128" s="565"/>
      <c r="AH128" s="565"/>
      <c r="AI128" s="565"/>
      <c r="AJ128" s="565"/>
      <c r="AK128" s="565"/>
      <c r="AL128" s="565"/>
      <c r="AM128" s="565"/>
      <c r="AN128" s="565"/>
      <c r="AO128" s="565"/>
      <c r="AP128" s="565"/>
      <c r="AQ128" s="565"/>
      <c r="AR128" s="565"/>
      <c r="AS128" s="565"/>
      <c r="AT128" s="565"/>
      <c r="AU128" s="181"/>
      <c r="AV128" s="558"/>
    </row>
    <row r="129" ht="11.25" customHeight="1">
      <c r="A129" s="565"/>
      <c r="B129" s="181"/>
      <c r="C129" s="565"/>
      <c r="D129" s="565"/>
      <c r="E129" s="565"/>
      <c r="F129" s="565"/>
      <c r="G129" s="565"/>
      <c r="H129" s="565"/>
      <c r="I129" s="565"/>
      <c r="J129" s="565"/>
      <c r="K129" s="565"/>
      <c r="L129" s="565"/>
      <c r="M129" s="565"/>
      <c r="N129" s="565"/>
      <c r="O129" s="565"/>
      <c r="P129" s="565"/>
      <c r="Q129" s="565"/>
      <c r="R129" s="565"/>
      <c r="S129" s="565"/>
      <c r="T129" s="565"/>
      <c r="U129" s="565"/>
      <c r="V129" s="565"/>
      <c r="W129" s="565"/>
      <c r="X129" s="565"/>
      <c r="Y129" s="565"/>
      <c r="Z129" s="565"/>
      <c r="AA129" s="565"/>
      <c r="AB129" s="565"/>
      <c r="AC129" s="565"/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5"/>
      <c r="AS129" s="565"/>
      <c r="AT129" s="565"/>
      <c r="AU129" s="181"/>
      <c r="AV129" s="558"/>
    </row>
    <row r="130" ht="11.25" customHeight="1">
      <c r="A130" s="565"/>
      <c r="B130" s="181"/>
      <c r="C130" s="565"/>
      <c r="D130" s="565"/>
      <c r="E130" s="565"/>
      <c r="F130" s="565"/>
      <c r="G130" s="565"/>
      <c r="H130" s="565"/>
      <c r="I130" s="565"/>
      <c r="J130" s="565"/>
      <c r="K130" s="565"/>
      <c r="L130" s="565"/>
      <c r="M130" s="565"/>
      <c r="N130" s="565"/>
      <c r="O130" s="565"/>
      <c r="P130" s="565"/>
      <c r="Q130" s="565"/>
      <c r="R130" s="565"/>
      <c r="S130" s="565"/>
      <c r="T130" s="565"/>
      <c r="U130" s="565"/>
      <c r="V130" s="565"/>
      <c r="W130" s="565"/>
      <c r="X130" s="565"/>
      <c r="Y130" s="565"/>
      <c r="Z130" s="565"/>
      <c r="AA130" s="565"/>
      <c r="AB130" s="565"/>
      <c r="AC130" s="565"/>
      <c r="AD130" s="565"/>
      <c r="AE130" s="565"/>
      <c r="AF130" s="565"/>
      <c r="AG130" s="565"/>
      <c r="AH130" s="565"/>
      <c r="AI130" s="565"/>
      <c r="AJ130" s="565"/>
      <c r="AK130" s="565"/>
      <c r="AL130" s="565"/>
      <c r="AM130" s="565"/>
      <c r="AN130" s="565"/>
      <c r="AO130" s="565"/>
      <c r="AP130" s="565"/>
      <c r="AQ130" s="565"/>
      <c r="AR130" s="565"/>
      <c r="AS130" s="565"/>
      <c r="AT130" s="565"/>
      <c r="AU130" s="181"/>
      <c r="AV130" s="558"/>
    </row>
    <row r="131" ht="11.25" customHeight="1">
      <c r="A131" s="565"/>
      <c r="B131" s="181"/>
      <c r="C131" s="565"/>
      <c r="D131" s="565"/>
      <c r="E131" s="565"/>
      <c r="F131" s="565"/>
      <c r="G131" s="565"/>
      <c r="H131" s="565"/>
      <c r="I131" s="565"/>
      <c r="J131" s="565"/>
      <c r="K131" s="565"/>
      <c r="L131" s="565"/>
      <c r="M131" s="565"/>
      <c r="N131" s="565"/>
      <c r="O131" s="565"/>
      <c r="P131" s="565"/>
      <c r="Q131" s="565"/>
      <c r="R131" s="565"/>
      <c r="S131" s="565"/>
      <c r="T131" s="565"/>
      <c r="U131" s="565"/>
      <c r="V131" s="565"/>
      <c r="W131" s="565"/>
      <c r="X131" s="565"/>
      <c r="Y131" s="565"/>
      <c r="Z131" s="565"/>
      <c r="AA131" s="565"/>
      <c r="AB131" s="565"/>
      <c r="AC131" s="565"/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5"/>
      <c r="AS131" s="565"/>
      <c r="AT131" s="565"/>
      <c r="AU131" s="181"/>
      <c r="AV131" s="558"/>
    </row>
    <row r="132" ht="11.25" customHeight="1">
      <c r="A132" s="565"/>
      <c r="B132" s="181"/>
      <c r="C132" s="565"/>
      <c r="D132" s="565"/>
      <c r="E132" s="565"/>
      <c r="F132" s="565"/>
      <c r="G132" s="565"/>
      <c r="H132" s="565"/>
      <c r="I132" s="565"/>
      <c r="J132" s="565"/>
      <c r="K132" s="565"/>
      <c r="L132" s="565"/>
      <c r="M132" s="565"/>
      <c r="N132" s="565"/>
      <c r="O132" s="565"/>
      <c r="P132" s="565"/>
      <c r="Q132" s="565"/>
      <c r="R132" s="565"/>
      <c r="S132" s="565"/>
      <c r="T132" s="565"/>
      <c r="U132" s="565"/>
      <c r="V132" s="565"/>
      <c r="W132" s="565"/>
      <c r="X132" s="565"/>
      <c r="Y132" s="565"/>
      <c r="Z132" s="565"/>
      <c r="AA132" s="565"/>
      <c r="AB132" s="565"/>
      <c r="AC132" s="565"/>
      <c r="AD132" s="565"/>
      <c r="AE132" s="565"/>
      <c r="AF132" s="565"/>
      <c r="AG132" s="565"/>
      <c r="AH132" s="565"/>
      <c r="AI132" s="565"/>
      <c r="AJ132" s="565"/>
      <c r="AK132" s="565"/>
      <c r="AL132" s="565"/>
      <c r="AM132" s="565"/>
      <c r="AN132" s="565"/>
      <c r="AO132" s="565"/>
      <c r="AP132" s="565"/>
      <c r="AQ132" s="565"/>
      <c r="AR132" s="565"/>
      <c r="AS132" s="565"/>
      <c r="AT132" s="565"/>
      <c r="AU132" s="181"/>
      <c r="AV132" s="558"/>
    </row>
    <row r="133" ht="11.25" customHeight="1">
      <c r="A133" s="565"/>
      <c r="B133" s="181"/>
      <c r="C133" s="565"/>
      <c r="D133" s="565"/>
      <c r="E133" s="565"/>
      <c r="F133" s="565"/>
      <c r="G133" s="565"/>
      <c r="H133" s="565"/>
      <c r="I133" s="565"/>
      <c r="J133" s="565"/>
      <c r="K133" s="565"/>
      <c r="L133" s="565"/>
      <c r="M133" s="565"/>
      <c r="N133" s="565"/>
      <c r="O133" s="565"/>
      <c r="P133" s="565"/>
      <c r="Q133" s="565"/>
      <c r="R133" s="565"/>
      <c r="S133" s="565"/>
      <c r="T133" s="565"/>
      <c r="U133" s="565"/>
      <c r="V133" s="565"/>
      <c r="W133" s="565"/>
      <c r="X133" s="565"/>
      <c r="Y133" s="565"/>
      <c r="Z133" s="565"/>
      <c r="AA133" s="565"/>
      <c r="AB133" s="565"/>
      <c r="AC133" s="565"/>
      <c r="AD133" s="565"/>
      <c r="AE133" s="565"/>
      <c r="AF133" s="565"/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AR133" s="565"/>
      <c r="AS133" s="565"/>
      <c r="AT133" s="565"/>
      <c r="AU133" s="181"/>
      <c r="AV133" s="558"/>
    </row>
    <row r="134" ht="11.25" customHeight="1">
      <c r="A134" s="565"/>
      <c r="B134" s="181"/>
      <c r="C134" s="565"/>
      <c r="D134" s="565"/>
      <c r="E134" s="565"/>
      <c r="F134" s="565"/>
      <c r="G134" s="565"/>
      <c r="H134" s="565"/>
      <c r="I134" s="565"/>
      <c r="J134" s="565"/>
      <c r="K134" s="565"/>
      <c r="L134" s="565"/>
      <c r="M134" s="565"/>
      <c r="N134" s="565"/>
      <c r="O134" s="565"/>
      <c r="P134" s="565"/>
      <c r="Q134" s="565"/>
      <c r="R134" s="565"/>
      <c r="S134" s="565"/>
      <c r="T134" s="565"/>
      <c r="U134" s="565"/>
      <c r="V134" s="565"/>
      <c r="W134" s="565"/>
      <c r="X134" s="565"/>
      <c r="Y134" s="565"/>
      <c r="Z134" s="565"/>
      <c r="AA134" s="565"/>
      <c r="AB134" s="565"/>
      <c r="AC134" s="565"/>
      <c r="AD134" s="565"/>
      <c r="AE134" s="565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AR134" s="565"/>
      <c r="AS134" s="565"/>
      <c r="AT134" s="565"/>
      <c r="AU134" s="181"/>
      <c r="AV134" s="558"/>
    </row>
    <row r="135" ht="11.25" customHeight="1">
      <c r="A135" s="565"/>
      <c r="B135" s="181"/>
      <c r="C135" s="565"/>
      <c r="D135" s="565"/>
      <c r="E135" s="565"/>
      <c r="F135" s="565"/>
      <c r="G135" s="565"/>
      <c r="H135" s="565"/>
      <c r="I135" s="565"/>
      <c r="J135" s="565"/>
      <c r="K135" s="565"/>
      <c r="L135" s="565"/>
      <c r="M135" s="565"/>
      <c r="N135" s="565"/>
      <c r="O135" s="565"/>
      <c r="P135" s="565"/>
      <c r="Q135" s="565"/>
      <c r="R135" s="565"/>
      <c r="S135" s="565"/>
      <c r="T135" s="565"/>
      <c r="U135" s="565"/>
      <c r="V135" s="565"/>
      <c r="W135" s="565"/>
      <c r="X135" s="565"/>
      <c r="Y135" s="565"/>
      <c r="Z135" s="565"/>
      <c r="AA135" s="565"/>
      <c r="AB135" s="565"/>
      <c r="AC135" s="565"/>
      <c r="AD135" s="565"/>
      <c r="AE135" s="565"/>
      <c r="AF135" s="565"/>
      <c r="AG135" s="565"/>
      <c r="AH135" s="565"/>
      <c r="AI135" s="565"/>
      <c r="AJ135" s="565"/>
      <c r="AK135" s="565"/>
      <c r="AL135" s="565"/>
      <c r="AM135" s="565"/>
      <c r="AN135" s="565"/>
      <c r="AO135" s="565"/>
      <c r="AP135" s="565"/>
      <c r="AQ135" s="565"/>
      <c r="AR135" s="565"/>
      <c r="AS135" s="565"/>
      <c r="AT135" s="565"/>
      <c r="AU135" s="181"/>
      <c r="AV135" s="558"/>
    </row>
    <row r="136" ht="11.25" customHeight="1">
      <c r="A136" s="565"/>
      <c r="B136" s="181"/>
      <c r="C136" s="565"/>
      <c r="D136" s="565"/>
      <c r="E136" s="565"/>
      <c r="F136" s="565"/>
      <c r="G136" s="565"/>
      <c r="H136" s="565"/>
      <c r="I136" s="565"/>
      <c r="J136" s="565"/>
      <c r="K136" s="565"/>
      <c r="L136" s="565"/>
      <c r="M136" s="565"/>
      <c r="N136" s="565"/>
      <c r="O136" s="565"/>
      <c r="P136" s="565"/>
      <c r="Q136" s="565"/>
      <c r="R136" s="565"/>
      <c r="S136" s="565"/>
      <c r="T136" s="565"/>
      <c r="U136" s="565"/>
      <c r="V136" s="565"/>
      <c r="W136" s="565"/>
      <c r="X136" s="565"/>
      <c r="Y136" s="565"/>
      <c r="Z136" s="565"/>
      <c r="AA136" s="565"/>
      <c r="AB136" s="565"/>
      <c r="AC136" s="565"/>
      <c r="AD136" s="565"/>
      <c r="AE136" s="565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565"/>
      <c r="AR136" s="565"/>
      <c r="AS136" s="565"/>
      <c r="AT136" s="565"/>
      <c r="AU136" s="181"/>
      <c r="AV136" s="558"/>
    </row>
    <row r="137" ht="11.25" customHeight="1">
      <c r="A137" s="565"/>
      <c r="B137" s="181"/>
      <c r="C137" s="565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  <c r="V137" s="565"/>
      <c r="W137" s="565"/>
      <c r="X137" s="565"/>
      <c r="Y137" s="565"/>
      <c r="Z137" s="565"/>
      <c r="AA137" s="565"/>
      <c r="AB137" s="565"/>
      <c r="AC137" s="565"/>
      <c r="AD137" s="565"/>
      <c r="AE137" s="565"/>
      <c r="AF137" s="565"/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5"/>
      <c r="AS137" s="565"/>
      <c r="AT137" s="565"/>
      <c r="AU137" s="181"/>
      <c r="AV137" s="558"/>
    </row>
    <row r="138" ht="11.25" customHeight="1">
      <c r="A138" s="565"/>
      <c r="B138" s="181"/>
      <c r="C138" s="565"/>
      <c r="D138" s="565"/>
      <c r="E138" s="565"/>
      <c r="F138" s="565"/>
      <c r="G138" s="565"/>
      <c r="H138" s="565"/>
      <c r="I138" s="565"/>
      <c r="J138" s="565"/>
      <c r="K138" s="565"/>
      <c r="L138" s="565"/>
      <c r="M138" s="565"/>
      <c r="N138" s="565"/>
      <c r="O138" s="565"/>
      <c r="P138" s="565"/>
      <c r="Q138" s="565"/>
      <c r="R138" s="565"/>
      <c r="S138" s="565"/>
      <c r="T138" s="565"/>
      <c r="U138" s="565"/>
      <c r="V138" s="565"/>
      <c r="W138" s="565"/>
      <c r="X138" s="565"/>
      <c r="Y138" s="565"/>
      <c r="Z138" s="565"/>
      <c r="AA138" s="565"/>
      <c r="AB138" s="565"/>
      <c r="AC138" s="565"/>
      <c r="AD138" s="565"/>
      <c r="AE138" s="565"/>
      <c r="AF138" s="565"/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5"/>
      <c r="AS138" s="565"/>
      <c r="AT138" s="565"/>
      <c r="AU138" s="181"/>
      <c r="AV138" s="558"/>
    </row>
    <row r="139" ht="11.25" customHeight="1">
      <c r="A139" s="565"/>
      <c r="B139" s="181"/>
      <c r="C139" s="565"/>
      <c r="D139" s="565"/>
      <c r="E139" s="565"/>
      <c r="F139" s="565"/>
      <c r="G139" s="565"/>
      <c r="H139" s="565"/>
      <c r="I139" s="565"/>
      <c r="J139" s="565"/>
      <c r="K139" s="565"/>
      <c r="L139" s="565"/>
      <c r="M139" s="565"/>
      <c r="N139" s="565"/>
      <c r="O139" s="565"/>
      <c r="P139" s="565"/>
      <c r="Q139" s="565"/>
      <c r="R139" s="565"/>
      <c r="S139" s="565"/>
      <c r="T139" s="565"/>
      <c r="U139" s="565"/>
      <c r="V139" s="565"/>
      <c r="W139" s="565"/>
      <c r="X139" s="565"/>
      <c r="Y139" s="565"/>
      <c r="Z139" s="565"/>
      <c r="AA139" s="565"/>
      <c r="AB139" s="565"/>
      <c r="AC139" s="565"/>
      <c r="AD139" s="565"/>
      <c r="AE139" s="565"/>
      <c r="AF139" s="565"/>
      <c r="AG139" s="565"/>
      <c r="AH139" s="565"/>
      <c r="AI139" s="565"/>
      <c r="AJ139" s="565"/>
      <c r="AK139" s="565"/>
      <c r="AL139" s="565"/>
      <c r="AM139" s="565"/>
      <c r="AN139" s="565"/>
      <c r="AO139" s="565"/>
      <c r="AP139" s="565"/>
      <c r="AQ139" s="565"/>
      <c r="AR139" s="565"/>
      <c r="AS139" s="565"/>
      <c r="AT139" s="565"/>
      <c r="AU139" s="181"/>
      <c r="AV139" s="558"/>
    </row>
    <row r="140" ht="11.25" customHeight="1">
      <c r="A140" s="565"/>
      <c r="B140" s="181"/>
      <c r="C140" s="565"/>
      <c r="D140" s="565"/>
      <c r="E140" s="565"/>
      <c r="F140" s="565"/>
      <c r="G140" s="565"/>
      <c r="H140" s="565"/>
      <c r="I140" s="565"/>
      <c r="J140" s="565"/>
      <c r="K140" s="565"/>
      <c r="L140" s="565"/>
      <c r="M140" s="565"/>
      <c r="N140" s="565"/>
      <c r="O140" s="565"/>
      <c r="P140" s="565"/>
      <c r="Q140" s="565"/>
      <c r="R140" s="565"/>
      <c r="S140" s="565"/>
      <c r="T140" s="565"/>
      <c r="U140" s="565"/>
      <c r="V140" s="565"/>
      <c r="W140" s="565"/>
      <c r="X140" s="565"/>
      <c r="Y140" s="565"/>
      <c r="Z140" s="565"/>
      <c r="AA140" s="565"/>
      <c r="AB140" s="565"/>
      <c r="AC140" s="565"/>
      <c r="AD140" s="565"/>
      <c r="AE140" s="565"/>
      <c r="AF140" s="565"/>
      <c r="AG140" s="565"/>
      <c r="AH140" s="565"/>
      <c r="AI140" s="565"/>
      <c r="AJ140" s="565"/>
      <c r="AK140" s="565"/>
      <c r="AL140" s="565"/>
      <c r="AM140" s="565"/>
      <c r="AN140" s="565"/>
      <c r="AO140" s="565"/>
      <c r="AP140" s="565"/>
      <c r="AQ140" s="565"/>
      <c r="AR140" s="565"/>
      <c r="AS140" s="565"/>
      <c r="AT140" s="565"/>
      <c r="AU140" s="181"/>
      <c r="AV140" s="558"/>
    </row>
    <row r="141" ht="11.25" customHeight="1">
      <c r="A141" s="565"/>
      <c r="B141" s="181"/>
      <c r="C141" s="565"/>
      <c r="D141" s="565"/>
      <c r="E141" s="565"/>
      <c r="F141" s="565"/>
      <c r="G141" s="565"/>
      <c r="H141" s="565"/>
      <c r="I141" s="565"/>
      <c r="J141" s="565"/>
      <c r="K141" s="565"/>
      <c r="L141" s="565"/>
      <c r="M141" s="565"/>
      <c r="N141" s="565"/>
      <c r="O141" s="565"/>
      <c r="P141" s="565"/>
      <c r="Q141" s="565"/>
      <c r="R141" s="565"/>
      <c r="S141" s="565"/>
      <c r="T141" s="565"/>
      <c r="U141" s="565"/>
      <c r="V141" s="565"/>
      <c r="W141" s="565"/>
      <c r="X141" s="565"/>
      <c r="Y141" s="565"/>
      <c r="Z141" s="565"/>
      <c r="AA141" s="565"/>
      <c r="AB141" s="565"/>
      <c r="AC141" s="565"/>
      <c r="AD141" s="565"/>
      <c r="AE141" s="565"/>
      <c r="AF141" s="565"/>
      <c r="AG141" s="565"/>
      <c r="AH141" s="565"/>
      <c r="AI141" s="565"/>
      <c r="AJ141" s="565"/>
      <c r="AK141" s="565"/>
      <c r="AL141" s="565"/>
      <c r="AM141" s="565"/>
      <c r="AN141" s="565"/>
      <c r="AO141" s="565"/>
      <c r="AP141" s="565"/>
      <c r="AQ141" s="565"/>
      <c r="AR141" s="565"/>
      <c r="AS141" s="565"/>
      <c r="AT141" s="565"/>
      <c r="AU141" s="181"/>
      <c r="AV141" s="558"/>
    </row>
    <row r="142" ht="11.25" customHeight="1">
      <c r="A142" s="565"/>
      <c r="B142" s="181"/>
      <c r="C142" s="565"/>
      <c r="D142" s="565"/>
      <c r="E142" s="565"/>
      <c r="F142" s="565"/>
      <c r="G142" s="565"/>
      <c r="H142" s="565"/>
      <c r="I142" s="565"/>
      <c r="J142" s="565"/>
      <c r="K142" s="565"/>
      <c r="L142" s="565"/>
      <c r="M142" s="565"/>
      <c r="N142" s="565"/>
      <c r="O142" s="565"/>
      <c r="P142" s="565"/>
      <c r="Q142" s="565"/>
      <c r="R142" s="565"/>
      <c r="S142" s="565"/>
      <c r="T142" s="565"/>
      <c r="U142" s="565"/>
      <c r="V142" s="565"/>
      <c r="W142" s="565"/>
      <c r="X142" s="565"/>
      <c r="Y142" s="565"/>
      <c r="Z142" s="565"/>
      <c r="AA142" s="565"/>
      <c r="AB142" s="565"/>
      <c r="AC142" s="565"/>
      <c r="AD142" s="565"/>
      <c r="AE142" s="565"/>
      <c r="AF142" s="565"/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5"/>
      <c r="AS142" s="565"/>
      <c r="AT142" s="565"/>
      <c r="AU142" s="181"/>
      <c r="AV142" s="558"/>
    </row>
    <row r="143" ht="11.25" customHeight="1">
      <c r="A143" s="565"/>
      <c r="B143" s="181"/>
      <c r="C143" s="565"/>
      <c r="D143" s="565"/>
      <c r="E143" s="565"/>
      <c r="F143" s="565"/>
      <c r="G143" s="565"/>
      <c r="H143" s="565"/>
      <c r="I143" s="565"/>
      <c r="J143" s="565"/>
      <c r="K143" s="565"/>
      <c r="L143" s="565"/>
      <c r="M143" s="565"/>
      <c r="N143" s="565"/>
      <c r="O143" s="565"/>
      <c r="P143" s="565"/>
      <c r="Q143" s="565"/>
      <c r="R143" s="565"/>
      <c r="S143" s="565"/>
      <c r="T143" s="565"/>
      <c r="U143" s="565"/>
      <c r="V143" s="565"/>
      <c r="W143" s="565"/>
      <c r="X143" s="565"/>
      <c r="Y143" s="565"/>
      <c r="Z143" s="565"/>
      <c r="AA143" s="565"/>
      <c r="AB143" s="565"/>
      <c r="AC143" s="565"/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5"/>
      <c r="AS143" s="565"/>
      <c r="AT143" s="565"/>
      <c r="AU143" s="181"/>
      <c r="AV143" s="558"/>
    </row>
    <row r="144" ht="11.25" customHeight="1">
      <c r="A144" s="565"/>
      <c r="B144" s="181"/>
      <c r="C144" s="565"/>
      <c r="D144" s="565"/>
      <c r="E144" s="565"/>
      <c r="F144" s="565"/>
      <c r="G144" s="565"/>
      <c r="H144" s="565"/>
      <c r="I144" s="565"/>
      <c r="J144" s="565"/>
      <c r="K144" s="565"/>
      <c r="L144" s="565"/>
      <c r="M144" s="565"/>
      <c r="N144" s="565"/>
      <c r="O144" s="565"/>
      <c r="P144" s="565"/>
      <c r="Q144" s="565"/>
      <c r="R144" s="565"/>
      <c r="S144" s="565"/>
      <c r="T144" s="565"/>
      <c r="U144" s="565"/>
      <c r="V144" s="565"/>
      <c r="W144" s="565"/>
      <c r="X144" s="565"/>
      <c r="Y144" s="565"/>
      <c r="Z144" s="565"/>
      <c r="AA144" s="565"/>
      <c r="AB144" s="565"/>
      <c r="AC144" s="565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5"/>
      <c r="AS144" s="565"/>
      <c r="AT144" s="565"/>
      <c r="AU144" s="181"/>
      <c r="AV144" s="558"/>
    </row>
    <row r="145" ht="11.25" customHeight="1">
      <c r="A145" s="565"/>
      <c r="B145" s="181"/>
      <c r="C145" s="565"/>
      <c r="D145" s="565"/>
      <c r="E145" s="565"/>
      <c r="F145" s="565"/>
      <c r="G145" s="565"/>
      <c r="H145" s="565"/>
      <c r="I145" s="565"/>
      <c r="J145" s="565"/>
      <c r="K145" s="565"/>
      <c r="L145" s="565"/>
      <c r="M145" s="565"/>
      <c r="N145" s="565"/>
      <c r="O145" s="565"/>
      <c r="P145" s="565"/>
      <c r="Q145" s="565"/>
      <c r="R145" s="565"/>
      <c r="S145" s="565"/>
      <c r="T145" s="565"/>
      <c r="U145" s="565"/>
      <c r="V145" s="565"/>
      <c r="W145" s="565"/>
      <c r="X145" s="565"/>
      <c r="Y145" s="565"/>
      <c r="Z145" s="565"/>
      <c r="AA145" s="565"/>
      <c r="AB145" s="565"/>
      <c r="AC145" s="565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5"/>
      <c r="AS145" s="565"/>
      <c r="AT145" s="565"/>
      <c r="AU145" s="181"/>
      <c r="AV145" s="558"/>
    </row>
    <row r="146" ht="11.25" customHeight="1">
      <c r="A146" s="565"/>
      <c r="B146" s="181"/>
      <c r="C146" s="565"/>
      <c r="D146" s="565"/>
      <c r="E146" s="565"/>
      <c r="F146" s="565"/>
      <c r="G146" s="565"/>
      <c r="H146" s="565"/>
      <c r="I146" s="565"/>
      <c r="J146" s="565"/>
      <c r="K146" s="565"/>
      <c r="L146" s="565"/>
      <c r="M146" s="565"/>
      <c r="N146" s="565"/>
      <c r="O146" s="565"/>
      <c r="P146" s="565"/>
      <c r="Q146" s="565"/>
      <c r="R146" s="565"/>
      <c r="S146" s="565"/>
      <c r="T146" s="565"/>
      <c r="U146" s="565"/>
      <c r="V146" s="565"/>
      <c r="W146" s="565"/>
      <c r="X146" s="565"/>
      <c r="Y146" s="565"/>
      <c r="Z146" s="565"/>
      <c r="AA146" s="565"/>
      <c r="AB146" s="565"/>
      <c r="AC146" s="565"/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5"/>
      <c r="AS146" s="565"/>
      <c r="AT146" s="565"/>
      <c r="AU146" s="181"/>
      <c r="AV146" s="558"/>
    </row>
    <row r="147" ht="11.25" customHeight="1">
      <c r="A147" s="565"/>
      <c r="B147" s="181"/>
      <c r="C147" s="565"/>
      <c r="D147" s="565"/>
      <c r="E147" s="565"/>
      <c r="F147" s="565"/>
      <c r="G147" s="565"/>
      <c r="H147" s="565"/>
      <c r="I147" s="565"/>
      <c r="J147" s="565"/>
      <c r="K147" s="565"/>
      <c r="L147" s="565"/>
      <c r="M147" s="565"/>
      <c r="N147" s="565"/>
      <c r="O147" s="565"/>
      <c r="P147" s="565"/>
      <c r="Q147" s="565"/>
      <c r="R147" s="565"/>
      <c r="S147" s="565"/>
      <c r="T147" s="565"/>
      <c r="U147" s="565"/>
      <c r="V147" s="565"/>
      <c r="W147" s="565"/>
      <c r="X147" s="565"/>
      <c r="Y147" s="565"/>
      <c r="Z147" s="565"/>
      <c r="AA147" s="565"/>
      <c r="AB147" s="565"/>
      <c r="AC147" s="565"/>
      <c r="AD147" s="565"/>
      <c r="AE147" s="565"/>
      <c r="AF147" s="565"/>
      <c r="AG147" s="565"/>
      <c r="AH147" s="565"/>
      <c r="AI147" s="565"/>
      <c r="AJ147" s="565"/>
      <c r="AK147" s="565"/>
      <c r="AL147" s="565"/>
      <c r="AM147" s="565"/>
      <c r="AN147" s="565"/>
      <c r="AO147" s="565"/>
      <c r="AP147" s="565"/>
      <c r="AQ147" s="565"/>
      <c r="AR147" s="565"/>
      <c r="AS147" s="565"/>
      <c r="AT147" s="565"/>
      <c r="AU147" s="181"/>
      <c r="AV147" s="558"/>
    </row>
    <row r="148" ht="11.25" customHeight="1">
      <c r="A148" s="565"/>
      <c r="B148" s="181"/>
      <c r="C148" s="565"/>
      <c r="D148" s="565"/>
      <c r="E148" s="565"/>
      <c r="F148" s="565"/>
      <c r="G148" s="565"/>
      <c r="H148" s="565"/>
      <c r="I148" s="565"/>
      <c r="J148" s="565"/>
      <c r="K148" s="565"/>
      <c r="L148" s="565"/>
      <c r="M148" s="565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/>
      <c r="Y148" s="565"/>
      <c r="Z148" s="565"/>
      <c r="AA148" s="565"/>
      <c r="AB148" s="565"/>
      <c r="AC148" s="565"/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5"/>
      <c r="AS148" s="565"/>
      <c r="AT148" s="565"/>
      <c r="AU148" s="181"/>
      <c r="AV148" s="558"/>
    </row>
    <row r="149" ht="11.25" customHeight="1">
      <c r="A149" s="565"/>
      <c r="B149" s="181"/>
      <c r="C149" s="565"/>
      <c r="D149" s="565"/>
      <c r="E149" s="565"/>
      <c r="F149" s="565"/>
      <c r="G149" s="565"/>
      <c r="H149" s="565"/>
      <c r="I149" s="565"/>
      <c r="J149" s="565"/>
      <c r="K149" s="565"/>
      <c r="L149" s="565"/>
      <c r="M149" s="565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/>
      <c r="Y149" s="565"/>
      <c r="Z149" s="565"/>
      <c r="AA149" s="565"/>
      <c r="AB149" s="565"/>
      <c r="AC149" s="565"/>
      <c r="AD149" s="565"/>
      <c r="AE149" s="565"/>
      <c r="AF149" s="565"/>
      <c r="AG149" s="565"/>
      <c r="AH149" s="565"/>
      <c r="AI149" s="565"/>
      <c r="AJ149" s="565"/>
      <c r="AK149" s="565"/>
      <c r="AL149" s="565"/>
      <c r="AM149" s="565"/>
      <c r="AN149" s="565"/>
      <c r="AO149" s="565"/>
      <c r="AP149" s="565"/>
      <c r="AQ149" s="565"/>
      <c r="AR149" s="565"/>
      <c r="AS149" s="565"/>
      <c r="AT149" s="565"/>
      <c r="AU149" s="181"/>
      <c r="AV149" s="558"/>
    </row>
    <row r="150" ht="11.25" customHeight="1">
      <c r="A150" s="565"/>
      <c r="B150" s="181"/>
      <c r="C150" s="565"/>
      <c r="D150" s="565"/>
      <c r="E150" s="565"/>
      <c r="F150" s="565"/>
      <c r="G150" s="565"/>
      <c r="H150" s="565"/>
      <c r="I150" s="565"/>
      <c r="J150" s="565"/>
      <c r="K150" s="565"/>
      <c r="L150" s="565"/>
      <c r="M150" s="565"/>
      <c r="N150" s="565"/>
      <c r="O150" s="565"/>
      <c r="P150" s="565"/>
      <c r="Q150" s="565"/>
      <c r="R150" s="565"/>
      <c r="S150" s="565"/>
      <c r="T150" s="565"/>
      <c r="U150" s="565"/>
      <c r="V150" s="565"/>
      <c r="W150" s="565"/>
      <c r="X150" s="565"/>
      <c r="Y150" s="565"/>
      <c r="Z150" s="565"/>
      <c r="AA150" s="565"/>
      <c r="AB150" s="565"/>
      <c r="AC150" s="565"/>
      <c r="AD150" s="565"/>
      <c r="AE150" s="565"/>
      <c r="AF150" s="565"/>
      <c r="AG150" s="565"/>
      <c r="AH150" s="565"/>
      <c r="AI150" s="565"/>
      <c r="AJ150" s="565"/>
      <c r="AK150" s="565"/>
      <c r="AL150" s="565"/>
      <c r="AM150" s="565"/>
      <c r="AN150" s="565"/>
      <c r="AO150" s="565"/>
      <c r="AP150" s="565"/>
      <c r="AQ150" s="565"/>
      <c r="AR150" s="565"/>
      <c r="AS150" s="565"/>
      <c r="AT150" s="565"/>
      <c r="AU150" s="181"/>
      <c r="AV150" s="558"/>
    </row>
    <row r="151" ht="11.25" customHeight="1">
      <c r="A151" s="565"/>
      <c r="B151" s="181"/>
      <c r="C151" s="565"/>
      <c r="D151" s="565"/>
      <c r="E151" s="565"/>
      <c r="F151" s="565"/>
      <c r="G151" s="565"/>
      <c r="H151" s="565"/>
      <c r="I151" s="565"/>
      <c r="J151" s="565"/>
      <c r="K151" s="565"/>
      <c r="L151" s="565"/>
      <c r="M151" s="565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5"/>
      <c r="AF151" s="565"/>
      <c r="AG151" s="565"/>
      <c r="AH151" s="565"/>
      <c r="AI151" s="565"/>
      <c r="AJ151" s="565"/>
      <c r="AK151" s="565"/>
      <c r="AL151" s="565"/>
      <c r="AM151" s="565"/>
      <c r="AN151" s="565"/>
      <c r="AO151" s="565"/>
      <c r="AP151" s="565"/>
      <c r="AQ151" s="565"/>
      <c r="AR151" s="565"/>
      <c r="AS151" s="565"/>
      <c r="AT151" s="565"/>
      <c r="AU151" s="181"/>
      <c r="AV151" s="558"/>
    </row>
    <row r="152" ht="11.25" customHeight="1">
      <c r="A152" s="565"/>
      <c r="B152" s="181"/>
      <c r="C152" s="565"/>
      <c r="D152" s="565"/>
      <c r="E152" s="565"/>
      <c r="F152" s="565"/>
      <c r="G152" s="565"/>
      <c r="H152" s="565"/>
      <c r="I152" s="565"/>
      <c r="J152" s="565"/>
      <c r="K152" s="565"/>
      <c r="L152" s="565"/>
      <c r="M152" s="565"/>
      <c r="N152" s="565"/>
      <c r="O152" s="565"/>
      <c r="P152" s="565"/>
      <c r="Q152" s="565"/>
      <c r="R152" s="565"/>
      <c r="S152" s="565"/>
      <c r="T152" s="565"/>
      <c r="U152" s="565"/>
      <c r="V152" s="565"/>
      <c r="W152" s="565"/>
      <c r="X152" s="565"/>
      <c r="Y152" s="565"/>
      <c r="Z152" s="565"/>
      <c r="AA152" s="565"/>
      <c r="AB152" s="565"/>
      <c r="AC152" s="565"/>
      <c r="AD152" s="565"/>
      <c r="AE152" s="565"/>
      <c r="AF152" s="565"/>
      <c r="AG152" s="565"/>
      <c r="AH152" s="565"/>
      <c r="AI152" s="565"/>
      <c r="AJ152" s="565"/>
      <c r="AK152" s="565"/>
      <c r="AL152" s="565"/>
      <c r="AM152" s="565"/>
      <c r="AN152" s="565"/>
      <c r="AO152" s="565"/>
      <c r="AP152" s="565"/>
      <c r="AQ152" s="565"/>
      <c r="AR152" s="565"/>
      <c r="AS152" s="565"/>
      <c r="AT152" s="565"/>
      <c r="AU152" s="181"/>
      <c r="AV152" s="558"/>
    </row>
    <row r="153" ht="11.25" customHeight="1">
      <c r="A153" s="565"/>
      <c r="B153" s="181"/>
      <c r="C153" s="565"/>
      <c r="D153" s="565"/>
      <c r="E153" s="565"/>
      <c r="F153" s="565"/>
      <c r="G153" s="565"/>
      <c r="H153" s="565"/>
      <c r="I153" s="565"/>
      <c r="J153" s="565"/>
      <c r="K153" s="565"/>
      <c r="L153" s="565"/>
      <c r="M153" s="565"/>
      <c r="N153" s="565"/>
      <c r="O153" s="565"/>
      <c r="P153" s="565"/>
      <c r="Q153" s="565"/>
      <c r="R153" s="565"/>
      <c r="S153" s="565"/>
      <c r="T153" s="565"/>
      <c r="U153" s="565"/>
      <c r="V153" s="565"/>
      <c r="W153" s="565"/>
      <c r="X153" s="565"/>
      <c r="Y153" s="565"/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65"/>
      <c r="AJ153" s="565"/>
      <c r="AK153" s="565"/>
      <c r="AL153" s="565"/>
      <c r="AM153" s="565"/>
      <c r="AN153" s="565"/>
      <c r="AO153" s="565"/>
      <c r="AP153" s="565"/>
      <c r="AQ153" s="565"/>
      <c r="AR153" s="565"/>
      <c r="AS153" s="565"/>
      <c r="AT153" s="565"/>
      <c r="AU153" s="181"/>
      <c r="AV153" s="558"/>
    </row>
    <row r="154" ht="11.25" customHeight="1">
      <c r="A154" s="565"/>
      <c r="B154" s="181"/>
      <c r="C154" s="565"/>
      <c r="D154" s="565"/>
      <c r="E154" s="565"/>
      <c r="F154" s="565"/>
      <c r="G154" s="565"/>
      <c r="H154" s="565"/>
      <c r="I154" s="565"/>
      <c r="J154" s="565"/>
      <c r="K154" s="565"/>
      <c r="L154" s="565"/>
      <c r="M154" s="565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5"/>
      <c r="AS154" s="565"/>
      <c r="AT154" s="565"/>
      <c r="AU154" s="181"/>
      <c r="AV154" s="558"/>
    </row>
    <row r="155" ht="11.25" customHeight="1">
      <c r="A155" s="565"/>
      <c r="B155" s="181"/>
      <c r="C155" s="565"/>
      <c r="D155" s="565"/>
      <c r="E155" s="565"/>
      <c r="F155" s="565"/>
      <c r="G155" s="565"/>
      <c r="H155" s="565"/>
      <c r="I155" s="565"/>
      <c r="J155" s="565"/>
      <c r="K155" s="565"/>
      <c r="L155" s="565"/>
      <c r="M155" s="565"/>
      <c r="N155" s="565"/>
      <c r="O155" s="565"/>
      <c r="P155" s="565"/>
      <c r="Q155" s="565"/>
      <c r="R155" s="565"/>
      <c r="S155" s="565"/>
      <c r="T155" s="565"/>
      <c r="U155" s="565"/>
      <c r="V155" s="565"/>
      <c r="W155" s="565"/>
      <c r="X155" s="565"/>
      <c r="Y155" s="565"/>
      <c r="Z155" s="565"/>
      <c r="AA155" s="565"/>
      <c r="AB155" s="565"/>
      <c r="AC155" s="565"/>
      <c r="AD155" s="565"/>
      <c r="AE155" s="565"/>
      <c r="AF155" s="565"/>
      <c r="AG155" s="565"/>
      <c r="AH155" s="565"/>
      <c r="AI155" s="565"/>
      <c r="AJ155" s="565"/>
      <c r="AK155" s="565"/>
      <c r="AL155" s="565"/>
      <c r="AM155" s="565"/>
      <c r="AN155" s="565"/>
      <c r="AO155" s="565"/>
      <c r="AP155" s="565"/>
      <c r="AQ155" s="565"/>
      <c r="AR155" s="565"/>
      <c r="AS155" s="565"/>
      <c r="AT155" s="565"/>
      <c r="AU155" s="181"/>
      <c r="AV155" s="558"/>
    </row>
    <row r="156" ht="11.25" customHeight="1">
      <c r="A156" s="565"/>
      <c r="B156" s="181"/>
      <c r="C156" s="565"/>
      <c r="D156" s="565"/>
      <c r="E156" s="565"/>
      <c r="F156" s="565"/>
      <c r="G156" s="565"/>
      <c r="H156" s="565"/>
      <c r="I156" s="565"/>
      <c r="J156" s="565"/>
      <c r="K156" s="565"/>
      <c r="L156" s="56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  <c r="AF156" s="565"/>
      <c r="AG156" s="565"/>
      <c r="AH156" s="565"/>
      <c r="AI156" s="565"/>
      <c r="AJ156" s="565"/>
      <c r="AK156" s="565"/>
      <c r="AL156" s="565"/>
      <c r="AM156" s="565"/>
      <c r="AN156" s="565"/>
      <c r="AO156" s="565"/>
      <c r="AP156" s="565"/>
      <c r="AQ156" s="565"/>
      <c r="AR156" s="565"/>
      <c r="AS156" s="565"/>
      <c r="AT156" s="565"/>
      <c r="AU156" s="181"/>
      <c r="AV156" s="558"/>
    </row>
    <row r="157" ht="11.25" customHeight="1">
      <c r="A157" s="565"/>
      <c r="B157" s="181"/>
      <c r="C157" s="565"/>
      <c r="D157" s="565"/>
      <c r="E157" s="565"/>
      <c r="F157" s="565"/>
      <c r="G157" s="565"/>
      <c r="H157" s="565"/>
      <c r="I157" s="565"/>
      <c r="J157" s="565"/>
      <c r="K157" s="565"/>
      <c r="L157" s="565"/>
      <c r="M157" s="565"/>
      <c r="N157" s="565"/>
      <c r="O157" s="565"/>
      <c r="P157" s="565"/>
      <c r="Q157" s="565"/>
      <c r="R157" s="565"/>
      <c r="S157" s="565"/>
      <c r="T157" s="565"/>
      <c r="U157" s="565"/>
      <c r="V157" s="565"/>
      <c r="W157" s="565"/>
      <c r="X157" s="565"/>
      <c r="Y157" s="565"/>
      <c r="Z157" s="565"/>
      <c r="AA157" s="565"/>
      <c r="AB157" s="565"/>
      <c r="AC157" s="565"/>
      <c r="AD157" s="565"/>
      <c r="AE157" s="565"/>
      <c r="AF157" s="565"/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5"/>
      <c r="AS157" s="565"/>
      <c r="AT157" s="565"/>
      <c r="AU157" s="181"/>
      <c r="AV157" s="558"/>
    </row>
    <row r="158" ht="11.25" customHeight="1">
      <c r="A158" s="565"/>
      <c r="B158" s="181"/>
      <c r="C158" s="565"/>
      <c r="D158" s="565"/>
      <c r="E158" s="565"/>
      <c r="F158" s="565"/>
      <c r="G158" s="565"/>
      <c r="H158" s="565"/>
      <c r="I158" s="565"/>
      <c r="J158" s="565"/>
      <c r="K158" s="565"/>
      <c r="L158" s="565"/>
      <c r="M158" s="565"/>
      <c r="N158" s="565"/>
      <c r="O158" s="565"/>
      <c r="P158" s="565"/>
      <c r="Q158" s="565"/>
      <c r="R158" s="565"/>
      <c r="S158" s="565"/>
      <c r="T158" s="565"/>
      <c r="U158" s="565"/>
      <c r="V158" s="565"/>
      <c r="W158" s="565"/>
      <c r="X158" s="565"/>
      <c r="Y158" s="565"/>
      <c r="Z158" s="565"/>
      <c r="AA158" s="565"/>
      <c r="AB158" s="565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5"/>
      <c r="AS158" s="565"/>
      <c r="AT158" s="565"/>
      <c r="AU158" s="181"/>
      <c r="AV158" s="558"/>
    </row>
    <row r="159" ht="11.25" customHeight="1">
      <c r="A159" s="565"/>
      <c r="B159" s="181"/>
      <c r="C159" s="565"/>
      <c r="D159" s="565"/>
      <c r="E159" s="565"/>
      <c r="F159" s="565"/>
      <c r="G159" s="565"/>
      <c r="H159" s="565"/>
      <c r="I159" s="565"/>
      <c r="J159" s="565"/>
      <c r="K159" s="565"/>
      <c r="L159" s="565"/>
      <c r="M159" s="565"/>
      <c r="N159" s="565"/>
      <c r="O159" s="565"/>
      <c r="P159" s="565"/>
      <c r="Q159" s="565"/>
      <c r="R159" s="565"/>
      <c r="S159" s="565"/>
      <c r="T159" s="565"/>
      <c r="U159" s="565"/>
      <c r="V159" s="565"/>
      <c r="W159" s="565"/>
      <c r="X159" s="565"/>
      <c r="Y159" s="565"/>
      <c r="Z159" s="565"/>
      <c r="AA159" s="565"/>
      <c r="AB159" s="565"/>
      <c r="AC159" s="565"/>
      <c r="AD159" s="565"/>
      <c r="AE159" s="565"/>
      <c r="AF159" s="565"/>
      <c r="AG159" s="565"/>
      <c r="AH159" s="565"/>
      <c r="AI159" s="565"/>
      <c r="AJ159" s="565"/>
      <c r="AK159" s="565"/>
      <c r="AL159" s="565"/>
      <c r="AM159" s="565"/>
      <c r="AN159" s="565"/>
      <c r="AO159" s="565"/>
      <c r="AP159" s="565"/>
      <c r="AQ159" s="565"/>
      <c r="AR159" s="565"/>
      <c r="AS159" s="565"/>
      <c r="AT159" s="565"/>
      <c r="AU159" s="181"/>
      <c r="AV159" s="558"/>
    </row>
    <row r="160" ht="11.25" customHeight="1">
      <c r="A160" s="565"/>
      <c r="B160" s="181"/>
      <c r="C160" s="565"/>
      <c r="D160" s="565"/>
      <c r="E160" s="565"/>
      <c r="F160" s="565"/>
      <c r="G160" s="565"/>
      <c r="H160" s="565"/>
      <c r="I160" s="565"/>
      <c r="J160" s="565"/>
      <c r="K160" s="565"/>
      <c r="L160" s="565"/>
      <c r="M160" s="565"/>
      <c r="N160" s="565"/>
      <c r="O160" s="565"/>
      <c r="P160" s="565"/>
      <c r="Q160" s="565"/>
      <c r="R160" s="565"/>
      <c r="S160" s="565"/>
      <c r="T160" s="565"/>
      <c r="U160" s="565"/>
      <c r="V160" s="565"/>
      <c r="W160" s="565"/>
      <c r="X160" s="565"/>
      <c r="Y160" s="565"/>
      <c r="Z160" s="565"/>
      <c r="AA160" s="565"/>
      <c r="AB160" s="565"/>
      <c r="AC160" s="565"/>
      <c r="AD160" s="565"/>
      <c r="AE160" s="565"/>
      <c r="AF160" s="565"/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5"/>
      <c r="AS160" s="565"/>
      <c r="AT160" s="565"/>
      <c r="AU160" s="181"/>
      <c r="AV160" s="558"/>
    </row>
    <row r="161" ht="11.25" customHeight="1">
      <c r="A161" s="565"/>
      <c r="B161" s="181"/>
      <c r="C161" s="565"/>
      <c r="D161" s="565"/>
      <c r="E161" s="565"/>
      <c r="F161" s="565"/>
      <c r="G161" s="565"/>
      <c r="H161" s="565"/>
      <c r="I161" s="565"/>
      <c r="J161" s="565"/>
      <c r="K161" s="565"/>
      <c r="L161" s="565"/>
      <c r="M161" s="565"/>
      <c r="N161" s="565"/>
      <c r="O161" s="565"/>
      <c r="P161" s="565"/>
      <c r="Q161" s="565"/>
      <c r="R161" s="565"/>
      <c r="S161" s="565"/>
      <c r="T161" s="565"/>
      <c r="U161" s="565"/>
      <c r="V161" s="565"/>
      <c r="W161" s="565"/>
      <c r="X161" s="565"/>
      <c r="Y161" s="565"/>
      <c r="Z161" s="565"/>
      <c r="AA161" s="565"/>
      <c r="AB161" s="565"/>
      <c r="AC161" s="565"/>
      <c r="AD161" s="565"/>
      <c r="AE161" s="565"/>
      <c r="AF161" s="565"/>
      <c r="AG161" s="565"/>
      <c r="AH161" s="565"/>
      <c r="AI161" s="565"/>
      <c r="AJ161" s="565"/>
      <c r="AK161" s="565"/>
      <c r="AL161" s="565"/>
      <c r="AM161" s="565"/>
      <c r="AN161" s="565"/>
      <c r="AO161" s="565"/>
      <c r="AP161" s="565"/>
      <c r="AQ161" s="565"/>
      <c r="AR161" s="565"/>
      <c r="AS161" s="565"/>
      <c r="AT161" s="565"/>
      <c r="AU161" s="181"/>
      <c r="AV161" s="558"/>
    </row>
    <row r="162" ht="11.25" customHeight="1">
      <c r="A162" s="565"/>
      <c r="B162" s="181"/>
      <c r="C162" s="565"/>
      <c r="D162" s="565"/>
      <c r="E162" s="565"/>
      <c r="F162" s="565"/>
      <c r="G162" s="565"/>
      <c r="H162" s="565"/>
      <c r="I162" s="565"/>
      <c r="J162" s="565"/>
      <c r="K162" s="565"/>
      <c r="L162" s="565"/>
      <c r="M162" s="565"/>
      <c r="N162" s="565"/>
      <c r="O162" s="565"/>
      <c r="P162" s="565"/>
      <c r="Q162" s="565"/>
      <c r="R162" s="565"/>
      <c r="S162" s="565"/>
      <c r="T162" s="565"/>
      <c r="U162" s="565"/>
      <c r="V162" s="565"/>
      <c r="W162" s="565"/>
      <c r="X162" s="565"/>
      <c r="Y162" s="565"/>
      <c r="Z162" s="565"/>
      <c r="AA162" s="565"/>
      <c r="AB162" s="565"/>
      <c r="AC162" s="565"/>
      <c r="AD162" s="565"/>
      <c r="AE162" s="565"/>
      <c r="AF162" s="565"/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5"/>
      <c r="AS162" s="565"/>
      <c r="AT162" s="565"/>
      <c r="AU162" s="181"/>
      <c r="AV162" s="558"/>
    </row>
    <row r="163" ht="11.25" customHeight="1">
      <c r="A163" s="565"/>
      <c r="B163" s="181"/>
      <c r="C163" s="565"/>
      <c r="D163" s="565"/>
      <c r="E163" s="565"/>
      <c r="F163" s="565"/>
      <c r="G163" s="565"/>
      <c r="H163" s="565"/>
      <c r="I163" s="565"/>
      <c r="J163" s="565"/>
      <c r="K163" s="565"/>
      <c r="L163" s="565"/>
      <c r="M163" s="565"/>
      <c r="N163" s="565"/>
      <c r="O163" s="565"/>
      <c r="P163" s="565"/>
      <c r="Q163" s="565"/>
      <c r="R163" s="565"/>
      <c r="S163" s="565"/>
      <c r="T163" s="565"/>
      <c r="U163" s="565"/>
      <c r="V163" s="565"/>
      <c r="W163" s="565"/>
      <c r="X163" s="565"/>
      <c r="Y163" s="565"/>
      <c r="Z163" s="565"/>
      <c r="AA163" s="565"/>
      <c r="AB163" s="565"/>
      <c r="AC163" s="565"/>
      <c r="AD163" s="565"/>
      <c r="AE163" s="565"/>
      <c r="AF163" s="565"/>
      <c r="AG163" s="565"/>
      <c r="AH163" s="565"/>
      <c r="AI163" s="565"/>
      <c r="AJ163" s="565"/>
      <c r="AK163" s="565"/>
      <c r="AL163" s="565"/>
      <c r="AM163" s="565"/>
      <c r="AN163" s="565"/>
      <c r="AO163" s="565"/>
      <c r="AP163" s="565"/>
      <c r="AQ163" s="565"/>
      <c r="AR163" s="565"/>
      <c r="AS163" s="565"/>
      <c r="AT163" s="565"/>
      <c r="AU163" s="181"/>
      <c r="AV163" s="558"/>
    </row>
    <row r="164" ht="11.25" customHeight="1">
      <c r="A164" s="565"/>
      <c r="B164" s="181"/>
      <c r="C164" s="565"/>
      <c r="D164" s="565"/>
      <c r="E164" s="565"/>
      <c r="F164" s="565"/>
      <c r="G164" s="565"/>
      <c r="H164" s="565"/>
      <c r="I164" s="565"/>
      <c r="J164" s="565"/>
      <c r="K164" s="565"/>
      <c r="L164" s="565"/>
      <c r="M164" s="565"/>
      <c r="N164" s="565"/>
      <c r="O164" s="565"/>
      <c r="P164" s="565"/>
      <c r="Q164" s="565"/>
      <c r="R164" s="565"/>
      <c r="S164" s="565"/>
      <c r="T164" s="565"/>
      <c r="U164" s="565"/>
      <c r="V164" s="565"/>
      <c r="W164" s="565"/>
      <c r="X164" s="565"/>
      <c r="Y164" s="565"/>
      <c r="Z164" s="565"/>
      <c r="AA164" s="565"/>
      <c r="AB164" s="565"/>
      <c r="AC164" s="565"/>
      <c r="AD164" s="565"/>
      <c r="AE164" s="565"/>
      <c r="AF164" s="565"/>
      <c r="AG164" s="565"/>
      <c r="AH164" s="565"/>
      <c r="AI164" s="565"/>
      <c r="AJ164" s="565"/>
      <c r="AK164" s="565"/>
      <c r="AL164" s="565"/>
      <c r="AM164" s="565"/>
      <c r="AN164" s="565"/>
      <c r="AO164" s="565"/>
      <c r="AP164" s="565"/>
      <c r="AQ164" s="565"/>
      <c r="AR164" s="565"/>
      <c r="AS164" s="565"/>
      <c r="AT164" s="565"/>
      <c r="AU164" s="181"/>
      <c r="AV164" s="558"/>
    </row>
    <row r="165" ht="11.25" customHeight="1">
      <c r="A165" s="565"/>
      <c r="B165" s="181"/>
      <c r="C165" s="565"/>
      <c r="D165" s="565"/>
      <c r="E165" s="565"/>
      <c r="F165" s="565"/>
      <c r="G165" s="565"/>
      <c r="H165" s="565"/>
      <c r="I165" s="565"/>
      <c r="J165" s="565"/>
      <c r="K165" s="565"/>
      <c r="L165" s="565"/>
      <c r="M165" s="565"/>
      <c r="N165" s="565"/>
      <c r="O165" s="565"/>
      <c r="P165" s="565"/>
      <c r="Q165" s="565"/>
      <c r="R165" s="565"/>
      <c r="S165" s="565"/>
      <c r="T165" s="565"/>
      <c r="U165" s="565"/>
      <c r="V165" s="565"/>
      <c r="W165" s="565"/>
      <c r="X165" s="565"/>
      <c r="Y165" s="565"/>
      <c r="Z165" s="565"/>
      <c r="AA165" s="565"/>
      <c r="AB165" s="565"/>
      <c r="AC165" s="565"/>
      <c r="AD165" s="565"/>
      <c r="AE165" s="565"/>
      <c r="AF165" s="565"/>
      <c r="AG165" s="565"/>
      <c r="AH165" s="565"/>
      <c r="AI165" s="565"/>
      <c r="AJ165" s="565"/>
      <c r="AK165" s="565"/>
      <c r="AL165" s="565"/>
      <c r="AM165" s="565"/>
      <c r="AN165" s="565"/>
      <c r="AO165" s="565"/>
      <c r="AP165" s="565"/>
      <c r="AQ165" s="565"/>
      <c r="AR165" s="565"/>
      <c r="AS165" s="565"/>
      <c r="AT165" s="565"/>
      <c r="AU165" s="181"/>
      <c r="AV165" s="558"/>
    </row>
    <row r="166" ht="11.25" customHeight="1">
      <c r="A166" s="565"/>
      <c r="B166" s="181"/>
      <c r="C166" s="565"/>
      <c r="D166" s="565"/>
      <c r="E166" s="565"/>
      <c r="F166" s="565"/>
      <c r="G166" s="565"/>
      <c r="H166" s="565"/>
      <c r="I166" s="565"/>
      <c r="J166" s="565"/>
      <c r="K166" s="565"/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181"/>
      <c r="AV166" s="558"/>
    </row>
    <row r="167" ht="11.25" customHeight="1">
      <c r="A167" s="565"/>
      <c r="B167" s="181"/>
      <c r="C167" s="565"/>
      <c r="D167" s="565"/>
      <c r="E167" s="565"/>
      <c r="F167" s="565"/>
      <c r="G167" s="565"/>
      <c r="H167" s="565"/>
      <c r="I167" s="565"/>
      <c r="J167" s="565"/>
      <c r="K167" s="565"/>
      <c r="L167" s="565"/>
      <c r="M167" s="565"/>
      <c r="N167" s="565"/>
      <c r="O167" s="565"/>
      <c r="P167" s="565"/>
      <c r="Q167" s="565"/>
      <c r="R167" s="565"/>
      <c r="S167" s="565"/>
      <c r="T167" s="565"/>
      <c r="U167" s="565"/>
      <c r="V167" s="565"/>
      <c r="W167" s="565"/>
      <c r="X167" s="565"/>
      <c r="Y167" s="565"/>
      <c r="Z167" s="565"/>
      <c r="AA167" s="565"/>
      <c r="AB167" s="565"/>
      <c r="AC167" s="565"/>
      <c r="AD167" s="565"/>
      <c r="AE167" s="565"/>
      <c r="AF167" s="565"/>
      <c r="AG167" s="565"/>
      <c r="AH167" s="565"/>
      <c r="AI167" s="565"/>
      <c r="AJ167" s="565"/>
      <c r="AK167" s="565"/>
      <c r="AL167" s="565"/>
      <c r="AM167" s="565"/>
      <c r="AN167" s="565"/>
      <c r="AO167" s="565"/>
      <c r="AP167" s="565"/>
      <c r="AQ167" s="565"/>
      <c r="AR167" s="565"/>
      <c r="AS167" s="565"/>
      <c r="AT167" s="565"/>
      <c r="AU167" s="181"/>
      <c r="AV167" s="558"/>
    </row>
    <row r="168" ht="11.25" customHeight="1">
      <c r="A168" s="565"/>
      <c r="B168" s="181"/>
      <c r="C168" s="565"/>
      <c r="D168" s="565"/>
      <c r="E168" s="565"/>
      <c r="F168" s="565"/>
      <c r="G168" s="565"/>
      <c r="H168" s="565"/>
      <c r="I168" s="565"/>
      <c r="J168" s="565"/>
      <c r="K168" s="565"/>
      <c r="L168" s="565"/>
      <c r="M168" s="565"/>
      <c r="N168" s="565"/>
      <c r="O168" s="565"/>
      <c r="P168" s="565"/>
      <c r="Q168" s="565"/>
      <c r="R168" s="565"/>
      <c r="S168" s="565"/>
      <c r="T168" s="565"/>
      <c r="U168" s="565"/>
      <c r="V168" s="565"/>
      <c r="W168" s="565"/>
      <c r="X168" s="565"/>
      <c r="Y168" s="565"/>
      <c r="Z168" s="565"/>
      <c r="AA168" s="565"/>
      <c r="AB168" s="565"/>
      <c r="AC168" s="565"/>
      <c r="AD168" s="565"/>
      <c r="AE168" s="565"/>
      <c r="AF168" s="565"/>
      <c r="AG168" s="565"/>
      <c r="AH168" s="565"/>
      <c r="AI168" s="565"/>
      <c r="AJ168" s="565"/>
      <c r="AK168" s="565"/>
      <c r="AL168" s="565"/>
      <c r="AM168" s="565"/>
      <c r="AN168" s="565"/>
      <c r="AO168" s="565"/>
      <c r="AP168" s="565"/>
      <c r="AQ168" s="565"/>
      <c r="AR168" s="565"/>
      <c r="AS168" s="565"/>
      <c r="AT168" s="565"/>
      <c r="AU168" s="181"/>
      <c r="AV168" s="558"/>
    </row>
    <row r="169" ht="11.25" customHeight="1">
      <c r="A169" s="565"/>
      <c r="B169" s="181"/>
      <c r="C169" s="565"/>
      <c r="D169" s="565"/>
      <c r="E169" s="565"/>
      <c r="F169" s="565"/>
      <c r="G169" s="565"/>
      <c r="H169" s="565"/>
      <c r="I169" s="565"/>
      <c r="J169" s="565"/>
      <c r="K169" s="565"/>
      <c r="L169" s="565"/>
      <c r="M169" s="565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  <c r="AF169" s="565"/>
      <c r="AG169" s="565"/>
      <c r="AH169" s="565"/>
      <c r="AI169" s="565"/>
      <c r="AJ169" s="565"/>
      <c r="AK169" s="565"/>
      <c r="AL169" s="565"/>
      <c r="AM169" s="565"/>
      <c r="AN169" s="565"/>
      <c r="AO169" s="565"/>
      <c r="AP169" s="565"/>
      <c r="AQ169" s="565"/>
      <c r="AR169" s="565"/>
      <c r="AS169" s="565"/>
      <c r="AT169" s="565"/>
      <c r="AU169" s="181"/>
      <c r="AV169" s="558"/>
    </row>
    <row r="170" ht="11.25" customHeight="1">
      <c r="A170" s="565"/>
      <c r="B170" s="181"/>
      <c r="C170" s="565"/>
      <c r="D170" s="565"/>
      <c r="E170" s="565"/>
      <c r="F170" s="565"/>
      <c r="G170" s="565"/>
      <c r="H170" s="565"/>
      <c r="I170" s="565"/>
      <c r="J170" s="565"/>
      <c r="K170" s="565"/>
      <c r="L170" s="565"/>
      <c r="M170" s="565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  <c r="AF170" s="565"/>
      <c r="AG170" s="565"/>
      <c r="AH170" s="565"/>
      <c r="AI170" s="565"/>
      <c r="AJ170" s="565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181"/>
      <c r="AV170" s="558"/>
    </row>
    <row r="171" ht="11.25" customHeight="1">
      <c r="A171" s="565"/>
      <c r="B171" s="181"/>
      <c r="C171" s="565"/>
      <c r="D171" s="565"/>
      <c r="E171" s="565"/>
      <c r="F171" s="565"/>
      <c r="G171" s="565"/>
      <c r="H171" s="565"/>
      <c r="I171" s="565"/>
      <c r="J171" s="565"/>
      <c r="K171" s="565"/>
      <c r="L171" s="565"/>
      <c r="M171" s="565"/>
      <c r="N171" s="565"/>
      <c r="O171" s="565"/>
      <c r="P171" s="565"/>
      <c r="Q171" s="565"/>
      <c r="R171" s="565"/>
      <c r="S171" s="565"/>
      <c r="T171" s="565"/>
      <c r="U171" s="565"/>
      <c r="V171" s="565"/>
      <c r="W171" s="565"/>
      <c r="X171" s="565"/>
      <c r="Y171" s="565"/>
      <c r="Z171" s="565"/>
      <c r="AA171" s="565"/>
      <c r="AB171" s="565"/>
      <c r="AC171" s="565"/>
      <c r="AD171" s="565"/>
      <c r="AE171" s="565"/>
      <c r="AF171" s="565"/>
      <c r="AG171" s="565"/>
      <c r="AH171" s="565"/>
      <c r="AI171" s="565"/>
      <c r="AJ171" s="565"/>
      <c r="AK171" s="565"/>
      <c r="AL171" s="565"/>
      <c r="AM171" s="565"/>
      <c r="AN171" s="565"/>
      <c r="AO171" s="565"/>
      <c r="AP171" s="565"/>
      <c r="AQ171" s="565"/>
      <c r="AR171" s="565"/>
      <c r="AS171" s="565"/>
      <c r="AT171" s="565"/>
      <c r="AU171" s="181"/>
      <c r="AV171" s="558"/>
    </row>
    <row r="172" ht="11.25" customHeight="1">
      <c r="A172" s="565"/>
      <c r="B172" s="181"/>
      <c r="C172" s="565"/>
      <c r="D172" s="565"/>
      <c r="E172" s="565"/>
      <c r="F172" s="565"/>
      <c r="G172" s="565"/>
      <c r="H172" s="565"/>
      <c r="I172" s="565"/>
      <c r="J172" s="565"/>
      <c r="K172" s="565"/>
      <c r="L172" s="565"/>
      <c r="M172" s="565"/>
      <c r="N172" s="565"/>
      <c r="O172" s="565"/>
      <c r="P172" s="565"/>
      <c r="Q172" s="565"/>
      <c r="R172" s="565"/>
      <c r="S172" s="565"/>
      <c r="T172" s="565"/>
      <c r="U172" s="565"/>
      <c r="V172" s="565"/>
      <c r="W172" s="565"/>
      <c r="X172" s="565"/>
      <c r="Y172" s="565"/>
      <c r="Z172" s="565"/>
      <c r="AA172" s="565"/>
      <c r="AB172" s="565"/>
      <c r="AC172" s="565"/>
      <c r="AD172" s="565"/>
      <c r="AE172" s="565"/>
      <c r="AF172" s="565"/>
      <c r="AG172" s="565"/>
      <c r="AH172" s="565"/>
      <c r="AI172" s="565"/>
      <c r="AJ172" s="565"/>
      <c r="AK172" s="565"/>
      <c r="AL172" s="565"/>
      <c r="AM172" s="565"/>
      <c r="AN172" s="565"/>
      <c r="AO172" s="565"/>
      <c r="AP172" s="565"/>
      <c r="AQ172" s="565"/>
      <c r="AR172" s="565"/>
      <c r="AS172" s="565"/>
      <c r="AT172" s="565"/>
      <c r="AU172" s="181"/>
      <c r="AV172" s="558"/>
    </row>
    <row r="173" ht="11.25" customHeight="1">
      <c r="A173" s="565"/>
      <c r="B173" s="181"/>
      <c r="C173" s="565"/>
      <c r="D173" s="565"/>
      <c r="E173" s="565"/>
      <c r="F173" s="565"/>
      <c r="G173" s="565"/>
      <c r="H173" s="565"/>
      <c r="I173" s="565"/>
      <c r="J173" s="565"/>
      <c r="K173" s="565"/>
      <c r="L173" s="565"/>
      <c r="M173" s="565"/>
      <c r="N173" s="565"/>
      <c r="O173" s="565"/>
      <c r="P173" s="565"/>
      <c r="Q173" s="565"/>
      <c r="R173" s="565"/>
      <c r="S173" s="565"/>
      <c r="T173" s="565"/>
      <c r="U173" s="565"/>
      <c r="V173" s="565"/>
      <c r="W173" s="565"/>
      <c r="X173" s="565"/>
      <c r="Y173" s="565"/>
      <c r="Z173" s="565"/>
      <c r="AA173" s="565"/>
      <c r="AB173" s="565"/>
      <c r="AC173" s="565"/>
      <c r="AD173" s="565"/>
      <c r="AE173" s="565"/>
      <c r="AF173" s="565"/>
      <c r="AG173" s="565"/>
      <c r="AH173" s="565"/>
      <c r="AI173" s="565"/>
      <c r="AJ173" s="565"/>
      <c r="AK173" s="565"/>
      <c r="AL173" s="565"/>
      <c r="AM173" s="565"/>
      <c r="AN173" s="565"/>
      <c r="AO173" s="565"/>
      <c r="AP173" s="565"/>
      <c r="AQ173" s="565"/>
      <c r="AR173" s="565"/>
      <c r="AS173" s="565"/>
      <c r="AT173" s="565"/>
      <c r="AU173" s="181"/>
      <c r="AV173" s="558"/>
    </row>
    <row r="174" ht="11.25" customHeight="1">
      <c r="A174" s="565"/>
      <c r="B174" s="181"/>
      <c r="C174" s="565"/>
      <c r="D174" s="565"/>
      <c r="E174" s="565"/>
      <c r="F174" s="565"/>
      <c r="G174" s="565"/>
      <c r="H174" s="565"/>
      <c r="I174" s="565"/>
      <c r="J174" s="565"/>
      <c r="K174" s="565"/>
      <c r="L174" s="565"/>
      <c r="M174" s="565"/>
      <c r="N174" s="565"/>
      <c r="O174" s="565"/>
      <c r="P174" s="565"/>
      <c r="Q174" s="565"/>
      <c r="R174" s="565"/>
      <c r="S174" s="565"/>
      <c r="T174" s="565"/>
      <c r="U174" s="565"/>
      <c r="V174" s="565"/>
      <c r="W174" s="565"/>
      <c r="X174" s="565"/>
      <c r="Y174" s="565"/>
      <c r="Z174" s="565"/>
      <c r="AA174" s="565"/>
      <c r="AB174" s="565"/>
      <c r="AC174" s="565"/>
      <c r="AD174" s="565"/>
      <c r="AE174" s="565"/>
      <c r="AF174" s="565"/>
      <c r="AG174" s="565"/>
      <c r="AH174" s="565"/>
      <c r="AI174" s="565"/>
      <c r="AJ174" s="565"/>
      <c r="AK174" s="565"/>
      <c r="AL174" s="565"/>
      <c r="AM174" s="565"/>
      <c r="AN174" s="565"/>
      <c r="AO174" s="565"/>
      <c r="AP174" s="565"/>
      <c r="AQ174" s="565"/>
      <c r="AR174" s="565"/>
      <c r="AS174" s="565"/>
      <c r="AT174" s="565"/>
      <c r="AU174" s="181"/>
      <c r="AV174" s="558"/>
    </row>
    <row r="175" ht="11.25" customHeight="1">
      <c r="A175" s="565"/>
      <c r="B175" s="181"/>
      <c r="C175" s="565"/>
      <c r="D175" s="565"/>
      <c r="E175" s="565"/>
      <c r="F175" s="565"/>
      <c r="G175" s="565"/>
      <c r="H175" s="565"/>
      <c r="I175" s="565"/>
      <c r="J175" s="565"/>
      <c r="K175" s="565"/>
      <c r="L175" s="565"/>
      <c r="M175" s="565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Z175" s="565"/>
      <c r="AA175" s="565"/>
      <c r="AB175" s="565"/>
      <c r="AC175" s="565"/>
      <c r="AD175" s="565"/>
      <c r="AE175" s="565"/>
      <c r="AF175" s="565"/>
      <c r="AG175" s="565"/>
      <c r="AH175" s="565"/>
      <c r="AI175" s="565"/>
      <c r="AJ175" s="565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181"/>
      <c r="AV175" s="558"/>
    </row>
    <row r="176" ht="11.25" customHeight="1">
      <c r="A176" s="565"/>
      <c r="B176" s="181"/>
      <c r="C176" s="565"/>
      <c r="D176" s="565"/>
      <c r="E176" s="565"/>
      <c r="F176" s="565"/>
      <c r="G176" s="565"/>
      <c r="H176" s="565"/>
      <c r="I176" s="565"/>
      <c r="J176" s="565"/>
      <c r="K176" s="565"/>
      <c r="L176" s="565"/>
      <c r="M176" s="565"/>
      <c r="N176" s="565"/>
      <c r="O176" s="565"/>
      <c r="P176" s="565"/>
      <c r="Q176" s="565"/>
      <c r="R176" s="565"/>
      <c r="S176" s="565"/>
      <c r="T176" s="565"/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5"/>
      <c r="AF176" s="565"/>
      <c r="AG176" s="565"/>
      <c r="AH176" s="565"/>
      <c r="AI176" s="565"/>
      <c r="AJ176" s="565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181"/>
      <c r="AV176" s="558"/>
    </row>
    <row r="177" ht="11.25" customHeight="1">
      <c r="A177" s="565"/>
      <c r="B177" s="181"/>
      <c r="C177" s="565"/>
      <c r="D177" s="565"/>
      <c r="E177" s="565"/>
      <c r="F177" s="565"/>
      <c r="G177" s="565"/>
      <c r="H177" s="565"/>
      <c r="I177" s="565"/>
      <c r="J177" s="565"/>
      <c r="K177" s="565"/>
      <c r="L177" s="565"/>
      <c r="M177" s="565"/>
      <c r="N177" s="565"/>
      <c r="O177" s="565"/>
      <c r="P177" s="565"/>
      <c r="Q177" s="565"/>
      <c r="R177" s="565"/>
      <c r="S177" s="565"/>
      <c r="T177" s="565"/>
      <c r="U177" s="565"/>
      <c r="V177" s="565"/>
      <c r="W177" s="565"/>
      <c r="X177" s="565"/>
      <c r="Y177" s="565"/>
      <c r="Z177" s="565"/>
      <c r="AA177" s="565"/>
      <c r="AB177" s="565"/>
      <c r="AC177" s="565"/>
      <c r="AD177" s="565"/>
      <c r="AE177" s="565"/>
      <c r="AF177" s="565"/>
      <c r="AG177" s="565"/>
      <c r="AH177" s="565"/>
      <c r="AI177" s="565"/>
      <c r="AJ177" s="565"/>
      <c r="AK177" s="565"/>
      <c r="AL177" s="565"/>
      <c r="AM177" s="565"/>
      <c r="AN177" s="565"/>
      <c r="AO177" s="565"/>
      <c r="AP177" s="565"/>
      <c r="AQ177" s="565"/>
      <c r="AR177" s="565"/>
      <c r="AS177" s="565"/>
      <c r="AT177" s="565"/>
      <c r="AU177" s="181"/>
      <c r="AV177" s="558"/>
    </row>
    <row r="178" ht="11.25" customHeight="1">
      <c r="A178" s="565"/>
      <c r="B178" s="181"/>
      <c r="C178" s="565"/>
      <c r="D178" s="565"/>
      <c r="E178" s="565"/>
      <c r="F178" s="565"/>
      <c r="G178" s="565"/>
      <c r="H178" s="565"/>
      <c r="I178" s="565"/>
      <c r="J178" s="565"/>
      <c r="K178" s="565"/>
      <c r="L178" s="565"/>
      <c r="M178" s="565"/>
      <c r="N178" s="565"/>
      <c r="O178" s="565"/>
      <c r="P178" s="565"/>
      <c r="Q178" s="565"/>
      <c r="R178" s="565"/>
      <c r="S178" s="565"/>
      <c r="T178" s="565"/>
      <c r="U178" s="565"/>
      <c r="V178" s="565"/>
      <c r="W178" s="565"/>
      <c r="X178" s="565"/>
      <c r="Y178" s="565"/>
      <c r="Z178" s="565"/>
      <c r="AA178" s="565"/>
      <c r="AB178" s="565"/>
      <c r="AC178" s="565"/>
      <c r="AD178" s="565"/>
      <c r="AE178" s="565"/>
      <c r="AF178" s="565"/>
      <c r="AG178" s="565"/>
      <c r="AH178" s="565"/>
      <c r="AI178" s="565"/>
      <c r="AJ178" s="565"/>
      <c r="AK178" s="565"/>
      <c r="AL178" s="565"/>
      <c r="AM178" s="565"/>
      <c r="AN178" s="565"/>
      <c r="AO178" s="565"/>
      <c r="AP178" s="565"/>
      <c r="AQ178" s="565"/>
      <c r="AR178" s="565"/>
      <c r="AS178" s="565"/>
      <c r="AT178" s="565"/>
      <c r="AU178" s="181"/>
      <c r="AV178" s="558"/>
    </row>
    <row r="179" ht="11.25" customHeight="1">
      <c r="A179" s="565"/>
      <c r="B179" s="181"/>
      <c r="C179" s="565"/>
      <c r="D179" s="565"/>
      <c r="E179" s="565"/>
      <c r="F179" s="565"/>
      <c r="G179" s="565"/>
      <c r="H179" s="565"/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5"/>
      <c r="T179" s="565"/>
      <c r="U179" s="565"/>
      <c r="V179" s="565"/>
      <c r="W179" s="565"/>
      <c r="X179" s="565"/>
      <c r="Y179" s="565"/>
      <c r="Z179" s="565"/>
      <c r="AA179" s="565"/>
      <c r="AB179" s="565"/>
      <c r="AC179" s="565"/>
      <c r="AD179" s="565"/>
      <c r="AE179" s="565"/>
      <c r="AF179" s="565"/>
      <c r="AG179" s="565"/>
      <c r="AH179" s="565"/>
      <c r="AI179" s="565"/>
      <c r="AJ179" s="565"/>
      <c r="AK179" s="565"/>
      <c r="AL179" s="565"/>
      <c r="AM179" s="565"/>
      <c r="AN179" s="565"/>
      <c r="AO179" s="565"/>
      <c r="AP179" s="565"/>
      <c r="AQ179" s="565"/>
      <c r="AR179" s="565"/>
      <c r="AS179" s="565"/>
      <c r="AT179" s="565"/>
      <c r="AU179" s="181"/>
      <c r="AV179" s="558"/>
    </row>
    <row r="180" ht="11.25" customHeight="1">
      <c r="A180" s="565"/>
      <c r="B180" s="181"/>
      <c r="C180" s="565"/>
      <c r="D180" s="565"/>
      <c r="E180" s="565"/>
      <c r="F180" s="565"/>
      <c r="G180" s="565"/>
      <c r="H180" s="565"/>
      <c r="I180" s="565"/>
      <c r="J180" s="565"/>
      <c r="K180" s="565"/>
      <c r="L180" s="565"/>
      <c r="M180" s="565"/>
      <c r="N180" s="565"/>
      <c r="O180" s="565"/>
      <c r="P180" s="565"/>
      <c r="Q180" s="565"/>
      <c r="R180" s="565"/>
      <c r="S180" s="565"/>
      <c r="T180" s="565"/>
      <c r="U180" s="565"/>
      <c r="V180" s="565"/>
      <c r="W180" s="565"/>
      <c r="X180" s="565"/>
      <c r="Y180" s="565"/>
      <c r="Z180" s="565"/>
      <c r="AA180" s="565"/>
      <c r="AB180" s="565"/>
      <c r="AC180" s="565"/>
      <c r="AD180" s="565"/>
      <c r="AE180" s="565"/>
      <c r="AF180" s="565"/>
      <c r="AG180" s="565"/>
      <c r="AH180" s="565"/>
      <c r="AI180" s="565"/>
      <c r="AJ180" s="565"/>
      <c r="AK180" s="565"/>
      <c r="AL180" s="565"/>
      <c r="AM180" s="565"/>
      <c r="AN180" s="565"/>
      <c r="AO180" s="565"/>
      <c r="AP180" s="565"/>
      <c r="AQ180" s="565"/>
      <c r="AR180" s="565"/>
      <c r="AS180" s="565"/>
      <c r="AT180" s="565"/>
      <c r="AU180" s="181"/>
      <c r="AV180" s="558"/>
    </row>
    <row r="181" ht="11.25" customHeight="1">
      <c r="A181" s="565"/>
      <c r="B181" s="181"/>
      <c r="C181" s="565"/>
      <c r="D181" s="565"/>
      <c r="E181" s="565"/>
      <c r="F181" s="565"/>
      <c r="G181" s="565"/>
      <c r="H181" s="565"/>
      <c r="I181" s="565"/>
      <c r="J181" s="565"/>
      <c r="K181" s="565"/>
      <c r="L181" s="565"/>
      <c r="M181" s="565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  <c r="AF181" s="565"/>
      <c r="AG181" s="565"/>
      <c r="AH181" s="565"/>
      <c r="AI181" s="565"/>
      <c r="AJ181" s="565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181"/>
      <c r="AV181" s="558"/>
    </row>
    <row r="182" ht="11.25" customHeight="1">
      <c r="A182" s="565"/>
      <c r="B182" s="181"/>
      <c r="C182" s="565"/>
      <c r="D182" s="565"/>
      <c r="E182" s="565"/>
      <c r="F182" s="565"/>
      <c r="G182" s="565"/>
      <c r="H182" s="565"/>
      <c r="I182" s="565"/>
      <c r="J182" s="565"/>
      <c r="K182" s="565"/>
      <c r="L182" s="565"/>
      <c r="M182" s="565"/>
      <c r="N182" s="565"/>
      <c r="O182" s="565"/>
      <c r="P182" s="565"/>
      <c r="Q182" s="565"/>
      <c r="R182" s="565"/>
      <c r="S182" s="565"/>
      <c r="T182" s="565"/>
      <c r="U182" s="565"/>
      <c r="V182" s="565"/>
      <c r="W182" s="565"/>
      <c r="X182" s="565"/>
      <c r="Y182" s="565"/>
      <c r="Z182" s="565"/>
      <c r="AA182" s="565"/>
      <c r="AB182" s="565"/>
      <c r="AC182" s="565"/>
      <c r="AD182" s="565"/>
      <c r="AE182" s="565"/>
      <c r="AF182" s="565"/>
      <c r="AG182" s="565"/>
      <c r="AH182" s="565"/>
      <c r="AI182" s="565"/>
      <c r="AJ182" s="565"/>
      <c r="AK182" s="565"/>
      <c r="AL182" s="565"/>
      <c r="AM182" s="565"/>
      <c r="AN182" s="565"/>
      <c r="AO182" s="565"/>
      <c r="AP182" s="565"/>
      <c r="AQ182" s="565"/>
      <c r="AR182" s="565"/>
      <c r="AS182" s="565"/>
      <c r="AT182" s="565"/>
      <c r="AU182" s="181"/>
      <c r="AV182" s="558"/>
    </row>
    <row r="183" ht="11.25" customHeight="1">
      <c r="A183" s="565"/>
      <c r="B183" s="181"/>
      <c r="C183" s="565"/>
      <c r="D183" s="565"/>
      <c r="E183" s="565"/>
      <c r="F183" s="565"/>
      <c r="G183" s="565"/>
      <c r="H183" s="565"/>
      <c r="I183" s="565"/>
      <c r="J183" s="565"/>
      <c r="K183" s="565"/>
      <c r="L183" s="565"/>
      <c r="M183" s="565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Z183" s="565"/>
      <c r="AA183" s="565"/>
      <c r="AB183" s="565"/>
      <c r="AC183" s="565"/>
      <c r="AD183" s="565"/>
      <c r="AE183" s="565"/>
      <c r="AF183" s="565"/>
      <c r="AG183" s="565"/>
      <c r="AH183" s="565"/>
      <c r="AI183" s="565"/>
      <c r="AJ183" s="565"/>
      <c r="AK183" s="565"/>
      <c r="AL183" s="565"/>
      <c r="AM183" s="565"/>
      <c r="AN183" s="565"/>
      <c r="AO183" s="565"/>
      <c r="AP183" s="565"/>
      <c r="AQ183" s="565"/>
      <c r="AR183" s="565"/>
      <c r="AS183" s="565"/>
      <c r="AT183" s="565"/>
      <c r="AU183" s="181"/>
      <c r="AV183" s="558"/>
    </row>
    <row r="184" ht="11.25" customHeight="1">
      <c r="A184" s="565"/>
      <c r="B184" s="181"/>
      <c r="C184" s="565"/>
      <c r="D184" s="565"/>
      <c r="E184" s="565"/>
      <c r="F184" s="565"/>
      <c r="G184" s="565"/>
      <c r="H184" s="565"/>
      <c r="I184" s="565"/>
      <c r="J184" s="565"/>
      <c r="K184" s="565"/>
      <c r="L184" s="565"/>
      <c r="M184" s="565"/>
      <c r="N184" s="565"/>
      <c r="O184" s="565"/>
      <c r="P184" s="565"/>
      <c r="Q184" s="565"/>
      <c r="R184" s="565"/>
      <c r="S184" s="565"/>
      <c r="T184" s="565"/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5"/>
      <c r="AF184" s="565"/>
      <c r="AG184" s="565"/>
      <c r="AH184" s="565"/>
      <c r="AI184" s="565"/>
      <c r="AJ184" s="565"/>
      <c r="AK184" s="565"/>
      <c r="AL184" s="565"/>
      <c r="AM184" s="565"/>
      <c r="AN184" s="565"/>
      <c r="AO184" s="565"/>
      <c r="AP184" s="565"/>
      <c r="AQ184" s="565"/>
      <c r="AR184" s="565"/>
      <c r="AS184" s="565"/>
      <c r="AT184" s="565"/>
      <c r="AU184" s="181"/>
      <c r="AV184" s="558"/>
    </row>
    <row r="185" ht="11.25" customHeight="1">
      <c r="A185" s="565"/>
      <c r="B185" s="181"/>
      <c r="C185" s="565"/>
      <c r="D185" s="565"/>
      <c r="E185" s="565"/>
      <c r="F185" s="565"/>
      <c r="G185" s="565"/>
      <c r="H185" s="565"/>
      <c r="I185" s="565"/>
      <c r="J185" s="565"/>
      <c r="K185" s="565"/>
      <c r="L185" s="565"/>
      <c r="M185" s="565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  <c r="AF185" s="565"/>
      <c r="AG185" s="565"/>
      <c r="AH185" s="565"/>
      <c r="AI185" s="565"/>
      <c r="AJ185" s="565"/>
      <c r="AK185" s="565"/>
      <c r="AL185" s="565"/>
      <c r="AM185" s="565"/>
      <c r="AN185" s="565"/>
      <c r="AO185" s="565"/>
      <c r="AP185" s="565"/>
      <c r="AQ185" s="565"/>
      <c r="AR185" s="565"/>
      <c r="AS185" s="565"/>
      <c r="AT185" s="565"/>
      <c r="AU185" s="181"/>
      <c r="AV185" s="558"/>
    </row>
    <row r="186" ht="11.25" customHeight="1">
      <c r="A186" s="565"/>
      <c r="B186" s="181"/>
      <c r="C186" s="565"/>
      <c r="D186" s="565"/>
      <c r="E186" s="565"/>
      <c r="F186" s="565"/>
      <c r="G186" s="565"/>
      <c r="H186" s="565"/>
      <c r="I186" s="565"/>
      <c r="J186" s="565"/>
      <c r="K186" s="565"/>
      <c r="L186" s="565"/>
      <c r="M186" s="565"/>
      <c r="N186" s="565"/>
      <c r="O186" s="565"/>
      <c r="P186" s="565"/>
      <c r="Q186" s="565"/>
      <c r="R186" s="565"/>
      <c r="S186" s="565"/>
      <c r="T186" s="565"/>
      <c r="U186" s="565"/>
      <c r="V186" s="565"/>
      <c r="W186" s="565"/>
      <c r="X186" s="565"/>
      <c r="Y186" s="565"/>
      <c r="Z186" s="565"/>
      <c r="AA186" s="565"/>
      <c r="AB186" s="565"/>
      <c r="AC186" s="565"/>
      <c r="AD186" s="565"/>
      <c r="AE186" s="565"/>
      <c r="AF186" s="565"/>
      <c r="AG186" s="565"/>
      <c r="AH186" s="565"/>
      <c r="AI186" s="565"/>
      <c r="AJ186" s="565"/>
      <c r="AK186" s="565"/>
      <c r="AL186" s="565"/>
      <c r="AM186" s="565"/>
      <c r="AN186" s="565"/>
      <c r="AO186" s="565"/>
      <c r="AP186" s="565"/>
      <c r="AQ186" s="565"/>
      <c r="AR186" s="565"/>
      <c r="AS186" s="565"/>
      <c r="AT186" s="565"/>
      <c r="AU186" s="181"/>
      <c r="AV186" s="558"/>
    </row>
    <row r="187" ht="11.25" customHeight="1">
      <c r="A187" s="565"/>
      <c r="B187" s="181"/>
      <c r="C187" s="565"/>
      <c r="D187" s="565"/>
      <c r="E187" s="565"/>
      <c r="F187" s="565"/>
      <c r="G187" s="565"/>
      <c r="H187" s="565"/>
      <c r="I187" s="565"/>
      <c r="J187" s="565"/>
      <c r="K187" s="565"/>
      <c r="L187" s="565"/>
      <c r="M187" s="565"/>
      <c r="N187" s="565"/>
      <c r="O187" s="565"/>
      <c r="P187" s="565"/>
      <c r="Q187" s="565"/>
      <c r="R187" s="565"/>
      <c r="S187" s="565"/>
      <c r="T187" s="565"/>
      <c r="U187" s="565"/>
      <c r="V187" s="565"/>
      <c r="W187" s="565"/>
      <c r="X187" s="565"/>
      <c r="Y187" s="565"/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65"/>
      <c r="AJ187" s="565"/>
      <c r="AK187" s="565"/>
      <c r="AL187" s="565"/>
      <c r="AM187" s="565"/>
      <c r="AN187" s="565"/>
      <c r="AO187" s="565"/>
      <c r="AP187" s="565"/>
      <c r="AQ187" s="565"/>
      <c r="AR187" s="565"/>
      <c r="AS187" s="565"/>
      <c r="AT187" s="565"/>
      <c r="AU187" s="181"/>
      <c r="AV187" s="558"/>
    </row>
    <row r="188" ht="11.25" customHeight="1">
      <c r="A188" s="565"/>
      <c r="B188" s="181"/>
      <c r="C188" s="565"/>
      <c r="D188" s="565"/>
      <c r="E188" s="565"/>
      <c r="F188" s="565"/>
      <c r="G188" s="565"/>
      <c r="H188" s="565"/>
      <c r="I188" s="565"/>
      <c r="J188" s="565"/>
      <c r="K188" s="565"/>
      <c r="L188" s="565"/>
      <c r="M188" s="565"/>
      <c r="N188" s="565"/>
      <c r="O188" s="565"/>
      <c r="P188" s="565"/>
      <c r="Q188" s="565"/>
      <c r="R188" s="565"/>
      <c r="S188" s="565"/>
      <c r="T188" s="565"/>
      <c r="U188" s="565"/>
      <c r="V188" s="565"/>
      <c r="W188" s="565"/>
      <c r="X188" s="565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5"/>
      <c r="AS188" s="565"/>
      <c r="AT188" s="565"/>
      <c r="AU188" s="181"/>
      <c r="AV188" s="558"/>
    </row>
    <row r="189" ht="11.25" customHeight="1">
      <c r="A189" s="565"/>
      <c r="B189" s="181"/>
      <c r="C189" s="565"/>
      <c r="D189" s="565"/>
      <c r="E189" s="565"/>
      <c r="F189" s="565"/>
      <c r="G189" s="565"/>
      <c r="H189" s="565"/>
      <c r="I189" s="565"/>
      <c r="J189" s="565"/>
      <c r="K189" s="565"/>
      <c r="L189" s="565"/>
      <c r="M189" s="565"/>
      <c r="N189" s="565"/>
      <c r="O189" s="565"/>
      <c r="P189" s="565"/>
      <c r="Q189" s="565"/>
      <c r="R189" s="565"/>
      <c r="S189" s="565"/>
      <c r="T189" s="565"/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5"/>
      <c r="AF189" s="565"/>
      <c r="AG189" s="565"/>
      <c r="AH189" s="565"/>
      <c r="AI189" s="565"/>
      <c r="AJ189" s="565"/>
      <c r="AK189" s="565"/>
      <c r="AL189" s="565"/>
      <c r="AM189" s="565"/>
      <c r="AN189" s="565"/>
      <c r="AO189" s="565"/>
      <c r="AP189" s="565"/>
      <c r="AQ189" s="565"/>
      <c r="AR189" s="565"/>
      <c r="AS189" s="565"/>
      <c r="AT189" s="565"/>
      <c r="AU189" s="181"/>
      <c r="AV189" s="558"/>
    </row>
    <row r="190" ht="11.25" customHeight="1">
      <c r="A190" s="565"/>
      <c r="B190" s="181"/>
      <c r="C190" s="565"/>
      <c r="D190" s="565"/>
      <c r="E190" s="565"/>
      <c r="F190" s="565"/>
      <c r="G190" s="565"/>
      <c r="H190" s="565"/>
      <c r="I190" s="565"/>
      <c r="J190" s="565"/>
      <c r="K190" s="565"/>
      <c r="L190" s="565"/>
      <c r="M190" s="565"/>
      <c r="N190" s="565"/>
      <c r="O190" s="565"/>
      <c r="P190" s="565"/>
      <c r="Q190" s="565"/>
      <c r="R190" s="565"/>
      <c r="S190" s="565"/>
      <c r="T190" s="565"/>
      <c r="U190" s="565"/>
      <c r="V190" s="565"/>
      <c r="W190" s="565"/>
      <c r="X190" s="565"/>
      <c r="Y190" s="565"/>
      <c r="Z190" s="565"/>
      <c r="AA190" s="565"/>
      <c r="AB190" s="565"/>
      <c r="AC190" s="565"/>
      <c r="AD190" s="565"/>
      <c r="AE190" s="565"/>
      <c r="AF190" s="565"/>
      <c r="AG190" s="565"/>
      <c r="AH190" s="565"/>
      <c r="AI190" s="565"/>
      <c r="AJ190" s="565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181"/>
      <c r="AV190" s="558"/>
    </row>
    <row r="191" ht="11.25" customHeight="1">
      <c r="A191" s="565"/>
      <c r="B191" s="181"/>
      <c r="C191" s="565"/>
      <c r="D191" s="565"/>
      <c r="E191" s="565"/>
      <c r="F191" s="565"/>
      <c r="G191" s="565"/>
      <c r="H191" s="565"/>
      <c r="I191" s="565"/>
      <c r="J191" s="565"/>
      <c r="K191" s="565"/>
      <c r="L191" s="565"/>
      <c r="M191" s="565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Z191" s="565"/>
      <c r="AA191" s="565"/>
      <c r="AB191" s="565"/>
      <c r="AC191" s="565"/>
      <c r="AD191" s="565"/>
      <c r="AE191" s="565"/>
      <c r="AF191" s="565"/>
      <c r="AG191" s="565"/>
      <c r="AH191" s="565"/>
      <c r="AI191" s="565"/>
      <c r="AJ191" s="565"/>
      <c r="AK191" s="565"/>
      <c r="AL191" s="565"/>
      <c r="AM191" s="565"/>
      <c r="AN191" s="565"/>
      <c r="AO191" s="565"/>
      <c r="AP191" s="565"/>
      <c r="AQ191" s="565"/>
      <c r="AR191" s="565"/>
      <c r="AS191" s="565"/>
      <c r="AT191" s="565"/>
      <c r="AU191" s="181"/>
      <c r="AV191" s="558"/>
    </row>
    <row r="192" ht="11.25" customHeight="1">
      <c r="A192" s="565"/>
      <c r="B192" s="181"/>
      <c r="C192" s="565"/>
      <c r="D192" s="565"/>
      <c r="E192" s="565"/>
      <c r="F192" s="565"/>
      <c r="G192" s="565"/>
      <c r="H192" s="565"/>
      <c r="I192" s="565"/>
      <c r="J192" s="565"/>
      <c r="K192" s="565"/>
      <c r="L192" s="565"/>
      <c r="M192" s="565"/>
      <c r="N192" s="565"/>
      <c r="O192" s="565"/>
      <c r="P192" s="565"/>
      <c r="Q192" s="565"/>
      <c r="R192" s="565"/>
      <c r="S192" s="565"/>
      <c r="T192" s="565"/>
      <c r="U192" s="565"/>
      <c r="V192" s="565"/>
      <c r="W192" s="565"/>
      <c r="X192" s="565"/>
      <c r="Y192" s="565"/>
      <c r="Z192" s="565"/>
      <c r="AA192" s="565"/>
      <c r="AB192" s="565"/>
      <c r="AC192" s="565"/>
      <c r="AD192" s="565"/>
      <c r="AE192" s="565"/>
      <c r="AF192" s="565"/>
      <c r="AG192" s="565"/>
      <c r="AH192" s="565"/>
      <c r="AI192" s="565"/>
      <c r="AJ192" s="565"/>
      <c r="AK192" s="565"/>
      <c r="AL192" s="565"/>
      <c r="AM192" s="565"/>
      <c r="AN192" s="565"/>
      <c r="AO192" s="565"/>
      <c r="AP192" s="565"/>
      <c r="AQ192" s="565"/>
      <c r="AR192" s="565"/>
      <c r="AS192" s="565"/>
      <c r="AT192" s="565"/>
      <c r="AU192" s="181"/>
      <c r="AV192" s="558"/>
    </row>
    <row r="193" ht="11.25" customHeight="1">
      <c r="A193" s="565"/>
      <c r="B193" s="181"/>
      <c r="C193" s="565"/>
      <c r="D193" s="565"/>
      <c r="E193" s="565"/>
      <c r="F193" s="565"/>
      <c r="G193" s="565"/>
      <c r="H193" s="565"/>
      <c r="I193" s="565"/>
      <c r="J193" s="565"/>
      <c r="K193" s="565"/>
      <c r="L193" s="565"/>
      <c r="M193" s="565"/>
      <c r="N193" s="565"/>
      <c r="O193" s="565"/>
      <c r="P193" s="565"/>
      <c r="Q193" s="565"/>
      <c r="R193" s="565"/>
      <c r="S193" s="565"/>
      <c r="T193" s="565"/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5"/>
      <c r="AF193" s="565"/>
      <c r="AG193" s="565"/>
      <c r="AH193" s="565"/>
      <c r="AI193" s="565"/>
      <c r="AJ193" s="565"/>
      <c r="AK193" s="565"/>
      <c r="AL193" s="565"/>
      <c r="AM193" s="565"/>
      <c r="AN193" s="565"/>
      <c r="AO193" s="565"/>
      <c r="AP193" s="565"/>
      <c r="AQ193" s="565"/>
      <c r="AR193" s="565"/>
      <c r="AS193" s="565"/>
      <c r="AT193" s="565"/>
      <c r="AU193" s="181"/>
      <c r="AV193" s="558"/>
    </row>
    <row r="194" ht="11.25" customHeight="1">
      <c r="A194" s="565"/>
      <c r="B194" s="181"/>
      <c r="C194" s="565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5"/>
      <c r="AF194" s="565"/>
      <c r="AG194" s="565"/>
      <c r="AH194" s="565"/>
      <c r="AI194" s="565"/>
      <c r="AJ194" s="565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181"/>
      <c r="AV194" s="558"/>
    </row>
    <row r="195" ht="11.25" customHeight="1">
      <c r="A195" s="565"/>
      <c r="B195" s="181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5"/>
      <c r="AF195" s="565"/>
      <c r="AG195" s="565"/>
      <c r="AH195" s="565"/>
      <c r="AI195" s="565"/>
      <c r="AJ195" s="565"/>
      <c r="AK195" s="565"/>
      <c r="AL195" s="565"/>
      <c r="AM195" s="565"/>
      <c r="AN195" s="565"/>
      <c r="AO195" s="565"/>
      <c r="AP195" s="565"/>
      <c r="AQ195" s="565"/>
      <c r="AR195" s="565"/>
      <c r="AS195" s="565"/>
      <c r="AT195" s="565"/>
      <c r="AU195" s="181"/>
      <c r="AV195" s="558"/>
    </row>
    <row r="196" ht="11.25" customHeight="1">
      <c r="A196" s="565"/>
      <c r="B196" s="181"/>
      <c r="C196" s="565"/>
      <c r="D196" s="565"/>
      <c r="E196" s="565"/>
      <c r="F196" s="565"/>
      <c r="G196" s="565"/>
      <c r="H196" s="565"/>
      <c r="I196" s="565"/>
      <c r="J196" s="565"/>
      <c r="K196" s="565"/>
      <c r="L196" s="565"/>
      <c r="M196" s="565"/>
      <c r="N196" s="565"/>
      <c r="O196" s="565"/>
      <c r="P196" s="565"/>
      <c r="Q196" s="565"/>
      <c r="R196" s="565"/>
      <c r="S196" s="565"/>
      <c r="T196" s="565"/>
      <c r="U196" s="565"/>
      <c r="V196" s="565"/>
      <c r="W196" s="565"/>
      <c r="X196" s="565"/>
      <c r="Y196" s="565"/>
      <c r="Z196" s="565"/>
      <c r="AA196" s="565"/>
      <c r="AB196" s="565"/>
      <c r="AC196" s="565"/>
      <c r="AD196" s="565"/>
      <c r="AE196" s="565"/>
      <c r="AF196" s="565"/>
      <c r="AG196" s="565"/>
      <c r="AH196" s="565"/>
      <c r="AI196" s="565"/>
      <c r="AJ196" s="565"/>
      <c r="AK196" s="565"/>
      <c r="AL196" s="565"/>
      <c r="AM196" s="565"/>
      <c r="AN196" s="565"/>
      <c r="AO196" s="565"/>
      <c r="AP196" s="565"/>
      <c r="AQ196" s="565"/>
      <c r="AR196" s="565"/>
      <c r="AS196" s="565"/>
      <c r="AT196" s="565"/>
      <c r="AU196" s="181"/>
      <c r="AV196" s="558"/>
    </row>
    <row r="197" ht="11.25" customHeight="1">
      <c r="A197" s="565"/>
      <c r="B197" s="181"/>
      <c r="C197" s="565"/>
      <c r="D197" s="565"/>
      <c r="E197" s="565"/>
      <c r="F197" s="565"/>
      <c r="G197" s="565"/>
      <c r="H197" s="565"/>
      <c r="I197" s="565"/>
      <c r="J197" s="565"/>
      <c r="K197" s="565"/>
      <c r="L197" s="565"/>
      <c r="M197" s="565"/>
      <c r="N197" s="565"/>
      <c r="O197" s="565"/>
      <c r="P197" s="565"/>
      <c r="Q197" s="565"/>
      <c r="R197" s="565"/>
      <c r="S197" s="565"/>
      <c r="T197" s="565"/>
      <c r="U197" s="565"/>
      <c r="V197" s="565"/>
      <c r="W197" s="565"/>
      <c r="X197" s="565"/>
      <c r="Y197" s="565"/>
      <c r="Z197" s="565"/>
      <c r="AA197" s="565"/>
      <c r="AB197" s="565"/>
      <c r="AC197" s="565"/>
      <c r="AD197" s="565"/>
      <c r="AE197" s="565"/>
      <c r="AF197" s="565"/>
      <c r="AG197" s="565"/>
      <c r="AH197" s="565"/>
      <c r="AI197" s="565"/>
      <c r="AJ197" s="565"/>
      <c r="AK197" s="565"/>
      <c r="AL197" s="565"/>
      <c r="AM197" s="565"/>
      <c r="AN197" s="565"/>
      <c r="AO197" s="565"/>
      <c r="AP197" s="565"/>
      <c r="AQ197" s="565"/>
      <c r="AR197" s="565"/>
      <c r="AS197" s="565"/>
      <c r="AT197" s="565"/>
      <c r="AU197" s="181"/>
      <c r="AV197" s="558"/>
    </row>
    <row r="198" ht="11.25" customHeight="1">
      <c r="A198" s="565"/>
      <c r="B198" s="181"/>
      <c r="C198" s="565"/>
      <c r="D198" s="565"/>
      <c r="E198" s="565"/>
      <c r="F198" s="565"/>
      <c r="G198" s="565"/>
      <c r="H198" s="565"/>
      <c r="I198" s="565"/>
      <c r="J198" s="565"/>
      <c r="K198" s="565"/>
      <c r="L198" s="565"/>
      <c r="M198" s="565"/>
      <c r="N198" s="565"/>
      <c r="O198" s="565"/>
      <c r="P198" s="565"/>
      <c r="Q198" s="565"/>
      <c r="R198" s="565"/>
      <c r="S198" s="565"/>
      <c r="T198" s="565"/>
      <c r="U198" s="565"/>
      <c r="V198" s="565"/>
      <c r="W198" s="565"/>
      <c r="X198" s="565"/>
      <c r="Y198" s="565"/>
      <c r="Z198" s="565"/>
      <c r="AA198" s="565"/>
      <c r="AB198" s="565"/>
      <c r="AC198" s="565"/>
      <c r="AD198" s="565"/>
      <c r="AE198" s="565"/>
      <c r="AF198" s="565"/>
      <c r="AG198" s="565"/>
      <c r="AH198" s="565"/>
      <c r="AI198" s="565"/>
      <c r="AJ198" s="565"/>
      <c r="AK198" s="565"/>
      <c r="AL198" s="565"/>
      <c r="AM198" s="565"/>
      <c r="AN198" s="565"/>
      <c r="AO198" s="565"/>
      <c r="AP198" s="565"/>
      <c r="AQ198" s="565"/>
      <c r="AR198" s="565"/>
      <c r="AS198" s="565"/>
      <c r="AT198" s="565"/>
      <c r="AU198" s="181"/>
      <c r="AV198" s="558"/>
    </row>
    <row r="199" ht="11.25" customHeight="1">
      <c r="A199" s="565"/>
      <c r="B199" s="181"/>
      <c r="C199" s="565"/>
      <c r="D199" s="565"/>
      <c r="E199" s="565"/>
      <c r="F199" s="565"/>
      <c r="G199" s="565"/>
      <c r="H199" s="565"/>
      <c r="I199" s="565"/>
      <c r="J199" s="565"/>
      <c r="K199" s="565"/>
      <c r="L199" s="565"/>
      <c r="M199" s="565"/>
      <c r="N199" s="565"/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5"/>
      <c r="Z199" s="565"/>
      <c r="AA199" s="565"/>
      <c r="AB199" s="565"/>
      <c r="AC199" s="565"/>
      <c r="AD199" s="565"/>
      <c r="AE199" s="565"/>
      <c r="AF199" s="565"/>
      <c r="AG199" s="565"/>
      <c r="AH199" s="565"/>
      <c r="AI199" s="565"/>
      <c r="AJ199" s="565"/>
      <c r="AK199" s="565"/>
      <c r="AL199" s="565"/>
      <c r="AM199" s="565"/>
      <c r="AN199" s="565"/>
      <c r="AO199" s="565"/>
      <c r="AP199" s="565"/>
      <c r="AQ199" s="565"/>
      <c r="AR199" s="565"/>
      <c r="AS199" s="565"/>
      <c r="AT199" s="565"/>
      <c r="AU199" s="181"/>
      <c r="AV199" s="558"/>
    </row>
    <row r="200" ht="11.25" customHeight="1">
      <c r="A200" s="565"/>
      <c r="B200" s="181"/>
      <c r="C200" s="565"/>
      <c r="D200" s="565"/>
      <c r="E200" s="565"/>
      <c r="F200" s="565"/>
      <c r="G200" s="565"/>
      <c r="H200" s="565"/>
      <c r="I200" s="565"/>
      <c r="J200" s="565"/>
      <c r="K200" s="565"/>
      <c r="L200" s="565"/>
      <c r="M200" s="565"/>
      <c r="N200" s="565"/>
      <c r="O200" s="565"/>
      <c r="P200" s="565"/>
      <c r="Q200" s="565"/>
      <c r="R200" s="565"/>
      <c r="S200" s="565"/>
      <c r="T200" s="565"/>
      <c r="U200" s="565"/>
      <c r="V200" s="565"/>
      <c r="W200" s="565"/>
      <c r="X200" s="565"/>
      <c r="Y200" s="565"/>
      <c r="Z200" s="565"/>
      <c r="AA200" s="565"/>
      <c r="AB200" s="565"/>
      <c r="AC200" s="565"/>
      <c r="AD200" s="565"/>
      <c r="AE200" s="565"/>
      <c r="AF200" s="565"/>
      <c r="AG200" s="565"/>
      <c r="AH200" s="565"/>
      <c r="AI200" s="565"/>
      <c r="AJ200" s="565"/>
      <c r="AK200" s="565"/>
      <c r="AL200" s="565"/>
      <c r="AM200" s="565"/>
      <c r="AN200" s="565"/>
      <c r="AO200" s="565"/>
      <c r="AP200" s="565"/>
      <c r="AQ200" s="565"/>
      <c r="AR200" s="565"/>
      <c r="AS200" s="565"/>
      <c r="AT200" s="565"/>
      <c r="AU200" s="181"/>
      <c r="AV200" s="558"/>
    </row>
    <row r="201" ht="11.25" customHeight="1">
      <c r="A201" s="565"/>
      <c r="B201" s="181"/>
      <c r="C201" s="565"/>
      <c r="D201" s="565"/>
      <c r="E201" s="565"/>
      <c r="F201" s="565"/>
      <c r="G201" s="565"/>
      <c r="H201" s="565"/>
      <c r="I201" s="565"/>
      <c r="J201" s="565"/>
      <c r="K201" s="565"/>
      <c r="L201" s="565"/>
      <c r="M201" s="565"/>
      <c r="N201" s="565"/>
      <c r="O201" s="565"/>
      <c r="P201" s="565"/>
      <c r="Q201" s="565"/>
      <c r="R201" s="565"/>
      <c r="S201" s="565"/>
      <c r="T201" s="565"/>
      <c r="U201" s="565"/>
      <c r="V201" s="565"/>
      <c r="W201" s="565"/>
      <c r="X201" s="565"/>
      <c r="Y201" s="565"/>
      <c r="Z201" s="565"/>
      <c r="AA201" s="565"/>
      <c r="AB201" s="565"/>
      <c r="AC201" s="565"/>
      <c r="AD201" s="565"/>
      <c r="AE201" s="565"/>
      <c r="AF201" s="565"/>
      <c r="AG201" s="565"/>
      <c r="AH201" s="565"/>
      <c r="AI201" s="565"/>
      <c r="AJ201" s="565"/>
      <c r="AK201" s="565"/>
      <c r="AL201" s="565"/>
      <c r="AM201" s="565"/>
      <c r="AN201" s="565"/>
      <c r="AO201" s="565"/>
      <c r="AP201" s="565"/>
      <c r="AQ201" s="565"/>
      <c r="AR201" s="565"/>
      <c r="AS201" s="565"/>
      <c r="AT201" s="565"/>
      <c r="AU201" s="181"/>
      <c r="AV201" s="558"/>
    </row>
    <row r="202" ht="11.25" customHeight="1">
      <c r="A202" s="565"/>
      <c r="B202" s="181"/>
      <c r="C202" s="565"/>
      <c r="D202" s="565"/>
      <c r="E202" s="565"/>
      <c r="F202" s="565"/>
      <c r="G202" s="565"/>
      <c r="H202" s="565"/>
      <c r="I202" s="565"/>
      <c r="J202" s="565"/>
      <c r="K202" s="565"/>
      <c r="L202" s="565"/>
      <c r="M202" s="565"/>
      <c r="N202" s="565"/>
      <c r="O202" s="565"/>
      <c r="P202" s="565"/>
      <c r="Q202" s="565"/>
      <c r="R202" s="565"/>
      <c r="S202" s="565"/>
      <c r="T202" s="565"/>
      <c r="U202" s="565"/>
      <c r="V202" s="565"/>
      <c r="W202" s="565"/>
      <c r="X202" s="565"/>
      <c r="Y202" s="565"/>
      <c r="Z202" s="565"/>
      <c r="AA202" s="565"/>
      <c r="AB202" s="565"/>
      <c r="AC202" s="565"/>
      <c r="AD202" s="565"/>
      <c r="AE202" s="565"/>
      <c r="AF202" s="565"/>
      <c r="AG202" s="565"/>
      <c r="AH202" s="565"/>
      <c r="AI202" s="565"/>
      <c r="AJ202" s="565"/>
      <c r="AK202" s="565"/>
      <c r="AL202" s="565"/>
      <c r="AM202" s="565"/>
      <c r="AN202" s="565"/>
      <c r="AO202" s="565"/>
      <c r="AP202" s="565"/>
      <c r="AQ202" s="565"/>
      <c r="AR202" s="565"/>
      <c r="AS202" s="565"/>
      <c r="AT202" s="565"/>
      <c r="AU202" s="181"/>
      <c r="AV202" s="558"/>
    </row>
    <row r="203" ht="11.25" customHeight="1">
      <c r="A203" s="565"/>
      <c r="B203" s="181"/>
      <c r="C203" s="565"/>
      <c r="D203" s="565"/>
      <c r="E203" s="565"/>
      <c r="F203" s="565"/>
      <c r="G203" s="565"/>
      <c r="H203" s="565"/>
      <c r="I203" s="565"/>
      <c r="J203" s="565"/>
      <c r="K203" s="565"/>
      <c r="L203" s="565"/>
      <c r="M203" s="565"/>
      <c r="N203" s="565"/>
      <c r="O203" s="565"/>
      <c r="P203" s="565"/>
      <c r="Q203" s="565"/>
      <c r="R203" s="565"/>
      <c r="S203" s="565"/>
      <c r="T203" s="565"/>
      <c r="U203" s="565"/>
      <c r="V203" s="565"/>
      <c r="W203" s="565"/>
      <c r="X203" s="565"/>
      <c r="Y203" s="565"/>
      <c r="Z203" s="565"/>
      <c r="AA203" s="565"/>
      <c r="AB203" s="565"/>
      <c r="AC203" s="565"/>
      <c r="AD203" s="565"/>
      <c r="AE203" s="565"/>
      <c r="AF203" s="565"/>
      <c r="AG203" s="565"/>
      <c r="AH203" s="565"/>
      <c r="AI203" s="565"/>
      <c r="AJ203" s="565"/>
      <c r="AK203" s="565"/>
      <c r="AL203" s="565"/>
      <c r="AM203" s="565"/>
      <c r="AN203" s="565"/>
      <c r="AO203" s="565"/>
      <c r="AP203" s="565"/>
      <c r="AQ203" s="565"/>
      <c r="AR203" s="565"/>
      <c r="AS203" s="565"/>
      <c r="AT203" s="565"/>
      <c r="AU203" s="181"/>
      <c r="AV203" s="558"/>
    </row>
    <row r="204" ht="11.25" customHeight="1">
      <c r="A204" s="565"/>
      <c r="B204" s="181"/>
      <c r="C204" s="565"/>
      <c r="D204" s="565"/>
      <c r="E204" s="565"/>
      <c r="F204" s="565"/>
      <c r="G204" s="565"/>
      <c r="H204" s="565"/>
      <c r="I204" s="565"/>
      <c r="J204" s="565"/>
      <c r="K204" s="565"/>
      <c r="L204" s="565"/>
      <c r="M204" s="565"/>
      <c r="N204" s="565"/>
      <c r="O204" s="565"/>
      <c r="P204" s="565"/>
      <c r="Q204" s="565"/>
      <c r="R204" s="565"/>
      <c r="S204" s="565"/>
      <c r="T204" s="565"/>
      <c r="U204" s="565"/>
      <c r="V204" s="565"/>
      <c r="W204" s="565"/>
      <c r="X204" s="565"/>
      <c r="Y204" s="565"/>
      <c r="Z204" s="565"/>
      <c r="AA204" s="565"/>
      <c r="AB204" s="565"/>
      <c r="AC204" s="565"/>
      <c r="AD204" s="565"/>
      <c r="AE204" s="565"/>
      <c r="AF204" s="565"/>
      <c r="AG204" s="565"/>
      <c r="AH204" s="565"/>
      <c r="AI204" s="565"/>
      <c r="AJ204" s="565"/>
      <c r="AK204" s="565"/>
      <c r="AL204" s="565"/>
      <c r="AM204" s="565"/>
      <c r="AN204" s="565"/>
      <c r="AO204" s="565"/>
      <c r="AP204" s="565"/>
      <c r="AQ204" s="565"/>
      <c r="AR204" s="565"/>
      <c r="AS204" s="565"/>
      <c r="AT204" s="565"/>
      <c r="AU204" s="181"/>
      <c r="AV204" s="558"/>
    </row>
    <row r="205" ht="11.25" customHeight="1">
      <c r="A205" s="565"/>
      <c r="B205" s="181"/>
      <c r="C205" s="565"/>
      <c r="D205" s="565"/>
      <c r="E205" s="565"/>
      <c r="F205" s="565"/>
      <c r="G205" s="565"/>
      <c r="H205" s="565"/>
      <c r="I205" s="565"/>
      <c r="J205" s="565"/>
      <c r="K205" s="565"/>
      <c r="L205" s="565"/>
      <c r="M205" s="565"/>
      <c r="N205" s="565"/>
      <c r="O205" s="565"/>
      <c r="P205" s="565"/>
      <c r="Q205" s="565"/>
      <c r="R205" s="565"/>
      <c r="S205" s="565"/>
      <c r="T205" s="565"/>
      <c r="U205" s="565"/>
      <c r="V205" s="565"/>
      <c r="W205" s="565"/>
      <c r="X205" s="565"/>
      <c r="Y205" s="565"/>
      <c r="Z205" s="565"/>
      <c r="AA205" s="565"/>
      <c r="AB205" s="565"/>
      <c r="AC205" s="565"/>
      <c r="AD205" s="565"/>
      <c r="AE205" s="565"/>
      <c r="AF205" s="565"/>
      <c r="AG205" s="565"/>
      <c r="AH205" s="565"/>
      <c r="AI205" s="565"/>
      <c r="AJ205" s="565"/>
      <c r="AK205" s="565"/>
      <c r="AL205" s="565"/>
      <c r="AM205" s="565"/>
      <c r="AN205" s="565"/>
      <c r="AO205" s="565"/>
      <c r="AP205" s="565"/>
      <c r="AQ205" s="565"/>
      <c r="AR205" s="565"/>
      <c r="AS205" s="565"/>
      <c r="AT205" s="565"/>
      <c r="AU205" s="181"/>
      <c r="AV205" s="558"/>
    </row>
    <row r="206" ht="11.25" customHeight="1">
      <c r="A206" s="565"/>
      <c r="B206" s="181"/>
      <c r="C206" s="565"/>
      <c r="D206" s="565"/>
      <c r="E206" s="565"/>
      <c r="F206" s="565"/>
      <c r="G206" s="565"/>
      <c r="H206" s="565"/>
      <c r="I206" s="565"/>
      <c r="J206" s="565"/>
      <c r="K206" s="565"/>
      <c r="L206" s="565"/>
      <c r="M206" s="565"/>
      <c r="N206" s="565"/>
      <c r="O206" s="565"/>
      <c r="P206" s="565"/>
      <c r="Q206" s="565"/>
      <c r="R206" s="565"/>
      <c r="S206" s="565"/>
      <c r="T206" s="565"/>
      <c r="U206" s="565"/>
      <c r="V206" s="565"/>
      <c r="W206" s="565"/>
      <c r="X206" s="565"/>
      <c r="Y206" s="565"/>
      <c r="Z206" s="565"/>
      <c r="AA206" s="565"/>
      <c r="AB206" s="565"/>
      <c r="AC206" s="565"/>
      <c r="AD206" s="565"/>
      <c r="AE206" s="565"/>
      <c r="AF206" s="565"/>
      <c r="AG206" s="565"/>
      <c r="AH206" s="565"/>
      <c r="AI206" s="565"/>
      <c r="AJ206" s="565"/>
      <c r="AK206" s="565"/>
      <c r="AL206" s="565"/>
      <c r="AM206" s="565"/>
      <c r="AN206" s="565"/>
      <c r="AO206" s="565"/>
      <c r="AP206" s="565"/>
      <c r="AQ206" s="565"/>
      <c r="AR206" s="565"/>
      <c r="AS206" s="565"/>
      <c r="AT206" s="565"/>
      <c r="AU206" s="181"/>
      <c r="AV206" s="558"/>
    </row>
    <row r="207" ht="11.25" customHeight="1">
      <c r="A207" s="565"/>
      <c r="B207" s="181"/>
      <c r="C207" s="565"/>
      <c r="D207" s="565"/>
      <c r="E207" s="565"/>
      <c r="F207" s="565"/>
      <c r="G207" s="565"/>
      <c r="H207" s="565"/>
      <c r="I207" s="565"/>
      <c r="J207" s="565"/>
      <c r="K207" s="565"/>
      <c r="L207" s="565"/>
      <c r="M207" s="565"/>
      <c r="N207" s="565"/>
      <c r="O207" s="565"/>
      <c r="P207" s="565"/>
      <c r="Q207" s="565"/>
      <c r="R207" s="565"/>
      <c r="S207" s="565"/>
      <c r="T207" s="565"/>
      <c r="U207" s="565"/>
      <c r="V207" s="565"/>
      <c r="W207" s="565"/>
      <c r="X207" s="565"/>
      <c r="Y207" s="565"/>
      <c r="Z207" s="565"/>
      <c r="AA207" s="565"/>
      <c r="AB207" s="565"/>
      <c r="AC207" s="565"/>
      <c r="AD207" s="565"/>
      <c r="AE207" s="565"/>
      <c r="AF207" s="565"/>
      <c r="AG207" s="565"/>
      <c r="AH207" s="565"/>
      <c r="AI207" s="565"/>
      <c r="AJ207" s="565"/>
      <c r="AK207" s="565"/>
      <c r="AL207" s="565"/>
      <c r="AM207" s="565"/>
      <c r="AN207" s="565"/>
      <c r="AO207" s="565"/>
      <c r="AP207" s="565"/>
      <c r="AQ207" s="565"/>
      <c r="AR207" s="565"/>
      <c r="AS207" s="565"/>
      <c r="AT207" s="565"/>
      <c r="AU207" s="181"/>
      <c r="AV207" s="558"/>
    </row>
    <row r="208" ht="11.25" customHeight="1">
      <c r="A208" s="565"/>
      <c r="B208" s="181"/>
      <c r="C208" s="565"/>
      <c r="D208" s="565"/>
      <c r="E208" s="565"/>
      <c r="F208" s="565"/>
      <c r="G208" s="565"/>
      <c r="H208" s="565"/>
      <c r="I208" s="565"/>
      <c r="J208" s="565"/>
      <c r="K208" s="565"/>
      <c r="L208" s="565"/>
      <c r="M208" s="565"/>
      <c r="N208" s="565"/>
      <c r="O208" s="565"/>
      <c r="P208" s="565"/>
      <c r="Q208" s="565"/>
      <c r="R208" s="565"/>
      <c r="S208" s="565"/>
      <c r="T208" s="565"/>
      <c r="U208" s="565"/>
      <c r="V208" s="565"/>
      <c r="W208" s="565"/>
      <c r="X208" s="565"/>
      <c r="Y208" s="565"/>
      <c r="Z208" s="565"/>
      <c r="AA208" s="565"/>
      <c r="AB208" s="565"/>
      <c r="AC208" s="565"/>
      <c r="AD208" s="565"/>
      <c r="AE208" s="565"/>
      <c r="AF208" s="565"/>
      <c r="AG208" s="565"/>
      <c r="AH208" s="565"/>
      <c r="AI208" s="565"/>
      <c r="AJ208" s="565"/>
      <c r="AK208" s="565"/>
      <c r="AL208" s="565"/>
      <c r="AM208" s="565"/>
      <c r="AN208" s="565"/>
      <c r="AO208" s="565"/>
      <c r="AP208" s="565"/>
      <c r="AQ208" s="565"/>
      <c r="AR208" s="565"/>
      <c r="AS208" s="565"/>
      <c r="AT208" s="565"/>
      <c r="AU208" s="181"/>
      <c r="AV208" s="558"/>
    </row>
    <row r="209" ht="11.25" customHeight="1">
      <c r="A209" s="565"/>
      <c r="B209" s="181"/>
      <c r="C209" s="565"/>
      <c r="D209" s="565"/>
      <c r="E209" s="565"/>
      <c r="F209" s="565"/>
      <c r="G209" s="565"/>
      <c r="H209" s="565"/>
      <c r="I209" s="565"/>
      <c r="J209" s="565"/>
      <c r="K209" s="565"/>
      <c r="L209" s="565"/>
      <c r="M209" s="565"/>
      <c r="N209" s="565"/>
      <c r="O209" s="565"/>
      <c r="P209" s="565"/>
      <c r="Q209" s="565"/>
      <c r="R209" s="565"/>
      <c r="S209" s="565"/>
      <c r="T209" s="565"/>
      <c r="U209" s="565"/>
      <c r="V209" s="565"/>
      <c r="W209" s="565"/>
      <c r="X209" s="565"/>
      <c r="Y209" s="565"/>
      <c r="Z209" s="565"/>
      <c r="AA209" s="565"/>
      <c r="AB209" s="565"/>
      <c r="AC209" s="565"/>
      <c r="AD209" s="565"/>
      <c r="AE209" s="565"/>
      <c r="AF209" s="565"/>
      <c r="AG209" s="565"/>
      <c r="AH209" s="565"/>
      <c r="AI209" s="565"/>
      <c r="AJ209" s="565"/>
      <c r="AK209" s="565"/>
      <c r="AL209" s="565"/>
      <c r="AM209" s="565"/>
      <c r="AN209" s="565"/>
      <c r="AO209" s="565"/>
      <c r="AP209" s="565"/>
      <c r="AQ209" s="565"/>
      <c r="AR209" s="565"/>
      <c r="AS209" s="565"/>
      <c r="AT209" s="565"/>
      <c r="AU209" s="181"/>
      <c r="AV209" s="558"/>
    </row>
    <row r="210" ht="11.25" customHeight="1">
      <c r="A210" s="565"/>
      <c r="B210" s="181"/>
      <c r="C210" s="565"/>
      <c r="D210" s="565"/>
      <c r="E210" s="565"/>
      <c r="F210" s="565"/>
      <c r="G210" s="565"/>
      <c r="H210" s="565"/>
      <c r="I210" s="565"/>
      <c r="J210" s="565"/>
      <c r="K210" s="565"/>
      <c r="L210" s="565"/>
      <c r="M210" s="565"/>
      <c r="N210" s="565"/>
      <c r="O210" s="565"/>
      <c r="P210" s="565"/>
      <c r="Q210" s="565"/>
      <c r="R210" s="565"/>
      <c r="S210" s="565"/>
      <c r="T210" s="565"/>
      <c r="U210" s="565"/>
      <c r="V210" s="565"/>
      <c r="W210" s="565"/>
      <c r="X210" s="565"/>
      <c r="Y210" s="565"/>
      <c r="Z210" s="565"/>
      <c r="AA210" s="565"/>
      <c r="AB210" s="565"/>
      <c r="AC210" s="565"/>
      <c r="AD210" s="565"/>
      <c r="AE210" s="565"/>
      <c r="AF210" s="565"/>
      <c r="AG210" s="565"/>
      <c r="AH210" s="565"/>
      <c r="AI210" s="565"/>
      <c r="AJ210" s="565"/>
      <c r="AK210" s="565"/>
      <c r="AL210" s="565"/>
      <c r="AM210" s="565"/>
      <c r="AN210" s="565"/>
      <c r="AO210" s="565"/>
      <c r="AP210" s="565"/>
      <c r="AQ210" s="565"/>
      <c r="AR210" s="565"/>
      <c r="AS210" s="565"/>
      <c r="AT210" s="565"/>
      <c r="AU210" s="181"/>
      <c r="AV210" s="558"/>
    </row>
    <row r="211" ht="11.25" customHeight="1">
      <c r="A211" s="565"/>
      <c r="B211" s="181"/>
      <c r="C211" s="565"/>
      <c r="D211" s="565"/>
      <c r="E211" s="565"/>
      <c r="F211" s="565"/>
      <c r="G211" s="565"/>
      <c r="H211" s="565"/>
      <c r="I211" s="565"/>
      <c r="J211" s="565"/>
      <c r="K211" s="565"/>
      <c r="L211" s="565"/>
      <c r="M211" s="565"/>
      <c r="N211" s="565"/>
      <c r="O211" s="565"/>
      <c r="P211" s="565"/>
      <c r="Q211" s="565"/>
      <c r="R211" s="565"/>
      <c r="S211" s="565"/>
      <c r="T211" s="565"/>
      <c r="U211" s="565"/>
      <c r="V211" s="565"/>
      <c r="W211" s="565"/>
      <c r="X211" s="565"/>
      <c r="Y211" s="565"/>
      <c r="Z211" s="565"/>
      <c r="AA211" s="565"/>
      <c r="AB211" s="565"/>
      <c r="AC211" s="565"/>
      <c r="AD211" s="565"/>
      <c r="AE211" s="565"/>
      <c r="AF211" s="565"/>
      <c r="AG211" s="565"/>
      <c r="AH211" s="565"/>
      <c r="AI211" s="565"/>
      <c r="AJ211" s="565"/>
      <c r="AK211" s="565"/>
      <c r="AL211" s="565"/>
      <c r="AM211" s="565"/>
      <c r="AN211" s="565"/>
      <c r="AO211" s="565"/>
      <c r="AP211" s="565"/>
      <c r="AQ211" s="565"/>
      <c r="AR211" s="565"/>
      <c r="AS211" s="565"/>
      <c r="AT211" s="565"/>
      <c r="AU211" s="181"/>
      <c r="AV211" s="558"/>
    </row>
    <row r="212" ht="11.25" customHeight="1">
      <c r="A212" s="565"/>
      <c r="B212" s="181"/>
      <c r="C212" s="565"/>
      <c r="D212" s="565"/>
      <c r="E212" s="565"/>
      <c r="F212" s="565"/>
      <c r="G212" s="565"/>
      <c r="H212" s="565"/>
      <c r="I212" s="565"/>
      <c r="J212" s="565"/>
      <c r="K212" s="565"/>
      <c r="L212" s="565"/>
      <c r="M212" s="565"/>
      <c r="N212" s="565"/>
      <c r="O212" s="565"/>
      <c r="P212" s="565"/>
      <c r="Q212" s="565"/>
      <c r="R212" s="565"/>
      <c r="S212" s="565"/>
      <c r="T212" s="565"/>
      <c r="U212" s="565"/>
      <c r="V212" s="565"/>
      <c r="W212" s="565"/>
      <c r="X212" s="565"/>
      <c r="Y212" s="565"/>
      <c r="Z212" s="565"/>
      <c r="AA212" s="565"/>
      <c r="AB212" s="565"/>
      <c r="AC212" s="565"/>
      <c r="AD212" s="565"/>
      <c r="AE212" s="565"/>
      <c r="AF212" s="565"/>
      <c r="AG212" s="565"/>
      <c r="AH212" s="565"/>
      <c r="AI212" s="565"/>
      <c r="AJ212" s="565"/>
      <c r="AK212" s="565"/>
      <c r="AL212" s="565"/>
      <c r="AM212" s="565"/>
      <c r="AN212" s="565"/>
      <c r="AO212" s="565"/>
      <c r="AP212" s="565"/>
      <c r="AQ212" s="565"/>
      <c r="AR212" s="565"/>
      <c r="AS212" s="565"/>
      <c r="AT212" s="565"/>
      <c r="AU212" s="181"/>
      <c r="AV212" s="558"/>
    </row>
    <row r="213" ht="11.25" customHeight="1">
      <c r="A213" s="565"/>
      <c r="B213" s="181"/>
      <c r="C213" s="565"/>
      <c r="D213" s="565"/>
      <c r="E213" s="565"/>
      <c r="F213" s="565"/>
      <c r="G213" s="565"/>
      <c r="H213" s="565"/>
      <c r="I213" s="565"/>
      <c r="J213" s="565"/>
      <c r="K213" s="565"/>
      <c r="L213" s="565"/>
      <c r="M213" s="565"/>
      <c r="N213" s="565"/>
      <c r="O213" s="565"/>
      <c r="P213" s="565"/>
      <c r="Q213" s="565"/>
      <c r="R213" s="565"/>
      <c r="S213" s="565"/>
      <c r="T213" s="565"/>
      <c r="U213" s="565"/>
      <c r="V213" s="565"/>
      <c r="W213" s="565"/>
      <c r="X213" s="565"/>
      <c r="Y213" s="565"/>
      <c r="Z213" s="565"/>
      <c r="AA213" s="565"/>
      <c r="AB213" s="565"/>
      <c r="AC213" s="565"/>
      <c r="AD213" s="565"/>
      <c r="AE213" s="565"/>
      <c r="AF213" s="565"/>
      <c r="AG213" s="565"/>
      <c r="AH213" s="565"/>
      <c r="AI213" s="565"/>
      <c r="AJ213" s="565"/>
      <c r="AK213" s="565"/>
      <c r="AL213" s="565"/>
      <c r="AM213" s="565"/>
      <c r="AN213" s="565"/>
      <c r="AO213" s="565"/>
      <c r="AP213" s="565"/>
      <c r="AQ213" s="565"/>
      <c r="AR213" s="565"/>
      <c r="AS213" s="565"/>
      <c r="AT213" s="565"/>
      <c r="AU213" s="181"/>
      <c r="AV213" s="558"/>
    </row>
    <row r="214" ht="11.25" customHeight="1">
      <c r="A214" s="565"/>
      <c r="B214" s="181"/>
      <c r="C214" s="565"/>
      <c r="D214" s="565"/>
      <c r="E214" s="565"/>
      <c r="F214" s="565"/>
      <c r="G214" s="565"/>
      <c r="H214" s="565"/>
      <c r="I214" s="565"/>
      <c r="J214" s="565"/>
      <c r="K214" s="565"/>
      <c r="L214" s="565"/>
      <c r="M214" s="565"/>
      <c r="N214" s="565"/>
      <c r="O214" s="565"/>
      <c r="P214" s="565"/>
      <c r="Q214" s="565"/>
      <c r="R214" s="565"/>
      <c r="S214" s="565"/>
      <c r="T214" s="565"/>
      <c r="U214" s="565"/>
      <c r="V214" s="565"/>
      <c r="W214" s="565"/>
      <c r="X214" s="565"/>
      <c r="Y214" s="565"/>
      <c r="Z214" s="565"/>
      <c r="AA214" s="565"/>
      <c r="AB214" s="565"/>
      <c r="AC214" s="565"/>
      <c r="AD214" s="565"/>
      <c r="AE214" s="565"/>
      <c r="AF214" s="565"/>
      <c r="AG214" s="565"/>
      <c r="AH214" s="565"/>
      <c r="AI214" s="565"/>
      <c r="AJ214" s="565"/>
      <c r="AK214" s="565"/>
      <c r="AL214" s="565"/>
      <c r="AM214" s="565"/>
      <c r="AN214" s="565"/>
      <c r="AO214" s="565"/>
      <c r="AP214" s="565"/>
      <c r="AQ214" s="565"/>
      <c r="AR214" s="565"/>
      <c r="AS214" s="565"/>
      <c r="AT214" s="565"/>
      <c r="AU214" s="181"/>
      <c r="AV214" s="558"/>
    </row>
    <row r="215" ht="11.25" customHeight="1">
      <c r="A215" s="565"/>
      <c r="B215" s="181"/>
      <c r="C215" s="565"/>
      <c r="D215" s="565"/>
      <c r="E215" s="565"/>
      <c r="F215" s="565"/>
      <c r="G215" s="565"/>
      <c r="H215" s="565"/>
      <c r="I215" s="565"/>
      <c r="J215" s="565"/>
      <c r="K215" s="565"/>
      <c r="L215" s="565"/>
      <c r="M215" s="565"/>
      <c r="N215" s="565"/>
      <c r="O215" s="565"/>
      <c r="P215" s="565"/>
      <c r="Q215" s="565"/>
      <c r="R215" s="565"/>
      <c r="S215" s="565"/>
      <c r="T215" s="565"/>
      <c r="U215" s="565"/>
      <c r="V215" s="565"/>
      <c r="W215" s="565"/>
      <c r="X215" s="565"/>
      <c r="Y215" s="565"/>
      <c r="Z215" s="565"/>
      <c r="AA215" s="565"/>
      <c r="AB215" s="565"/>
      <c r="AC215" s="565"/>
      <c r="AD215" s="565"/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5"/>
      <c r="AP215" s="565"/>
      <c r="AQ215" s="565"/>
      <c r="AR215" s="565"/>
      <c r="AS215" s="565"/>
      <c r="AT215" s="565"/>
      <c r="AU215" s="181"/>
      <c r="AV215" s="558"/>
    </row>
    <row r="216" ht="11.25" customHeight="1">
      <c r="A216" s="565"/>
      <c r="B216" s="181"/>
      <c r="C216" s="565"/>
      <c r="D216" s="565"/>
      <c r="E216" s="565"/>
      <c r="F216" s="565"/>
      <c r="G216" s="565"/>
      <c r="H216" s="565"/>
      <c r="I216" s="565"/>
      <c r="J216" s="565"/>
      <c r="K216" s="565"/>
      <c r="L216" s="565"/>
      <c r="M216" s="565"/>
      <c r="N216" s="565"/>
      <c r="O216" s="565"/>
      <c r="P216" s="565"/>
      <c r="Q216" s="565"/>
      <c r="R216" s="565"/>
      <c r="S216" s="565"/>
      <c r="T216" s="565"/>
      <c r="U216" s="565"/>
      <c r="V216" s="565"/>
      <c r="W216" s="565"/>
      <c r="X216" s="565"/>
      <c r="Y216" s="565"/>
      <c r="Z216" s="565"/>
      <c r="AA216" s="565"/>
      <c r="AB216" s="565"/>
      <c r="AC216" s="565"/>
      <c r="AD216" s="565"/>
      <c r="AE216" s="565"/>
      <c r="AF216" s="565"/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5"/>
      <c r="AS216" s="565"/>
      <c r="AT216" s="565"/>
      <c r="AU216" s="181"/>
      <c r="AV216" s="558"/>
    </row>
    <row r="217" ht="11.25" customHeight="1">
      <c r="A217" s="565"/>
      <c r="B217" s="181"/>
      <c r="C217" s="565"/>
      <c r="D217" s="565"/>
      <c r="E217" s="565"/>
      <c r="F217" s="565"/>
      <c r="G217" s="565"/>
      <c r="H217" s="565"/>
      <c r="I217" s="565"/>
      <c r="J217" s="565"/>
      <c r="K217" s="565"/>
      <c r="L217" s="565"/>
      <c r="M217" s="565"/>
      <c r="N217" s="565"/>
      <c r="O217" s="565"/>
      <c r="P217" s="565"/>
      <c r="Q217" s="565"/>
      <c r="R217" s="565"/>
      <c r="S217" s="565"/>
      <c r="T217" s="565"/>
      <c r="U217" s="565"/>
      <c r="V217" s="565"/>
      <c r="W217" s="565"/>
      <c r="X217" s="565"/>
      <c r="Y217" s="565"/>
      <c r="Z217" s="565"/>
      <c r="AA217" s="565"/>
      <c r="AB217" s="565"/>
      <c r="AC217" s="565"/>
      <c r="AD217" s="565"/>
      <c r="AE217" s="565"/>
      <c r="AF217" s="565"/>
      <c r="AG217" s="565"/>
      <c r="AH217" s="565"/>
      <c r="AI217" s="565"/>
      <c r="AJ217" s="565"/>
      <c r="AK217" s="565"/>
      <c r="AL217" s="565"/>
      <c r="AM217" s="565"/>
      <c r="AN217" s="565"/>
      <c r="AO217" s="565"/>
      <c r="AP217" s="565"/>
      <c r="AQ217" s="565"/>
      <c r="AR217" s="565"/>
      <c r="AS217" s="565"/>
      <c r="AT217" s="565"/>
      <c r="AU217" s="181"/>
      <c r="AV217" s="558"/>
    </row>
    <row r="218" ht="11.25" customHeight="1">
      <c r="A218" s="565"/>
      <c r="B218" s="181"/>
      <c r="C218" s="565"/>
      <c r="D218" s="565"/>
      <c r="E218" s="565"/>
      <c r="F218" s="565"/>
      <c r="G218" s="565"/>
      <c r="H218" s="565"/>
      <c r="I218" s="565"/>
      <c r="J218" s="565"/>
      <c r="K218" s="565"/>
      <c r="L218" s="565"/>
      <c r="M218" s="565"/>
      <c r="N218" s="565"/>
      <c r="O218" s="565"/>
      <c r="P218" s="565"/>
      <c r="Q218" s="565"/>
      <c r="R218" s="565"/>
      <c r="S218" s="565"/>
      <c r="T218" s="565"/>
      <c r="U218" s="565"/>
      <c r="V218" s="565"/>
      <c r="W218" s="565"/>
      <c r="X218" s="565"/>
      <c r="Y218" s="565"/>
      <c r="Z218" s="565"/>
      <c r="AA218" s="565"/>
      <c r="AB218" s="565"/>
      <c r="AC218" s="565"/>
      <c r="AD218" s="565"/>
      <c r="AE218" s="565"/>
      <c r="AF218" s="565"/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5"/>
      <c r="AR218" s="565"/>
      <c r="AS218" s="565"/>
      <c r="AT218" s="565"/>
      <c r="AU218" s="181"/>
      <c r="AV218" s="558"/>
    </row>
    <row r="219" ht="11.25" customHeight="1">
      <c r="A219" s="565"/>
      <c r="B219" s="181"/>
      <c r="C219" s="565"/>
      <c r="D219" s="565"/>
      <c r="E219" s="565"/>
      <c r="F219" s="565"/>
      <c r="G219" s="565"/>
      <c r="H219" s="565"/>
      <c r="I219" s="565"/>
      <c r="J219" s="565"/>
      <c r="K219" s="565"/>
      <c r="L219" s="565"/>
      <c r="M219" s="565"/>
      <c r="N219" s="565"/>
      <c r="O219" s="565"/>
      <c r="P219" s="565"/>
      <c r="Q219" s="565"/>
      <c r="R219" s="565"/>
      <c r="S219" s="565"/>
      <c r="T219" s="565"/>
      <c r="U219" s="565"/>
      <c r="V219" s="565"/>
      <c r="W219" s="565"/>
      <c r="X219" s="565"/>
      <c r="Y219" s="565"/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65"/>
      <c r="AJ219" s="565"/>
      <c r="AK219" s="565"/>
      <c r="AL219" s="565"/>
      <c r="AM219" s="565"/>
      <c r="AN219" s="565"/>
      <c r="AO219" s="565"/>
      <c r="AP219" s="565"/>
      <c r="AQ219" s="565"/>
      <c r="AR219" s="565"/>
      <c r="AS219" s="565"/>
      <c r="AT219" s="565"/>
      <c r="AU219" s="181"/>
      <c r="AV219" s="558"/>
    </row>
    <row r="220" ht="11.25" customHeight="1">
      <c r="A220" s="565"/>
      <c r="B220" s="181"/>
      <c r="C220" s="565"/>
      <c r="D220" s="565"/>
      <c r="E220" s="565"/>
      <c r="F220" s="565"/>
      <c r="G220" s="565"/>
      <c r="H220" s="565"/>
      <c r="I220" s="565"/>
      <c r="J220" s="565"/>
      <c r="K220" s="565"/>
      <c r="L220" s="565"/>
      <c r="M220" s="565"/>
      <c r="N220" s="565"/>
      <c r="O220" s="565"/>
      <c r="P220" s="565"/>
      <c r="Q220" s="565"/>
      <c r="R220" s="565"/>
      <c r="S220" s="565"/>
      <c r="T220" s="565"/>
      <c r="U220" s="565"/>
      <c r="V220" s="565"/>
      <c r="W220" s="565"/>
      <c r="X220" s="565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5"/>
      <c r="AS220" s="565"/>
      <c r="AT220" s="565"/>
      <c r="AU220" s="181"/>
      <c r="AV220" s="558"/>
    </row>
    <row r="221" ht="11.25" customHeight="1">
      <c r="A221" s="565"/>
      <c r="B221" s="181"/>
      <c r="C221" s="565"/>
      <c r="D221" s="565"/>
      <c r="E221" s="565"/>
      <c r="F221" s="565"/>
      <c r="G221" s="565"/>
      <c r="H221" s="565"/>
      <c r="I221" s="565"/>
      <c r="J221" s="565"/>
      <c r="K221" s="565"/>
      <c r="L221" s="565"/>
      <c r="M221" s="565"/>
      <c r="N221" s="565"/>
      <c r="O221" s="565"/>
      <c r="P221" s="565"/>
      <c r="Q221" s="565"/>
      <c r="R221" s="565"/>
      <c r="S221" s="565"/>
      <c r="T221" s="565"/>
      <c r="U221" s="565"/>
      <c r="V221" s="565"/>
      <c r="W221" s="565"/>
      <c r="X221" s="565"/>
      <c r="Y221" s="565"/>
      <c r="Z221" s="565"/>
      <c r="AA221" s="565"/>
      <c r="AB221" s="565"/>
      <c r="AC221" s="565"/>
      <c r="AD221" s="565"/>
      <c r="AE221" s="565"/>
      <c r="AF221" s="565"/>
      <c r="AG221" s="565"/>
      <c r="AH221" s="565"/>
      <c r="AI221" s="565"/>
      <c r="AJ221" s="565"/>
      <c r="AK221" s="565"/>
      <c r="AL221" s="565"/>
      <c r="AM221" s="565"/>
      <c r="AN221" s="565"/>
      <c r="AO221" s="565"/>
      <c r="AP221" s="565"/>
      <c r="AQ221" s="565"/>
      <c r="AR221" s="565"/>
      <c r="AS221" s="565"/>
      <c r="AT221" s="565"/>
      <c r="AU221" s="181"/>
      <c r="AV221" s="558"/>
    </row>
    <row r="222" ht="11.25" customHeight="1">
      <c r="A222" s="565"/>
      <c r="B222" s="181"/>
      <c r="C222" s="565"/>
      <c r="D222" s="565"/>
      <c r="E222" s="565"/>
      <c r="F222" s="565"/>
      <c r="G222" s="565"/>
      <c r="H222" s="565"/>
      <c r="I222" s="565"/>
      <c r="J222" s="565"/>
      <c r="K222" s="565"/>
      <c r="L222" s="565"/>
      <c r="M222" s="565"/>
      <c r="N222" s="565"/>
      <c r="O222" s="565"/>
      <c r="P222" s="565"/>
      <c r="Q222" s="565"/>
      <c r="R222" s="565"/>
      <c r="S222" s="565"/>
      <c r="T222" s="565"/>
      <c r="U222" s="565"/>
      <c r="V222" s="565"/>
      <c r="W222" s="565"/>
      <c r="X222" s="565"/>
      <c r="Y222" s="565"/>
      <c r="Z222" s="565"/>
      <c r="AA222" s="565"/>
      <c r="AB222" s="565"/>
      <c r="AC222" s="565"/>
      <c r="AD222" s="565"/>
      <c r="AE222" s="565"/>
      <c r="AF222" s="565"/>
      <c r="AG222" s="565"/>
      <c r="AH222" s="565"/>
      <c r="AI222" s="565"/>
      <c r="AJ222" s="565"/>
      <c r="AK222" s="565"/>
      <c r="AL222" s="565"/>
      <c r="AM222" s="565"/>
      <c r="AN222" s="565"/>
      <c r="AO222" s="565"/>
      <c r="AP222" s="565"/>
      <c r="AQ222" s="565"/>
      <c r="AR222" s="565"/>
      <c r="AS222" s="565"/>
      <c r="AT222" s="565"/>
      <c r="AU222" s="181"/>
      <c r="AV222" s="558"/>
    </row>
    <row r="223" ht="11.25" customHeight="1">
      <c r="A223" s="565"/>
      <c r="B223" s="181"/>
      <c r="C223" s="565"/>
      <c r="D223" s="565"/>
      <c r="E223" s="565"/>
      <c r="F223" s="565"/>
      <c r="G223" s="565"/>
      <c r="H223" s="565"/>
      <c r="I223" s="565"/>
      <c r="J223" s="565"/>
      <c r="K223" s="565"/>
      <c r="L223" s="565"/>
      <c r="M223" s="565"/>
      <c r="N223" s="565"/>
      <c r="O223" s="565"/>
      <c r="P223" s="565"/>
      <c r="Q223" s="565"/>
      <c r="R223" s="565"/>
      <c r="S223" s="565"/>
      <c r="T223" s="565"/>
      <c r="U223" s="565"/>
      <c r="V223" s="565"/>
      <c r="W223" s="565"/>
      <c r="X223" s="565"/>
      <c r="Y223" s="565"/>
      <c r="Z223" s="565"/>
      <c r="AA223" s="565"/>
      <c r="AB223" s="565"/>
      <c r="AC223" s="565"/>
      <c r="AD223" s="565"/>
      <c r="AE223" s="565"/>
      <c r="AF223" s="565"/>
      <c r="AG223" s="565"/>
      <c r="AH223" s="565"/>
      <c r="AI223" s="565"/>
      <c r="AJ223" s="565"/>
      <c r="AK223" s="565"/>
      <c r="AL223" s="565"/>
      <c r="AM223" s="565"/>
      <c r="AN223" s="565"/>
      <c r="AO223" s="565"/>
      <c r="AP223" s="565"/>
      <c r="AQ223" s="565"/>
      <c r="AR223" s="565"/>
      <c r="AS223" s="565"/>
      <c r="AT223" s="565"/>
      <c r="AU223" s="181"/>
      <c r="AV223" s="558"/>
    </row>
    <row r="224" ht="11.25" customHeight="1">
      <c r="A224" s="565"/>
      <c r="B224" s="181"/>
      <c r="C224" s="565"/>
      <c r="D224" s="565"/>
      <c r="E224" s="565"/>
      <c r="F224" s="565"/>
      <c r="G224" s="565"/>
      <c r="H224" s="565"/>
      <c r="I224" s="565"/>
      <c r="J224" s="565"/>
      <c r="K224" s="565"/>
      <c r="L224" s="565"/>
      <c r="M224" s="565"/>
      <c r="N224" s="565"/>
      <c r="O224" s="565"/>
      <c r="P224" s="565"/>
      <c r="Q224" s="565"/>
      <c r="R224" s="565"/>
      <c r="S224" s="565"/>
      <c r="T224" s="565"/>
      <c r="U224" s="565"/>
      <c r="V224" s="565"/>
      <c r="W224" s="565"/>
      <c r="X224" s="565"/>
      <c r="Y224" s="565"/>
      <c r="Z224" s="565"/>
      <c r="AA224" s="565"/>
      <c r="AB224" s="565"/>
      <c r="AC224" s="565"/>
      <c r="AD224" s="565"/>
      <c r="AE224" s="565"/>
      <c r="AF224" s="565"/>
      <c r="AG224" s="565"/>
      <c r="AH224" s="565"/>
      <c r="AI224" s="565"/>
      <c r="AJ224" s="565"/>
      <c r="AK224" s="565"/>
      <c r="AL224" s="565"/>
      <c r="AM224" s="565"/>
      <c r="AN224" s="565"/>
      <c r="AO224" s="565"/>
      <c r="AP224" s="565"/>
      <c r="AQ224" s="565"/>
      <c r="AR224" s="565"/>
      <c r="AS224" s="565"/>
      <c r="AT224" s="565"/>
      <c r="AU224" s="181"/>
      <c r="AV224" s="558"/>
    </row>
    <row r="225" ht="11.25" customHeight="1">
      <c r="A225" s="565"/>
      <c r="B225" s="181"/>
      <c r="C225" s="565"/>
      <c r="D225" s="565"/>
      <c r="E225" s="565"/>
      <c r="F225" s="565"/>
      <c r="G225" s="565"/>
      <c r="H225" s="565"/>
      <c r="I225" s="565"/>
      <c r="J225" s="565"/>
      <c r="K225" s="565"/>
      <c r="L225" s="565"/>
      <c r="M225" s="565"/>
      <c r="N225" s="565"/>
      <c r="O225" s="565"/>
      <c r="P225" s="565"/>
      <c r="Q225" s="565"/>
      <c r="R225" s="565"/>
      <c r="S225" s="565"/>
      <c r="T225" s="565"/>
      <c r="U225" s="565"/>
      <c r="V225" s="565"/>
      <c r="W225" s="565"/>
      <c r="X225" s="565"/>
      <c r="Y225" s="565"/>
      <c r="Z225" s="565"/>
      <c r="AA225" s="565"/>
      <c r="AB225" s="565"/>
      <c r="AC225" s="565"/>
      <c r="AD225" s="565"/>
      <c r="AE225" s="565"/>
      <c r="AF225" s="565"/>
      <c r="AG225" s="565"/>
      <c r="AH225" s="565"/>
      <c r="AI225" s="565"/>
      <c r="AJ225" s="565"/>
      <c r="AK225" s="565"/>
      <c r="AL225" s="565"/>
      <c r="AM225" s="565"/>
      <c r="AN225" s="565"/>
      <c r="AO225" s="565"/>
      <c r="AP225" s="565"/>
      <c r="AQ225" s="565"/>
      <c r="AR225" s="565"/>
      <c r="AS225" s="565"/>
      <c r="AT225" s="565"/>
      <c r="AU225" s="181"/>
      <c r="AV225" s="558"/>
    </row>
    <row r="226" ht="11.25" customHeight="1">
      <c r="A226" s="565"/>
      <c r="B226" s="181"/>
      <c r="C226" s="565"/>
      <c r="D226" s="565"/>
      <c r="E226" s="565"/>
      <c r="F226" s="565"/>
      <c r="G226" s="565"/>
      <c r="H226" s="565"/>
      <c r="I226" s="565"/>
      <c r="J226" s="565"/>
      <c r="K226" s="565"/>
      <c r="L226" s="565"/>
      <c r="M226" s="565"/>
      <c r="N226" s="565"/>
      <c r="O226" s="565"/>
      <c r="P226" s="565"/>
      <c r="Q226" s="565"/>
      <c r="R226" s="565"/>
      <c r="S226" s="565"/>
      <c r="T226" s="565"/>
      <c r="U226" s="565"/>
      <c r="V226" s="565"/>
      <c r="W226" s="565"/>
      <c r="X226" s="565"/>
      <c r="Y226" s="565"/>
      <c r="Z226" s="565"/>
      <c r="AA226" s="565"/>
      <c r="AB226" s="565"/>
      <c r="AC226" s="565"/>
      <c r="AD226" s="565"/>
      <c r="AE226" s="565"/>
      <c r="AF226" s="565"/>
      <c r="AG226" s="565"/>
      <c r="AH226" s="565"/>
      <c r="AI226" s="565"/>
      <c r="AJ226" s="565"/>
      <c r="AK226" s="565"/>
      <c r="AL226" s="565"/>
      <c r="AM226" s="565"/>
      <c r="AN226" s="565"/>
      <c r="AO226" s="565"/>
      <c r="AP226" s="565"/>
      <c r="AQ226" s="565"/>
      <c r="AR226" s="565"/>
      <c r="AS226" s="565"/>
      <c r="AT226" s="565"/>
      <c r="AU226" s="181"/>
      <c r="AV226" s="558"/>
    </row>
    <row r="227" ht="11.25" customHeight="1">
      <c r="A227" s="565"/>
      <c r="B227" s="181"/>
      <c r="C227" s="565"/>
      <c r="D227" s="565"/>
      <c r="E227" s="565"/>
      <c r="F227" s="565"/>
      <c r="G227" s="565"/>
      <c r="H227" s="565"/>
      <c r="I227" s="565"/>
      <c r="J227" s="565"/>
      <c r="K227" s="565"/>
      <c r="L227" s="565"/>
      <c r="M227" s="565"/>
      <c r="N227" s="565"/>
      <c r="O227" s="565"/>
      <c r="P227" s="565"/>
      <c r="Q227" s="565"/>
      <c r="R227" s="565"/>
      <c r="S227" s="565"/>
      <c r="T227" s="565"/>
      <c r="U227" s="565"/>
      <c r="V227" s="565"/>
      <c r="W227" s="565"/>
      <c r="X227" s="565"/>
      <c r="Y227" s="565"/>
      <c r="Z227" s="565"/>
      <c r="AA227" s="565"/>
      <c r="AB227" s="565"/>
      <c r="AC227" s="565"/>
      <c r="AD227" s="565"/>
      <c r="AE227" s="565"/>
      <c r="AF227" s="565"/>
      <c r="AG227" s="565"/>
      <c r="AH227" s="565"/>
      <c r="AI227" s="565"/>
      <c r="AJ227" s="565"/>
      <c r="AK227" s="565"/>
      <c r="AL227" s="565"/>
      <c r="AM227" s="565"/>
      <c r="AN227" s="565"/>
      <c r="AO227" s="565"/>
      <c r="AP227" s="565"/>
      <c r="AQ227" s="565"/>
      <c r="AR227" s="565"/>
      <c r="AS227" s="565"/>
      <c r="AT227" s="565"/>
      <c r="AU227" s="181"/>
      <c r="AV227" s="558"/>
    </row>
    <row r="228" ht="11.25" customHeight="1">
      <c r="A228" s="565"/>
      <c r="B228" s="181"/>
      <c r="C228" s="565"/>
      <c r="D228" s="565"/>
      <c r="E228" s="565"/>
      <c r="F228" s="565"/>
      <c r="G228" s="565"/>
      <c r="H228" s="565"/>
      <c r="I228" s="565"/>
      <c r="J228" s="565"/>
      <c r="K228" s="565"/>
      <c r="L228" s="565"/>
      <c r="M228" s="565"/>
      <c r="N228" s="565"/>
      <c r="O228" s="565"/>
      <c r="P228" s="565"/>
      <c r="Q228" s="565"/>
      <c r="R228" s="565"/>
      <c r="S228" s="565"/>
      <c r="T228" s="565"/>
      <c r="U228" s="565"/>
      <c r="V228" s="565"/>
      <c r="W228" s="565"/>
      <c r="X228" s="565"/>
      <c r="Y228" s="565"/>
      <c r="Z228" s="565"/>
      <c r="AA228" s="565"/>
      <c r="AB228" s="565"/>
      <c r="AC228" s="565"/>
      <c r="AD228" s="565"/>
      <c r="AE228" s="565"/>
      <c r="AF228" s="565"/>
      <c r="AG228" s="565"/>
      <c r="AH228" s="565"/>
      <c r="AI228" s="565"/>
      <c r="AJ228" s="565"/>
      <c r="AK228" s="565"/>
      <c r="AL228" s="565"/>
      <c r="AM228" s="565"/>
      <c r="AN228" s="565"/>
      <c r="AO228" s="565"/>
      <c r="AP228" s="565"/>
      <c r="AQ228" s="565"/>
      <c r="AR228" s="565"/>
      <c r="AS228" s="565"/>
      <c r="AT228" s="565"/>
      <c r="AU228" s="181"/>
      <c r="AV228" s="558"/>
    </row>
    <row r="229" ht="11.25" customHeight="1">
      <c r="A229" s="565"/>
      <c r="B229" s="181"/>
      <c r="C229" s="565"/>
      <c r="D229" s="565"/>
      <c r="E229" s="565"/>
      <c r="F229" s="565"/>
      <c r="G229" s="565"/>
      <c r="H229" s="565"/>
      <c r="I229" s="565"/>
      <c r="J229" s="565"/>
      <c r="K229" s="565"/>
      <c r="L229" s="565"/>
      <c r="M229" s="565"/>
      <c r="N229" s="565"/>
      <c r="O229" s="565"/>
      <c r="P229" s="565"/>
      <c r="Q229" s="565"/>
      <c r="R229" s="565"/>
      <c r="S229" s="565"/>
      <c r="T229" s="565"/>
      <c r="U229" s="565"/>
      <c r="V229" s="565"/>
      <c r="W229" s="565"/>
      <c r="X229" s="565"/>
      <c r="Y229" s="565"/>
      <c r="Z229" s="565"/>
      <c r="AA229" s="565"/>
      <c r="AB229" s="565"/>
      <c r="AC229" s="565"/>
      <c r="AD229" s="565"/>
      <c r="AE229" s="565"/>
      <c r="AF229" s="565"/>
      <c r="AG229" s="565"/>
      <c r="AH229" s="565"/>
      <c r="AI229" s="565"/>
      <c r="AJ229" s="565"/>
      <c r="AK229" s="565"/>
      <c r="AL229" s="565"/>
      <c r="AM229" s="565"/>
      <c r="AN229" s="565"/>
      <c r="AO229" s="565"/>
      <c r="AP229" s="565"/>
      <c r="AQ229" s="565"/>
      <c r="AR229" s="565"/>
      <c r="AS229" s="565"/>
      <c r="AT229" s="565"/>
      <c r="AU229" s="181"/>
      <c r="AV229" s="558"/>
    </row>
    <row r="230" ht="11.25" customHeight="1">
      <c r="A230" s="565"/>
      <c r="B230" s="181"/>
      <c r="C230" s="565"/>
      <c r="D230" s="565"/>
      <c r="E230" s="565"/>
      <c r="F230" s="565"/>
      <c r="G230" s="565"/>
      <c r="H230" s="565"/>
      <c r="I230" s="565"/>
      <c r="J230" s="565"/>
      <c r="K230" s="565"/>
      <c r="L230" s="565"/>
      <c r="M230" s="565"/>
      <c r="N230" s="565"/>
      <c r="O230" s="565"/>
      <c r="P230" s="565"/>
      <c r="Q230" s="565"/>
      <c r="R230" s="565"/>
      <c r="S230" s="565"/>
      <c r="T230" s="565"/>
      <c r="U230" s="565"/>
      <c r="V230" s="565"/>
      <c r="W230" s="565"/>
      <c r="X230" s="565"/>
      <c r="Y230" s="565"/>
      <c r="Z230" s="565"/>
      <c r="AA230" s="565"/>
      <c r="AB230" s="565"/>
      <c r="AC230" s="565"/>
      <c r="AD230" s="565"/>
      <c r="AE230" s="565"/>
      <c r="AF230" s="565"/>
      <c r="AG230" s="565"/>
      <c r="AH230" s="565"/>
      <c r="AI230" s="565"/>
      <c r="AJ230" s="565"/>
      <c r="AK230" s="565"/>
      <c r="AL230" s="565"/>
      <c r="AM230" s="565"/>
      <c r="AN230" s="565"/>
      <c r="AO230" s="565"/>
      <c r="AP230" s="565"/>
      <c r="AQ230" s="565"/>
      <c r="AR230" s="565"/>
      <c r="AS230" s="565"/>
      <c r="AT230" s="565"/>
      <c r="AU230" s="181"/>
      <c r="AV230" s="558"/>
    </row>
    <row r="231" ht="11.25" customHeight="1">
      <c r="A231" s="565"/>
      <c r="B231" s="181"/>
      <c r="C231" s="565"/>
      <c r="D231" s="565"/>
      <c r="E231" s="565"/>
      <c r="F231" s="565"/>
      <c r="G231" s="565"/>
      <c r="H231" s="565"/>
      <c r="I231" s="565"/>
      <c r="J231" s="565"/>
      <c r="K231" s="565"/>
      <c r="L231" s="565"/>
      <c r="M231" s="565"/>
      <c r="N231" s="565"/>
      <c r="O231" s="565"/>
      <c r="P231" s="565"/>
      <c r="Q231" s="565"/>
      <c r="R231" s="565"/>
      <c r="S231" s="565"/>
      <c r="T231" s="565"/>
      <c r="U231" s="565"/>
      <c r="V231" s="565"/>
      <c r="W231" s="565"/>
      <c r="X231" s="565"/>
      <c r="Y231" s="565"/>
      <c r="Z231" s="565"/>
      <c r="AA231" s="565"/>
      <c r="AB231" s="565"/>
      <c r="AC231" s="565"/>
      <c r="AD231" s="565"/>
      <c r="AE231" s="565"/>
      <c r="AF231" s="565"/>
      <c r="AG231" s="565"/>
      <c r="AH231" s="565"/>
      <c r="AI231" s="565"/>
      <c r="AJ231" s="565"/>
      <c r="AK231" s="565"/>
      <c r="AL231" s="565"/>
      <c r="AM231" s="565"/>
      <c r="AN231" s="565"/>
      <c r="AO231" s="565"/>
      <c r="AP231" s="565"/>
      <c r="AQ231" s="565"/>
      <c r="AR231" s="565"/>
      <c r="AS231" s="565"/>
      <c r="AT231" s="565"/>
      <c r="AU231" s="181"/>
      <c r="AV231" s="558"/>
    </row>
    <row r="232" ht="11.25" customHeight="1">
      <c r="A232" s="565"/>
      <c r="B232" s="181"/>
      <c r="C232" s="565"/>
      <c r="D232" s="565"/>
      <c r="E232" s="565"/>
      <c r="F232" s="565"/>
      <c r="G232" s="565"/>
      <c r="H232" s="565"/>
      <c r="I232" s="565"/>
      <c r="J232" s="565"/>
      <c r="K232" s="565"/>
      <c r="L232" s="565"/>
      <c r="M232" s="565"/>
      <c r="N232" s="565"/>
      <c r="O232" s="565"/>
      <c r="P232" s="565"/>
      <c r="Q232" s="565"/>
      <c r="R232" s="565"/>
      <c r="S232" s="565"/>
      <c r="T232" s="565"/>
      <c r="U232" s="565"/>
      <c r="V232" s="565"/>
      <c r="W232" s="565"/>
      <c r="X232" s="565"/>
      <c r="Y232" s="565"/>
      <c r="Z232" s="565"/>
      <c r="AA232" s="565"/>
      <c r="AB232" s="565"/>
      <c r="AC232" s="565"/>
      <c r="AD232" s="565"/>
      <c r="AE232" s="565"/>
      <c r="AF232" s="565"/>
      <c r="AG232" s="565"/>
      <c r="AH232" s="565"/>
      <c r="AI232" s="565"/>
      <c r="AJ232" s="565"/>
      <c r="AK232" s="565"/>
      <c r="AL232" s="565"/>
      <c r="AM232" s="565"/>
      <c r="AN232" s="565"/>
      <c r="AO232" s="565"/>
      <c r="AP232" s="565"/>
      <c r="AQ232" s="565"/>
      <c r="AR232" s="565"/>
      <c r="AS232" s="565"/>
      <c r="AT232" s="565"/>
      <c r="AU232" s="181"/>
      <c r="AV232" s="558"/>
    </row>
    <row r="233" ht="11.25" customHeight="1">
      <c r="A233" s="565"/>
      <c r="B233" s="181"/>
      <c r="C233" s="565"/>
      <c r="D233" s="565"/>
      <c r="E233" s="565"/>
      <c r="F233" s="565"/>
      <c r="G233" s="565"/>
      <c r="H233" s="565"/>
      <c r="I233" s="565"/>
      <c r="J233" s="565"/>
      <c r="K233" s="565"/>
      <c r="L233" s="565"/>
      <c r="M233" s="565"/>
      <c r="N233" s="565"/>
      <c r="O233" s="565"/>
      <c r="P233" s="565"/>
      <c r="Q233" s="565"/>
      <c r="R233" s="565"/>
      <c r="S233" s="565"/>
      <c r="T233" s="565"/>
      <c r="U233" s="565"/>
      <c r="V233" s="565"/>
      <c r="W233" s="565"/>
      <c r="X233" s="565"/>
      <c r="Y233" s="565"/>
      <c r="Z233" s="565"/>
      <c r="AA233" s="565"/>
      <c r="AB233" s="565"/>
      <c r="AC233" s="565"/>
      <c r="AD233" s="565"/>
      <c r="AE233" s="565"/>
      <c r="AF233" s="565"/>
      <c r="AG233" s="565"/>
      <c r="AH233" s="565"/>
      <c r="AI233" s="565"/>
      <c r="AJ233" s="565"/>
      <c r="AK233" s="565"/>
      <c r="AL233" s="565"/>
      <c r="AM233" s="565"/>
      <c r="AN233" s="565"/>
      <c r="AO233" s="565"/>
      <c r="AP233" s="565"/>
      <c r="AQ233" s="565"/>
      <c r="AR233" s="565"/>
      <c r="AS233" s="565"/>
      <c r="AT233" s="565"/>
      <c r="AU233" s="181"/>
      <c r="AV233" s="558"/>
    </row>
    <row r="234" ht="11.25" customHeight="1">
      <c r="A234" s="565"/>
      <c r="B234" s="181"/>
      <c r="C234" s="565"/>
      <c r="D234" s="565"/>
      <c r="E234" s="565"/>
      <c r="F234" s="565"/>
      <c r="G234" s="565"/>
      <c r="H234" s="565"/>
      <c r="I234" s="565"/>
      <c r="J234" s="565"/>
      <c r="K234" s="565"/>
      <c r="L234" s="565"/>
      <c r="M234" s="565"/>
      <c r="N234" s="565"/>
      <c r="O234" s="565"/>
      <c r="P234" s="565"/>
      <c r="Q234" s="565"/>
      <c r="R234" s="565"/>
      <c r="S234" s="565"/>
      <c r="T234" s="565"/>
      <c r="U234" s="565"/>
      <c r="V234" s="565"/>
      <c r="W234" s="565"/>
      <c r="X234" s="565"/>
      <c r="Y234" s="565"/>
      <c r="Z234" s="565"/>
      <c r="AA234" s="565"/>
      <c r="AB234" s="565"/>
      <c r="AC234" s="565"/>
      <c r="AD234" s="565"/>
      <c r="AE234" s="565"/>
      <c r="AF234" s="565"/>
      <c r="AG234" s="565"/>
      <c r="AH234" s="565"/>
      <c r="AI234" s="565"/>
      <c r="AJ234" s="565"/>
      <c r="AK234" s="565"/>
      <c r="AL234" s="565"/>
      <c r="AM234" s="565"/>
      <c r="AN234" s="565"/>
      <c r="AO234" s="565"/>
      <c r="AP234" s="565"/>
      <c r="AQ234" s="565"/>
      <c r="AR234" s="565"/>
      <c r="AS234" s="565"/>
      <c r="AT234" s="565"/>
      <c r="AU234" s="181"/>
      <c r="AV234" s="558"/>
    </row>
    <row r="235" ht="11.25" customHeight="1">
      <c r="A235" s="565"/>
      <c r="B235" s="181"/>
      <c r="C235" s="565"/>
      <c r="D235" s="565"/>
      <c r="E235" s="565"/>
      <c r="F235" s="565"/>
      <c r="G235" s="565"/>
      <c r="H235" s="565"/>
      <c r="I235" s="565"/>
      <c r="J235" s="565"/>
      <c r="K235" s="565"/>
      <c r="L235" s="565"/>
      <c r="M235" s="565"/>
      <c r="N235" s="565"/>
      <c r="O235" s="565"/>
      <c r="P235" s="565"/>
      <c r="Q235" s="565"/>
      <c r="R235" s="565"/>
      <c r="S235" s="565"/>
      <c r="T235" s="565"/>
      <c r="U235" s="565"/>
      <c r="V235" s="565"/>
      <c r="W235" s="565"/>
      <c r="X235" s="565"/>
      <c r="Y235" s="565"/>
      <c r="Z235" s="565"/>
      <c r="AA235" s="565"/>
      <c r="AB235" s="565"/>
      <c r="AC235" s="565"/>
      <c r="AD235" s="565"/>
      <c r="AE235" s="565"/>
      <c r="AF235" s="565"/>
      <c r="AG235" s="565"/>
      <c r="AH235" s="565"/>
      <c r="AI235" s="565"/>
      <c r="AJ235" s="565"/>
      <c r="AK235" s="565"/>
      <c r="AL235" s="565"/>
      <c r="AM235" s="565"/>
      <c r="AN235" s="565"/>
      <c r="AO235" s="565"/>
      <c r="AP235" s="565"/>
      <c r="AQ235" s="565"/>
      <c r="AR235" s="565"/>
      <c r="AS235" s="565"/>
      <c r="AT235" s="565"/>
      <c r="AU235" s="181"/>
      <c r="AV235" s="558"/>
    </row>
    <row r="236" ht="11.25" customHeight="1">
      <c r="A236" s="565"/>
      <c r="B236" s="181"/>
      <c r="C236" s="565"/>
      <c r="D236" s="565"/>
      <c r="E236" s="565"/>
      <c r="F236" s="565"/>
      <c r="G236" s="565"/>
      <c r="H236" s="565"/>
      <c r="I236" s="565"/>
      <c r="J236" s="565"/>
      <c r="K236" s="565"/>
      <c r="L236" s="565"/>
      <c r="M236" s="565"/>
      <c r="N236" s="565"/>
      <c r="O236" s="565"/>
      <c r="P236" s="565"/>
      <c r="Q236" s="565"/>
      <c r="R236" s="565"/>
      <c r="S236" s="565"/>
      <c r="T236" s="565"/>
      <c r="U236" s="565"/>
      <c r="V236" s="565"/>
      <c r="W236" s="565"/>
      <c r="X236" s="565"/>
      <c r="Y236" s="565"/>
      <c r="Z236" s="565"/>
      <c r="AA236" s="565"/>
      <c r="AB236" s="565"/>
      <c r="AC236" s="565"/>
      <c r="AD236" s="565"/>
      <c r="AE236" s="565"/>
      <c r="AF236" s="565"/>
      <c r="AG236" s="565"/>
      <c r="AH236" s="565"/>
      <c r="AI236" s="565"/>
      <c r="AJ236" s="565"/>
      <c r="AK236" s="565"/>
      <c r="AL236" s="565"/>
      <c r="AM236" s="565"/>
      <c r="AN236" s="565"/>
      <c r="AO236" s="565"/>
      <c r="AP236" s="565"/>
      <c r="AQ236" s="565"/>
      <c r="AR236" s="565"/>
      <c r="AS236" s="565"/>
      <c r="AT236" s="565"/>
      <c r="AU236" s="181"/>
      <c r="AV236" s="558"/>
    </row>
    <row r="237" ht="11.25" customHeight="1">
      <c r="A237" s="565"/>
      <c r="B237" s="181"/>
      <c r="C237" s="565"/>
      <c r="D237" s="565"/>
      <c r="E237" s="565"/>
      <c r="F237" s="565"/>
      <c r="G237" s="565"/>
      <c r="H237" s="565"/>
      <c r="I237" s="565"/>
      <c r="J237" s="565"/>
      <c r="K237" s="565"/>
      <c r="L237" s="565"/>
      <c r="M237" s="565"/>
      <c r="N237" s="565"/>
      <c r="O237" s="565"/>
      <c r="P237" s="565"/>
      <c r="Q237" s="565"/>
      <c r="R237" s="565"/>
      <c r="S237" s="565"/>
      <c r="T237" s="565"/>
      <c r="U237" s="565"/>
      <c r="V237" s="565"/>
      <c r="W237" s="565"/>
      <c r="X237" s="565"/>
      <c r="Y237" s="565"/>
      <c r="Z237" s="565"/>
      <c r="AA237" s="565"/>
      <c r="AB237" s="565"/>
      <c r="AC237" s="565"/>
      <c r="AD237" s="565"/>
      <c r="AE237" s="565"/>
      <c r="AF237" s="565"/>
      <c r="AG237" s="565"/>
      <c r="AH237" s="565"/>
      <c r="AI237" s="565"/>
      <c r="AJ237" s="565"/>
      <c r="AK237" s="565"/>
      <c r="AL237" s="565"/>
      <c r="AM237" s="565"/>
      <c r="AN237" s="565"/>
      <c r="AO237" s="565"/>
      <c r="AP237" s="565"/>
      <c r="AQ237" s="565"/>
      <c r="AR237" s="565"/>
      <c r="AS237" s="565"/>
      <c r="AT237" s="565"/>
      <c r="AU237" s="181"/>
      <c r="AV237" s="558"/>
    </row>
    <row r="238" ht="11.25" customHeight="1">
      <c r="A238" s="565"/>
      <c r="B238" s="181"/>
      <c r="C238" s="565"/>
      <c r="D238" s="565"/>
      <c r="E238" s="565"/>
      <c r="F238" s="565"/>
      <c r="G238" s="565"/>
      <c r="H238" s="565"/>
      <c r="I238" s="565"/>
      <c r="J238" s="565"/>
      <c r="K238" s="565"/>
      <c r="L238" s="565"/>
      <c r="M238" s="565"/>
      <c r="N238" s="565"/>
      <c r="O238" s="565"/>
      <c r="P238" s="565"/>
      <c r="Q238" s="565"/>
      <c r="R238" s="565"/>
      <c r="S238" s="565"/>
      <c r="T238" s="565"/>
      <c r="U238" s="565"/>
      <c r="V238" s="565"/>
      <c r="W238" s="565"/>
      <c r="X238" s="565"/>
      <c r="Y238" s="565"/>
      <c r="Z238" s="565"/>
      <c r="AA238" s="565"/>
      <c r="AB238" s="565"/>
      <c r="AC238" s="565"/>
      <c r="AD238" s="565"/>
      <c r="AE238" s="565"/>
      <c r="AF238" s="565"/>
      <c r="AG238" s="565"/>
      <c r="AH238" s="565"/>
      <c r="AI238" s="565"/>
      <c r="AJ238" s="565"/>
      <c r="AK238" s="565"/>
      <c r="AL238" s="565"/>
      <c r="AM238" s="565"/>
      <c r="AN238" s="565"/>
      <c r="AO238" s="565"/>
      <c r="AP238" s="565"/>
      <c r="AQ238" s="565"/>
      <c r="AR238" s="565"/>
      <c r="AS238" s="565"/>
      <c r="AT238" s="565"/>
      <c r="AU238" s="181"/>
      <c r="AV238" s="558"/>
    </row>
    <row r="239" ht="11.25" customHeight="1">
      <c r="A239" s="565"/>
      <c r="B239" s="181"/>
      <c r="C239" s="565"/>
      <c r="D239" s="565"/>
      <c r="E239" s="565"/>
      <c r="F239" s="565"/>
      <c r="G239" s="565"/>
      <c r="H239" s="565"/>
      <c r="I239" s="565"/>
      <c r="J239" s="565"/>
      <c r="K239" s="565"/>
      <c r="L239" s="565"/>
      <c r="M239" s="565"/>
      <c r="N239" s="565"/>
      <c r="O239" s="565"/>
      <c r="P239" s="565"/>
      <c r="Q239" s="565"/>
      <c r="R239" s="565"/>
      <c r="S239" s="565"/>
      <c r="T239" s="565"/>
      <c r="U239" s="565"/>
      <c r="V239" s="565"/>
      <c r="W239" s="565"/>
      <c r="X239" s="565"/>
      <c r="Y239" s="565"/>
      <c r="Z239" s="565"/>
      <c r="AA239" s="565"/>
      <c r="AB239" s="565"/>
      <c r="AC239" s="565"/>
      <c r="AD239" s="565"/>
      <c r="AE239" s="565"/>
      <c r="AF239" s="565"/>
      <c r="AG239" s="565"/>
      <c r="AH239" s="565"/>
      <c r="AI239" s="565"/>
      <c r="AJ239" s="565"/>
      <c r="AK239" s="565"/>
      <c r="AL239" s="565"/>
      <c r="AM239" s="565"/>
      <c r="AN239" s="565"/>
      <c r="AO239" s="565"/>
      <c r="AP239" s="565"/>
      <c r="AQ239" s="565"/>
      <c r="AR239" s="565"/>
      <c r="AS239" s="565"/>
      <c r="AT239" s="565"/>
      <c r="AU239" s="181"/>
      <c r="AV239" s="558"/>
    </row>
    <row r="240" ht="11.25" customHeight="1">
      <c r="A240" s="565"/>
      <c r="B240" s="181"/>
      <c r="C240" s="565"/>
      <c r="D240" s="565"/>
      <c r="E240" s="565"/>
      <c r="F240" s="565"/>
      <c r="G240" s="565"/>
      <c r="H240" s="565"/>
      <c r="I240" s="565"/>
      <c r="J240" s="565"/>
      <c r="K240" s="565"/>
      <c r="L240" s="565"/>
      <c r="M240" s="565"/>
      <c r="N240" s="565"/>
      <c r="O240" s="565"/>
      <c r="P240" s="565"/>
      <c r="Q240" s="565"/>
      <c r="R240" s="565"/>
      <c r="S240" s="565"/>
      <c r="T240" s="565"/>
      <c r="U240" s="565"/>
      <c r="V240" s="565"/>
      <c r="W240" s="565"/>
      <c r="X240" s="565"/>
      <c r="Y240" s="565"/>
      <c r="Z240" s="565"/>
      <c r="AA240" s="565"/>
      <c r="AB240" s="565"/>
      <c r="AC240" s="565"/>
      <c r="AD240" s="565"/>
      <c r="AE240" s="565"/>
      <c r="AF240" s="565"/>
      <c r="AG240" s="565"/>
      <c r="AH240" s="565"/>
      <c r="AI240" s="565"/>
      <c r="AJ240" s="565"/>
      <c r="AK240" s="565"/>
      <c r="AL240" s="565"/>
      <c r="AM240" s="565"/>
      <c r="AN240" s="565"/>
      <c r="AO240" s="565"/>
      <c r="AP240" s="565"/>
      <c r="AQ240" s="565"/>
      <c r="AR240" s="565"/>
      <c r="AS240" s="565"/>
      <c r="AT240" s="565"/>
      <c r="AU240" s="181"/>
      <c r="AV240" s="558"/>
    </row>
    <row r="241" ht="11.25" customHeight="1">
      <c r="A241" s="565"/>
      <c r="B241" s="181"/>
      <c r="C241" s="565"/>
      <c r="D241" s="565"/>
      <c r="E241" s="565"/>
      <c r="F241" s="565"/>
      <c r="G241" s="565"/>
      <c r="H241" s="565"/>
      <c r="I241" s="565"/>
      <c r="J241" s="565"/>
      <c r="K241" s="565"/>
      <c r="L241" s="565"/>
      <c r="M241" s="565"/>
      <c r="N241" s="565"/>
      <c r="O241" s="565"/>
      <c r="P241" s="565"/>
      <c r="Q241" s="565"/>
      <c r="R241" s="565"/>
      <c r="S241" s="565"/>
      <c r="T241" s="565"/>
      <c r="U241" s="565"/>
      <c r="V241" s="565"/>
      <c r="W241" s="565"/>
      <c r="X241" s="565"/>
      <c r="Y241" s="565"/>
      <c r="Z241" s="565"/>
      <c r="AA241" s="565"/>
      <c r="AB241" s="565"/>
      <c r="AC241" s="565"/>
      <c r="AD241" s="565"/>
      <c r="AE241" s="565"/>
      <c r="AF241" s="565"/>
      <c r="AG241" s="565"/>
      <c r="AH241" s="565"/>
      <c r="AI241" s="565"/>
      <c r="AJ241" s="565"/>
      <c r="AK241" s="565"/>
      <c r="AL241" s="565"/>
      <c r="AM241" s="565"/>
      <c r="AN241" s="565"/>
      <c r="AO241" s="565"/>
      <c r="AP241" s="565"/>
      <c r="AQ241" s="565"/>
      <c r="AR241" s="565"/>
      <c r="AS241" s="565"/>
      <c r="AT241" s="565"/>
      <c r="AU241" s="181"/>
      <c r="AV241" s="558"/>
    </row>
    <row r="242" ht="11.25" customHeight="1">
      <c r="A242" s="565"/>
      <c r="B242" s="181"/>
      <c r="C242" s="565"/>
      <c r="D242" s="565"/>
      <c r="E242" s="565"/>
      <c r="F242" s="565"/>
      <c r="G242" s="565"/>
      <c r="H242" s="565"/>
      <c r="I242" s="565"/>
      <c r="J242" s="565"/>
      <c r="K242" s="565"/>
      <c r="L242" s="565"/>
      <c r="M242" s="565"/>
      <c r="N242" s="565"/>
      <c r="O242" s="565"/>
      <c r="P242" s="565"/>
      <c r="Q242" s="565"/>
      <c r="R242" s="565"/>
      <c r="S242" s="565"/>
      <c r="T242" s="565"/>
      <c r="U242" s="565"/>
      <c r="V242" s="565"/>
      <c r="W242" s="565"/>
      <c r="X242" s="565"/>
      <c r="Y242" s="565"/>
      <c r="Z242" s="565"/>
      <c r="AA242" s="565"/>
      <c r="AB242" s="565"/>
      <c r="AC242" s="565"/>
      <c r="AD242" s="565"/>
      <c r="AE242" s="565"/>
      <c r="AF242" s="565"/>
      <c r="AG242" s="565"/>
      <c r="AH242" s="565"/>
      <c r="AI242" s="565"/>
      <c r="AJ242" s="565"/>
      <c r="AK242" s="565"/>
      <c r="AL242" s="565"/>
      <c r="AM242" s="565"/>
      <c r="AN242" s="565"/>
      <c r="AO242" s="565"/>
      <c r="AP242" s="565"/>
      <c r="AQ242" s="565"/>
      <c r="AR242" s="565"/>
      <c r="AS242" s="565"/>
      <c r="AT242" s="565"/>
      <c r="AU242" s="181"/>
      <c r="AV242" s="558"/>
    </row>
    <row r="243" ht="11.25" customHeight="1">
      <c r="A243" s="565"/>
      <c r="B243" s="181"/>
      <c r="C243" s="565"/>
      <c r="D243" s="565"/>
      <c r="E243" s="565"/>
      <c r="F243" s="565"/>
      <c r="G243" s="565"/>
      <c r="H243" s="565"/>
      <c r="I243" s="565"/>
      <c r="J243" s="565"/>
      <c r="K243" s="565"/>
      <c r="L243" s="565"/>
      <c r="M243" s="565"/>
      <c r="N243" s="565"/>
      <c r="O243" s="565"/>
      <c r="P243" s="565"/>
      <c r="Q243" s="565"/>
      <c r="R243" s="565"/>
      <c r="S243" s="565"/>
      <c r="T243" s="565"/>
      <c r="U243" s="565"/>
      <c r="V243" s="565"/>
      <c r="W243" s="565"/>
      <c r="X243" s="565"/>
      <c r="Y243" s="565"/>
      <c r="Z243" s="565"/>
      <c r="AA243" s="565"/>
      <c r="AB243" s="565"/>
      <c r="AC243" s="565"/>
      <c r="AD243" s="565"/>
      <c r="AE243" s="565"/>
      <c r="AF243" s="565"/>
      <c r="AG243" s="565"/>
      <c r="AH243" s="565"/>
      <c r="AI243" s="565"/>
      <c r="AJ243" s="565"/>
      <c r="AK243" s="565"/>
      <c r="AL243" s="565"/>
      <c r="AM243" s="565"/>
      <c r="AN243" s="565"/>
      <c r="AO243" s="565"/>
      <c r="AP243" s="565"/>
      <c r="AQ243" s="565"/>
      <c r="AR243" s="565"/>
      <c r="AS243" s="565"/>
      <c r="AT243" s="565"/>
      <c r="AU243" s="181"/>
      <c r="AV243" s="558"/>
    </row>
    <row r="244" ht="11.25" customHeight="1">
      <c r="A244" s="565"/>
      <c r="B244" s="181"/>
      <c r="C244" s="565"/>
      <c r="D244" s="565"/>
      <c r="E244" s="565"/>
      <c r="F244" s="565"/>
      <c r="G244" s="565"/>
      <c r="H244" s="565"/>
      <c r="I244" s="565"/>
      <c r="J244" s="565"/>
      <c r="K244" s="565"/>
      <c r="L244" s="565"/>
      <c r="M244" s="565"/>
      <c r="N244" s="565"/>
      <c r="O244" s="565"/>
      <c r="P244" s="565"/>
      <c r="Q244" s="565"/>
      <c r="R244" s="565"/>
      <c r="S244" s="565"/>
      <c r="T244" s="565"/>
      <c r="U244" s="565"/>
      <c r="V244" s="565"/>
      <c r="W244" s="565"/>
      <c r="X244" s="565"/>
      <c r="Y244" s="565"/>
      <c r="Z244" s="565"/>
      <c r="AA244" s="565"/>
      <c r="AB244" s="565"/>
      <c r="AC244" s="565"/>
      <c r="AD244" s="565"/>
      <c r="AE244" s="565"/>
      <c r="AF244" s="565"/>
      <c r="AG244" s="565"/>
      <c r="AH244" s="565"/>
      <c r="AI244" s="565"/>
      <c r="AJ244" s="565"/>
      <c r="AK244" s="565"/>
      <c r="AL244" s="565"/>
      <c r="AM244" s="565"/>
      <c r="AN244" s="565"/>
      <c r="AO244" s="565"/>
      <c r="AP244" s="565"/>
      <c r="AQ244" s="565"/>
      <c r="AR244" s="565"/>
      <c r="AS244" s="565"/>
      <c r="AT244" s="565"/>
      <c r="AU244" s="181"/>
      <c r="AV244" s="558"/>
    </row>
    <row r="245" ht="11.25" customHeight="1">
      <c r="A245" s="565"/>
      <c r="B245" s="181"/>
      <c r="C245" s="565"/>
      <c r="D245" s="565"/>
      <c r="E245" s="565"/>
      <c r="F245" s="565"/>
      <c r="G245" s="565"/>
      <c r="H245" s="565"/>
      <c r="I245" s="565"/>
      <c r="J245" s="565"/>
      <c r="K245" s="565"/>
      <c r="L245" s="565"/>
      <c r="M245" s="565"/>
      <c r="N245" s="565"/>
      <c r="O245" s="565"/>
      <c r="P245" s="565"/>
      <c r="Q245" s="565"/>
      <c r="R245" s="565"/>
      <c r="S245" s="565"/>
      <c r="T245" s="565"/>
      <c r="U245" s="565"/>
      <c r="V245" s="565"/>
      <c r="W245" s="565"/>
      <c r="X245" s="565"/>
      <c r="Y245" s="565"/>
      <c r="Z245" s="565"/>
      <c r="AA245" s="565"/>
      <c r="AB245" s="565"/>
      <c r="AC245" s="565"/>
      <c r="AD245" s="565"/>
      <c r="AE245" s="565"/>
      <c r="AF245" s="565"/>
      <c r="AG245" s="565"/>
      <c r="AH245" s="565"/>
      <c r="AI245" s="565"/>
      <c r="AJ245" s="565"/>
      <c r="AK245" s="565"/>
      <c r="AL245" s="565"/>
      <c r="AM245" s="565"/>
      <c r="AN245" s="565"/>
      <c r="AO245" s="565"/>
      <c r="AP245" s="565"/>
      <c r="AQ245" s="565"/>
      <c r="AR245" s="565"/>
      <c r="AS245" s="565"/>
      <c r="AT245" s="565"/>
      <c r="AU245" s="181"/>
      <c r="AV245" s="558"/>
    </row>
    <row r="246" ht="11.25" customHeight="1">
      <c r="A246" s="565"/>
      <c r="B246" s="181"/>
      <c r="C246" s="565"/>
      <c r="D246" s="565"/>
      <c r="E246" s="565"/>
      <c r="F246" s="565"/>
      <c r="G246" s="565"/>
      <c r="H246" s="565"/>
      <c r="I246" s="565"/>
      <c r="J246" s="565"/>
      <c r="K246" s="565"/>
      <c r="L246" s="565"/>
      <c r="M246" s="565"/>
      <c r="N246" s="565"/>
      <c r="O246" s="565"/>
      <c r="P246" s="565"/>
      <c r="Q246" s="565"/>
      <c r="R246" s="565"/>
      <c r="S246" s="565"/>
      <c r="T246" s="565"/>
      <c r="U246" s="565"/>
      <c r="V246" s="565"/>
      <c r="W246" s="565"/>
      <c r="X246" s="565"/>
      <c r="Y246" s="565"/>
      <c r="Z246" s="565"/>
      <c r="AA246" s="565"/>
      <c r="AB246" s="565"/>
      <c r="AC246" s="565"/>
      <c r="AD246" s="565"/>
      <c r="AE246" s="565"/>
      <c r="AF246" s="565"/>
      <c r="AG246" s="565"/>
      <c r="AH246" s="565"/>
      <c r="AI246" s="565"/>
      <c r="AJ246" s="565"/>
      <c r="AK246" s="565"/>
      <c r="AL246" s="565"/>
      <c r="AM246" s="565"/>
      <c r="AN246" s="565"/>
      <c r="AO246" s="565"/>
      <c r="AP246" s="565"/>
      <c r="AQ246" s="565"/>
      <c r="AR246" s="565"/>
      <c r="AS246" s="565"/>
      <c r="AT246" s="565"/>
      <c r="AU246" s="181"/>
      <c r="AV246" s="558"/>
    </row>
    <row r="247" ht="11.25" customHeight="1">
      <c r="A247" s="565"/>
      <c r="B247" s="181"/>
      <c r="C247" s="565"/>
      <c r="D247" s="565"/>
      <c r="E247" s="565"/>
      <c r="F247" s="565"/>
      <c r="G247" s="565"/>
      <c r="H247" s="565"/>
      <c r="I247" s="565"/>
      <c r="J247" s="565"/>
      <c r="K247" s="565"/>
      <c r="L247" s="565"/>
      <c r="M247" s="565"/>
      <c r="N247" s="565"/>
      <c r="O247" s="565"/>
      <c r="P247" s="565"/>
      <c r="Q247" s="565"/>
      <c r="R247" s="565"/>
      <c r="S247" s="565"/>
      <c r="T247" s="565"/>
      <c r="U247" s="565"/>
      <c r="V247" s="565"/>
      <c r="W247" s="565"/>
      <c r="X247" s="565"/>
      <c r="Y247" s="565"/>
      <c r="Z247" s="565"/>
      <c r="AA247" s="565"/>
      <c r="AB247" s="565"/>
      <c r="AC247" s="565"/>
      <c r="AD247" s="565"/>
      <c r="AE247" s="565"/>
      <c r="AF247" s="565"/>
      <c r="AG247" s="565"/>
      <c r="AH247" s="565"/>
      <c r="AI247" s="565"/>
      <c r="AJ247" s="565"/>
      <c r="AK247" s="565"/>
      <c r="AL247" s="565"/>
      <c r="AM247" s="565"/>
      <c r="AN247" s="565"/>
      <c r="AO247" s="565"/>
      <c r="AP247" s="565"/>
      <c r="AQ247" s="565"/>
      <c r="AR247" s="565"/>
      <c r="AS247" s="565"/>
      <c r="AT247" s="565"/>
      <c r="AU247" s="181"/>
      <c r="AV247" s="558"/>
    </row>
    <row r="248" ht="11.25" customHeight="1">
      <c r="A248" s="565"/>
      <c r="B248" s="181"/>
      <c r="C248" s="565"/>
      <c r="D248" s="565"/>
      <c r="E248" s="565"/>
      <c r="F248" s="565"/>
      <c r="G248" s="565"/>
      <c r="H248" s="565"/>
      <c r="I248" s="565"/>
      <c r="J248" s="565"/>
      <c r="K248" s="565"/>
      <c r="L248" s="565"/>
      <c r="M248" s="565"/>
      <c r="N248" s="565"/>
      <c r="O248" s="565"/>
      <c r="P248" s="565"/>
      <c r="Q248" s="565"/>
      <c r="R248" s="565"/>
      <c r="S248" s="565"/>
      <c r="T248" s="565"/>
      <c r="U248" s="565"/>
      <c r="V248" s="565"/>
      <c r="W248" s="565"/>
      <c r="X248" s="565"/>
      <c r="Y248" s="565"/>
      <c r="Z248" s="565"/>
      <c r="AA248" s="565"/>
      <c r="AB248" s="565"/>
      <c r="AC248" s="565"/>
      <c r="AD248" s="565"/>
      <c r="AE248" s="565"/>
      <c r="AF248" s="565"/>
      <c r="AG248" s="565"/>
      <c r="AH248" s="565"/>
      <c r="AI248" s="565"/>
      <c r="AJ248" s="565"/>
      <c r="AK248" s="565"/>
      <c r="AL248" s="565"/>
      <c r="AM248" s="565"/>
      <c r="AN248" s="565"/>
      <c r="AO248" s="565"/>
      <c r="AP248" s="565"/>
      <c r="AQ248" s="565"/>
      <c r="AR248" s="565"/>
      <c r="AS248" s="565"/>
      <c r="AT248" s="565"/>
      <c r="AU248" s="181"/>
      <c r="AV248" s="558"/>
    </row>
    <row r="249" ht="11.25" customHeight="1">
      <c r="A249" s="565"/>
      <c r="B249" s="181"/>
      <c r="C249" s="565"/>
      <c r="D249" s="565"/>
      <c r="E249" s="565"/>
      <c r="F249" s="565"/>
      <c r="G249" s="565"/>
      <c r="H249" s="565"/>
      <c r="I249" s="565"/>
      <c r="J249" s="565"/>
      <c r="K249" s="565"/>
      <c r="L249" s="565"/>
      <c r="M249" s="565"/>
      <c r="N249" s="565"/>
      <c r="O249" s="565"/>
      <c r="P249" s="565"/>
      <c r="Q249" s="565"/>
      <c r="R249" s="565"/>
      <c r="S249" s="565"/>
      <c r="T249" s="565"/>
      <c r="U249" s="565"/>
      <c r="V249" s="565"/>
      <c r="W249" s="565"/>
      <c r="X249" s="565"/>
      <c r="Y249" s="565"/>
      <c r="Z249" s="565"/>
      <c r="AA249" s="565"/>
      <c r="AB249" s="565"/>
      <c r="AC249" s="565"/>
      <c r="AD249" s="565"/>
      <c r="AE249" s="565"/>
      <c r="AF249" s="565"/>
      <c r="AG249" s="565"/>
      <c r="AH249" s="565"/>
      <c r="AI249" s="565"/>
      <c r="AJ249" s="565"/>
      <c r="AK249" s="565"/>
      <c r="AL249" s="565"/>
      <c r="AM249" s="565"/>
      <c r="AN249" s="565"/>
      <c r="AO249" s="565"/>
      <c r="AP249" s="565"/>
      <c r="AQ249" s="565"/>
      <c r="AR249" s="565"/>
      <c r="AS249" s="565"/>
      <c r="AT249" s="565"/>
      <c r="AU249" s="181"/>
      <c r="AV249" s="558"/>
    </row>
    <row r="250" ht="11.25" customHeight="1">
      <c r="A250" s="565"/>
      <c r="B250" s="181"/>
      <c r="C250" s="565"/>
      <c r="D250" s="565"/>
      <c r="E250" s="565"/>
      <c r="F250" s="565"/>
      <c r="G250" s="565"/>
      <c r="H250" s="565"/>
      <c r="I250" s="565"/>
      <c r="J250" s="565"/>
      <c r="K250" s="565"/>
      <c r="L250" s="565"/>
      <c r="M250" s="565"/>
      <c r="N250" s="565"/>
      <c r="O250" s="565"/>
      <c r="P250" s="565"/>
      <c r="Q250" s="565"/>
      <c r="R250" s="565"/>
      <c r="S250" s="565"/>
      <c r="T250" s="565"/>
      <c r="U250" s="565"/>
      <c r="V250" s="565"/>
      <c r="W250" s="565"/>
      <c r="X250" s="565"/>
      <c r="Y250" s="565"/>
      <c r="Z250" s="565"/>
      <c r="AA250" s="565"/>
      <c r="AB250" s="565"/>
      <c r="AC250" s="565"/>
      <c r="AD250" s="565"/>
      <c r="AE250" s="565"/>
      <c r="AF250" s="565"/>
      <c r="AG250" s="565"/>
      <c r="AH250" s="565"/>
      <c r="AI250" s="565"/>
      <c r="AJ250" s="565"/>
      <c r="AK250" s="565"/>
      <c r="AL250" s="565"/>
      <c r="AM250" s="565"/>
      <c r="AN250" s="565"/>
      <c r="AO250" s="565"/>
      <c r="AP250" s="565"/>
      <c r="AQ250" s="565"/>
      <c r="AR250" s="565"/>
      <c r="AS250" s="565"/>
      <c r="AT250" s="565"/>
      <c r="AU250" s="181"/>
      <c r="AV250" s="558"/>
    </row>
    <row r="251" ht="11.25" customHeight="1">
      <c r="A251" s="565"/>
      <c r="B251" s="181"/>
      <c r="C251" s="565"/>
      <c r="D251" s="565"/>
      <c r="E251" s="565"/>
      <c r="F251" s="565"/>
      <c r="G251" s="565"/>
      <c r="H251" s="565"/>
      <c r="I251" s="565"/>
      <c r="J251" s="565"/>
      <c r="K251" s="565"/>
      <c r="L251" s="565"/>
      <c r="M251" s="565"/>
      <c r="N251" s="565"/>
      <c r="O251" s="565"/>
      <c r="P251" s="565"/>
      <c r="Q251" s="565"/>
      <c r="R251" s="565"/>
      <c r="S251" s="565"/>
      <c r="T251" s="565"/>
      <c r="U251" s="565"/>
      <c r="V251" s="565"/>
      <c r="W251" s="565"/>
      <c r="X251" s="565"/>
      <c r="Y251" s="565"/>
      <c r="Z251" s="565"/>
      <c r="AA251" s="565"/>
      <c r="AB251" s="565"/>
      <c r="AC251" s="565"/>
      <c r="AD251" s="565"/>
      <c r="AE251" s="565"/>
      <c r="AF251" s="565"/>
      <c r="AG251" s="565"/>
      <c r="AH251" s="565"/>
      <c r="AI251" s="565"/>
      <c r="AJ251" s="565"/>
      <c r="AK251" s="565"/>
      <c r="AL251" s="565"/>
      <c r="AM251" s="565"/>
      <c r="AN251" s="565"/>
      <c r="AO251" s="565"/>
      <c r="AP251" s="565"/>
      <c r="AQ251" s="565"/>
      <c r="AR251" s="565"/>
      <c r="AS251" s="565"/>
      <c r="AT251" s="565"/>
      <c r="AU251" s="181"/>
      <c r="AV251" s="558"/>
    </row>
    <row r="252" ht="11.25" customHeight="1">
      <c r="A252" s="565"/>
      <c r="B252" s="181"/>
      <c r="C252" s="565"/>
      <c r="D252" s="565"/>
      <c r="E252" s="565"/>
      <c r="F252" s="565"/>
      <c r="G252" s="565"/>
      <c r="H252" s="565"/>
      <c r="I252" s="565"/>
      <c r="J252" s="565"/>
      <c r="K252" s="565"/>
      <c r="L252" s="565"/>
      <c r="M252" s="565"/>
      <c r="N252" s="565"/>
      <c r="O252" s="565"/>
      <c r="P252" s="565"/>
      <c r="Q252" s="565"/>
      <c r="R252" s="565"/>
      <c r="S252" s="565"/>
      <c r="T252" s="565"/>
      <c r="U252" s="565"/>
      <c r="V252" s="565"/>
      <c r="W252" s="565"/>
      <c r="X252" s="565"/>
      <c r="Y252" s="565"/>
      <c r="Z252" s="565"/>
      <c r="AA252" s="565"/>
      <c r="AB252" s="565"/>
      <c r="AC252" s="565"/>
      <c r="AD252" s="565"/>
      <c r="AE252" s="565"/>
      <c r="AF252" s="565"/>
      <c r="AG252" s="565"/>
      <c r="AH252" s="565"/>
      <c r="AI252" s="565"/>
      <c r="AJ252" s="565"/>
      <c r="AK252" s="565"/>
      <c r="AL252" s="565"/>
      <c r="AM252" s="565"/>
      <c r="AN252" s="565"/>
      <c r="AO252" s="565"/>
      <c r="AP252" s="565"/>
      <c r="AQ252" s="565"/>
      <c r="AR252" s="565"/>
      <c r="AS252" s="565"/>
      <c r="AT252" s="565"/>
      <c r="AU252" s="181"/>
      <c r="AV252" s="558"/>
    </row>
    <row r="253" ht="11.25" customHeight="1">
      <c r="A253" s="565"/>
      <c r="B253" s="181"/>
      <c r="C253" s="565"/>
      <c r="D253" s="565"/>
      <c r="E253" s="565"/>
      <c r="F253" s="565"/>
      <c r="G253" s="565"/>
      <c r="H253" s="565"/>
      <c r="I253" s="565"/>
      <c r="J253" s="565"/>
      <c r="K253" s="565"/>
      <c r="L253" s="565"/>
      <c r="M253" s="565"/>
      <c r="N253" s="565"/>
      <c r="O253" s="565"/>
      <c r="P253" s="565"/>
      <c r="Q253" s="565"/>
      <c r="R253" s="565"/>
      <c r="S253" s="565"/>
      <c r="T253" s="565"/>
      <c r="U253" s="565"/>
      <c r="V253" s="565"/>
      <c r="W253" s="565"/>
      <c r="X253" s="565"/>
      <c r="Y253" s="565"/>
      <c r="Z253" s="565"/>
      <c r="AA253" s="565"/>
      <c r="AB253" s="565"/>
      <c r="AC253" s="565"/>
      <c r="AD253" s="565"/>
      <c r="AE253" s="565"/>
      <c r="AF253" s="565"/>
      <c r="AG253" s="565"/>
      <c r="AH253" s="565"/>
      <c r="AI253" s="565"/>
      <c r="AJ253" s="565"/>
      <c r="AK253" s="565"/>
      <c r="AL253" s="565"/>
      <c r="AM253" s="565"/>
      <c r="AN253" s="565"/>
      <c r="AO253" s="565"/>
      <c r="AP253" s="565"/>
      <c r="AQ253" s="565"/>
      <c r="AR253" s="565"/>
      <c r="AS253" s="565"/>
      <c r="AT253" s="565"/>
      <c r="AU253" s="181"/>
      <c r="AV253" s="558"/>
    </row>
    <row r="254" ht="11.25" customHeight="1">
      <c r="A254" s="565"/>
      <c r="B254" s="181"/>
      <c r="C254" s="565"/>
      <c r="D254" s="565"/>
      <c r="E254" s="565"/>
      <c r="F254" s="565"/>
      <c r="G254" s="565"/>
      <c r="H254" s="565"/>
      <c r="I254" s="565"/>
      <c r="J254" s="565"/>
      <c r="K254" s="565"/>
      <c r="L254" s="565"/>
      <c r="M254" s="565"/>
      <c r="N254" s="565"/>
      <c r="O254" s="565"/>
      <c r="P254" s="565"/>
      <c r="Q254" s="565"/>
      <c r="R254" s="565"/>
      <c r="S254" s="565"/>
      <c r="T254" s="565"/>
      <c r="U254" s="565"/>
      <c r="V254" s="565"/>
      <c r="W254" s="565"/>
      <c r="X254" s="565"/>
      <c r="Y254" s="565"/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65"/>
      <c r="AJ254" s="565"/>
      <c r="AK254" s="565"/>
      <c r="AL254" s="565"/>
      <c r="AM254" s="565"/>
      <c r="AN254" s="565"/>
      <c r="AO254" s="565"/>
      <c r="AP254" s="565"/>
      <c r="AQ254" s="565"/>
      <c r="AR254" s="565"/>
      <c r="AS254" s="565"/>
      <c r="AT254" s="565"/>
      <c r="AU254" s="181"/>
      <c r="AV254" s="558"/>
    </row>
    <row r="255" ht="11.25" customHeight="1">
      <c r="A255" s="565"/>
      <c r="B255" s="181"/>
      <c r="C255" s="565"/>
      <c r="D255" s="565"/>
      <c r="E255" s="565"/>
      <c r="F255" s="565"/>
      <c r="G255" s="565"/>
      <c r="H255" s="565"/>
      <c r="I255" s="565"/>
      <c r="J255" s="565"/>
      <c r="K255" s="565"/>
      <c r="L255" s="565"/>
      <c r="M255" s="565"/>
      <c r="N255" s="565"/>
      <c r="O255" s="565"/>
      <c r="P255" s="565"/>
      <c r="Q255" s="565"/>
      <c r="R255" s="565"/>
      <c r="S255" s="565"/>
      <c r="T255" s="565"/>
      <c r="U255" s="565"/>
      <c r="V255" s="565"/>
      <c r="W255" s="565"/>
      <c r="X255" s="565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5"/>
      <c r="AS255" s="565"/>
      <c r="AT255" s="565"/>
      <c r="AU255" s="181"/>
      <c r="AV255" s="558"/>
    </row>
    <row r="256" ht="11.25" customHeight="1">
      <c r="A256" s="565"/>
      <c r="B256" s="181"/>
      <c r="C256" s="565"/>
      <c r="D256" s="565"/>
      <c r="E256" s="565"/>
      <c r="F256" s="565"/>
      <c r="G256" s="565"/>
      <c r="H256" s="565"/>
      <c r="I256" s="565"/>
      <c r="J256" s="565"/>
      <c r="K256" s="565"/>
      <c r="L256" s="565"/>
      <c r="M256" s="565"/>
      <c r="N256" s="565"/>
      <c r="O256" s="565"/>
      <c r="P256" s="565"/>
      <c r="Q256" s="565"/>
      <c r="R256" s="565"/>
      <c r="S256" s="565"/>
      <c r="T256" s="565"/>
      <c r="U256" s="565"/>
      <c r="V256" s="565"/>
      <c r="W256" s="565"/>
      <c r="X256" s="565"/>
      <c r="Y256" s="565"/>
      <c r="Z256" s="565"/>
      <c r="AA256" s="565"/>
      <c r="AB256" s="565"/>
      <c r="AC256" s="565"/>
      <c r="AD256" s="565"/>
      <c r="AE256" s="565"/>
      <c r="AF256" s="565"/>
      <c r="AG256" s="565"/>
      <c r="AH256" s="565"/>
      <c r="AI256" s="565"/>
      <c r="AJ256" s="565"/>
      <c r="AK256" s="565"/>
      <c r="AL256" s="565"/>
      <c r="AM256" s="565"/>
      <c r="AN256" s="565"/>
      <c r="AO256" s="565"/>
      <c r="AP256" s="565"/>
      <c r="AQ256" s="565"/>
      <c r="AR256" s="565"/>
      <c r="AS256" s="565"/>
      <c r="AT256" s="565"/>
      <c r="AU256" s="181"/>
      <c r="AV256" s="558"/>
    </row>
    <row r="257" ht="11.25" customHeight="1">
      <c r="A257" s="565"/>
      <c r="B257" s="181"/>
      <c r="C257" s="565"/>
      <c r="D257" s="565"/>
      <c r="E257" s="565"/>
      <c r="F257" s="565"/>
      <c r="G257" s="565"/>
      <c r="H257" s="565"/>
      <c r="I257" s="565"/>
      <c r="J257" s="565"/>
      <c r="K257" s="565"/>
      <c r="L257" s="565"/>
      <c r="M257" s="565"/>
      <c r="N257" s="565"/>
      <c r="O257" s="565"/>
      <c r="P257" s="565"/>
      <c r="Q257" s="565"/>
      <c r="R257" s="565"/>
      <c r="S257" s="565"/>
      <c r="T257" s="565"/>
      <c r="U257" s="565"/>
      <c r="V257" s="565"/>
      <c r="W257" s="565"/>
      <c r="X257" s="565"/>
      <c r="Y257" s="565"/>
      <c r="Z257" s="565"/>
      <c r="AA257" s="565"/>
      <c r="AB257" s="565"/>
      <c r="AC257" s="565"/>
      <c r="AD257" s="565"/>
      <c r="AE257" s="565"/>
      <c r="AF257" s="565"/>
      <c r="AG257" s="565"/>
      <c r="AH257" s="565"/>
      <c r="AI257" s="565"/>
      <c r="AJ257" s="565"/>
      <c r="AK257" s="565"/>
      <c r="AL257" s="565"/>
      <c r="AM257" s="565"/>
      <c r="AN257" s="565"/>
      <c r="AO257" s="565"/>
      <c r="AP257" s="565"/>
      <c r="AQ257" s="565"/>
      <c r="AR257" s="565"/>
      <c r="AS257" s="565"/>
      <c r="AT257" s="565"/>
      <c r="AU257" s="181"/>
      <c r="AV257" s="558"/>
    </row>
    <row r="258" ht="11.25" customHeight="1">
      <c r="A258" s="565"/>
      <c r="B258" s="181"/>
      <c r="C258" s="565"/>
      <c r="D258" s="565"/>
      <c r="E258" s="565"/>
      <c r="F258" s="565"/>
      <c r="G258" s="565"/>
      <c r="H258" s="565"/>
      <c r="I258" s="565"/>
      <c r="J258" s="565"/>
      <c r="K258" s="565"/>
      <c r="L258" s="565"/>
      <c r="M258" s="565"/>
      <c r="N258" s="565"/>
      <c r="O258" s="565"/>
      <c r="P258" s="565"/>
      <c r="Q258" s="565"/>
      <c r="R258" s="565"/>
      <c r="S258" s="565"/>
      <c r="T258" s="565"/>
      <c r="U258" s="565"/>
      <c r="V258" s="565"/>
      <c r="W258" s="565"/>
      <c r="X258" s="565"/>
      <c r="Y258" s="565"/>
      <c r="Z258" s="565"/>
      <c r="AA258" s="565"/>
      <c r="AB258" s="565"/>
      <c r="AC258" s="565"/>
      <c r="AD258" s="565"/>
      <c r="AE258" s="565"/>
      <c r="AF258" s="565"/>
      <c r="AG258" s="565"/>
      <c r="AH258" s="565"/>
      <c r="AI258" s="565"/>
      <c r="AJ258" s="565"/>
      <c r="AK258" s="565"/>
      <c r="AL258" s="565"/>
      <c r="AM258" s="565"/>
      <c r="AN258" s="565"/>
      <c r="AO258" s="565"/>
      <c r="AP258" s="565"/>
      <c r="AQ258" s="565"/>
      <c r="AR258" s="565"/>
      <c r="AS258" s="565"/>
      <c r="AT258" s="565"/>
      <c r="AU258" s="181"/>
      <c r="AV258" s="558"/>
    </row>
    <row r="259" ht="11.25" customHeight="1">
      <c r="A259" s="565"/>
      <c r="B259" s="181"/>
      <c r="C259" s="565"/>
      <c r="D259" s="565"/>
      <c r="E259" s="565"/>
      <c r="F259" s="565"/>
      <c r="G259" s="565"/>
      <c r="H259" s="565"/>
      <c r="I259" s="565"/>
      <c r="J259" s="565"/>
      <c r="K259" s="565"/>
      <c r="L259" s="565"/>
      <c r="M259" s="565"/>
      <c r="N259" s="565"/>
      <c r="O259" s="565"/>
      <c r="P259" s="565"/>
      <c r="Q259" s="565"/>
      <c r="R259" s="565"/>
      <c r="S259" s="565"/>
      <c r="T259" s="565"/>
      <c r="U259" s="565"/>
      <c r="V259" s="565"/>
      <c r="W259" s="565"/>
      <c r="X259" s="565"/>
      <c r="Y259" s="565"/>
      <c r="Z259" s="565"/>
      <c r="AA259" s="565"/>
      <c r="AB259" s="565"/>
      <c r="AC259" s="565"/>
      <c r="AD259" s="565"/>
      <c r="AE259" s="565"/>
      <c r="AF259" s="565"/>
      <c r="AG259" s="565"/>
      <c r="AH259" s="565"/>
      <c r="AI259" s="565"/>
      <c r="AJ259" s="565"/>
      <c r="AK259" s="565"/>
      <c r="AL259" s="565"/>
      <c r="AM259" s="565"/>
      <c r="AN259" s="565"/>
      <c r="AO259" s="565"/>
      <c r="AP259" s="565"/>
      <c r="AQ259" s="565"/>
      <c r="AR259" s="565"/>
      <c r="AS259" s="565"/>
      <c r="AT259" s="565"/>
      <c r="AU259" s="181"/>
      <c r="AV259" s="558"/>
    </row>
    <row r="260" ht="11.25" customHeight="1">
      <c r="A260" s="565"/>
      <c r="B260" s="181"/>
      <c r="C260" s="565"/>
      <c r="D260" s="565"/>
      <c r="E260" s="565"/>
      <c r="F260" s="565"/>
      <c r="G260" s="565"/>
      <c r="H260" s="565"/>
      <c r="I260" s="565"/>
      <c r="J260" s="565"/>
      <c r="K260" s="565"/>
      <c r="L260" s="565"/>
      <c r="M260" s="565"/>
      <c r="N260" s="565"/>
      <c r="O260" s="565"/>
      <c r="P260" s="565"/>
      <c r="Q260" s="565"/>
      <c r="R260" s="565"/>
      <c r="S260" s="565"/>
      <c r="T260" s="565"/>
      <c r="U260" s="565"/>
      <c r="V260" s="565"/>
      <c r="W260" s="565"/>
      <c r="X260" s="565"/>
      <c r="Y260" s="565"/>
      <c r="Z260" s="565"/>
      <c r="AA260" s="565"/>
      <c r="AB260" s="565"/>
      <c r="AC260" s="565"/>
      <c r="AD260" s="565"/>
      <c r="AE260" s="565"/>
      <c r="AF260" s="565"/>
      <c r="AG260" s="565"/>
      <c r="AH260" s="565"/>
      <c r="AI260" s="565"/>
      <c r="AJ260" s="565"/>
      <c r="AK260" s="565"/>
      <c r="AL260" s="565"/>
      <c r="AM260" s="565"/>
      <c r="AN260" s="565"/>
      <c r="AO260" s="565"/>
      <c r="AP260" s="565"/>
      <c r="AQ260" s="565"/>
      <c r="AR260" s="565"/>
      <c r="AS260" s="565"/>
      <c r="AT260" s="565"/>
      <c r="AU260" s="181"/>
      <c r="AV260" s="558"/>
    </row>
    <row r="261" ht="11.25" customHeight="1">
      <c r="A261" s="565"/>
      <c r="B261" s="181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  <c r="V261" s="565"/>
      <c r="W261" s="565"/>
      <c r="X261" s="565"/>
      <c r="Y261" s="565"/>
      <c r="Z261" s="565"/>
      <c r="AA261" s="565"/>
      <c r="AB261" s="565"/>
      <c r="AC261" s="565"/>
      <c r="AD261" s="565"/>
      <c r="AE261" s="565"/>
      <c r="AF261" s="565"/>
      <c r="AG261" s="565"/>
      <c r="AH261" s="565"/>
      <c r="AI261" s="565"/>
      <c r="AJ261" s="565"/>
      <c r="AK261" s="565"/>
      <c r="AL261" s="565"/>
      <c r="AM261" s="565"/>
      <c r="AN261" s="565"/>
      <c r="AO261" s="565"/>
      <c r="AP261" s="565"/>
      <c r="AQ261" s="565"/>
      <c r="AR261" s="565"/>
      <c r="AS261" s="565"/>
      <c r="AT261" s="565"/>
      <c r="AU261" s="181"/>
      <c r="AV261" s="558"/>
    </row>
    <row r="262" ht="11.25" customHeight="1">
      <c r="A262" s="565"/>
      <c r="B262" s="181"/>
      <c r="C262" s="565"/>
      <c r="D262" s="565"/>
      <c r="E262" s="565"/>
      <c r="F262" s="565"/>
      <c r="G262" s="565"/>
      <c r="H262" s="565"/>
      <c r="I262" s="565"/>
      <c r="J262" s="565"/>
      <c r="K262" s="565"/>
      <c r="L262" s="565"/>
      <c r="M262" s="565"/>
      <c r="N262" s="565"/>
      <c r="O262" s="565"/>
      <c r="P262" s="565"/>
      <c r="Q262" s="565"/>
      <c r="R262" s="565"/>
      <c r="S262" s="565"/>
      <c r="T262" s="565"/>
      <c r="U262" s="565"/>
      <c r="V262" s="565"/>
      <c r="W262" s="565"/>
      <c r="X262" s="565"/>
      <c r="Y262" s="565"/>
      <c r="Z262" s="565"/>
      <c r="AA262" s="565"/>
      <c r="AB262" s="565"/>
      <c r="AC262" s="565"/>
      <c r="AD262" s="565"/>
      <c r="AE262" s="565"/>
      <c r="AF262" s="565"/>
      <c r="AG262" s="565"/>
      <c r="AH262" s="565"/>
      <c r="AI262" s="565"/>
      <c r="AJ262" s="565"/>
      <c r="AK262" s="565"/>
      <c r="AL262" s="565"/>
      <c r="AM262" s="565"/>
      <c r="AN262" s="565"/>
      <c r="AO262" s="565"/>
      <c r="AP262" s="565"/>
      <c r="AQ262" s="565"/>
      <c r="AR262" s="565"/>
      <c r="AS262" s="565"/>
      <c r="AT262" s="565"/>
      <c r="AU262" s="181"/>
      <c r="AV262" s="558"/>
    </row>
    <row r="263" ht="11.25" customHeight="1">
      <c r="A263" s="565"/>
      <c r="B263" s="181"/>
      <c r="C263" s="565"/>
      <c r="D263" s="565"/>
      <c r="E263" s="565"/>
      <c r="F263" s="565"/>
      <c r="G263" s="565"/>
      <c r="H263" s="565"/>
      <c r="I263" s="565"/>
      <c r="J263" s="565"/>
      <c r="K263" s="565"/>
      <c r="L263" s="565"/>
      <c r="M263" s="565"/>
      <c r="N263" s="565"/>
      <c r="O263" s="565"/>
      <c r="P263" s="565"/>
      <c r="Q263" s="565"/>
      <c r="R263" s="565"/>
      <c r="S263" s="565"/>
      <c r="T263" s="565"/>
      <c r="U263" s="565"/>
      <c r="V263" s="565"/>
      <c r="W263" s="565"/>
      <c r="X263" s="565"/>
      <c r="Y263" s="565"/>
      <c r="Z263" s="565"/>
      <c r="AA263" s="565"/>
      <c r="AB263" s="565"/>
      <c r="AC263" s="565"/>
      <c r="AD263" s="565"/>
      <c r="AE263" s="565"/>
      <c r="AF263" s="565"/>
      <c r="AG263" s="565"/>
      <c r="AH263" s="565"/>
      <c r="AI263" s="565"/>
      <c r="AJ263" s="565"/>
      <c r="AK263" s="565"/>
      <c r="AL263" s="565"/>
      <c r="AM263" s="565"/>
      <c r="AN263" s="565"/>
      <c r="AO263" s="565"/>
      <c r="AP263" s="565"/>
      <c r="AQ263" s="565"/>
      <c r="AR263" s="565"/>
      <c r="AS263" s="565"/>
      <c r="AT263" s="565"/>
      <c r="AU263" s="181"/>
      <c r="AV263" s="558"/>
    </row>
    <row r="264" ht="11.25" customHeight="1">
      <c r="A264" s="565"/>
      <c r="B264" s="181"/>
      <c r="C264" s="565"/>
      <c r="D264" s="565"/>
      <c r="E264" s="565"/>
      <c r="F264" s="565"/>
      <c r="G264" s="565"/>
      <c r="H264" s="565"/>
      <c r="I264" s="565"/>
      <c r="J264" s="565"/>
      <c r="K264" s="565"/>
      <c r="L264" s="565"/>
      <c r="M264" s="565"/>
      <c r="N264" s="565"/>
      <c r="O264" s="565"/>
      <c r="P264" s="565"/>
      <c r="Q264" s="565"/>
      <c r="R264" s="565"/>
      <c r="S264" s="565"/>
      <c r="T264" s="565"/>
      <c r="U264" s="565"/>
      <c r="V264" s="565"/>
      <c r="W264" s="565"/>
      <c r="X264" s="565"/>
      <c r="Y264" s="565"/>
      <c r="Z264" s="565"/>
      <c r="AA264" s="565"/>
      <c r="AB264" s="565"/>
      <c r="AC264" s="565"/>
      <c r="AD264" s="565"/>
      <c r="AE264" s="565"/>
      <c r="AF264" s="565"/>
      <c r="AG264" s="565"/>
      <c r="AH264" s="565"/>
      <c r="AI264" s="565"/>
      <c r="AJ264" s="565"/>
      <c r="AK264" s="565"/>
      <c r="AL264" s="565"/>
      <c r="AM264" s="565"/>
      <c r="AN264" s="565"/>
      <c r="AO264" s="565"/>
      <c r="AP264" s="565"/>
      <c r="AQ264" s="565"/>
      <c r="AR264" s="565"/>
      <c r="AS264" s="565"/>
      <c r="AT264" s="565"/>
      <c r="AU264" s="181"/>
      <c r="AV264" s="558"/>
    </row>
    <row r="265" ht="11.25" customHeight="1">
      <c r="A265" s="565"/>
      <c r="B265" s="181"/>
      <c r="C265" s="565"/>
      <c r="D265" s="565"/>
      <c r="E265" s="565"/>
      <c r="F265" s="565"/>
      <c r="G265" s="565"/>
      <c r="H265" s="565"/>
      <c r="I265" s="565"/>
      <c r="J265" s="565"/>
      <c r="K265" s="565"/>
      <c r="L265" s="565"/>
      <c r="M265" s="565"/>
      <c r="N265" s="565"/>
      <c r="O265" s="565"/>
      <c r="P265" s="565"/>
      <c r="Q265" s="565"/>
      <c r="R265" s="565"/>
      <c r="S265" s="565"/>
      <c r="T265" s="565"/>
      <c r="U265" s="565"/>
      <c r="V265" s="565"/>
      <c r="W265" s="565"/>
      <c r="X265" s="565"/>
      <c r="Y265" s="565"/>
      <c r="Z265" s="565"/>
      <c r="AA265" s="565"/>
      <c r="AB265" s="565"/>
      <c r="AC265" s="565"/>
      <c r="AD265" s="565"/>
      <c r="AE265" s="565"/>
      <c r="AF265" s="565"/>
      <c r="AG265" s="565"/>
      <c r="AH265" s="565"/>
      <c r="AI265" s="565"/>
      <c r="AJ265" s="565"/>
      <c r="AK265" s="565"/>
      <c r="AL265" s="565"/>
      <c r="AM265" s="565"/>
      <c r="AN265" s="565"/>
      <c r="AO265" s="565"/>
      <c r="AP265" s="565"/>
      <c r="AQ265" s="565"/>
      <c r="AR265" s="565"/>
      <c r="AS265" s="565"/>
      <c r="AT265" s="565"/>
      <c r="AU265" s="181"/>
      <c r="AV265" s="558"/>
    </row>
    <row r="266" ht="11.25" customHeight="1">
      <c r="A266" s="565"/>
      <c r="B266" s="181"/>
      <c r="C266" s="565"/>
      <c r="D266" s="565"/>
      <c r="E266" s="565"/>
      <c r="F266" s="565"/>
      <c r="G266" s="565"/>
      <c r="H266" s="565"/>
      <c r="I266" s="565"/>
      <c r="J266" s="565"/>
      <c r="K266" s="565"/>
      <c r="L266" s="565"/>
      <c r="M266" s="565"/>
      <c r="N266" s="565"/>
      <c r="O266" s="565"/>
      <c r="P266" s="565"/>
      <c r="Q266" s="565"/>
      <c r="R266" s="565"/>
      <c r="S266" s="565"/>
      <c r="T266" s="565"/>
      <c r="U266" s="565"/>
      <c r="V266" s="565"/>
      <c r="W266" s="565"/>
      <c r="X266" s="565"/>
      <c r="Y266" s="565"/>
      <c r="Z266" s="565"/>
      <c r="AA266" s="565"/>
      <c r="AB266" s="565"/>
      <c r="AC266" s="565"/>
      <c r="AD266" s="565"/>
      <c r="AE266" s="565"/>
      <c r="AF266" s="565"/>
      <c r="AG266" s="565"/>
      <c r="AH266" s="565"/>
      <c r="AI266" s="565"/>
      <c r="AJ266" s="565"/>
      <c r="AK266" s="565"/>
      <c r="AL266" s="565"/>
      <c r="AM266" s="565"/>
      <c r="AN266" s="565"/>
      <c r="AO266" s="565"/>
      <c r="AP266" s="565"/>
      <c r="AQ266" s="565"/>
      <c r="AR266" s="565"/>
      <c r="AS266" s="565"/>
      <c r="AT266" s="565"/>
      <c r="AU266" s="181"/>
      <c r="AV266" s="558"/>
    </row>
    <row r="267" ht="11.25" customHeight="1">
      <c r="A267" s="565"/>
      <c r="B267" s="181"/>
      <c r="C267" s="565"/>
      <c r="D267" s="565"/>
      <c r="E267" s="565"/>
      <c r="F267" s="565"/>
      <c r="G267" s="565"/>
      <c r="H267" s="565"/>
      <c r="I267" s="565"/>
      <c r="J267" s="565"/>
      <c r="K267" s="565"/>
      <c r="L267" s="565"/>
      <c r="M267" s="565"/>
      <c r="N267" s="565"/>
      <c r="O267" s="565"/>
      <c r="P267" s="565"/>
      <c r="Q267" s="565"/>
      <c r="R267" s="565"/>
      <c r="S267" s="565"/>
      <c r="T267" s="565"/>
      <c r="U267" s="565"/>
      <c r="V267" s="565"/>
      <c r="W267" s="565"/>
      <c r="X267" s="565"/>
      <c r="Y267" s="565"/>
      <c r="Z267" s="565"/>
      <c r="AA267" s="565"/>
      <c r="AB267" s="565"/>
      <c r="AC267" s="565"/>
      <c r="AD267" s="565"/>
      <c r="AE267" s="565"/>
      <c r="AF267" s="565"/>
      <c r="AG267" s="565"/>
      <c r="AH267" s="565"/>
      <c r="AI267" s="565"/>
      <c r="AJ267" s="565"/>
      <c r="AK267" s="565"/>
      <c r="AL267" s="565"/>
      <c r="AM267" s="565"/>
      <c r="AN267" s="565"/>
      <c r="AO267" s="565"/>
      <c r="AP267" s="565"/>
      <c r="AQ267" s="565"/>
      <c r="AR267" s="565"/>
      <c r="AS267" s="565"/>
      <c r="AT267" s="565"/>
      <c r="AU267" s="181"/>
      <c r="AV267" s="558"/>
    </row>
    <row r="268" ht="11.25" customHeight="1">
      <c r="A268" s="565"/>
      <c r="B268" s="181"/>
      <c r="C268" s="565"/>
      <c r="D268" s="565"/>
      <c r="E268" s="565"/>
      <c r="F268" s="565"/>
      <c r="G268" s="565"/>
      <c r="H268" s="565"/>
      <c r="I268" s="565"/>
      <c r="J268" s="565"/>
      <c r="K268" s="565"/>
      <c r="L268" s="565"/>
      <c r="M268" s="565"/>
      <c r="N268" s="565"/>
      <c r="O268" s="565"/>
      <c r="P268" s="565"/>
      <c r="Q268" s="565"/>
      <c r="R268" s="565"/>
      <c r="S268" s="565"/>
      <c r="T268" s="565"/>
      <c r="U268" s="565"/>
      <c r="V268" s="565"/>
      <c r="W268" s="565"/>
      <c r="X268" s="565"/>
      <c r="Y268" s="565"/>
      <c r="Z268" s="565"/>
      <c r="AA268" s="565"/>
      <c r="AB268" s="565"/>
      <c r="AC268" s="565"/>
      <c r="AD268" s="565"/>
      <c r="AE268" s="565"/>
      <c r="AF268" s="565"/>
      <c r="AG268" s="565"/>
      <c r="AH268" s="565"/>
      <c r="AI268" s="565"/>
      <c r="AJ268" s="565"/>
      <c r="AK268" s="565"/>
      <c r="AL268" s="565"/>
      <c r="AM268" s="565"/>
      <c r="AN268" s="565"/>
      <c r="AO268" s="565"/>
      <c r="AP268" s="565"/>
      <c r="AQ268" s="565"/>
      <c r="AR268" s="565"/>
      <c r="AS268" s="565"/>
      <c r="AT268" s="565"/>
      <c r="AU268" s="181"/>
      <c r="AV268" s="558"/>
    </row>
    <row r="269" ht="11.25" customHeight="1">
      <c r="A269" s="565"/>
      <c r="B269" s="181"/>
      <c r="C269" s="565"/>
      <c r="D269" s="565"/>
      <c r="E269" s="565"/>
      <c r="F269" s="565"/>
      <c r="G269" s="565"/>
      <c r="H269" s="565"/>
      <c r="I269" s="565"/>
      <c r="J269" s="565"/>
      <c r="K269" s="565"/>
      <c r="L269" s="565"/>
      <c r="M269" s="565"/>
      <c r="N269" s="565"/>
      <c r="O269" s="565"/>
      <c r="P269" s="565"/>
      <c r="Q269" s="565"/>
      <c r="R269" s="565"/>
      <c r="S269" s="565"/>
      <c r="T269" s="565"/>
      <c r="U269" s="565"/>
      <c r="V269" s="565"/>
      <c r="W269" s="565"/>
      <c r="X269" s="565"/>
      <c r="Y269" s="565"/>
      <c r="Z269" s="565"/>
      <c r="AA269" s="565"/>
      <c r="AB269" s="565"/>
      <c r="AC269" s="565"/>
      <c r="AD269" s="565"/>
      <c r="AE269" s="565"/>
      <c r="AF269" s="565"/>
      <c r="AG269" s="565"/>
      <c r="AH269" s="565"/>
      <c r="AI269" s="565"/>
      <c r="AJ269" s="565"/>
      <c r="AK269" s="565"/>
      <c r="AL269" s="565"/>
      <c r="AM269" s="565"/>
      <c r="AN269" s="565"/>
      <c r="AO269" s="565"/>
      <c r="AP269" s="565"/>
      <c r="AQ269" s="565"/>
      <c r="AR269" s="565"/>
      <c r="AS269" s="565"/>
      <c r="AT269" s="565"/>
      <c r="AU269" s="181"/>
      <c r="AV269" s="558"/>
    </row>
    <row r="270" ht="11.25" customHeight="1">
      <c r="A270" s="565"/>
      <c r="B270" s="181"/>
      <c r="C270" s="565"/>
      <c r="D270" s="565"/>
      <c r="E270" s="565"/>
      <c r="F270" s="565"/>
      <c r="G270" s="565"/>
      <c r="H270" s="565"/>
      <c r="I270" s="565"/>
      <c r="J270" s="565"/>
      <c r="K270" s="565"/>
      <c r="L270" s="565"/>
      <c r="M270" s="565"/>
      <c r="N270" s="565"/>
      <c r="O270" s="565"/>
      <c r="P270" s="565"/>
      <c r="Q270" s="565"/>
      <c r="R270" s="565"/>
      <c r="S270" s="565"/>
      <c r="T270" s="565"/>
      <c r="U270" s="565"/>
      <c r="V270" s="565"/>
      <c r="W270" s="565"/>
      <c r="X270" s="565"/>
      <c r="Y270" s="565"/>
      <c r="Z270" s="565"/>
      <c r="AA270" s="565"/>
      <c r="AB270" s="565"/>
      <c r="AC270" s="565"/>
      <c r="AD270" s="565"/>
      <c r="AE270" s="565"/>
      <c r="AF270" s="565"/>
      <c r="AG270" s="565"/>
      <c r="AH270" s="565"/>
      <c r="AI270" s="565"/>
      <c r="AJ270" s="565"/>
      <c r="AK270" s="565"/>
      <c r="AL270" s="565"/>
      <c r="AM270" s="565"/>
      <c r="AN270" s="565"/>
      <c r="AO270" s="565"/>
      <c r="AP270" s="565"/>
      <c r="AQ270" s="565"/>
      <c r="AR270" s="565"/>
      <c r="AS270" s="565"/>
      <c r="AT270" s="565"/>
      <c r="AU270" s="181"/>
      <c r="AV270" s="558"/>
    </row>
    <row r="271" ht="11.25" customHeight="1">
      <c r="A271" s="565"/>
      <c r="B271" s="181"/>
      <c r="C271" s="565"/>
      <c r="D271" s="565"/>
      <c r="E271" s="565"/>
      <c r="F271" s="565"/>
      <c r="G271" s="565"/>
      <c r="H271" s="565"/>
      <c r="I271" s="565"/>
      <c r="J271" s="565"/>
      <c r="K271" s="565"/>
      <c r="L271" s="565"/>
      <c r="M271" s="565"/>
      <c r="N271" s="565"/>
      <c r="O271" s="565"/>
      <c r="P271" s="565"/>
      <c r="Q271" s="565"/>
      <c r="R271" s="565"/>
      <c r="S271" s="565"/>
      <c r="T271" s="565"/>
      <c r="U271" s="565"/>
      <c r="V271" s="565"/>
      <c r="W271" s="565"/>
      <c r="X271" s="565"/>
      <c r="Y271" s="565"/>
      <c r="Z271" s="565"/>
      <c r="AA271" s="565"/>
      <c r="AB271" s="565"/>
      <c r="AC271" s="565"/>
      <c r="AD271" s="565"/>
      <c r="AE271" s="565"/>
      <c r="AF271" s="565"/>
      <c r="AG271" s="565"/>
      <c r="AH271" s="565"/>
      <c r="AI271" s="565"/>
      <c r="AJ271" s="565"/>
      <c r="AK271" s="565"/>
      <c r="AL271" s="565"/>
      <c r="AM271" s="565"/>
      <c r="AN271" s="565"/>
      <c r="AO271" s="565"/>
      <c r="AP271" s="565"/>
      <c r="AQ271" s="565"/>
      <c r="AR271" s="565"/>
      <c r="AS271" s="565"/>
      <c r="AT271" s="565"/>
      <c r="AU271" s="181"/>
      <c r="AV271" s="558"/>
    </row>
    <row r="272" ht="11.25" customHeight="1">
      <c r="A272" s="565"/>
      <c r="B272" s="181"/>
      <c r="C272" s="565"/>
      <c r="D272" s="565"/>
      <c r="E272" s="565"/>
      <c r="F272" s="565"/>
      <c r="G272" s="565"/>
      <c r="H272" s="565"/>
      <c r="I272" s="565"/>
      <c r="J272" s="565"/>
      <c r="K272" s="565"/>
      <c r="L272" s="565"/>
      <c r="M272" s="565"/>
      <c r="N272" s="565"/>
      <c r="O272" s="565"/>
      <c r="P272" s="565"/>
      <c r="Q272" s="565"/>
      <c r="R272" s="565"/>
      <c r="S272" s="565"/>
      <c r="T272" s="565"/>
      <c r="U272" s="565"/>
      <c r="V272" s="565"/>
      <c r="W272" s="565"/>
      <c r="X272" s="565"/>
      <c r="Y272" s="565"/>
      <c r="Z272" s="565"/>
      <c r="AA272" s="565"/>
      <c r="AB272" s="565"/>
      <c r="AC272" s="565"/>
      <c r="AD272" s="565"/>
      <c r="AE272" s="565"/>
      <c r="AF272" s="565"/>
      <c r="AG272" s="565"/>
      <c r="AH272" s="565"/>
      <c r="AI272" s="565"/>
      <c r="AJ272" s="565"/>
      <c r="AK272" s="565"/>
      <c r="AL272" s="565"/>
      <c r="AM272" s="565"/>
      <c r="AN272" s="565"/>
      <c r="AO272" s="565"/>
      <c r="AP272" s="565"/>
      <c r="AQ272" s="565"/>
      <c r="AR272" s="565"/>
      <c r="AS272" s="565"/>
      <c r="AT272" s="565"/>
      <c r="AU272" s="181"/>
      <c r="AV272" s="558"/>
    </row>
    <row r="273" ht="11.25" customHeight="1">
      <c r="A273" s="565"/>
      <c r="B273" s="181"/>
      <c r="C273" s="565"/>
      <c r="D273" s="565"/>
      <c r="E273" s="565"/>
      <c r="F273" s="565"/>
      <c r="G273" s="565"/>
      <c r="H273" s="565"/>
      <c r="I273" s="565"/>
      <c r="J273" s="565"/>
      <c r="K273" s="565"/>
      <c r="L273" s="565"/>
      <c r="M273" s="565"/>
      <c r="N273" s="565"/>
      <c r="O273" s="565"/>
      <c r="P273" s="565"/>
      <c r="Q273" s="565"/>
      <c r="R273" s="565"/>
      <c r="S273" s="565"/>
      <c r="T273" s="565"/>
      <c r="U273" s="565"/>
      <c r="V273" s="565"/>
      <c r="W273" s="565"/>
      <c r="X273" s="565"/>
      <c r="Y273" s="565"/>
      <c r="Z273" s="565"/>
      <c r="AA273" s="565"/>
      <c r="AB273" s="565"/>
      <c r="AC273" s="565"/>
      <c r="AD273" s="565"/>
      <c r="AE273" s="565"/>
      <c r="AF273" s="565"/>
      <c r="AG273" s="565"/>
      <c r="AH273" s="565"/>
      <c r="AI273" s="565"/>
      <c r="AJ273" s="565"/>
      <c r="AK273" s="565"/>
      <c r="AL273" s="565"/>
      <c r="AM273" s="565"/>
      <c r="AN273" s="565"/>
      <c r="AO273" s="565"/>
      <c r="AP273" s="565"/>
      <c r="AQ273" s="565"/>
      <c r="AR273" s="565"/>
      <c r="AS273" s="565"/>
      <c r="AT273" s="565"/>
      <c r="AU273" s="181"/>
      <c r="AV273" s="558"/>
    </row>
    <row r="274" ht="11.25" customHeight="1">
      <c r="A274" s="565"/>
      <c r="B274" s="181"/>
      <c r="C274" s="565"/>
      <c r="D274" s="565"/>
      <c r="E274" s="565"/>
      <c r="F274" s="565"/>
      <c r="G274" s="565"/>
      <c r="H274" s="565"/>
      <c r="I274" s="565"/>
      <c r="J274" s="565"/>
      <c r="K274" s="565"/>
      <c r="L274" s="565"/>
      <c r="M274" s="565"/>
      <c r="N274" s="565"/>
      <c r="O274" s="565"/>
      <c r="P274" s="565"/>
      <c r="Q274" s="565"/>
      <c r="R274" s="565"/>
      <c r="S274" s="565"/>
      <c r="T274" s="565"/>
      <c r="U274" s="565"/>
      <c r="V274" s="565"/>
      <c r="W274" s="565"/>
      <c r="X274" s="565"/>
      <c r="Y274" s="565"/>
      <c r="Z274" s="565"/>
      <c r="AA274" s="565"/>
      <c r="AB274" s="565"/>
      <c r="AC274" s="565"/>
      <c r="AD274" s="565"/>
      <c r="AE274" s="565"/>
      <c r="AF274" s="565"/>
      <c r="AG274" s="565"/>
      <c r="AH274" s="565"/>
      <c r="AI274" s="565"/>
      <c r="AJ274" s="565"/>
      <c r="AK274" s="565"/>
      <c r="AL274" s="565"/>
      <c r="AM274" s="565"/>
      <c r="AN274" s="565"/>
      <c r="AO274" s="565"/>
      <c r="AP274" s="565"/>
      <c r="AQ274" s="565"/>
      <c r="AR274" s="565"/>
      <c r="AS274" s="565"/>
      <c r="AT274" s="565"/>
      <c r="AU274" s="181"/>
      <c r="AV274" s="558"/>
    </row>
    <row r="275" ht="11.25" customHeight="1">
      <c r="A275" s="565"/>
      <c r="B275" s="181"/>
      <c r="C275" s="565"/>
      <c r="D275" s="565"/>
      <c r="E275" s="565"/>
      <c r="F275" s="565"/>
      <c r="G275" s="565"/>
      <c r="H275" s="565"/>
      <c r="I275" s="565"/>
      <c r="J275" s="565"/>
      <c r="K275" s="565"/>
      <c r="L275" s="565"/>
      <c r="M275" s="565"/>
      <c r="N275" s="565"/>
      <c r="O275" s="565"/>
      <c r="P275" s="565"/>
      <c r="Q275" s="565"/>
      <c r="R275" s="565"/>
      <c r="S275" s="565"/>
      <c r="T275" s="565"/>
      <c r="U275" s="565"/>
      <c r="V275" s="565"/>
      <c r="W275" s="565"/>
      <c r="X275" s="565"/>
      <c r="Y275" s="565"/>
      <c r="Z275" s="565"/>
      <c r="AA275" s="565"/>
      <c r="AB275" s="565"/>
      <c r="AC275" s="565"/>
      <c r="AD275" s="565"/>
      <c r="AE275" s="565"/>
      <c r="AF275" s="565"/>
      <c r="AG275" s="565"/>
      <c r="AH275" s="565"/>
      <c r="AI275" s="565"/>
      <c r="AJ275" s="565"/>
      <c r="AK275" s="565"/>
      <c r="AL275" s="565"/>
      <c r="AM275" s="565"/>
      <c r="AN275" s="565"/>
      <c r="AO275" s="565"/>
      <c r="AP275" s="565"/>
      <c r="AQ275" s="565"/>
      <c r="AR275" s="565"/>
      <c r="AS275" s="565"/>
      <c r="AT275" s="565"/>
      <c r="AU275" s="181"/>
      <c r="AV275" s="558"/>
    </row>
    <row r="276" ht="11.25" customHeight="1">
      <c r="A276" s="565"/>
      <c r="B276" s="181"/>
      <c r="C276" s="565"/>
      <c r="D276" s="565"/>
      <c r="E276" s="565"/>
      <c r="F276" s="565"/>
      <c r="G276" s="565"/>
      <c r="H276" s="565"/>
      <c r="I276" s="565"/>
      <c r="J276" s="565"/>
      <c r="K276" s="565"/>
      <c r="L276" s="565"/>
      <c r="M276" s="565"/>
      <c r="N276" s="565"/>
      <c r="O276" s="565"/>
      <c r="P276" s="565"/>
      <c r="Q276" s="565"/>
      <c r="R276" s="565"/>
      <c r="S276" s="565"/>
      <c r="T276" s="565"/>
      <c r="U276" s="565"/>
      <c r="V276" s="565"/>
      <c r="W276" s="565"/>
      <c r="X276" s="565"/>
      <c r="Y276" s="565"/>
      <c r="Z276" s="565"/>
      <c r="AA276" s="565"/>
      <c r="AB276" s="565"/>
      <c r="AC276" s="565"/>
      <c r="AD276" s="565"/>
      <c r="AE276" s="565"/>
      <c r="AF276" s="565"/>
      <c r="AG276" s="565"/>
      <c r="AH276" s="565"/>
      <c r="AI276" s="565"/>
      <c r="AJ276" s="565"/>
      <c r="AK276" s="565"/>
      <c r="AL276" s="565"/>
      <c r="AM276" s="565"/>
      <c r="AN276" s="565"/>
      <c r="AO276" s="565"/>
      <c r="AP276" s="565"/>
      <c r="AQ276" s="565"/>
      <c r="AR276" s="565"/>
      <c r="AS276" s="565"/>
      <c r="AT276" s="565"/>
      <c r="AU276" s="181"/>
      <c r="AV276" s="558"/>
    </row>
    <row r="277" ht="11.25" customHeight="1">
      <c r="A277" s="565"/>
      <c r="B277" s="181"/>
      <c r="C277" s="565"/>
      <c r="D277" s="565"/>
      <c r="E277" s="565"/>
      <c r="F277" s="565"/>
      <c r="G277" s="565"/>
      <c r="H277" s="565"/>
      <c r="I277" s="565"/>
      <c r="J277" s="565"/>
      <c r="K277" s="565"/>
      <c r="L277" s="565"/>
      <c r="M277" s="565"/>
      <c r="N277" s="565"/>
      <c r="O277" s="565"/>
      <c r="P277" s="565"/>
      <c r="Q277" s="565"/>
      <c r="R277" s="565"/>
      <c r="S277" s="565"/>
      <c r="T277" s="565"/>
      <c r="U277" s="565"/>
      <c r="V277" s="565"/>
      <c r="W277" s="565"/>
      <c r="X277" s="565"/>
      <c r="Y277" s="565"/>
      <c r="Z277" s="565"/>
      <c r="AA277" s="565"/>
      <c r="AB277" s="565"/>
      <c r="AC277" s="565"/>
      <c r="AD277" s="565"/>
      <c r="AE277" s="565"/>
      <c r="AF277" s="565"/>
      <c r="AG277" s="565"/>
      <c r="AH277" s="565"/>
      <c r="AI277" s="565"/>
      <c r="AJ277" s="565"/>
      <c r="AK277" s="565"/>
      <c r="AL277" s="565"/>
      <c r="AM277" s="565"/>
      <c r="AN277" s="565"/>
      <c r="AO277" s="565"/>
      <c r="AP277" s="565"/>
      <c r="AQ277" s="565"/>
      <c r="AR277" s="565"/>
      <c r="AS277" s="565"/>
      <c r="AT277" s="565"/>
      <c r="AU277" s="181"/>
      <c r="AV277" s="558"/>
    </row>
    <row r="278" ht="11.25" customHeight="1">
      <c r="A278" s="565"/>
      <c r="B278" s="181"/>
      <c r="C278" s="565"/>
      <c r="D278" s="565"/>
      <c r="E278" s="565"/>
      <c r="F278" s="565"/>
      <c r="G278" s="565"/>
      <c r="H278" s="565"/>
      <c r="I278" s="565"/>
      <c r="J278" s="565"/>
      <c r="K278" s="565"/>
      <c r="L278" s="565"/>
      <c r="M278" s="565"/>
      <c r="N278" s="565"/>
      <c r="O278" s="565"/>
      <c r="P278" s="565"/>
      <c r="Q278" s="565"/>
      <c r="R278" s="565"/>
      <c r="S278" s="565"/>
      <c r="T278" s="565"/>
      <c r="U278" s="565"/>
      <c r="V278" s="565"/>
      <c r="W278" s="565"/>
      <c r="X278" s="565"/>
      <c r="Y278" s="565"/>
      <c r="Z278" s="565"/>
      <c r="AA278" s="565"/>
      <c r="AB278" s="565"/>
      <c r="AC278" s="565"/>
      <c r="AD278" s="565"/>
      <c r="AE278" s="565"/>
      <c r="AF278" s="565"/>
      <c r="AG278" s="565"/>
      <c r="AH278" s="565"/>
      <c r="AI278" s="565"/>
      <c r="AJ278" s="565"/>
      <c r="AK278" s="565"/>
      <c r="AL278" s="565"/>
      <c r="AM278" s="565"/>
      <c r="AN278" s="565"/>
      <c r="AO278" s="565"/>
      <c r="AP278" s="565"/>
      <c r="AQ278" s="565"/>
      <c r="AR278" s="565"/>
      <c r="AS278" s="565"/>
      <c r="AT278" s="565"/>
      <c r="AU278" s="181"/>
      <c r="AV278" s="558"/>
    </row>
    <row r="279" ht="11.25" customHeight="1">
      <c r="A279" s="565"/>
      <c r="B279" s="181"/>
      <c r="C279" s="565"/>
      <c r="D279" s="565"/>
      <c r="E279" s="565"/>
      <c r="F279" s="565"/>
      <c r="G279" s="565"/>
      <c r="H279" s="565"/>
      <c r="I279" s="565"/>
      <c r="J279" s="565"/>
      <c r="K279" s="565"/>
      <c r="L279" s="565"/>
      <c r="M279" s="565"/>
      <c r="N279" s="565"/>
      <c r="O279" s="565"/>
      <c r="P279" s="565"/>
      <c r="Q279" s="565"/>
      <c r="R279" s="565"/>
      <c r="S279" s="565"/>
      <c r="T279" s="565"/>
      <c r="U279" s="565"/>
      <c r="V279" s="565"/>
      <c r="W279" s="565"/>
      <c r="X279" s="565"/>
      <c r="Y279" s="565"/>
      <c r="Z279" s="565"/>
      <c r="AA279" s="565"/>
      <c r="AB279" s="565"/>
      <c r="AC279" s="565"/>
      <c r="AD279" s="565"/>
      <c r="AE279" s="565"/>
      <c r="AF279" s="565"/>
      <c r="AG279" s="565"/>
      <c r="AH279" s="565"/>
      <c r="AI279" s="565"/>
      <c r="AJ279" s="565"/>
      <c r="AK279" s="565"/>
      <c r="AL279" s="565"/>
      <c r="AM279" s="565"/>
      <c r="AN279" s="565"/>
      <c r="AO279" s="565"/>
      <c r="AP279" s="565"/>
      <c r="AQ279" s="565"/>
      <c r="AR279" s="565"/>
      <c r="AS279" s="565"/>
      <c r="AT279" s="565"/>
      <c r="AU279" s="181"/>
      <c r="AV279" s="558"/>
    </row>
    <row r="280" ht="11.25" customHeight="1">
      <c r="A280" s="565"/>
      <c r="B280" s="181"/>
      <c r="C280" s="565"/>
      <c r="D280" s="565"/>
      <c r="E280" s="565"/>
      <c r="F280" s="565"/>
      <c r="G280" s="565"/>
      <c r="H280" s="565"/>
      <c r="I280" s="565"/>
      <c r="J280" s="565"/>
      <c r="K280" s="565"/>
      <c r="L280" s="565"/>
      <c r="M280" s="565"/>
      <c r="N280" s="565"/>
      <c r="O280" s="565"/>
      <c r="P280" s="565"/>
      <c r="Q280" s="565"/>
      <c r="R280" s="565"/>
      <c r="S280" s="565"/>
      <c r="T280" s="565"/>
      <c r="U280" s="565"/>
      <c r="V280" s="565"/>
      <c r="W280" s="565"/>
      <c r="X280" s="565"/>
      <c r="Y280" s="565"/>
      <c r="Z280" s="565"/>
      <c r="AA280" s="565"/>
      <c r="AB280" s="565"/>
      <c r="AC280" s="565"/>
      <c r="AD280" s="565"/>
      <c r="AE280" s="565"/>
      <c r="AF280" s="565"/>
      <c r="AG280" s="565"/>
      <c r="AH280" s="565"/>
      <c r="AI280" s="565"/>
      <c r="AJ280" s="565"/>
      <c r="AK280" s="565"/>
      <c r="AL280" s="565"/>
      <c r="AM280" s="565"/>
      <c r="AN280" s="565"/>
      <c r="AO280" s="565"/>
      <c r="AP280" s="565"/>
      <c r="AQ280" s="565"/>
      <c r="AR280" s="565"/>
      <c r="AS280" s="565"/>
      <c r="AT280" s="565"/>
      <c r="AU280" s="181"/>
      <c r="AV280" s="558"/>
    </row>
    <row r="281" ht="11.25" customHeight="1">
      <c r="A281" s="565"/>
      <c r="B281" s="181"/>
      <c r="C281" s="565"/>
      <c r="D281" s="565"/>
      <c r="E281" s="565"/>
      <c r="F281" s="565"/>
      <c r="G281" s="565"/>
      <c r="H281" s="565"/>
      <c r="I281" s="565"/>
      <c r="J281" s="565"/>
      <c r="K281" s="565"/>
      <c r="L281" s="565"/>
      <c r="M281" s="565"/>
      <c r="N281" s="565"/>
      <c r="O281" s="565"/>
      <c r="P281" s="565"/>
      <c r="Q281" s="565"/>
      <c r="R281" s="565"/>
      <c r="S281" s="565"/>
      <c r="T281" s="565"/>
      <c r="U281" s="565"/>
      <c r="V281" s="565"/>
      <c r="W281" s="565"/>
      <c r="X281" s="565"/>
      <c r="Y281" s="565"/>
      <c r="Z281" s="565"/>
      <c r="AA281" s="565"/>
      <c r="AB281" s="565"/>
      <c r="AC281" s="565"/>
      <c r="AD281" s="565"/>
      <c r="AE281" s="565"/>
      <c r="AF281" s="565"/>
      <c r="AG281" s="565"/>
      <c r="AH281" s="565"/>
      <c r="AI281" s="565"/>
      <c r="AJ281" s="565"/>
      <c r="AK281" s="565"/>
      <c r="AL281" s="565"/>
      <c r="AM281" s="565"/>
      <c r="AN281" s="565"/>
      <c r="AO281" s="565"/>
      <c r="AP281" s="565"/>
      <c r="AQ281" s="565"/>
      <c r="AR281" s="565"/>
      <c r="AS281" s="565"/>
      <c r="AT281" s="565"/>
      <c r="AU281" s="181"/>
      <c r="AV281" s="558"/>
    </row>
    <row r="282" ht="11.25" customHeight="1">
      <c r="A282" s="565"/>
      <c r="B282" s="181"/>
      <c r="C282" s="565"/>
      <c r="D282" s="565"/>
      <c r="E282" s="565"/>
      <c r="F282" s="565"/>
      <c r="G282" s="565"/>
      <c r="H282" s="565"/>
      <c r="I282" s="565"/>
      <c r="J282" s="565"/>
      <c r="K282" s="565"/>
      <c r="L282" s="565"/>
      <c r="M282" s="565"/>
      <c r="N282" s="565"/>
      <c r="O282" s="565"/>
      <c r="P282" s="565"/>
      <c r="Q282" s="565"/>
      <c r="R282" s="565"/>
      <c r="S282" s="565"/>
      <c r="T282" s="565"/>
      <c r="U282" s="565"/>
      <c r="V282" s="565"/>
      <c r="W282" s="565"/>
      <c r="X282" s="565"/>
      <c r="Y282" s="565"/>
      <c r="Z282" s="565"/>
      <c r="AA282" s="565"/>
      <c r="AB282" s="565"/>
      <c r="AC282" s="565"/>
      <c r="AD282" s="565"/>
      <c r="AE282" s="565"/>
      <c r="AF282" s="565"/>
      <c r="AG282" s="565"/>
      <c r="AH282" s="565"/>
      <c r="AI282" s="565"/>
      <c r="AJ282" s="565"/>
      <c r="AK282" s="565"/>
      <c r="AL282" s="565"/>
      <c r="AM282" s="565"/>
      <c r="AN282" s="565"/>
      <c r="AO282" s="565"/>
      <c r="AP282" s="565"/>
      <c r="AQ282" s="565"/>
      <c r="AR282" s="565"/>
      <c r="AS282" s="565"/>
      <c r="AT282" s="565"/>
      <c r="AU282" s="181"/>
      <c r="AV282" s="558"/>
    </row>
    <row r="283" ht="11.25" customHeight="1">
      <c r="A283" s="565"/>
      <c r="B283" s="181"/>
      <c r="C283" s="565"/>
      <c r="D283" s="565"/>
      <c r="E283" s="565"/>
      <c r="F283" s="565"/>
      <c r="G283" s="565"/>
      <c r="H283" s="565"/>
      <c r="I283" s="565"/>
      <c r="J283" s="565"/>
      <c r="K283" s="565"/>
      <c r="L283" s="565"/>
      <c r="M283" s="565"/>
      <c r="N283" s="565"/>
      <c r="O283" s="565"/>
      <c r="P283" s="565"/>
      <c r="Q283" s="565"/>
      <c r="R283" s="565"/>
      <c r="S283" s="565"/>
      <c r="T283" s="565"/>
      <c r="U283" s="565"/>
      <c r="V283" s="565"/>
      <c r="W283" s="565"/>
      <c r="X283" s="565"/>
      <c r="Y283" s="565"/>
      <c r="Z283" s="565"/>
      <c r="AA283" s="565"/>
      <c r="AB283" s="565"/>
      <c r="AC283" s="565"/>
      <c r="AD283" s="565"/>
      <c r="AE283" s="565"/>
      <c r="AF283" s="565"/>
      <c r="AG283" s="565"/>
      <c r="AH283" s="565"/>
      <c r="AI283" s="565"/>
      <c r="AJ283" s="565"/>
      <c r="AK283" s="565"/>
      <c r="AL283" s="565"/>
      <c r="AM283" s="565"/>
      <c r="AN283" s="565"/>
      <c r="AO283" s="565"/>
      <c r="AP283" s="565"/>
      <c r="AQ283" s="565"/>
      <c r="AR283" s="565"/>
      <c r="AS283" s="565"/>
      <c r="AT283" s="565"/>
      <c r="AU283" s="181"/>
      <c r="AV283" s="558"/>
    </row>
    <row r="284" ht="11.25" customHeight="1">
      <c r="A284" s="565"/>
      <c r="B284" s="181"/>
      <c r="C284" s="565"/>
      <c r="D284" s="565"/>
      <c r="E284" s="565"/>
      <c r="F284" s="565"/>
      <c r="G284" s="565"/>
      <c r="H284" s="565"/>
      <c r="I284" s="565"/>
      <c r="J284" s="565"/>
      <c r="K284" s="565"/>
      <c r="L284" s="565"/>
      <c r="M284" s="565"/>
      <c r="N284" s="565"/>
      <c r="O284" s="565"/>
      <c r="P284" s="565"/>
      <c r="Q284" s="565"/>
      <c r="R284" s="565"/>
      <c r="S284" s="565"/>
      <c r="T284" s="565"/>
      <c r="U284" s="565"/>
      <c r="V284" s="565"/>
      <c r="W284" s="565"/>
      <c r="X284" s="565"/>
      <c r="Y284" s="565"/>
      <c r="Z284" s="565"/>
      <c r="AA284" s="565"/>
      <c r="AB284" s="565"/>
      <c r="AC284" s="565"/>
      <c r="AD284" s="565"/>
      <c r="AE284" s="565"/>
      <c r="AF284" s="565"/>
      <c r="AG284" s="565"/>
      <c r="AH284" s="565"/>
      <c r="AI284" s="565"/>
      <c r="AJ284" s="565"/>
      <c r="AK284" s="565"/>
      <c r="AL284" s="565"/>
      <c r="AM284" s="565"/>
      <c r="AN284" s="565"/>
      <c r="AO284" s="565"/>
      <c r="AP284" s="565"/>
      <c r="AQ284" s="565"/>
      <c r="AR284" s="565"/>
      <c r="AS284" s="565"/>
      <c r="AT284" s="565"/>
      <c r="AU284" s="181"/>
      <c r="AV284" s="558"/>
    </row>
    <row r="285" ht="11.25" customHeight="1">
      <c r="A285" s="565"/>
      <c r="B285" s="181"/>
      <c r="C285" s="565"/>
      <c r="D285" s="565"/>
      <c r="E285" s="565"/>
      <c r="F285" s="565"/>
      <c r="G285" s="565"/>
      <c r="H285" s="565"/>
      <c r="I285" s="565"/>
      <c r="J285" s="565"/>
      <c r="K285" s="565"/>
      <c r="L285" s="565"/>
      <c r="M285" s="565"/>
      <c r="N285" s="565"/>
      <c r="O285" s="565"/>
      <c r="P285" s="565"/>
      <c r="Q285" s="565"/>
      <c r="R285" s="565"/>
      <c r="S285" s="565"/>
      <c r="T285" s="565"/>
      <c r="U285" s="565"/>
      <c r="V285" s="565"/>
      <c r="W285" s="565"/>
      <c r="X285" s="565"/>
      <c r="Y285" s="565"/>
      <c r="Z285" s="565"/>
      <c r="AA285" s="565"/>
      <c r="AB285" s="565"/>
      <c r="AC285" s="565"/>
      <c r="AD285" s="565"/>
      <c r="AE285" s="565"/>
      <c r="AF285" s="565"/>
      <c r="AG285" s="565"/>
      <c r="AH285" s="565"/>
      <c r="AI285" s="565"/>
      <c r="AJ285" s="565"/>
      <c r="AK285" s="565"/>
      <c r="AL285" s="565"/>
      <c r="AM285" s="565"/>
      <c r="AN285" s="565"/>
      <c r="AO285" s="565"/>
      <c r="AP285" s="565"/>
      <c r="AQ285" s="565"/>
      <c r="AR285" s="565"/>
      <c r="AS285" s="565"/>
      <c r="AT285" s="565"/>
      <c r="AU285" s="181"/>
      <c r="AV285" s="558"/>
    </row>
    <row r="286" ht="11.25" customHeight="1">
      <c r="A286" s="565"/>
      <c r="B286" s="181"/>
      <c r="C286" s="565"/>
      <c r="D286" s="565"/>
      <c r="E286" s="565"/>
      <c r="F286" s="565"/>
      <c r="G286" s="565"/>
      <c r="H286" s="565"/>
      <c r="I286" s="565"/>
      <c r="J286" s="565"/>
      <c r="K286" s="565"/>
      <c r="L286" s="565"/>
      <c r="M286" s="565"/>
      <c r="N286" s="565"/>
      <c r="O286" s="565"/>
      <c r="P286" s="565"/>
      <c r="Q286" s="565"/>
      <c r="R286" s="565"/>
      <c r="S286" s="565"/>
      <c r="T286" s="565"/>
      <c r="U286" s="565"/>
      <c r="V286" s="565"/>
      <c r="W286" s="565"/>
      <c r="X286" s="565"/>
      <c r="Y286" s="565"/>
      <c r="Z286" s="565"/>
      <c r="AA286" s="565"/>
      <c r="AB286" s="565"/>
      <c r="AC286" s="565"/>
      <c r="AD286" s="565"/>
      <c r="AE286" s="565"/>
      <c r="AF286" s="565"/>
      <c r="AG286" s="565"/>
      <c r="AH286" s="565"/>
      <c r="AI286" s="565"/>
      <c r="AJ286" s="565"/>
      <c r="AK286" s="565"/>
      <c r="AL286" s="565"/>
      <c r="AM286" s="565"/>
      <c r="AN286" s="565"/>
      <c r="AO286" s="565"/>
      <c r="AP286" s="565"/>
      <c r="AQ286" s="565"/>
      <c r="AR286" s="565"/>
      <c r="AS286" s="565"/>
      <c r="AT286" s="565"/>
      <c r="AU286" s="181"/>
      <c r="AV286" s="558"/>
    </row>
    <row r="287" ht="11.25" customHeight="1">
      <c r="A287" s="565"/>
      <c r="B287" s="181"/>
      <c r="C287" s="565"/>
      <c r="D287" s="565"/>
      <c r="E287" s="565"/>
      <c r="F287" s="565"/>
      <c r="G287" s="565"/>
      <c r="H287" s="565"/>
      <c r="I287" s="565"/>
      <c r="J287" s="565"/>
      <c r="K287" s="565"/>
      <c r="L287" s="565"/>
      <c r="M287" s="565"/>
      <c r="N287" s="565"/>
      <c r="O287" s="565"/>
      <c r="P287" s="565"/>
      <c r="Q287" s="565"/>
      <c r="R287" s="565"/>
      <c r="S287" s="565"/>
      <c r="T287" s="565"/>
      <c r="U287" s="565"/>
      <c r="V287" s="565"/>
      <c r="W287" s="565"/>
      <c r="X287" s="565"/>
      <c r="Y287" s="565"/>
      <c r="Z287" s="565"/>
      <c r="AA287" s="565"/>
      <c r="AB287" s="565"/>
      <c r="AC287" s="565"/>
      <c r="AD287" s="565"/>
      <c r="AE287" s="565"/>
      <c r="AF287" s="565"/>
      <c r="AG287" s="565"/>
      <c r="AH287" s="565"/>
      <c r="AI287" s="565"/>
      <c r="AJ287" s="565"/>
      <c r="AK287" s="565"/>
      <c r="AL287" s="565"/>
      <c r="AM287" s="565"/>
      <c r="AN287" s="565"/>
      <c r="AO287" s="565"/>
      <c r="AP287" s="565"/>
      <c r="AQ287" s="565"/>
      <c r="AR287" s="565"/>
      <c r="AS287" s="565"/>
      <c r="AT287" s="565"/>
      <c r="AU287" s="181"/>
      <c r="AV287" s="558"/>
    </row>
    <row r="288" ht="11.25" customHeight="1">
      <c r="A288" s="565"/>
      <c r="B288" s="181"/>
      <c r="C288" s="565"/>
      <c r="D288" s="565"/>
      <c r="E288" s="565"/>
      <c r="F288" s="565"/>
      <c r="G288" s="565"/>
      <c r="H288" s="565"/>
      <c r="I288" s="565"/>
      <c r="J288" s="565"/>
      <c r="K288" s="565"/>
      <c r="L288" s="565"/>
      <c r="M288" s="565"/>
      <c r="N288" s="565"/>
      <c r="O288" s="565"/>
      <c r="P288" s="565"/>
      <c r="Q288" s="565"/>
      <c r="R288" s="565"/>
      <c r="S288" s="565"/>
      <c r="T288" s="565"/>
      <c r="U288" s="565"/>
      <c r="V288" s="565"/>
      <c r="W288" s="565"/>
      <c r="X288" s="565"/>
      <c r="Y288" s="565"/>
      <c r="Z288" s="565"/>
      <c r="AA288" s="565"/>
      <c r="AB288" s="565"/>
      <c r="AC288" s="565"/>
      <c r="AD288" s="565"/>
      <c r="AE288" s="565"/>
      <c r="AF288" s="565"/>
      <c r="AG288" s="565"/>
      <c r="AH288" s="565"/>
      <c r="AI288" s="565"/>
      <c r="AJ288" s="565"/>
      <c r="AK288" s="565"/>
      <c r="AL288" s="565"/>
      <c r="AM288" s="565"/>
      <c r="AN288" s="565"/>
      <c r="AO288" s="565"/>
      <c r="AP288" s="565"/>
      <c r="AQ288" s="565"/>
      <c r="AR288" s="565"/>
      <c r="AS288" s="565"/>
      <c r="AT288" s="565"/>
      <c r="AU288" s="181"/>
      <c r="AV288" s="558"/>
    </row>
    <row r="289" ht="11.25" customHeight="1">
      <c r="A289" s="565"/>
      <c r="B289" s="181"/>
      <c r="C289" s="565"/>
      <c r="D289" s="565"/>
      <c r="E289" s="565"/>
      <c r="F289" s="565"/>
      <c r="G289" s="565"/>
      <c r="H289" s="565"/>
      <c r="I289" s="565"/>
      <c r="J289" s="565"/>
      <c r="K289" s="565"/>
      <c r="L289" s="565"/>
      <c r="M289" s="565"/>
      <c r="N289" s="565"/>
      <c r="O289" s="565"/>
      <c r="P289" s="565"/>
      <c r="Q289" s="565"/>
      <c r="R289" s="565"/>
      <c r="S289" s="565"/>
      <c r="T289" s="565"/>
      <c r="U289" s="565"/>
      <c r="V289" s="565"/>
      <c r="W289" s="565"/>
      <c r="X289" s="565"/>
      <c r="Y289" s="565"/>
      <c r="Z289" s="565"/>
      <c r="AA289" s="565"/>
      <c r="AB289" s="565"/>
      <c r="AC289" s="565"/>
      <c r="AD289" s="565"/>
      <c r="AE289" s="565"/>
      <c r="AF289" s="565"/>
      <c r="AG289" s="565"/>
      <c r="AH289" s="565"/>
      <c r="AI289" s="565"/>
      <c r="AJ289" s="565"/>
      <c r="AK289" s="565"/>
      <c r="AL289" s="565"/>
      <c r="AM289" s="565"/>
      <c r="AN289" s="565"/>
      <c r="AO289" s="565"/>
      <c r="AP289" s="565"/>
      <c r="AQ289" s="565"/>
      <c r="AR289" s="565"/>
      <c r="AS289" s="565"/>
      <c r="AT289" s="565"/>
      <c r="AU289" s="181"/>
      <c r="AV289" s="558"/>
    </row>
    <row r="290" ht="11.25" customHeight="1">
      <c r="A290" s="565"/>
      <c r="B290" s="181"/>
      <c r="C290" s="565"/>
      <c r="D290" s="565"/>
      <c r="E290" s="565"/>
      <c r="F290" s="565"/>
      <c r="G290" s="565"/>
      <c r="H290" s="565"/>
      <c r="I290" s="565"/>
      <c r="J290" s="565"/>
      <c r="K290" s="565"/>
      <c r="L290" s="565"/>
      <c r="M290" s="565"/>
      <c r="N290" s="565"/>
      <c r="O290" s="565"/>
      <c r="P290" s="565"/>
      <c r="Q290" s="565"/>
      <c r="R290" s="565"/>
      <c r="S290" s="565"/>
      <c r="T290" s="565"/>
      <c r="U290" s="565"/>
      <c r="V290" s="565"/>
      <c r="W290" s="565"/>
      <c r="X290" s="565"/>
      <c r="Y290" s="565"/>
      <c r="Z290" s="565"/>
      <c r="AA290" s="565"/>
      <c r="AB290" s="565"/>
      <c r="AC290" s="565"/>
      <c r="AD290" s="565"/>
      <c r="AE290" s="565"/>
      <c r="AF290" s="565"/>
      <c r="AG290" s="565"/>
      <c r="AH290" s="565"/>
      <c r="AI290" s="565"/>
      <c r="AJ290" s="565"/>
      <c r="AK290" s="565"/>
      <c r="AL290" s="565"/>
      <c r="AM290" s="565"/>
      <c r="AN290" s="565"/>
      <c r="AO290" s="565"/>
      <c r="AP290" s="565"/>
      <c r="AQ290" s="565"/>
      <c r="AR290" s="565"/>
      <c r="AS290" s="565"/>
      <c r="AT290" s="565"/>
      <c r="AU290" s="181"/>
      <c r="AV290" s="558"/>
    </row>
    <row r="291" ht="11.25" customHeight="1">
      <c r="A291" s="565"/>
      <c r="B291" s="181"/>
      <c r="C291" s="565"/>
      <c r="D291" s="565"/>
      <c r="E291" s="565"/>
      <c r="F291" s="565"/>
      <c r="G291" s="565"/>
      <c r="H291" s="565"/>
      <c r="I291" s="565"/>
      <c r="J291" s="565"/>
      <c r="K291" s="565"/>
      <c r="L291" s="565"/>
      <c r="M291" s="565"/>
      <c r="N291" s="565"/>
      <c r="O291" s="565"/>
      <c r="P291" s="565"/>
      <c r="Q291" s="565"/>
      <c r="R291" s="565"/>
      <c r="S291" s="565"/>
      <c r="T291" s="565"/>
      <c r="U291" s="565"/>
      <c r="V291" s="565"/>
      <c r="W291" s="565"/>
      <c r="X291" s="565"/>
      <c r="Y291" s="565"/>
      <c r="Z291" s="565"/>
      <c r="AA291" s="565"/>
      <c r="AB291" s="565"/>
      <c r="AC291" s="565"/>
      <c r="AD291" s="565"/>
      <c r="AE291" s="565"/>
      <c r="AF291" s="565"/>
      <c r="AG291" s="565"/>
      <c r="AH291" s="565"/>
      <c r="AI291" s="565"/>
      <c r="AJ291" s="565"/>
      <c r="AK291" s="565"/>
      <c r="AL291" s="565"/>
      <c r="AM291" s="565"/>
      <c r="AN291" s="565"/>
      <c r="AO291" s="565"/>
      <c r="AP291" s="565"/>
      <c r="AQ291" s="565"/>
      <c r="AR291" s="565"/>
      <c r="AS291" s="565"/>
      <c r="AT291" s="565"/>
      <c r="AU291" s="181"/>
      <c r="AV291" s="558"/>
    </row>
    <row r="292" ht="11.25" customHeight="1">
      <c r="A292" s="565"/>
      <c r="B292" s="181"/>
      <c r="C292" s="565"/>
      <c r="D292" s="565"/>
      <c r="E292" s="565"/>
      <c r="F292" s="565"/>
      <c r="G292" s="565"/>
      <c r="H292" s="565"/>
      <c r="I292" s="565"/>
      <c r="J292" s="565"/>
      <c r="K292" s="565"/>
      <c r="L292" s="565"/>
      <c r="M292" s="565"/>
      <c r="N292" s="565"/>
      <c r="O292" s="565"/>
      <c r="P292" s="565"/>
      <c r="Q292" s="565"/>
      <c r="R292" s="565"/>
      <c r="S292" s="565"/>
      <c r="T292" s="565"/>
      <c r="U292" s="565"/>
      <c r="V292" s="565"/>
      <c r="W292" s="565"/>
      <c r="X292" s="565"/>
      <c r="Y292" s="565"/>
      <c r="Z292" s="565"/>
      <c r="AA292" s="565"/>
      <c r="AB292" s="565"/>
      <c r="AC292" s="565"/>
      <c r="AD292" s="565"/>
      <c r="AE292" s="565"/>
      <c r="AF292" s="565"/>
      <c r="AG292" s="565"/>
      <c r="AH292" s="565"/>
      <c r="AI292" s="565"/>
      <c r="AJ292" s="565"/>
      <c r="AK292" s="565"/>
      <c r="AL292" s="565"/>
      <c r="AM292" s="565"/>
      <c r="AN292" s="565"/>
      <c r="AO292" s="565"/>
      <c r="AP292" s="565"/>
      <c r="AQ292" s="565"/>
      <c r="AR292" s="565"/>
      <c r="AS292" s="565"/>
      <c r="AT292" s="565"/>
      <c r="AU292" s="181"/>
      <c r="AV292" s="558"/>
    </row>
    <row r="293" ht="11.25" customHeight="1">
      <c r="A293" s="565"/>
      <c r="B293" s="181"/>
      <c r="C293" s="565"/>
      <c r="D293" s="565"/>
      <c r="E293" s="565"/>
      <c r="F293" s="565"/>
      <c r="G293" s="565"/>
      <c r="H293" s="565"/>
      <c r="I293" s="565"/>
      <c r="J293" s="565"/>
      <c r="K293" s="565"/>
      <c r="L293" s="565"/>
      <c r="M293" s="565"/>
      <c r="N293" s="565"/>
      <c r="O293" s="565"/>
      <c r="P293" s="565"/>
      <c r="Q293" s="565"/>
      <c r="R293" s="565"/>
      <c r="S293" s="565"/>
      <c r="T293" s="565"/>
      <c r="U293" s="565"/>
      <c r="V293" s="565"/>
      <c r="W293" s="565"/>
      <c r="X293" s="565"/>
      <c r="Y293" s="565"/>
      <c r="Z293" s="565"/>
      <c r="AA293" s="565"/>
      <c r="AB293" s="565"/>
      <c r="AC293" s="565"/>
      <c r="AD293" s="565"/>
      <c r="AE293" s="565"/>
      <c r="AF293" s="565"/>
      <c r="AG293" s="565"/>
      <c r="AH293" s="565"/>
      <c r="AI293" s="565"/>
      <c r="AJ293" s="565"/>
      <c r="AK293" s="565"/>
      <c r="AL293" s="565"/>
      <c r="AM293" s="565"/>
      <c r="AN293" s="565"/>
      <c r="AO293" s="565"/>
      <c r="AP293" s="565"/>
      <c r="AQ293" s="565"/>
      <c r="AR293" s="565"/>
      <c r="AS293" s="565"/>
      <c r="AT293" s="565"/>
      <c r="AU293" s="181"/>
      <c r="AV293" s="558"/>
    </row>
    <row r="294" ht="11.25" customHeight="1">
      <c r="A294" s="565"/>
      <c r="B294" s="181"/>
      <c r="C294" s="565"/>
      <c r="D294" s="565"/>
      <c r="E294" s="565"/>
      <c r="F294" s="565"/>
      <c r="G294" s="565"/>
      <c r="H294" s="565"/>
      <c r="I294" s="565"/>
      <c r="J294" s="565"/>
      <c r="K294" s="565"/>
      <c r="L294" s="565"/>
      <c r="M294" s="565"/>
      <c r="N294" s="565"/>
      <c r="O294" s="565"/>
      <c r="P294" s="565"/>
      <c r="Q294" s="565"/>
      <c r="R294" s="565"/>
      <c r="S294" s="565"/>
      <c r="T294" s="565"/>
      <c r="U294" s="565"/>
      <c r="V294" s="565"/>
      <c r="W294" s="565"/>
      <c r="X294" s="565"/>
      <c r="Y294" s="565"/>
      <c r="Z294" s="565"/>
      <c r="AA294" s="565"/>
      <c r="AB294" s="565"/>
      <c r="AC294" s="565"/>
      <c r="AD294" s="565"/>
      <c r="AE294" s="565"/>
      <c r="AF294" s="565"/>
      <c r="AG294" s="565"/>
      <c r="AH294" s="565"/>
      <c r="AI294" s="565"/>
      <c r="AJ294" s="565"/>
      <c r="AK294" s="565"/>
      <c r="AL294" s="565"/>
      <c r="AM294" s="565"/>
      <c r="AN294" s="565"/>
      <c r="AO294" s="565"/>
      <c r="AP294" s="565"/>
      <c r="AQ294" s="565"/>
      <c r="AR294" s="565"/>
      <c r="AS294" s="565"/>
      <c r="AT294" s="565"/>
      <c r="AU294" s="181"/>
      <c r="AV294" s="558"/>
    </row>
    <row r="295" ht="11.25" customHeight="1">
      <c r="A295" s="565"/>
      <c r="B295" s="181"/>
      <c r="C295" s="565"/>
      <c r="D295" s="565"/>
      <c r="E295" s="565"/>
      <c r="F295" s="565"/>
      <c r="G295" s="565"/>
      <c r="H295" s="565"/>
      <c r="I295" s="565"/>
      <c r="J295" s="565"/>
      <c r="K295" s="565"/>
      <c r="L295" s="565"/>
      <c r="M295" s="565"/>
      <c r="N295" s="565"/>
      <c r="O295" s="565"/>
      <c r="P295" s="565"/>
      <c r="Q295" s="565"/>
      <c r="R295" s="565"/>
      <c r="S295" s="565"/>
      <c r="T295" s="565"/>
      <c r="U295" s="565"/>
      <c r="V295" s="565"/>
      <c r="W295" s="565"/>
      <c r="X295" s="565"/>
      <c r="Y295" s="565"/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65"/>
      <c r="AJ295" s="565"/>
      <c r="AK295" s="565"/>
      <c r="AL295" s="565"/>
      <c r="AM295" s="565"/>
      <c r="AN295" s="565"/>
      <c r="AO295" s="565"/>
      <c r="AP295" s="565"/>
      <c r="AQ295" s="565"/>
      <c r="AR295" s="565"/>
      <c r="AS295" s="565"/>
      <c r="AT295" s="565"/>
      <c r="AU295" s="181"/>
      <c r="AV295" s="558"/>
    </row>
    <row r="296" ht="11.25" customHeight="1">
      <c r="A296" s="565"/>
      <c r="B296" s="181"/>
      <c r="C296" s="565"/>
      <c r="D296" s="565"/>
      <c r="E296" s="565"/>
      <c r="F296" s="565"/>
      <c r="G296" s="565"/>
      <c r="H296" s="565"/>
      <c r="I296" s="565"/>
      <c r="J296" s="565"/>
      <c r="K296" s="565"/>
      <c r="L296" s="565"/>
      <c r="M296" s="565"/>
      <c r="N296" s="565"/>
      <c r="O296" s="565"/>
      <c r="P296" s="565"/>
      <c r="Q296" s="565"/>
      <c r="R296" s="565"/>
      <c r="S296" s="565"/>
      <c r="T296" s="565"/>
      <c r="U296" s="565"/>
      <c r="V296" s="565"/>
      <c r="W296" s="565"/>
      <c r="X296" s="565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5"/>
      <c r="AS296" s="565"/>
      <c r="AT296" s="565"/>
      <c r="AU296" s="181"/>
      <c r="AV296" s="558"/>
    </row>
    <row r="297" ht="11.25" customHeight="1">
      <c r="A297" s="565"/>
      <c r="B297" s="181"/>
      <c r="C297" s="565"/>
      <c r="D297" s="565"/>
      <c r="E297" s="565"/>
      <c r="F297" s="565"/>
      <c r="G297" s="565"/>
      <c r="H297" s="565"/>
      <c r="I297" s="565"/>
      <c r="J297" s="565"/>
      <c r="K297" s="565"/>
      <c r="L297" s="565"/>
      <c r="M297" s="565"/>
      <c r="N297" s="565"/>
      <c r="O297" s="565"/>
      <c r="P297" s="565"/>
      <c r="Q297" s="565"/>
      <c r="R297" s="565"/>
      <c r="S297" s="565"/>
      <c r="T297" s="565"/>
      <c r="U297" s="565"/>
      <c r="V297" s="565"/>
      <c r="W297" s="565"/>
      <c r="X297" s="565"/>
      <c r="Y297" s="565"/>
      <c r="Z297" s="565"/>
      <c r="AA297" s="565"/>
      <c r="AB297" s="565"/>
      <c r="AC297" s="565"/>
      <c r="AD297" s="565"/>
      <c r="AE297" s="565"/>
      <c r="AF297" s="565"/>
      <c r="AG297" s="565"/>
      <c r="AH297" s="565"/>
      <c r="AI297" s="565"/>
      <c r="AJ297" s="565"/>
      <c r="AK297" s="565"/>
      <c r="AL297" s="565"/>
      <c r="AM297" s="565"/>
      <c r="AN297" s="565"/>
      <c r="AO297" s="565"/>
      <c r="AP297" s="565"/>
      <c r="AQ297" s="565"/>
      <c r="AR297" s="565"/>
      <c r="AS297" s="565"/>
      <c r="AT297" s="565"/>
      <c r="AU297" s="181"/>
      <c r="AV297" s="558"/>
    </row>
    <row r="298" ht="11.25" customHeight="1">
      <c r="A298" s="565"/>
      <c r="B298" s="181"/>
      <c r="C298" s="565"/>
      <c r="D298" s="565"/>
      <c r="E298" s="565"/>
      <c r="F298" s="565"/>
      <c r="G298" s="565"/>
      <c r="H298" s="565"/>
      <c r="I298" s="565"/>
      <c r="J298" s="565"/>
      <c r="K298" s="565"/>
      <c r="L298" s="565"/>
      <c r="M298" s="565"/>
      <c r="N298" s="565"/>
      <c r="O298" s="565"/>
      <c r="P298" s="565"/>
      <c r="Q298" s="565"/>
      <c r="R298" s="565"/>
      <c r="S298" s="565"/>
      <c r="T298" s="565"/>
      <c r="U298" s="565"/>
      <c r="V298" s="565"/>
      <c r="W298" s="565"/>
      <c r="X298" s="565"/>
      <c r="Y298" s="565"/>
      <c r="Z298" s="565"/>
      <c r="AA298" s="565"/>
      <c r="AB298" s="565"/>
      <c r="AC298" s="565"/>
      <c r="AD298" s="565"/>
      <c r="AE298" s="565"/>
      <c r="AF298" s="565"/>
      <c r="AG298" s="565"/>
      <c r="AH298" s="565"/>
      <c r="AI298" s="565"/>
      <c r="AJ298" s="565"/>
      <c r="AK298" s="565"/>
      <c r="AL298" s="565"/>
      <c r="AM298" s="565"/>
      <c r="AN298" s="565"/>
      <c r="AO298" s="565"/>
      <c r="AP298" s="565"/>
      <c r="AQ298" s="565"/>
      <c r="AR298" s="565"/>
      <c r="AS298" s="565"/>
      <c r="AT298" s="565"/>
      <c r="AU298" s="181"/>
      <c r="AV298" s="558"/>
    </row>
    <row r="299" ht="11.25" customHeight="1">
      <c r="A299" s="565"/>
      <c r="B299" s="181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  <c r="V299" s="565"/>
      <c r="W299" s="565"/>
      <c r="X299" s="565"/>
      <c r="Y299" s="565"/>
      <c r="Z299" s="565"/>
      <c r="AA299" s="565"/>
      <c r="AB299" s="565"/>
      <c r="AC299" s="565"/>
      <c r="AD299" s="565"/>
      <c r="AE299" s="565"/>
      <c r="AF299" s="565"/>
      <c r="AG299" s="565"/>
      <c r="AH299" s="565"/>
      <c r="AI299" s="565"/>
      <c r="AJ299" s="565"/>
      <c r="AK299" s="565"/>
      <c r="AL299" s="565"/>
      <c r="AM299" s="565"/>
      <c r="AN299" s="565"/>
      <c r="AO299" s="565"/>
      <c r="AP299" s="565"/>
      <c r="AQ299" s="565"/>
      <c r="AR299" s="565"/>
      <c r="AS299" s="565"/>
      <c r="AT299" s="565"/>
      <c r="AU299" s="181"/>
      <c r="AV299" s="558"/>
    </row>
    <row r="300" ht="11.25" customHeight="1">
      <c r="A300" s="565"/>
      <c r="B300" s="181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  <c r="V300" s="565"/>
      <c r="W300" s="565"/>
      <c r="X300" s="565"/>
      <c r="Y300" s="565"/>
      <c r="Z300" s="565"/>
      <c r="AA300" s="565"/>
      <c r="AB300" s="565"/>
      <c r="AC300" s="565"/>
      <c r="AD300" s="565"/>
      <c r="AE300" s="565"/>
      <c r="AF300" s="565"/>
      <c r="AG300" s="565"/>
      <c r="AH300" s="565"/>
      <c r="AI300" s="565"/>
      <c r="AJ300" s="565"/>
      <c r="AK300" s="565"/>
      <c r="AL300" s="565"/>
      <c r="AM300" s="565"/>
      <c r="AN300" s="565"/>
      <c r="AO300" s="565"/>
      <c r="AP300" s="565"/>
      <c r="AQ300" s="565"/>
      <c r="AR300" s="565"/>
      <c r="AS300" s="565"/>
      <c r="AT300" s="565"/>
      <c r="AU300" s="181"/>
      <c r="AV300" s="558"/>
    </row>
    <row r="301" ht="11.25" customHeight="1">
      <c r="A301" s="565"/>
      <c r="B301" s="181"/>
      <c r="C301" s="565"/>
      <c r="D301" s="565"/>
      <c r="E301" s="565"/>
      <c r="F301" s="565"/>
      <c r="G301" s="565"/>
      <c r="H301" s="565"/>
      <c r="I301" s="565"/>
      <c r="J301" s="565"/>
      <c r="K301" s="565"/>
      <c r="L301" s="565"/>
      <c r="M301" s="565"/>
      <c r="N301" s="565"/>
      <c r="O301" s="565"/>
      <c r="P301" s="565"/>
      <c r="Q301" s="565"/>
      <c r="R301" s="565"/>
      <c r="S301" s="565"/>
      <c r="T301" s="565"/>
      <c r="U301" s="565"/>
      <c r="V301" s="565"/>
      <c r="W301" s="565"/>
      <c r="X301" s="565"/>
      <c r="Y301" s="565"/>
      <c r="Z301" s="565"/>
      <c r="AA301" s="565"/>
      <c r="AB301" s="565"/>
      <c r="AC301" s="565"/>
      <c r="AD301" s="565"/>
      <c r="AE301" s="565"/>
      <c r="AF301" s="565"/>
      <c r="AG301" s="565"/>
      <c r="AH301" s="565"/>
      <c r="AI301" s="565"/>
      <c r="AJ301" s="565"/>
      <c r="AK301" s="565"/>
      <c r="AL301" s="565"/>
      <c r="AM301" s="565"/>
      <c r="AN301" s="565"/>
      <c r="AO301" s="565"/>
      <c r="AP301" s="565"/>
      <c r="AQ301" s="565"/>
      <c r="AR301" s="565"/>
      <c r="AS301" s="565"/>
      <c r="AT301" s="565"/>
      <c r="AU301" s="181"/>
      <c r="AV301" s="558"/>
    </row>
    <row r="302" ht="11.25" customHeight="1">
      <c r="A302" s="565"/>
      <c r="B302" s="181"/>
      <c r="C302" s="565"/>
      <c r="D302" s="565"/>
      <c r="E302" s="565"/>
      <c r="F302" s="565"/>
      <c r="G302" s="565"/>
      <c r="H302" s="565"/>
      <c r="I302" s="565"/>
      <c r="J302" s="565"/>
      <c r="K302" s="565"/>
      <c r="L302" s="565"/>
      <c r="M302" s="565"/>
      <c r="N302" s="565"/>
      <c r="O302" s="565"/>
      <c r="P302" s="565"/>
      <c r="Q302" s="565"/>
      <c r="R302" s="565"/>
      <c r="S302" s="565"/>
      <c r="T302" s="565"/>
      <c r="U302" s="565"/>
      <c r="V302" s="565"/>
      <c r="W302" s="565"/>
      <c r="X302" s="565"/>
      <c r="Y302" s="565"/>
      <c r="Z302" s="565"/>
      <c r="AA302" s="565"/>
      <c r="AB302" s="565"/>
      <c r="AC302" s="565"/>
      <c r="AD302" s="565"/>
      <c r="AE302" s="565"/>
      <c r="AF302" s="565"/>
      <c r="AG302" s="565"/>
      <c r="AH302" s="565"/>
      <c r="AI302" s="565"/>
      <c r="AJ302" s="565"/>
      <c r="AK302" s="565"/>
      <c r="AL302" s="565"/>
      <c r="AM302" s="565"/>
      <c r="AN302" s="565"/>
      <c r="AO302" s="565"/>
      <c r="AP302" s="565"/>
      <c r="AQ302" s="565"/>
      <c r="AR302" s="565"/>
      <c r="AS302" s="565"/>
      <c r="AT302" s="565"/>
      <c r="AU302" s="181"/>
      <c r="AV302" s="558"/>
    </row>
    <row r="303" ht="11.25" customHeight="1">
      <c r="A303" s="565"/>
      <c r="B303" s="181"/>
      <c r="C303" s="565"/>
      <c r="D303" s="565"/>
      <c r="E303" s="565"/>
      <c r="F303" s="565"/>
      <c r="G303" s="565"/>
      <c r="H303" s="565"/>
      <c r="I303" s="565"/>
      <c r="J303" s="565"/>
      <c r="K303" s="565"/>
      <c r="L303" s="565"/>
      <c r="M303" s="565"/>
      <c r="N303" s="565"/>
      <c r="O303" s="565"/>
      <c r="P303" s="565"/>
      <c r="Q303" s="565"/>
      <c r="R303" s="565"/>
      <c r="S303" s="565"/>
      <c r="T303" s="565"/>
      <c r="U303" s="565"/>
      <c r="V303" s="565"/>
      <c r="W303" s="565"/>
      <c r="X303" s="565"/>
      <c r="Y303" s="565"/>
      <c r="Z303" s="565"/>
      <c r="AA303" s="565"/>
      <c r="AB303" s="565"/>
      <c r="AC303" s="565"/>
      <c r="AD303" s="565"/>
      <c r="AE303" s="565"/>
      <c r="AF303" s="565"/>
      <c r="AG303" s="565"/>
      <c r="AH303" s="565"/>
      <c r="AI303" s="565"/>
      <c r="AJ303" s="565"/>
      <c r="AK303" s="565"/>
      <c r="AL303" s="565"/>
      <c r="AM303" s="565"/>
      <c r="AN303" s="565"/>
      <c r="AO303" s="565"/>
      <c r="AP303" s="565"/>
      <c r="AQ303" s="565"/>
      <c r="AR303" s="565"/>
      <c r="AS303" s="565"/>
      <c r="AT303" s="565"/>
      <c r="AU303" s="181"/>
      <c r="AV303" s="558"/>
    </row>
    <row r="304" ht="11.25" customHeight="1">
      <c r="A304" s="565"/>
      <c r="B304" s="181"/>
      <c r="C304" s="565"/>
      <c r="D304" s="565"/>
      <c r="E304" s="565"/>
      <c r="F304" s="565"/>
      <c r="G304" s="565"/>
      <c r="H304" s="565"/>
      <c r="I304" s="565"/>
      <c r="J304" s="565"/>
      <c r="K304" s="565"/>
      <c r="L304" s="565"/>
      <c r="M304" s="565"/>
      <c r="N304" s="565"/>
      <c r="O304" s="565"/>
      <c r="P304" s="565"/>
      <c r="Q304" s="565"/>
      <c r="R304" s="565"/>
      <c r="S304" s="565"/>
      <c r="T304" s="565"/>
      <c r="U304" s="565"/>
      <c r="V304" s="565"/>
      <c r="W304" s="565"/>
      <c r="X304" s="565"/>
      <c r="Y304" s="565"/>
      <c r="Z304" s="565"/>
      <c r="AA304" s="565"/>
      <c r="AB304" s="565"/>
      <c r="AC304" s="565"/>
      <c r="AD304" s="565"/>
      <c r="AE304" s="565"/>
      <c r="AF304" s="565"/>
      <c r="AG304" s="565"/>
      <c r="AH304" s="565"/>
      <c r="AI304" s="565"/>
      <c r="AJ304" s="565"/>
      <c r="AK304" s="565"/>
      <c r="AL304" s="565"/>
      <c r="AM304" s="565"/>
      <c r="AN304" s="565"/>
      <c r="AO304" s="565"/>
      <c r="AP304" s="565"/>
      <c r="AQ304" s="565"/>
      <c r="AR304" s="565"/>
      <c r="AS304" s="565"/>
      <c r="AT304" s="565"/>
      <c r="AU304" s="181"/>
      <c r="AV304" s="558"/>
    </row>
    <row r="305" ht="11.25" customHeight="1">
      <c r="A305" s="565"/>
      <c r="B305" s="181"/>
      <c r="C305" s="565"/>
      <c r="D305" s="565"/>
      <c r="E305" s="565"/>
      <c r="F305" s="565"/>
      <c r="G305" s="565"/>
      <c r="H305" s="565"/>
      <c r="I305" s="565"/>
      <c r="J305" s="565"/>
      <c r="K305" s="565"/>
      <c r="L305" s="565"/>
      <c r="M305" s="565"/>
      <c r="N305" s="565"/>
      <c r="O305" s="565"/>
      <c r="P305" s="565"/>
      <c r="Q305" s="565"/>
      <c r="R305" s="565"/>
      <c r="S305" s="565"/>
      <c r="T305" s="565"/>
      <c r="U305" s="565"/>
      <c r="V305" s="565"/>
      <c r="W305" s="565"/>
      <c r="X305" s="565"/>
      <c r="Y305" s="565"/>
      <c r="Z305" s="565"/>
      <c r="AA305" s="565"/>
      <c r="AB305" s="565"/>
      <c r="AC305" s="565"/>
      <c r="AD305" s="565"/>
      <c r="AE305" s="565"/>
      <c r="AF305" s="565"/>
      <c r="AG305" s="565"/>
      <c r="AH305" s="565"/>
      <c r="AI305" s="565"/>
      <c r="AJ305" s="565"/>
      <c r="AK305" s="565"/>
      <c r="AL305" s="565"/>
      <c r="AM305" s="565"/>
      <c r="AN305" s="565"/>
      <c r="AO305" s="565"/>
      <c r="AP305" s="565"/>
      <c r="AQ305" s="565"/>
      <c r="AR305" s="565"/>
      <c r="AS305" s="565"/>
      <c r="AT305" s="565"/>
      <c r="AU305" s="181"/>
      <c r="AV305" s="558"/>
    </row>
    <row r="306" ht="11.25" customHeight="1">
      <c r="A306" s="565"/>
      <c r="B306" s="181"/>
      <c r="C306" s="565"/>
      <c r="D306" s="565"/>
      <c r="E306" s="565"/>
      <c r="F306" s="565"/>
      <c r="G306" s="565"/>
      <c r="H306" s="565"/>
      <c r="I306" s="565"/>
      <c r="J306" s="565"/>
      <c r="K306" s="565"/>
      <c r="L306" s="565"/>
      <c r="M306" s="565"/>
      <c r="N306" s="565"/>
      <c r="O306" s="565"/>
      <c r="P306" s="565"/>
      <c r="Q306" s="565"/>
      <c r="R306" s="565"/>
      <c r="S306" s="565"/>
      <c r="T306" s="565"/>
      <c r="U306" s="565"/>
      <c r="V306" s="565"/>
      <c r="W306" s="565"/>
      <c r="X306" s="565"/>
      <c r="Y306" s="565"/>
      <c r="Z306" s="565"/>
      <c r="AA306" s="565"/>
      <c r="AB306" s="565"/>
      <c r="AC306" s="565"/>
      <c r="AD306" s="565"/>
      <c r="AE306" s="565"/>
      <c r="AF306" s="565"/>
      <c r="AG306" s="565"/>
      <c r="AH306" s="565"/>
      <c r="AI306" s="565"/>
      <c r="AJ306" s="565"/>
      <c r="AK306" s="565"/>
      <c r="AL306" s="565"/>
      <c r="AM306" s="565"/>
      <c r="AN306" s="565"/>
      <c r="AO306" s="565"/>
      <c r="AP306" s="565"/>
      <c r="AQ306" s="565"/>
      <c r="AR306" s="565"/>
      <c r="AS306" s="565"/>
      <c r="AT306" s="565"/>
      <c r="AU306" s="181"/>
      <c r="AV306" s="558"/>
    </row>
    <row r="307" ht="11.25" customHeight="1">
      <c r="A307" s="565"/>
      <c r="B307" s="181"/>
      <c r="C307" s="565"/>
      <c r="D307" s="565"/>
      <c r="E307" s="565"/>
      <c r="F307" s="565"/>
      <c r="G307" s="565"/>
      <c r="H307" s="565"/>
      <c r="I307" s="565"/>
      <c r="J307" s="565"/>
      <c r="K307" s="565"/>
      <c r="L307" s="565"/>
      <c r="M307" s="565"/>
      <c r="N307" s="565"/>
      <c r="O307" s="565"/>
      <c r="P307" s="565"/>
      <c r="Q307" s="565"/>
      <c r="R307" s="565"/>
      <c r="S307" s="565"/>
      <c r="T307" s="565"/>
      <c r="U307" s="565"/>
      <c r="V307" s="565"/>
      <c r="W307" s="565"/>
      <c r="X307" s="565"/>
      <c r="Y307" s="565"/>
      <c r="Z307" s="565"/>
      <c r="AA307" s="565"/>
      <c r="AB307" s="565"/>
      <c r="AC307" s="565"/>
      <c r="AD307" s="565"/>
      <c r="AE307" s="565"/>
      <c r="AF307" s="565"/>
      <c r="AG307" s="565"/>
      <c r="AH307" s="565"/>
      <c r="AI307" s="565"/>
      <c r="AJ307" s="565"/>
      <c r="AK307" s="565"/>
      <c r="AL307" s="565"/>
      <c r="AM307" s="565"/>
      <c r="AN307" s="565"/>
      <c r="AO307" s="565"/>
      <c r="AP307" s="565"/>
      <c r="AQ307" s="565"/>
      <c r="AR307" s="565"/>
      <c r="AS307" s="565"/>
      <c r="AT307" s="565"/>
      <c r="AU307" s="181"/>
      <c r="AV307" s="558"/>
    </row>
    <row r="308" ht="11.25" customHeight="1">
      <c r="A308" s="565"/>
      <c r="B308" s="181"/>
      <c r="C308" s="565"/>
      <c r="D308" s="565"/>
      <c r="E308" s="565"/>
      <c r="F308" s="565"/>
      <c r="G308" s="565"/>
      <c r="H308" s="565"/>
      <c r="I308" s="565"/>
      <c r="J308" s="565"/>
      <c r="K308" s="565"/>
      <c r="L308" s="565"/>
      <c r="M308" s="565"/>
      <c r="N308" s="565"/>
      <c r="O308" s="565"/>
      <c r="P308" s="565"/>
      <c r="Q308" s="565"/>
      <c r="R308" s="565"/>
      <c r="S308" s="565"/>
      <c r="T308" s="565"/>
      <c r="U308" s="565"/>
      <c r="V308" s="565"/>
      <c r="W308" s="565"/>
      <c r="X308" s="565"/>
      <c r="Y308" s="565"/>
      <c r="Z308" s="565"/>
      <c r="AA308" s="565"/>
      <c r="AB308" s="565"/>
      <c r="AC308" s="565"/>
      <c r="AD308" s="565"/>
      <c r="AE308" s="565"/>
      <c r="AF308" s="565"/>
      <c r="AG308" s="565"/>
      <c r="AH308" s="565"/>
      <c r="AI308" s="565"/>
      <c r="AJ308" s="565"/>
      <c r="AK308" s="565"/>
      <c r="AL308" s="565"/>
      <c r="AM308" s="565"/>
      <c r="AN308" s="565"/>
      <c r="AO308" s="565"/>
      <c r="AP308" s="565"/>
      <c r="AQ308" s="565"/>
      <c r="AR308" s="565"/>
      <c r="AS308" s="565"/>
      <c r="AT308" s="565"/>
      <c r="AU308" s="181"/>
      <c r="AV308" s="558"/>
    </row>
    <row r="309" ht="11.25" customHeight="1">
      <c r="A309" s="565"/>
      <c r="B309" s="181"/>
      <c r="C309" s="565"/>
      <c r="D309" s="565"/>
      <c r="E309" s="565"/>
      <c r="F309" s="565"/>
      <c r="G309" s="565"/>
      <c r="H309" s="565"/>
      <c r="I309" s="565"/>
      <c r="J309" s="565"/>
      <c r="K309" s="565"/>
      <c r="L309" s="565"/>
      <c r="M309" s="565"/>
      <c r="N309" s="565"/>
      <c r="O309" s="565"/>
      <c r="P309" s="565"/>
      <c r="Q309" s="565"/>
      <c r="R309" s="565"/>
      <c r="S309" s="565"/>
      <c r="T309" s="565"/>
      <c r="U309" s="565"/>
      <c r="V309" s="565"/>
      <c r="W309" s="565"/>
      <c r="X309" s="565"/>
      <c r="Y309" s="565"/>
      <c r="Z309" s="565"/>
      <c r="AA309" s="565"/>
      <c r="AB309" s="565"/>
      <c r="AC309" s="565"/>
      <c r="AD309" s="565"/>
      <c r="AE309" s="565"/>
      <c r="AF309" s="565"/>
      <c r="AG309" s="565"/>
      <c r="AH309" s="565"/>
      <c r="AI309" s="565"/>
      <c r="AJ309" s="565"/>
      <c r="AK309" s="565"/>
      <c r="AL309" s="565"/>
      <c r="AM309" s="565"/>
      <c r="AN309" s="565"/>
      <c r="AO309" s="565"/>
      <c r="AP309" s="565"/>
      <c r="AQ309" s="565"/>
      <c r="AR309" s="565"/>
      <c r="AS309" s="565"/>
      <c r="AT309" s="565"/>
      <c r="AU309" s="181"/>
      <c r="AV309" s="558"/>
    </row>
    <row r="310" ht="11.25" customHeight="1">
      <c r="A310" s="565"/>
      <c r="B310" s="181"/>
      <c r="C310" s="565"/>
      <c r="D310" s="565"/>
      <c r="E310" s="565"/>
      <c r="F310" s="565"/>
      <c r="G310" s="565"/>
      <c r="H310" s="565"/>
      <c r="I310" s="565"/>
      <c r="J310" s="565"/>
      <c r="K310" s="565"/>
      <c r="L310" s="565"/>
      <c r="M310" s="565"/>
      <c r="N310" s="565"/>
      <c r="O310" s="565"/>
      <c r="P310" s="565"/>
      <c r="Q310" s="565"/>
      <c r="R310" s="565"/>
      <c r="S310" s="565"/>
      <c r="T310" s="565"/>
      <c r="U310" s="565"/>
      <c r="V310" s="565"/>
      <c r="W310" s="565"/>
      <c r="X310" s="565"/>
      <c r="Y310" s="565"/>
      <c r="Z310" s="565"/>
      <c r="AA310" s="565"/>
      <c r="AB310" s="565"/>
      <c r="AC310" s="565"/>
      <c r="AD310" s="565"/>
      <c r="AE310" s="565"/>
      <c r="AF310" s="565"/>
      <c r="AG310" s="565"/>
      <c r="AH310" s="565"/>
      <c r="AI310" s="565"/>
      <c r="AJ310" s="565"/>
      <c r="AK310" s="565"/>
      <c r="AL310" s="565"/>
      <c r="AM310" s="565"/>
      <c r="AN310" s="565"/>
      <c r="AO310" s="565"/>
      <c r="AP310" s="565"/>
      <c r="AQ310" s="565"/>
      <c r="AR310" s="565"/>
      <c r="AS310" s="565"/>
      <c r="AT310" s="565"/>
      <c r="AU310" s="181"/>
      <c r="AV310" s="558"/>
    </row>
    <row r="311" ht="11.25" customHeight="1">
      <c r="A311" s="565"/>
      <c r="B311" s="181"/>
      <c r="C311" s="565"/>
      <c r="D311" s="565"/>
      <c r="E311" s="565"/>
      <c r="F311" s="565"/>
      <c r="G311" s="565"/>
      <c r="H311" s="565"/>
      <c r="I311" s="565"/>
      <c r="J311" s="565"/>
      <c r="K311" s="565"/>
      <c r="L311" s="565"/>
      <c r="M311" s="565"/>
      <c r="N311" s="565"/>
      <c r="O311" s="565"/>
      <c r="P311" s="565"/>
      <c r="Q311" s="565"/>
      <c r="R311" s="565"/>
      <c r="S311" s="565"/>
      <c r="T311" s="565"/>
      <c r="U311" s="565"/>
      <c r="V311" s="565"/>
      <c r="W311" s="565"/>
      <c r="X311" s="565"/>
      <c r="Y311" s="565"/>
      <c r="Z311" s="565"/>
      <c r="AA311" s="565"/>
      <c r="AB311" s="565"/>
      <c r="AC311" s="565"/>
      <c r="AD311" s="565"/>
      <c r="AE311" s="565"/>
      <c r="AF311" s="565"/>
      <c r="AG311" s="565"/>
      <c r="AH311" s="565"/>
      <c r="AI311" s="565"/>
      <c r="AJ311" s="565"/>
      <c r="AK311" s="565"/>
      <c r="AL311" s="565"/>
      <c r="AM311" s="565"/>
      <c r="AN311" s="565"/>
      <c r="AO311" s="565"/>
      <c r="AP311" s="565"/>
      <c r="AQ311" s="565"/>
      <c r="AR311" s="565"/>
      <c r="AS311" s="565"/>
      <c r="AT311" s="565"/>
      <c r="AU311" s="181"/>
      <c r="AV311" s="558"/>
    </row>
    <row r="312" ht="11.25" customHeight="1">
      <c r="A312" s="565"/>
      <c r="B312" s="181"/>
      <c r="C312" s="565"/>
      <c r="D312" s="565"/>
      <c r="E312" s="565"/>
      <c r="F312" s="565"/>
      <c r="G312" s="565"/>
      <c r="H312" s="565"/>
      <c r="I312" s="565"/>
      <c r="J312" s="565"/>
      <c r="K312" s="565"/>
      <c r="L312" s="565"/>
      <c r="M312" s="565"/>
      <c r="N312" s="565"/>
      <c r="O312" s="565"/>
      <c r="P312" s="565"/>
      <c r="Q312" s="565"/>
      <c r="R312" s="565"/>
      <c r="S312" s="565"/>
      <c r="T312" s="565"/>
      <c r="U312" s="565"/>
      <c r="V312" s="565"/>
      <c r="W312" s="565"/>
      <c r="X312" s="565"/>
      <c r="Y312" s="565"/>
      <c r="Z312" s="565"/>
      <c r="AA312" s="565"/>
      <c r="AB312" s="565"/>
      <c r="AC312" s="565"/>
      <c r="AD312" s="565"/>
      <c r="AE312" s="565"/>
      <c r="AF312" s="565"/>
      <c r="AG312" s="565"/>
      <c r="AH312" s="565"/>
      <c r="AI312" s="565"/>
      <c r="AJ312" s="565"/>
      <c r="AK312" s="565"/>
      <c r="AL312" s="565"/>
      <c r="AM312" s="565"/>
      <c r="AN312" s="565"/>
      <c r="AO312" s="565"/>
      <c r="AP312" s="565"/>
      <c r="AQ312" s="565"/>
      <c r="AR312" s="565"/>
      <c r="AS312" s="565"/>
      <c r="AT312" s="565"/>
      <c r="AU312" s="181"/>
      <c r="AV312" s="558"/>
    </row>
    <row r="313" ht="11.25" customHeight="1">
      <c r="A313" s="565"/>
      <c r="B313" s="181"/>
      <c r="C313" s="565"/>
      <c r="D313" s="565"/>
      <c r="E313" s="565"/>
      <c r="F313" s="565"/>
      <c r="G313" s="565"/>
      <c r="H313" s="565"/>
      <c r="I313" s="565"/>
      <c r="J313" s="565"/>
      <c r="K313" s="565"/>
      <c r="L313" s="565"/>
      <c r="M313" s="565"/>
      <c r="N313" s="565"/>
      <c r="O313" s="565"/>
      <c r="P313" s="565"/>
      <c r="Q313" s="565"/>
      <c r="R313" s="565"/>
      <c r="S313" s="565"/>
      <c r="T313" s="565"/>
      <c r="U313" s="565"/>
      <c r="V313" s="565"/>
      <c r="W313" s="565"/>
      <c r="X313" s="565"/>
      <c r="Y313" s="565"/>
      <c r="Z313" s="565"/>
      <c r="AA313" s="565"/>
      <c r="AB313" s="565"/>
      <c r="AC313" s="565"/>
      <c r="AD313" s="565"/>
      <c r="AE313" s="565"/>
      <c r="AF313" s="565"/>
      <c r="AG313" s="565"/>
      <c r="AH313" s="565"/>
      <c r="AI313" s="565"/>
      <c r="AJ313" s="565"/>
      <c r="AK313" s="565"/>
      <c r="AL313" s="565"/>
      <c r="AM313" s="565"/>
      <c r="AN313" s="565"/>
      <c r="AO313" s="565"/>
      <c r="AP313" s="565"/>
      <c r="AQ313" s="565"/>
      <c r="AR313" s="565"/>
      <c r="AS313" s="565"/>
      <c r="AT313" s="565"/>
      <c r="AU313" s="181"/>
      <c r="AV313" s="558"/>
    </row>
    <row r="314" ht="11.25" customHeight="1">
      <c r="A314" s="565"/>
      <c r="B314" s="181"/>
      <c r="C314" s="565"/>
      <c r="D314" s="565"/>
      <c r="E314" s="565"/>
      <c r="F314" s="565"/>
      <c r="G314" s="565"/>
      <c r="H314" s="565"/>
      <c r="I314" s="565"/>
      <c r="J314" s="565"/>
      <c r="K314" s="565"/>
      <c r="L314" s="565"/>
      <c r="M314" s="565"/>
      <c r="N314" s="565"/>
      <c r="O314" s="565"/>
      <c r="P314" s="565"/>
      <c r="Q314" s="565"/>
      <c r="R314" s="565"/>
      <c r="S314" s="565"/>
      <c r="T314" s="565"/>
      <c r="U314" s="565"/>
      <c r="V314" s="565"/>
      <c r="W314" s="565"/>
      <c r="X314" s="565"/>
      <c r="Y314" s="565"/>
      <c r="Z314" s="565"/>
      <c r="AA314" s="565"/>
      <c r="AB314" s="565"/>
      <c r="AC314" s="565"/>
      <c r="AD314" s="565"/>
      <c r="AE314" s="565"/>
      <c r="AF314" s="565"/>
      <c r="AG314" s="565"/>
      <c r="AH314" s="565"/>
      <c r="AI314" s="565"/>
      <c r="AJ314" s="565"/>
      <c r="AK314" s="565"/>
      <c r="AL314" s="565"/>
      <c r="AM314" s="565"/>
      <c r="AN314" s="565"/>
      <c r="AO314" s="565"/>
      <c r="AP314" s="565"/>
      <c r="AQ314" s="565"/>
      <c r="AR314" s="565"/>
      <c r="AS314" s="565"/>
      <c r="AT314" s="565"/>
      <c r="AU314" s="181"/>
      <c r="AV314" s="558"/>
    </row>
    <row r="315" ht="11.25" customHeight="1">
      <c r="A315" s="565"/>
      <c r="B315" s="181"/>
      <c r="C315" s="565"/>
      <c r="D315" s="565"/>
      <c r="E315" s="565"/>
      <c r="F315" s="565"/>
      <c r="G315" s="565"/>
      <c r="H315" s="565"/>
      <c r="I315" s="565"/>
      <c r="J315" s="565"/>
      <c r="K315" s="565"/>
      <c r="L315" s="565"/>
      <c r="M315" s="565"/>
      <c r="N315" s="565"/>
      <c r="O315" s="565"/>
      <c r="P315" s="565"/>
      <c r="Q315" s="565"/>
      <c r="R315" s="565"/>
      <c r="S315" s="565"/>
      <c r="T315" s="565"/>
      <c r="U315" s="565"/>
      <c r="V315" s="565"/>
      <c r="W315" s="565"/>
      <c r="X315" s="565"/>
      <c r="Y315" s="565"/>
      <c r="Z315" s="565"/>
      <c r="AA315" s="565"/>
      <c r="AB315" s="565"/>
      <c r="AC315" s="565"/>
      <c r="AD315" s="565"/>
      <c r="AE315" s="565"/>
      <c r="AF315" s="565"/>
      <c r="AG315" s="565"/>
      <c r="AH315" s="565"/>
      <c r="AI315" s="565"/>
      <c r="AJ315" s="565"/>
      <c r="AK315" s="565"/>
      <c r="AL315" s="565"/>
      <c r="AM315" s="565"/>
      <c r="AN315" s="565"/>
      <c r="AO315" s="565"/>
      <c r="AP315" s="565"/>
      <c r="AQ315" s="565"/>
      <c r="AR315" s="565"/>
      <c r="AS315" s="565"/>
      <c r="AT315" s="565"/>
      <c r="AU315" s="181"/>
      <c r="AV315" s="558"/>
    </row>
    <row r="316" ht="11.25" customHeight="1">
      <c r="A316" s="565"/>
      <c r="B316" s="181"/>
      <c r="C316" s="565"/>
      <c r="D316" s="565"/>
      <c r="E316" s="565"/>
      <c r="F316" s="565"/>
      <c r="G316" s="565"/>
      <c r="H316" s="565"/>
      <c r="I316" s="565"/>
      <c r="J316" s="565"/>
      <c r="K316" s="565"/>
      <c r="L316" s="565"/>
      <c r="M316" s="565"/>
      <c r="N316" s="565"/>
      <c r="O316" s="565"/>
      <c r="P316" s="565"/>
      <c r="Q316" s="565"/>
      <c r="R316" s="565"/>
      <c r="S316" s="565"/>
      <c r="T316" s="565"/>
      <c r="U316" s="565"/>
      <c r="V316" s="565"/>
      <c r="W316" s="565"/>
      <c r="X316" s="565"/>
      <c r="Y316" s="565"/>
      <c r="Z316" s="565"/>
      <c r="AA316" s="565"/>
      <c r="AB316" s="565"/>
      <c r="AC316" s="565"/>
      <c r="AD316" s="565"/>
      <c r="AE316" s="565"/>
      <c r="AF316" s="565"/>
      <c r="AG316" s="565"/>
      <c r="AH316" s="565"/>
      <c r="AI316" s="565"/>
      <c r="AJ316" s="565"/>
      <c r="AK316" s="565"/>
      <c r="AL316" s="565"/>
      <c r="AM316" s="565"/>
      <c r="AN316" s="565"/>
      <c r="AO316" s="565"/>
      <c r="AP316" s="565"/>
      <c r="AQ316" s="565"/>
      <c r="AR316" s="565"/>
      <c r="AS316" s="565"/>
      <c r="AT316" s="565"/>
      <c r="AU316" s="181"/>
      <c r="AV316" s="558"/>
    </row>
    <row r="317" ht="11.25" customHeight="1">
      <c r="A317" s="565"/>
      <c r="B317" s="181"/>
      <c r="C317" s="565"/>
      <c r="D317" s="565"/>
      <c r="E317" s="565"/>
      <c r="F317" s="565"/>
      <c r="G317" s="565"/>
      <c r="H317" s="565"/>
      <c r="I317" s="565"/>
      <c r="J317" s="565"/>
      <c r="K317" s="565"/>
      <c r="L317" s="565"/>
      <c r="M317" s="565"/>
      <c r="N317" s="565"/>
      <c r="O317" s="565"/>
      <c r="P317" s="565"/>
      <c r="Q317" s="565"/>
      <c r="R317" s="565"/>
      <c r="S317" s="565"/>
      <c r="T317" s="565"/>
      <c r="U317" s="565"/>
      <c r="V317" s="565"/>
      <c r="W317" s="565"/>
      <c r="X317" s="565"/>
      <c r="Y317" s="565"/>
      <c r="Z317" s="565"/>
      <c r="AA317" s="565"/>
      <c r="AB317" s="565"/>
      <c r="AC317" s="565"/>
      <c r="AD317" s="565"/>
      <c r="AE317" s="565"/>
      <c r="AF317" s="565"/>
      <c r="AG317" s="565"/>
      <c r="AH317" s="565"/>
      <c r="AI317" s="565"/>
      <c r="AJ317" s="565"/>
      <c r="AK317" s="565"/>
      <c r="AL317" s="565"/>
      <c r="AM317" s="565"/>
      <c r="AN317" s="565"/>
      <c r="AO317" s="565"/>
      <c r="AP317" s="565"/>
      <c r="AQ317" s="565"/>
      <c r="AR317" s="565"/>
      <c r="AS317" s="565"/>
      <c r="AT317" s="565"/>
      <c r="AU317" s="181"/>
      <c r="AV317" s="558"/>
    </row>
    <row r="318" ht="11.25" customHeight="1">
      <c r="A318" s="565"/>
      <c r="B318" s="181"/>
      <c r="C318" s="565"/>
      <c r="D318" s="565"/>
      <c r="E318" s="565"/>
      <c r="F318" s="565"/>
      <c r="G318" s="565"/>
      <c r="H318" s="565"/>
      <c r="I318" s="565"/>
      <c r="J318" s="565"/>
      <c r="K318" s="565"/>
      <c r="L318" s="565"/>
      <c r="M318" s="565"/>
      <c r="N318" s="565"/>
      <c r="O318" s="565"/>
      <c r="P318" s="565"/>
      <c r="Q318" s="565"/>
      <c r="R318" s="565"/>
      <c r="S318" s="565"/>
      <c r="T318" s="565"/>
      <c r="U318" s="565"/>
      <c r="V318" s="565"/>
      <c r="W318" s="565"/>
      <c r="X318" s="565"/>
      <c r="Y318" s="565"/>
      <c r="Z318" s="565"/>
      <c r="AA318" s="565"/>
      <c r="AB318" s="565"/>
      <c r="AC318" s="565"/>
      <c r="AD318" s="565"/>
      <c r="AE318" s="565"/>
      <c r="AF318" s="565"/>
      <c r="AG318" s="565"/>
      <c r="AH318" s="565"/>
      <c r="AI318" s="565"/>
      <c r="AJ318" s="565"/>
      <c r="AK318" s="565"/>
      <c r="AL318" s="565"/>
      <c r="AM318" s="565"/>
      <c r="AN318" s="565"/>
      <c r="AO318" s="565"/>
      <c r="AP318" s="565"/>
      <c r="AQ318" s="565"/>
      <c r="AR318" s="565"/>
      <c r="AS318" s="565"/>
      <c r="AT318" s="565"/>
      <c r="AU318" s="181"/>
      <c r="AV318" s="558"/>
    </row>
    <row r="319" ht="11.25" customHeight="1">
      <c r="A319" s="565"/>
      <c r="B319" s="181"/>
      <c r="C319" s="565"/>
      <c r="D319" s="565"/>
      <c r="E319" s="565"/>
      <c r="F319" s="565"/>
      <c r="G319" s="565"/>
      <c r="H319" s="565"/>
      <c r="I319" s="565"/>
      <c r="J319" s="565"/>
      <c r="K319" s="565"/>
      <c r="L319" s="565"/>
      <c r="M319" s="565"/>
      <c r="N319" s="565"/>
      <c r="O319" s="565"/>
      <c r="P319" s="565"/>
      <c r="Q319" s="565"/>
      <c r="R319" s="565"/>
      <c r="S319" s="565"/>
      <c r="T319" s="565"/>
      <c r="U319" s="565"/>
      <c r="V319" s="565"/>
      <c r="W319" s="565"/>
      <c r="X319" s="565"/>
      <c r="Y319" s="565"/>
      <c r="Z319" s="565"/>
      <c r="AA319" s="565"/>
      <c r="AB319" s="565"/>
      <c r="AC319" s="565"/>
      <c r="AD319" s="565"/>
      <c r="AE319" s="565"/>
      <c r="AF319" s="565"/>
      <c r="AG319" s="565"/>
      <c r="AH319" s="565"/>
      <c r="AI319" s="565"/>
      <c r="AJ319" s="565"/>
      <c r="AK319" s="565"/>
      <c r="AL319" s="565"/>
      <c r="AM319" s="565"/>
      <c r="AN319" s="565"/>
      <c r="AO319" s="565"/>
      <c r="AP319" s="565"/>
      <c r="AQ319" s="565"/>
      <c r="AR319" s="565"/>
      <c r="AS319" s="565"/>
      <c r="AT319" s="565"/>
      <c r="AU319" s="181"/>
      <c r="AV319" s="558"/>
    </row>
    <row r="320" ht="11.25" customHeight="1">
      <c r="A320" s="565"/>
      <c r="B320" s="181"/>
      <c r="C320" s="565"/>
      <c r="D320" s="565"/>
      <c r="E320" s="565"/>
      <c r="F320" s="565"/>
      <c r="G320" s="565"/>
      <c r="H320" s="565"/>
      <c r="I320" s="565"/>
      <c r="J320" s="565"/>
      <c r="K320" s="565"/>
      <c r="L320" s="565"/>
      <c r="M320" s="565"/>
      <c r="N320" s="565"/>
      <c r="O320" s="565"/>
      <c r="P320" s="565"/>
      <c r="Q320" s="565"/>
      <c r="R320" s="565"/>
      <c r="S320" s="565"/>
      <c r="T320" s="565"/>
      <c r="U320" s="565"/>
      <c r="V320" s="565"/>
      <c r="W320" s="565"/>
      <c r="X320" s="565"/>
      <c r="Y320" s="565"/>
      <c r="Z320" s="565"/>
      <c r="AA320" s="565"/>
      <c r="AB320" s="565"/>
      <c r="AC320" s="565"/>
      <c r="AD320" s="565"/>
      <c r="AE320" s="565"/>
      <c r="AF320" s="565"/>
      <c r="AG320" s="565"/>
      <c r="AH320" s="565"/>
      <c r="AI320" s="565"/>
      <c r="AJ320" s="565"/>
      <c r="AK320" s="565"/>
      <c r="AL320" s="565"/>
      <c r="AM320" s="565"/>
      <c r="AN320" s="565"/>
      <c r="AO320" s="565"/>
      <c r="AP320" s="565"/>
      <c r="AQ320" s="565"/>
      <c r="AR320" s="565"/>
      <c r="AS320" s="565"/>
      <c r="AT320" s="565"/>
      <c r="AU320" s="181"/>
      <c r="AV320" s="558"/>
    </row>
    <row r="321" ht="11.25" customHeight="1">
      <c r="A321" s="565"/>
      <c r="B321" s="181"/>
      <c r="C321" s="565"/>
      <c r="D321" s="565"/>
      <c r="E321" s="565"/>
      <c r="F321" s="565"/>
      <c r="G321" s="565"/>
      <c r="H321" s="565"/>
      <c r="I321" s="565"/>
      <c r="J321" s="565"/>
      <c r="K321" s="565"/>
      <c r="L321" s="565"/>
      <c r="M321" s="565"/>
      <c r="N321" s="565"/>
      <c r="O321" s="565"/>
      <c r="P321" s="565"/>
      <c r="Q321" s="565"/>
      <c r="R321" s="565"/>
      <c r="S321" s="565"/>
      <c r="T321" s="565"/>
      <c r="U321" s="565"/>
      <c r="V321" s="565"/>
      <c r="W321" s="565"/>
      <c r="X321" s="565"/>
      <c r="Y321" s="565"/>
      <c r="Z321" s="565"/>
      <c r="AA321" s="565"/>
      <c r="AB321" s="565"/>
      <c r="AC321" s="565"/>
      <c r="AD321" s="565"/>
      <c r="AE321" s="565"/>
      <c r="AF321" s="565"/>
      <c r="AG321" s="565"/>
      <c r="AH321" s="565"/>
      <c r="AI321" s="565"/>
      <c r="AJ321" s="565"/>
      <c r="AK321" s="565"/>
      <c r="AL321" s="565"/>
      <c r="AM321" s="565"/>
      <c r="AN321" s="565"/>
      <c r="AO321" s="565"/>
      <c r="AP321" s="565"/>
      <c r="AQ321" s="565"/>
      <c r="AR321" s="565"/>
      <c r="AS321" s="565"/>
      <c r="AT321" s="565"/>
      <c r="AU321" s="181"/>
      <c r="AV321" s="558"/>
    </row>
    <row r="322" ht="11.25" customHeight="1">
      <c r="A322" s="565"/>
      <c r="B322" s="181"/>
      <c r="C322" s="565"/>
      <c r="D322" s="565"/>
      <c r="E322" s="565"/>
      <c r="F322" s="565"/>
      <c r="G322" s="565"/>
      <c r="H322" s="565"/>
      <c r="I322" s="565"/>
      <c r="J322" s="565"/>
      <c r="K322" s="565"/>
      <c r="L322" s="565"/>
      <c r="M322" s="565"/>
      <c r="N322" s="565"/>
      <c r="O322" s="565"/>
      <c r="P322" s="565"/>
      <c r="Q322" s="565"/>
      <c r="R322" s="565"/>
      <c r="S322" s="565"/>
      <c r="T322" s="565"/>
      <c r="U322" s="565"/>
      <c r="V322" s="565"/>
      <c r="W322" s="565"/>
      <c r="X322" s="565"/>
      <c r="Y322" s="565"/>
      <c r="Z322" s="565"/>
      <c r="AA322" s="565"/>
      <c r="AB322" s="565"/>
      <c r="AC322" s="565"/>
      <c r="AD322" s="565"/>
      <c r="AE322" s="565"/>
      <c r="AF322" s="565"/>
      <c r="AG322" s="565"/>
      <c r="AH322" s="565"/>
      <c r="AI322" s="565"/>
      <c r="AJ322" s="565"/>
      <c r="AK322" s="565"/>
      <c r="AL322" s="565"/>
      <c r="AM322" s="565"/>
      <c r="AN322" s="565"/>
      <c r="AO322" s="565"/>
      <c r="AP322" s="565"/>
      <c r="AQ322" s="565"/>
      <c r="AR322" s="565"/>
      <c r="AS322" s="565"/>
      <c r="AT322" s="565"/>
      <c r="AU322" s="181"/>
      <c r="AV322" s="558"/>
    </row>
    <row r="323" ht="11.25" customHeight="1">
      <c r="A323" s="565"/>
      <c r="B323" s="181"/>
      <c r="C323" s="565"/>
      <c r="D323" s="565"/>
      <c r="E323" s="565"/>
      <c r="F323" s="565"/>
      <c r="G323" s="565"/>
      <c r="H323" s="565"/>
      <c r="I323" s="565"/>
      <c r="J323" s="565"/>
      <c r="K323" s="565"/>
      <c r="L323" s="565"/>
      <c r="M323" s="565"/>
      <c r="N323" s="565"/>
      <c r="O323" s="565"/>
      <c r="P323" s="565"/>
      <c r="Q323" s="565"/>
      <c r="R323" s="565"/>
      <c r="S323" s="565"/>
      <c r="T323" s="565"/>
      <c r="U323" s="565"/>
      <c r="V323" s="565"/>
      <c r="W323" s="565"/>
      <c r="X323" s="565"/>
      <c r="Y323" s="565"/>
      <c r="Z323" s="565"/>
      <c r="AA323" s="565"/>
      <c r="AB323" s="565"/>
      <c r="AC323" s="565"/>
      <c r="AD323" s="565"/>
      <c r="AE323" s="565"/>
      <c r="AF323" s="565"/>
      <c r="AG323" s="565"/>
      <c r="AH323" s="565"/>
      <c r="AI323" s="565"/>
      <c r="AJ323" s="565"/>
      <c r="AK323" s="565"/>
      <c r="AL323" s="565"/>
      <c r="AM323" s="565"/>
      <c r="AN323" s="565"/>
      <c r="AO323" s="565"/>
      <c r="AP323" s="565"/>
      <c r="AQ323" s="565"/>
      <c r="AR323" s="565"/>
      <c r="AS323" s="565"/>
      <c r="AT323" s="565"/>
      <c r="AU323" s="181"/>
      <c r="AV323" s="558"/>
    </row>
    <row r="324" ht="11.25" customHeight="1">
      <c r="A324" s="565"/>
      <c r="B324" s="181"/>
      <c r="C324" s="565"/>
      <c r="D324" s="565"/>
      <c r="E324" s="565"/>
      <c r="F324" s="565"/>
      <c r="G324" s="565"/>
      <c r="H324" s="565"/>
      <c r="I324" s="565"/>
      <c r="J324" s="565"/>
      <c r="K324" s="565"/>
      <c r="L324" s="565"/>
      <c r="M324" s="565"/>
      <c r="N324" s="565"/>
      <c r="O324" s="565"/>
      <c r="P324" s="565"/>
      <c r="Q324" s="565"/>
      <c r="R324" s="565"/>
      <c r="S324" s="565"/>
      <c r="T324" s="565"/>
      <c r="U324" s="565"/>
      <c r="V324" s="565"/>
      <c r="W324" s="565"/>
      <c r="X324" s="565"/>
      <c r="Y324" s="565"/>
      <c r="Z324" s="565"/>
      <c r="AA324" s="565"/>
      <c r="AB324" s="565"/>
      <c r="AC324" s="565"/>
      <c r="AD324" s="565"/>
      <c r="AE324" s="565"/>
      <c r="AF324" s="565"/>
      <c r="AG324" s="565"/>
      <c r="AH324" s="565"/>
      <c r="AI324" s="565"/>
      <c r="AJ324" s="565"/>
      <c r="AK324" s="565"/>
      <c r="AL324" s="565"/>
      <c r="AM324" s="565"/>
      <c r="AN324" s="565"/>
      <c r="AO324" s="565"/>
      <c r="AP324" s="565"/>
      <c r="AQ324" s="565"/>
      <c r="AR324" s="565"/>
      <c r="AS324" s="565"/>
      <c r="AT324" s="565"/>
      <c r="AU324" s="181"/>
      <c r="AV324" s="558"/>
    </row>
    <row r="325" ht="11.25" customHeight="1">
      <c r="A325" s="565"/>
      <c r="B325" s="181"/>
      <c r="C325" s="565"/>
      <c r="D325" s="565"/>
      <c r="E325" s="565"/>
      <c r="F325" s="565"/>
      <c r="G325" s="565"/>
      <c r="H325" s="565"/>
      <c r="I325" s="565"/>
      <c r="J325" s="565"/>
      <c r="K325" s="565"/>
      <c r="L325" s="565"/>
      <c r="M325" s="565"/>
      <c r="N325" s="565"/>
      <c r="O325" s="565"/>
      <c r="P325" s="565"/>
      <c r="Q325" s="565"/>
      <c r="R325" s="565"/>
      <c r="S325" s="565"/>
      <c r="T325" s="565"/>
      <c r="U325" s="565"/>
      <c r="V325" s="565"/>
      <c r="W325" s="565"/>
      <c r="X325" s="565"/>
      <c r="Y325" s="565"/>
      <c r="Z325" s="565"/>
      <c r="AA325" s="565"/>
      <c r="AB325" s="565"/>
      <c r="AC325" s="565"/>
      <c r="AD325" s="565"/>
      <c r="AE325" s="565"/>
      <c r="AF325" s="565"/>
      <c r="AG325" s="565"/>
      <c r="AH325" s="565"/>
      <c r="AI325" s="565"/>
      <c r="AJ325" s="565"/>
      <c r="AK325" s="565"/>
      <c r="AL325" s="565"/>
      <c r="AM325" s="565"/>
      <c r="AN325" s="565"/>
      <c r="AO325" s="565"/>
      <c r="AP325" s="565"/>
      <c r="AQ325" s="565"/>
      <c r="AR325" s="565"/>
      <c r="AS325" s="565"/>
      <c r="AT325" s="565"/>
      <c r="AU325" s="181"/>
      <c r="AV325" s="558"/>
    </row>
    <row r="326" ht="11.25" customHeight="1">
      <c r="A326" s="565"/>
      <c r="B326" s="181"/>
      <c r="C326" s="565"/>
      <c r="D326" s="565"/>
      <c r="E326" s="565"/>
      <c r="F326" s="565"/>
      <c r="G326" s="565"/>
      <c r="H326" s="565"/>
      <c r="I326" s="565"/>
      <c r="J326" s="565"/>
      <c r="K326" s="565"/>
      <c r="L326" s="565"/>
      <c r="M326" s="565"/>
      <c r="N326" s="565"/>
      <c r="O326" s="565"/>
      <c r="P326" s="565"/>
      <c r="Q326" s="565"/>
      <c r="R326" s="565"/>
      <c r="S326" s="565"/>
      <c r="T326" s="565"/>
      <c r="U326" s="565"/>
      <c r="V326" s="565"/>
      <c r="W326" s="565"/>
      <c r="X326" s="565"/>
      <c r="Y326" s="565"/>
      <c r="Z326" s="565"/>
      <c r="AA326" s="565"/>
      <c r="AB326" s="565"/>
      <c r="AC326" s="565"/>
      <c r="AD326" s="565"/>
      <c r="AE326" s="565"/>
      <c r="AF326" s="565"/>
      <c r="AG326" s="565"/>
      <c r="AH326" s="565"/>
      <c r="AI326" s="565"/>
      <c r="AJ326" s="565"/>
      <c r="AK326" s="565"/>
      <c r="AL326" s="565"/>
      <c r="AM326" s="565"/>
      <c r="AN326" s="565"/>
      <c r="AO326" s="565"/>
      <c r="AP326" s="565"/>
      <c r="AQ326" s="565"/>
      <c r="AR326" s="565"/>
      <c r="AS326" s="565"/>
      <c r="AT326" s="565"/>
      <c r="AU326" s="181"/>
      <c r="AV326" s="558"/>
    </row>
    <row r="327" ht="11.25" customHeight="1">
      <c r="A327" s="565"/>
      <c r="B327" s="181"/>
      <c r="C327" s="565"/>
      <c r="D327" s="565"/>
      <c r="E327" s="565"/>
      <c r="F327" s="565"/>
      <c r="G327" s="565"/>
      <c r="H327" s="565"/>
      <c r="I327" s="565"/>
      <c r="J327" s="565"/>
      <c r="K327" s="565"/>
      <c r="L327" s="565"/>
      <c r="M327" s="565"/>
      <c r="N327" s="565"/>
      <c r="O327" s="565"/>
      <c r="P327" s="565"/>
      <c r="Q327" s="565"/>
      <c r="R327" s="565"/>
      <c r="S327" s="565"/>
      <c r="T327" s="565"/>
      <c r="U327" s="565"/>
      <c r="V327" s="565"/>
      <c r="W327" s="565"/>
      <c r="X327" s="565"/>
      <c r="Y327" s="565"/>
      <c r="Z327" s="565"/>
      <c r="AA327" s="565"/>
      <c r="AB327" s="565"/>
      <c r="AC327" s="565"/>
      <c r="AD327" s="565"/>
      <c r="AE327" s="565"/>
      <c r="AF327" s="565"/>
      <c r="AG327" s="565"/>
      <c r="AH327" s="565"/>
      <c r="AI327" s="565"/>
      <c r="AJ327" s="565"/>
      <c r="AK327" s="565"/>
      <c r="AL327" s="565"/>
      <c r="AM327" s="565"/>
      <c r="AN327" s="565"/>
      <c r="AO327" s="565"/>
      <c r="AP327" s="565"/>
      <c r="AQ327" s="565"/>
      <c r="AR327" s="565"/>
      <c r="AS327" s="565"/>
      <c r="AT327" s="565"/>
      <c r="AU327" s="181"/>
      <c r="AV327" s="558"/>
    </row>
    <row r="328" ht="11.25" customHeight="1">
      <c r="A328" s="565"/>
      <c r="B328" s="181"/>
      <c r="C328" s="565"/>
      <c r="D328" s="565"/>
      <c r="E328" s="565"/>
      <c r="F328" s="565"/>
      <c r="G328" s="565"/>
      <c r="H328" s="565"/>
      <c r="I328" s="565"/>
      <c r="J328" s="565"/>
      <c r="K328" s="565"/>
      <c r="L328" s="565"/>
      <c r="M328" s="565"/>
      <c r="N328" s="565"/>
      <c r="O328" s="565"/>
      <c r="P328" s="565"/>
      <c r="Q328" s="565"/>
      <c r="R328" s="565"/>
      <c r="S328" s="565"/>
      <c r="T328" s="565"/>
      <c r="U328" s="565"/>
      <c r="V328" s="565"/>
      <c r="W328" s="565"/>
      <c r="X328" s="565"/>
      <c r="Y328" s="565"/>
      <c r="Z328" s="565"/>
      <c r="AA328" s="565"/>
      <c r="AB328" s="565"/>
      <c r="AC328" s="565"/>
      <c r="AD328" s="565"/>
      <c r="AE328" s="565"/>
      <c r="AF328" s="565"/>
      <c r="AG328" s="565"/>
      <c r="AH328" s="565"/>
      <c r="AI328" s="565"/>
      <c r="AJ328" s="565"/>
      <c r="AK328" s="565"/>
      <c r="AL328" s="565"/>
      <c r="AM328" s="565"/>
      <c r="AN328" s="565"/>
      <c r="AO328" s="565"/>
      <c r="AP328" s="565"/>
      <c r="AQ328" s="565"/>
      <c r="AR328" s="565"/>
      <c r="AS328" s="565"/>
      <c r="AT328" s="565"/>
      <c r="AU328" s="181"/>
      <c r="AV328" s="558"/>
    </row>
    <row r="329" ht="11.25" customHeight="1">
      <c r="A329" s="565"/>
      <c r="B329" s="181"/>
      <c r="C329" s="565"/>
      <c r="D329" s="565"/>
      <c r="E329" s="565"/>
      <c r="F329" s="565"/>
      <c r="G329" s="565"/>
      <c r="H329" s="565"/>
      <c r="I329" s="565"/>
      <c r="J329" s="565"/>
      <c r="K329" s="565"/>
      <c r="L329" s="565"/>
      <c r="M329" s="565"/>
      <c r="N329" s="565"/>
      <c r="O329" s="565"/>
      <c r="P329" s="565"/>
      <c r="Q329" s="565"/>
      <c r="R329" s="565"/>
      <c r="S329" s="565"/>
      <c r="T329" s="565"/>
      <c r="U329" s="565"/>
      <c r="V329" s="565"/>
      <c r="W329" s="565"/>
      <c r="X329" s="565"/>
      <c r="Y329" s="565"/>
      <c r="Z329" s="565"/>
      <c r="AA329" s="565"/>
      <c r="AB329" s="565"/>
      <c r="AC329" s="565"/>
      <c r="AD329" s="565"/>
      <c r="AE329" s="565"/>
      <c r="AF329" s="565"/>
      <c r="AG329" s="565"/>
      <c r="AH329" s="565"/>
      <c r="AI329" s="565"/>
      <c r="AJ329" s="565"/>
      <c r="AK329" s="565"/>
      <c r="AL329" s="565"/>
      <c r="AM329" s="565"/>
      <c r="AN329" s="565"/>
      <c r="AO329" s="565"/>
      <c r="AP329" s="565"/>
      <c r="AQ329" s="565"/>
      <c r="AR329" s="565"/>
      <c r="AS329" s="565"/>
      <c r="AT329" s="565"/>
      <c r="AU329" s="181"/>
      <c r="AV329" s="558"/>
    </row>
    <row r="330" ht="11.25" customHeight="1">
      <c r="A330" s="565"/>
      <c r="B330" s="181"/>
      <c r="C330" s="565"/>
      <c r="D330" s="565"/>
      <c r="E330" s="565"/>
      <c r="F330" s="565"/>
      <c r="G330" s="565"/>
      <c r="H330" s="565"/>
      <c r="I330" s="565"/>
      <c r="J330" s="565"/>
      <c r="K330" s="565"/>
      <c r="L330" s="565"/>
      <c r="M330" s="565"/>
      <c r="N330" s="565"/>
      <c r="O330" s="565"/>
      <c r="P330" s="565"/>
      <c r="Q330" s="565"/>
      <c r="R330" s="565"/>
      <c r="S330" s="565"/>
      <c r="T330" s="565"/>
      <c r="U330" s="565"/>
      <c r="V330" s="565"/>
      <c r="W330" s="565"/>
      <c r="X330" s="565"/>
      <c r="Y330" s="565"/>
      <c r="Z330" s="565"/>
      <c r="AA330" s="565"/>
      <c r="AB330" s="565"/>
      <c r="AC330" s="565"/>
      <c r="AD330" s="565"/>
      <c r="AE330" s="565"/>
      <c r="AF330" s="565"/>
      <c r="AG330" s="565"/>
      <c r="AH330" s="565"/>
      <c r="AI330" s="565"/>
      <c r="AJ330" s="565"/>
      <c r="AK330" s="565"/>
      <c r="AL330" s="565"/>
      <c r="AM330" s="565"/>
      <c r="AN330" s="565"/>
      <c r="AO330" s="565"/>
      <c r="AP330" s="565"/>
      <c r="AQ330" s="565"/>
      <c r="AR330" s="565"/>
      <c r="AS330" s="565"/>
      <c r="AT330" s="565"/>
      <c r="AU330" s="181"/>
      <c r="AV330" s="558"/>
    </row>
    <row r="331" ht="11.25" customHeight="1">
      <c r="A331" s="565"/>
      <c r="B331" s="181"/>
      <c r="C331" s="565"/>
      <c r="D331" s="565"/>
      <c r="E331" s="565"/>
      <c r="F331" s="565"/>
      <c r="G331" s="565"/>
      <c r="H331" s="565"/>
      <c r="I331" s="565"/>
      <c r="J331" s="565"/>
      <c r="K331" s="565"/>
      <c r="L331" s="565"/>
      <c r="M331" s="565"/>
      <c r="N331" s="565"/>
      <c r="O331" s="565"/>
      <c r="P331" s="565"/>
      <c r="Q331" s="565"/>
      <c r="R331" s="565"/>
      <c r="S331" s="565"/>
      <c r="T331" s="565"/>
      <c r="U331" s="565"/>
      <c r="V331" s="565"/>
      <c r="W331" s="565"/>
      <c r="X331" s="565"/>
      <c r="Y331" s="565"/>
      <c r="Z331" s="565"/>
      <c r="AA331" s="565"/>
      <c r="AB331" s="565"/>
      <c r="AC331" s="565"/>
      <c r="AD331" s="565"/>
      <c r="AE331" s="565"/>
      <c r="AF331" s="565"/>
      <c r="AG331" s="565"/>
      <c r="AH331" s="565"/>
      <c r="AI331" s="565"/>
      <c r="AJ331" s="565"/>
      <c r="AK331" s="565"/>
      <c r="AL331" s="565"/>
      <c r="AM331" s="565"/>
      <c r="AN331" s="565"/>
      <c r="AO331" s="565"/>
      <c r="AP331" s="565"/>
      <c r="AQ331" s="565"/>
      <c r="AR331" s="565"/>
      <c r="AS331" s="565"/>
      <c r="AT331" s="565"/>
      <c r="AU331" s="181"/>
      <c r="AV331" s="558"/>
    </row>
    <row r="332" ht="11.25" customHeight="1">
      <c r="A332" s="565"/>
      <c r="B332" s="181"/>
      <c r="C332" s="565"/>
      <c r="D332" s="565"/>
      <c r="E332" s="565"/>
      <c r="F332" s="565"/>
      <c r="G332" s="565"/>
      <c r="H332" s="565"/>
      <c r="I332" s="565"/>
      <c r="J332" s="565"/>
      <c r="K332" s="565"/>
      <c r="L332" s="565"/>
      <c r="M332" s="565"/>
      <c r="N332" s="565"/>
      <c r="O332" s="565"/>
      <c r="P332" s="565"/>
      <c r="Q332" s="565"/>
      <c r="R332" s="565"/>
      <c r="S332" s="565"/>
      <c r="T332" s="565"/>
      <c r="U332" s="565"/>
      <c r="V332" s="565"/>
      <c r="W332" s="565"/>
      <c r="X332" s="565"/>
      <c r="Y332" s="565"/>
      <c r="Z332" s="565"/>
      <c r="AA332" s="565"/>
      <c r="AB332" s="565"/>
      <c r="AC332" s="565"/>
      <c r="AD332" s="565"/>
      <c r="AE332" s="565"/>
      <c r="AF332" s="565"/>
      <c r="AG332" s="565"/>
      <c r="AH332" s="565"/>
      <c r="AI332" s="565"/>
      <c r="AJ332" s="565"/>
      <c r="AK332" s="565"/>
      <c r="AL332" s="565"/>
      <c r="AM332" s="565"/>
      <c r="AN332" s="565"/>
      <c r="AO332" s="565"/>
      <c r="AP332" s="565"/>
      <c r="AQ332" s="565"/>
      <c r="AR332" s="565"/>
      <c r="AS332" s="565"/>
      <c r="AT332" s="565"/>
      <c r="AU332" s="181"/>
      <c r="AV332" s="558"/>
    </row>
    <row r="333" ht="11.25" customHeight="1">
      <c r="A333" s="565"/>
      <c r="B333" s="181"/>
      <c r="C333" s="565"/>
      <c r="D333" s="565"/>
      <c r="E333" s="565"/>
      <c r="F333" s="565"/>
      <c r="G333" s="565"/>
      <c r="H333" s="565"/>
      <c r="I333" s="565"/>
      <c r="J333" s="565"/>
      <c r="K333" s="565"/>
      <c r="L333" s="565"/>
      <c r="M333" s="565"/>
      <c r="N333" s="565"/>
      <c r="O333" s="565"/>
      <c r="P333" s="565"/>
      <c r="Q333" s="565"/>
      <c r="R333" s="565"/>
      <c r="S333" s="565"/>
      <c r="T333" s="565"/>
      <c r="U333" s="565"/>
      <c r="V333" s="565"/>
      <c r="W333" s="565"/>
      <c r="X333" s="565"/>
      <c r="Y333" s="565"/>
      <c r="Z333" s="565"/>
      <c r="AA333" s="565"/>
      <c r="AB333" s="565"/>
      <c r="AC333" s="565"/>
      <c r="AD333" s="565"/>
      <c r="AE333" s="565"/>
      <c r="AF333" s="565"/>
      <c r="AG333" s="565"/>
      <c r="AH333" s="565"/>
      <c r="AI333" s="565"/>
      <c r="AJ333" s="565"/>
      <c r="AK333" s="565"/>
      <c r="AL333" s="565"/>
      <c r="AM333" s="565"/>
      <c r="AN333" s="565"/>
      <c r="AO333" s="565"/>
      <c r="AP333" s="565"/>
      <c r="AQ333" s="565"/>
      <c r="AR333" s="565"/>
      <c r="AS333" s="565"/>
      <c r="AT333" s="565"/>
      <c r="AU333" s="181"/>
      <c r="AV333" s="558"/>
    </row>
    <row r="334" ht="11.25" customHeight="1">
      <c r="A334" s="565"/>
      <c r="B334" s="181"/>
      <c r="C334" s="565"/>
      <c r="D334" s="565"/>
      <c r="E334" s="565"/>
      <c r="F334" s="565"/>
      <c r="G334" s="565"/>
      <c r="H334" s="565"/>
      <c r="I334" s="565"/>
      <c r="J334" s="565"/>
      <c r="K334" s="565"/>
      <c r="L334" s="565"/>
      <c r="M334" s="565"/>
      <c r="N334" s="565"/>
      <c r="O334" s="565"/>
      <c r="P334" s="565"/>
      <c r="Q334" s="565"/>
      <c r="R334" s="565"/>
      <c r="S334" s="565"/>
      <c r="T334" s="565"/>
      <c r="U334" s="565"/>
      <c r="V334" s="565"/>
      <c r="W334" s="565"/>
      <c r="X334" s="565"/>
      <c r="Y334" s="565"/>
      <c r="Z334" s="565"/>
      <c r="AA334" s="565"/>
      <c r="AB334" s="565"/>
      <c r="AC334" s="565"/>
      <c r="AD334" s="565"/>
      <c r="AE334" s="565"/>
      <c r="AF334" s="565"/>
      <c r="AG334" s="565"/>
      <c r="AH334" s="565"/>
      <c r="AI334" s="565"/>
      <c r="AJ334" s="565"/>
      <c r="AK334" s="565"/>
      <c r="AL334" s="565"/>
      <c r="AM334" s="565"/>
      <c r="AN334" s="565"/>
      <c r="AO334" s="565"/>
      <c r="AP334" s="565"/>
      <c r="AQ334" s="565"/>
      <c r="AR334" s="565"/>
      <c r="AS334" s="565"/>
      <c r="AT334" s="565"/>
      <c r="AU334" s="181"/>
      <c r="AV334" s="558"/>
    </row>
    <row r="335" ht="11.25" customHeight="1">
      <c r="A335" s="565"/>
      <c r="B335" s="181"/>
      <c r="C335" s="565"/>
      <c r="D335" s="565"/>
      <c r="E335" s="565"/>
      <c r="F335" s="565"/>
      <c r="G335" s="565"/>
      <c r="H335" s="565"/>
      <c r="I335" s="565"/>
      <c r="J335" s="565"/>
      <c r="K335" s="565"/>
      <c r="L335" s="565"/>
      <c r="M335" s="565"/>
      <c r="N335" s="565"/>
      <c r="O335" s="565"/>
      <c r="P335" s="565"/>
      <c r="Q335" s="565"/>
      <c r="R335" s="565"/>
      <c r="S335" s="565"/>
      <c r="T335" s="565"/>
      <c r="U335" s="565"/>
      <c r="V335" s="565"/>
      <c r="W335" s="565"/>
      <c r="X335" s="565"/>
      <c r="Y335" s="565"/>
      <c r="Z335" s="565"/>
      <c r="AA335" s="565"/>
      <c r="AB335" s="565"/>
      <c r="AC335" s="565"/>
      <c r="AD335" s="565"/>
      <c r="AE335" s="565"/>
      <c r="AF335" s="565"/>
      <c r="AG335" s="565"/>
      <c r="AH335" s="565"/>
      <c r="AI335" s="565"/>
      <c r="AJ335" s="565"/>
      <c r="AK335" s="565"/>
      <c r="AL335" s="565"/>
      <c r="AM335" s="565"/>
      <c r="AN335" s="565"/>
      <c r="AO335" s="565"/>
      <c r="AP335" s="565"/>
      <c r="AQ335" s="565"/>
      <c r="AR335" s="565"/>
      <c r="AS335" s="565"/>
      <c r="AT335" s="565"/>
      <c r="AU335" s="181"/>
      <c r="AV335" s="558"/>
    </row>
    <row r="336" ht="11.25" customHeight="1">
      <c r="A336" s="565"/>
      <c r="B336" s="181"/>
      <c r="C336" s="565"/>
      <c r="D336" s="565"/>
      <c r="E336" s="565"/>
      <c r="F336" s="565"/>
      <c r="G336" s="565"/>
      <c r="H336" s="565"/>
      <c r="I336" s="565"/>
      <c r="J336" s="565"/>
      <c r="K336" s="565"/>
      <c r="L336" s="565"/>
      <c r="M336" s="565"/>
      <c r="N336" s="565"/>
      <c r="O336" s="565"/>
      <c r="P336" s="565"/>
      <c r="Q336" s="565"/>
      <c r="R336" s="565"/>
      <c r="S336" s="565"/>
      <c r="T336" s="565"/>
      <c r="U336" s="565"/>
      <c r="V336" s="565"/>
      <c r="W336" s="565"/>
      <c r="X336" s="565"/>
      <c r="Y336" s="565"/>
      <c r="Z336" s="565"/>
      <c r="AA336" s="565"/>
      <c r="AB336" s="565"/>
      <c r="AC336" s="565"/>
      <c r="AD336" s="565"/>
      <c r="AE336" s="565"/>
      <c r="AF336" s="565"/>
      <c r="AG336" s="565"/>
      <c r="AH336" s="565"/>
      <c r="AI336" s="565"/>
      <c r="AJ336" s="565"/>
      <c r="AK336" s="565"/>
      <c r="AL336" s="565"/>
      <c r="AM336" s="565"/>
      <c r="AN336" s="565"/>
      <c r="AO336" s="565"/>
      <c r="AP336" s="565"/>
      <c r="AQ336" s="565"/>
      <c r="AR336" s="565"/>
      <c r="AS336" s="565"/>
      <c r="AT336" s="565"/>
      <c r="AU336" s="181"/>
      <c r="AV336" s="558"/>
    </row>
    <row r="337" ht="11.25" customHeight="1">
      <c r="A337" s="565"/>
      <c r="B337" s="181"/>
      <c r="C337" s="565"/>
      <c r="D337" s="565"/>
      <c r="E337" s="565"/>
      <c r="F337" s="565"/>
      <c r="G337" s="565"/>
      <c r="H337" s="565"/>
      <c r="I337" s="565"/>
      <c r="J337" s="565"/>
      <c r="K337" s="565"/>
      <c r="L337" s="565"/>
      <c r="M337" s="565"/>
      <c r="N337" s="565"/>
      <c r="O337" s="565"/>
      <c r="P337" s="565"/>
      <c r="Q337" s="565"/>
      <c r="R337" s="565"/>
      <c r="S337" s="565"/>
      <c r="T337" s="565"/>
      <c r="U337" s="565"/>
      <c r="V337" s="565"/>
      <c r="W337" s="565"/>
      <c r="X337" s="565"/>
      <c r="Y337" s="565"/>
      <c r="Z337" s="565"/>
      <c r="AA337" s="565"/>
      <c r="AB337" s="565"/>
      <c r="AC337" s="565"/>
      <c r="AD337" s="565"/>
      <c r="AE337" s="565"/>
      <c r="AF337" s="565"/>
      <c r="AG337" s="565"/>
      <c r="AH337" s="565"/>
      <c r="AI337" s="565"/>
      <c r="AJ337" s="565"/>
      <c r="AK337" s="565"/>
      <c r="AL337" s="565"/>
      <c r="AM337" s="565"/>
      <c r="AN337" s="565"/>
      <c r="AO337" s="565"/>
      <c r="AP337" s="565"/>
      <c r="AQ337" s="565"/>
      <c r="AR337" s="565"/>
      <c r="AS337" s="565"/>
      <c r="AT337" s="565"/>
      <c r="AU337" s="181"/>
      <c r="AV337" s="558"/>
    </row>
    <row r="338" ht="11.25" customHeight="1">
      <c r="A338" s="565"/>
      <c r="B338" s="181"/>
      <c r="C338" s="565"/>
      <c r="D338" s="565"/>
      <c r="E338" s="565"/>
      <c r="F338" s="565"/>
      <c r="G338" s="565"/>
      <c r="H338" s="565"/>
      <c r="I338" s="565"/>
      <c r="J338" s="565"/>
      <c r="K338" s="565"/>
      <c r="L338" s="565"/>
      <c r="M338" s="565"/>
      <c r="N338" s="565"/>
      <c r="O338" s="565"/>
      <c r="P338" s="565"/>
      <c r="Q338" s="565"/>
      <c r="R338" s="565"/>
      <c r="S338" s="565"/>
      <c r="T338" s="565"/>
      <c r="U338" s="565"/>
      <c r="V338" s="565"/>
      <c r="W338" s="565"/>
      <c r="X338" s="565"/>
      <c r="Y338" s="565"/>
      <c r="Z338" s="565"/>
      <c r="AA338" s="565"/>
      <c r="AB338" s="565"/>
      <c r="AC338" s="565"/>
      <c r="AD338" s="565"/>
      <c r="AE338" s="565"/>
      <c r="AF338" s="565"/>
      <c r="AG338" s="565"/>
      <c r="AH338" s="565"/>
      <c r="AI338" s="565"/>
      <c r="AJ338" s="565"/>
      <c r="AK338" s="565"/>
      <c r="AL338" s="565"/>
      <c r="AM338" s="565"/>
      <c r="AN338" s="565"/>
      <c r="AO338" s="565"/>
      <c r="AP338" s="565"/>
      <c r="AQ338" s="565"/>
      <c r="AR338" s="565"/>
      <c r="AS338" s="565"/>
      <c r="AT338" s="565"/>
      <c r="AU338" s="181"/>
      <c r="AV338" s="558"/>
    </row>
    <row r="339" ht="11.25" customHeight="1">
      <c r="A339" s="565"/>
      <c r="B339" s="181"/>
      <c r="C339" s="565"/>
      <c r="D339" s="565"/>
      <c r="E339" s="565"/>
      <c r="F339" s="565"/>
      <c r="G339" s="565"/>
      <c r="H339" s="565"/>
      <c r="I339" s="565"/>
      <c r="J339" s="565"/>
      <c r="K339" s="565"/>
      <c r="L339" s="565"/>
      <c r="M339" s="565"/>
      <c r="N339" s="565"/>
      <c r="O339" s="565"/>
      <c r="P339" s="565"/>
      <c r="Q339" s="565"/>
      <c r="R339" s="565"/>
      <c r="S339" s="565"/>
      <c r="T339" s="565"/>
      <c r="U339" s="565"/>
      <c r="V339" s="565"/>
      <c r="W339" s="565"/>
      <c r="X339" s="565"/>
      <c r="Y339" s="565"/>
      <c r="Z339" s="565"/>
      <c r="AA339" s="565"/>
      <c r="AB339" s="565"/>
      <c r="AC339" s="565"/>
      <c r="AD339" s="565"/>
      <c r="AE339" s="565"/>
      <c r="AF339" s="565"/>
      <c r="AG339" s="565"/>
      <c r="AH339" s="565"/>
      <c r="AI339" s="565"/>
      <c r="AJ339" s="565"/>
      <c r="AK339" s="565"/>
      <c r="AL339" s="565"/>
      <c r="AM339" s="565"/>
      <c r="AN339" s="565"/>
      <c r="AO339" s="565"/>
      <c r="AP339" s="565"/>
      <c r="AQ339" s="565"/>
      <c r="AR339" s="565"/>
      <c r="AS339" s="565"/>
      <c r="AT339" s="565"/>
      <c r="AU339" s="181"/>
      <c r="AV339" s="558"/>
    </row>
    <row r="340" ht="11.25" customHeight="1">
      <c r="A340" s="565"/>
      <c r="B340" s="181"/>
      <c r="C340" s="565"/>
      <c r="D340" s="565"/>
      <c r="E340" s="565"/>
      <c r="F340" s="565"/>
      <c r="G340" s="565"/>
      <c r="H340" s="565"/>
      <c r="I340" s="565"/>
      <c r="J340" s="565"/>
      <c r="K340" s="565"/>
      <c r="L340" s="565"/>
      <c r="M340" s="565"/>
      <c r="N340" s="565"/>
      <c r="O340" s="565"/>
      <c r="P340" s="565"/>
      <c r="Q340" s="565"/>
      <c r="R340" s="565"/>
      <c r="S340" s="565"/>
      <c r="T340" s="565"/>
      <c r="U340" s="565"/>
      <c r="V340" s="565"/>
      <c r="W340" s="565"/>
      <c r="X340" s="565"/>
      <c r="Y340" s="565"/>
      <c r="Z340" s="565"/>
      <c r="AA340" s="565"/>
      <c r="AB340" s="565"/>
      <c r="AC340" s="565"/>
      <c r="AD340" s="565"/>
      <c r="AE340" s="565"/>
      <c r="AF340" s="565"/>
      <c r="AG340" s="565"/>
      <c r="AH340" s="565"/>
      <c r="AI340" s="565"/>
      <c r="AJ340" s="565"/>
      <c r="AK340" s="565"/>
      <c r="AL340" s="565"/>
      <c r="AM340" s="565"/>
      <c r="AN340" s="565"/>
      <c r="AO340" s="565"/>
      <c r="AP340" s="565"/>
      <c r="AQ340" s="565"/>
      <c r="AR340" s="565"/>
      <c r="AS340" s="565"/>
      <c r="AT340" s="565"/>
      <c r="AU340" s="181"/>
      <c r="AV340" s="558"/>
    </row>
    <row r="341" ht="11.25" customHeight="1">
      <c r="A341" s="565"/>
      <c r="B341" s="181"/>
      <c r="C341" s="565"/>
      <c r="D341" s="565"/>
      <c r="E341" s="565"/>
      <c r="F341" s="565"/>
      <c r="G341" s="565"/>
      <c r="H341" s="565"/>
      <c r="I341" s="565"/>
      <c r="J341" s="565"/>
      <c r="K341" s="565"/>
      <c r="L341" s="565"/>
      <c r="M341" s="565"/>
      <c r="N341" s="565"/>
      <c r="O341" s="565"/>
      <c r="P341" s="565"/>
      <c r="Q341" s="565"/>
      <c r="R341" s="565"/>
      <c r="S341" s="565"/>
      <c r="T341" s="565"/>
      <c r="U341" s="565"/>
      <c r="V341" s="565"/>
      <c r="W341" s="565"/>
      <c r="X341" s="565"/>
      <c r="Y341" s="565"/>
      <c r="Z341" s="565"/>
      <c r="AA341" s="565"/>
      <c r="AB341" s="565"/>
      <c r="AC341" s="565"/>
      <c r="AD341" s="565"/>
      <c r="AE341" s="565"/>
      <c r="AF341" s="565"/>
      <c r="AG341" s="565"/>
      <c r="AH341" s="565"/>
      <c r="AI341" s="565"/>
      <c r="AJ341" s="565"/>
      <c r="AK341" s="565"/>
      <c r="AL341" s="565"/>
      <c r="AM341" s="565"/>
      <c r="AN341" s="565"/>
      <c r="AO341" s="565"/>
      <c r="AP341" s="565"/>
      <c r="AQ341" s="565"/>
      <c r="AR341" s="565"/>
      <c r="AS341" s="565"/>
      <c r="AT341" s="565"/>
      <c r="AU341" s="181"/>
      <c r="AV341" s="558"/>
    </row>
    <row r="342" ht="11.25" customHeight="1">
      <c r="A342" s="565"/>
      <c r="B342" s="181"/>
      <c r="C342" s="565"/>
      <c r="D342" s="565"/>
      <c r="E342" s="565"/>
      <c r="F342" s="565"/>
      <c r="G342" s="565"/>
      <c r="H342" s="565"/>
      <c r="I342" s="565"/>
      <c r="J342" s="565"/>
      <c r="K342" s="565"/>
      <c r="L342" s="565"/>
      <c r="M342" s="565"/>
      <c r="N342" s="565"/>
      <c r="O342" s="565"/>
      <c r="P342" s="565"/>
      <c r="Q342" s="565"/>
      <c r="R342" s="565"/>
      <c r="S342" s="565"/>
      <c r="T342" s="565"/>
      <c r="U342" s="565"/>
      <c r="V342" s="565"/>
      <c r="W342" s="565"/>
      <c r="X342" s="565"/>
      <c r="Y342" s="565"/>
      <c r="Z342" s="565"/>
      <c r="AA342" s="565"/>
      <c r="AB342" s="565"/>
      <c r="AC342" s="565"/>
      <c r="AD342" s="565"/>
      <c r="AE342" s="565"/>
      <c r="AF342" s="565"/>
      <c r="AG342" s="565"/>
      <c r="AH342" s="565"/>
      <c r="AI342" s="565"/>
      <c r="AJ342" s="565"/>
      <c r="AK342" s="565"/>
      <c r="AL342" s="565"/>
      <c r="AM342" s="565"/>
      <c r="AN342" s="565"/>
      <c r="AO342" s="565"/>
      <c r="AP342" s="565"/>
      <c r="AQ342" s="565"/>
      <c r="AR342" s="565"/>
      <c r="AS342" s="565"/>
      <c r="AT342" s="565"/>
      <c r="AU342" s="181"/>
      <c r="AV342" s="558"/>
    </row>
    <row r="343" ht="11.25" customHeight="1">
      <c r="A343" s="565"/>
      <c r="B343" s="181"/>
      <c r="C343" s="565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  <c r="V343" s="565"/>
      <c r="W343" s="565"/>
      <c r="X343" s="565"/>
      <c r="Y343" s="565"/>
      <c r="Z343" s="565"/>
      <c r="AA343" s="565"/>
      <c r="AB343" s="565"/>
      <c r="AC343" s="565"/>
      <c r="AD343" s="565"/>
      <c r="AE343" s="565"/>
      <c r="AF343" s="565"/>
      <c r="AG343" s="565"/>
      <c r="AH343" s="565"/>
      <c r="AI343" s="565"/>
      <c r="AJ343" s="565"/>
      <c r="AK343" s="565"/>
      <c r="AL343" s="565"/>
      <c r="AM343" s="565"/>
      <c r="AN343" s="565"/>
      <c r="AO343" s="565"/>
      <c r="AP343" s="565"/>
      <c r="AQ343" s="565"/>
      <c r="AR343" s="565"/>
      <c r="AS343" s="565"/>
      <c r="AT343" s="565"/>
      <c r="AU343" s="181"/>
      <c r="AV343" s="558"/>
    </row>
    <row r="344" ht="11.25" customHeight="1">
      <c r="A344" s="565"/>
      <c r="B344" s="181"/>
      <c r="C344" s="565"/>
      <c r="D344" s="565"/>
      <c r="E344" s="565"/>
      <c r="F344" s="565"/>
      <c r="G344" s="565"/>
      <c r="H344" s="565"/>
      <c r="I344" s="565"/>
      <c r="J344" s="565"/>
      <c r="K344" s="565"/>
      <c r="L344" s="565"/>
      <c r="M344" s="565"/>
      <c r="N344" s="565"/>
      <c r="O344" s="565"/>
      <c r="P344" s="565"/>
      <c r="Q344" s="565"/>
      <c r="R344" s="565"/>
      <c r="S344" s="565"/>
      <c r="T344" s="565"/>
      <c r="U344" s="565"/>
      <c r="V344" s="565"/>
      <c r="W344" s="565"/>
      <c r="X344" s="565"/>
      <c r="Y344" s="565"/>
      <c r="Z344" s="565"/>
      <c r="AA344" s="565"/>
      <c r="AB344" s="565"/>
      <c r="AC344" s="565"/>
      <c r="AD344" s="565"/>
      <c r="AE344" s="565"/>
      <c r="AF344" s="565"/>
      <c r="AG344" s="565"/>
      <c r="AH344" s="565"/>
      <c r="AI344" s="565"/>
      <c r="AJ344" s="565"/>
      <c r="AK344" s="565"/>
      <c r="AL344" s="565"/>
      <c r="AM344" s="565"/>
      <c r="AN344" s="565"/>
      <c r="AO344" s="565"/>
      <c r="AP344" s="565"/>
      <c r="AQ344" s="565"/>
      <c r="AR344" s="565"/>
      <c r="AS344" s="565"/>
      <c r="AT344" s="565"/>
      <c r="AU344" s="181"/>
      <c r="AV344" s="558"/>
    </row>
    <row r="345" ht="11.25" customHeight="1">
      <c r="A345" s="565"/>
      <c r="B345" s="181"/>
      <c r="C345" s="565"/>
      <c r="D345" s="565"/>
      <c r="E345" s="565"/>
      <c r="F345" s="565"/>
      <c r="G345" s="565"/>
      <c r="H345" s="565"/>
      <c r="I345" s="565"/>
      <c r="J345" s="565"/>
      <c r="K345" s="565"/>
      <c r="L345" s="565"/>
      <c r="M345" s="565"/>
      <c r="N345" s="565"/>
      <c r="O345" s="565"/>
      <c r="P345" s="565"/>
      <c r="Q345" s="565"/>
      <c r="R345" s="565"/>
      <c r="S345" s="565"/>
      <c r="T345" s="565"/>
      <c r="U345" s="565"/>
      <c r="V345" s="565"/>
      <c r="W345" s="565"/>
      <c r="X345" s="565"/>
      <c r="Y345" s="565"/>
      <c r="Z345" s="565"/>
      <c r="AA345" s="565"/>
      <c r="AB345" s="565"/>
      <c r="AC345" s="565"/>
      <c r="AD345" s="565"/>
      <c r="AE345" s="565"/>
      <c r="AF345" s="565"/>
      <c r="AG345" s="565"/>
      <c r="AH345" s="565"/>
      <c r="AI345" s="565"/>
      <c r="AJ345" s="565"/>
      <c r="AK345" s="565"/>
      <c r="AL345" s="565"/>
      <c r="AM345" s="565"/>
      <c r="AN345" s="565"/>
      <c r="AO345" s="565"/>
      <c r="AP345" s="565"/>
      <c r="AQ345" s="565"/>
      <c r="AR345" s="565"/>
      <c r="AS345" s="565"/>
      <c r="AT345" s="565"/>
      <c r="AU345" s="181"/>
      <c r="AV345" s="558"/>
    </row>
    <row r="346" ht="11.25" customHeight="1">
      <c r="A346" s="565"/>
      <c r="B346" s="181"/>
      <c r="C346" s="565"/>
      <c r="D346" s="565"/>
      <c r="E346" s="565"/>
      <c r="F346" s="565"/>
      <c r="G346" s="565"/>
      <c r="H346" s="565"/>
      <c r="I346" s="565"/>
      <c r="J346" s="565"/>
      <c r="K346" s="565"/>
      <c r="L346" s="565"/>
      <c r="M346" s="565"/>
      <c r="N346" s="565"/>
      <c r="O346" s="565"/>
      <c r="P346" s="565"/>
      <c r="Q346" s="565"/>
      <c r="R346" s="565"/>
      <c r="S346" s="565"/>
      <c r="T346" s="565"/>
      <c r="U346" s="565"/>
      <c r="V346" s="565"/>
      <c r="W346" s="565"/>
      <c r="X346" s="565"/>
      <c r="Y346" s="565"/>
      <c r="Z346" s="565"/>
      <c r="AA346" s="565"/>
      <c r="AB346" s="565"/>
      <c r="AC346" s="565"/>
      <c r="AD346" s="565"/>
      <c r="AE346" s="565"/>
      <c r="AF346" s="565"/>
      <c r="AG346" s="565"/>
      <c r="AH346" s="565"/>
      <c r="AI346" s="565"/>
      <c r="AJ346" s="565"/>
      <c r="AK346" s="565"/>
      <c r="AL346" s="565"/>
      <c r="AM346" s="565"/>
      <c r="AN346" s="565"/>
      <c r="AO346" s="565"/>
      <c r="AP346" s="565"/>
      <c r="AQ346" s="565"/>
      <c r="AR346" s="565"/>
      <c r="AS346" s="565"/>
      <c r="AT346" s="565"/>
      <c r="AU346" s="181"/>
      <c r="AV346" s="558"/>
    </row>
    <row r="347" ht="11.25" customHeight="1">
      <c r="A347" s="565"/>
      <c r="B347" s="181"/>
      <c r="C347" s="565"/>
      <c r="D347" s="565"/>
      <c r="E347" s="565"/>
      <c r="F347" s="565"/>
      <c r="G347" s="565"/>
      <c r="H347" s="565"/>
      <c r="I347" s="565"/>
      <c r="J347" s="565"/>
      <c r="K347" s="565"/>
      <c r="L347" s="565"/>
      <c r="M347" s="565"/>
      <c r="N347" s="565"/>
      <c r="O347" s="565"/>
      <c r="P347" s="565"/>
      <c r="Q347" s="565"/>
      <c r="R347" s="565"/>
      <c r="S347" s="565"/>
      <c r="T347" s="565"/>
      <c r="U347" s="565"/>
      <c r="V347" s="565"/>
      <c r="W347" s="565"/>
      <c r="X347" s="565"/>
      <c r="Y347" s="565"/>
      <c r="Z347" s="565"/>
      <c r="AA347" s="565"/>
      <c r="AB347" s="565"/>
      <c r="AC347" s="565"/>
      <c r="AD347" s="565"/>
      <c r="AE347" s="565"/>
      <c r="AF347" s="565"/>
      <c r="AG347" s="565"/>
      <c r="AH347" s="565"/>
      <c r="AI347" s="565"/>
      <c r="AJ347" s="565"/>
      <c r="AK347" s="565"/>
      <c r="AL347" s="565"/>
      <c r="AM347" s="565"/>
      <c r="AN347" s="565"/>
      <c r="AO347" s="565"/>
      <c r="AP347" s="565"/>
      <c r="AQ347" s="565"/>
      <c r="AR347" s="565"/>
      <c r="AS347" s="565"/>
      <c r="AT347" s="565"/>
      <c r="AU347" s="181"/>
      <c r="AV347" s="558"/>
    </row>
    <row r="348" ht="11.25" customHeight="1">
      <c r="A348" s="565"/>
      <c r="B348" s="181"/>
      <c r="C348" s="565"/>
      <c r="D348" s="565"/>
      <c r="E348" s="565"/>
      <c r="F348" s="565"/>
      <c r="G348" s="565"/>
      <c r="H348" s="565"/>
      <c r="I348" s="565"/>
      <c r="J348" s="565"/>
      <c r="K348" s="565"/>
      <c r="L348" s="565"/>
      <c r="M348" s="565"/>
      <c r="N348" s="565"/>
      <c r="O348" s="565"/>
      <c r="P348" s="565"/>
      <c r="Q348" s="565"/>
      <c r="R348" s="565"/>
      <c r="S348" s="565"/>
      <c r="T348" s="565"/>
      <c r="U348" s="565"/>
      <c r="V348" s="565"/>
      <c r="W348" s="565"/>
      <c r="X348" s="565"/>
      <c r="Y348" s="565"/>
      <c r="Z348" s="565"/>
      <c r="AA348" s="565"/>
      <c r="AB348" s="565"/>
      <c r="AC348" s="565"/>
      <c r="AD348" s="565"/>
      <c r="AE348" s="565"/>
      <c r="AF348" s="565"/>
      <c r="AG348" s="565"/>
      <c r="AH348" s="565"/>
      <c r="AI348" s="565"/>
      <c r="AJ348" s="565"/>
      <c r="AK348" s="565"/>
      <c r="AL348" s="565"/>
      <c r="AM348" s="565"/>
      <c r="AN348" s="565"/>
      <c r="AO348" s="565"/>
      <c r="AP348" s="565"/>
      <c r="AQ348" s="565"/>
      <c r="AR348" s="565"/>
      <c r="AS348" s="565"/>
      <c r="AT348" s="565"/>
      <c r="AU348" s="181"/>
      <c r="AV348" s="558"/>
    </row>
    <row r="349" ht="11.25" customHeight="1">
      <c r="A349" s="565"/>
      <c r="B349" s="181"/>
      <c r="C349" s="565"/>
      <c r="D349" s="565"/>
      <c r="E349" s="565"/>
      <c r="F349" s="565"/>
      <c r="G349" s="565"/>
      <c r="H349" s="565"/>
      <c r="I349" s="565"/>
      <c r="J349" s="565"/>
      <c r="K349" s="565"/>
      <c r="L349" s="565"/>
      <c r="M349" s="565"/>
      <c r="N349" s="565"/>
      <c r="O349" s="565"/>
      <c r="P349" s="565"/>
      <c r="Q349" s="565"/>
      <c r="R349" s="565"/>
      <c r="S349" s="565"/>
      <c r="T349" s="565"/>
      <c r="U349" s="565"/>
      <c r="V349" s="565"/>
      <c r="W349" s="565"/>
      <c r="X349" s="565"/>
      <c r="Y349" s="565"/>
      <c r="Z349" s="565"/>
      <c r="AA349" s="565"/>
      <c r="AB349" s="565"/>
      <c r="AC349" s="565"/>
      <c r="AD349" s="565"/>
      <c r="AE349" s="565"/>
      <c r="AF349" s="565"/>
      <c r="AG349" s="565"/>
      <c r="AH349" s="565"/>
      <c r="AI349" s="565"/>
      <c r="AJ349" s="565"/>
      <c r="AK349" s="565"/>
      <c r="AL349" s="565"/>
      <c r="AM349" s="565"/>
      <c r="AN349" s="565"/>
      <c r="AO349" s="565"/>
      <c r="AP349" s="565"/>
      <c r="AQ349" s="565"/>
      <c r="AR349" s="565"/>
      <c r="AS349" s="565"/>
      <c r="AT349" s="565"/>
      <c r="AU349" s="181"/>
      <c r="AV349" s="558"/>
    </row>
    <row r="350" ht="11.25" customHeight="1">
      <c r="A350" s="565"/>
      <c r="B350" s="181"/>
      <c r="C350" s="565"/>
      <c r="D350" s="565"/>
      <c r="E350" s="565"/>
      <c r="F350" s="565"/>
      <c r="G350" s="565"/>
      <c r="H350" s="565"/>
      <c r="I350" s="565"/>
      <c r="J350" s="565"/>
      <c r="K350" s="565"/>
      <c r="L350" s="565"/>
      <c r="M350" s="565"/>
      <c r="N350" s="565"/>
      <c r="O350" s="565"/>
      <c r="P350" s="565"/>
      <c r="Q350" s="565"/>
      <c r="R350" s="565"/>
      <c r="S350" s="565"/>
      <c r="T350" s="565"/>
      <c r="U350" s="565"/>
      <c r="V350" s="565"/>
      <c r="W350" s="565"/>
      <c r="X350" s="565"/>
      <c r="Y350" s="565"/>
      <c r="Z350" s="565"/>
      <c r="AA350" s="565"/>
      <c r="AB350" s="565"/>
      <c r="AC350" s="565"/>
      <c r="AD350" s="565"/>
      <c r="AE350" s="565"/>
      <c r="AF350" s="565"/>
      <c r="AG350" s="565"/>
      <c r="AH350" s="565"/>
      <c r="AI350" s="565"/>
      <c r="AJ350" s="565"/>
      <c r="AK350" s="565"/>
      <c r="AL350" s="565"/>
      <c r="AM350" s="565"/>
      <c r="AN350" s="565"/>
      <c r="AO350" s="565"/>
      <c r="AP350" s="565"/>
      <c r="AQ350" s="565"/>
      <c r="AR350" s="565"/>
      <c r="AS350" s="565"/>
      <c r="AT350" s="565"/>
      <c r="AU350" s="181"/>
      <c r="AV350" s="558"/>
    </row>
    <row r="351" ht="11.25" customHeight="1">
      <c r="A351" s="565"/>
      <c r="B351" s="181"/>
      <c r="C351" s="565"/>
      <c r="D351" s="565"/>
      <c r="E351" s="565"/>
      <c r="F351" s="565"/>
      <c r="G351" s="565"/>
      <c r="H351" s="565"/>
      <c r="I351" s="565"/>
      <c r="J351" s="565"/>
      <c r="K351" s="565"/>
      <c r="L351" s="565"/>
      <c r="M351" s="565"/>
      <c r="N351" s="565"/>
      <c r="O351" s="565"/>
      <c r="P351" s="565"/>
      <c r="Q351" s="565"/>
      <c r="R351" s="565"/>
      <c r="S351" s="565"/>
      <c r="T351" s="565"/>
      <c r="U351" s="565"/>
      <c r="V351" s="565"/>
      <c r="W351" s="565"/>
      <c r="X351" s="565"/>
      <c r="Y351" s="565"/>
      <c r="Z351" s="565"/>
      <c r="AA351" s="565"/>
      <c r="AB351" s="565"/>
      <c r="AC351" s="565"/>
      <c r="AD351" s="565"/>
      <c r="AE351" s="565"/>
      <c r="AF351" s="565"/>
      <c r="AG351" s="565"/>
      <c r="AH351" s="565"/>
      <c r="AI351" s="565"/>
      <c r="AJ351" s="565"/>
      <c r="AK351" s="565"/>
      <c r="AL351" s="565"/>
      <c r="AM351" s="565"/>
      <c r="AN351" s="565"/>
      <c r="AO351" s="565"/>
      <c r="AP351" s="565"/>
      <c r="AQ351" s="565"/>
      <c r="AR351" s="565"/>
      <c r="AS351" s="565"/>
      <c r="AT351" s="565"/>
      <c r="AU351" s="181"/>
      <c r="AV351" s="558"/>
    </row>
    <row r="352" ht="11.25" customHeight="1">
      <c r="A352" s="565"/>
      <c r="B352" s="181"/>
      <c r="C352" s="565"/>
      <c r="D352" s="565"/>
      <c r="E352" s="565"/>
      <c r="F352" s="565"/>
      <c r="G352" s="565"/>
      <c r="H352" s="565"/>
      <c r="I352" s="565"/>
      <c r="J352" s="565"/>
      <c r="K352" s="565"/>
      <c r="L352" s="565"/>
      <c r="M352" s="565"/>
      <c r="N352" s="565"/>
      <c r="O352" s="565"/>
      <c r="P352" s="565"/>
      <c r="Q352" s="565"/>
      <c r="R352" s="565"/>
      <c r="S352" s="565"/>
      <c r="T352" s="565"/>
      <c r="U352" s="565"/>
      <c r="V352" s="565"/>
      <c r="W352" s="565"/>
      <c r="X352" s="565"/>
      <c r="Y352" s="565"/>
      <c r="Z352" s="565"/>
      <c r="AA352" s="565"/>
      <c r="AB352" s="565"/>
      <c r="AC352" s="565"/>
      <c r="AD352" s="565"/>
      <c r="AE352" s="565"/>
      <c r="AF352" s="565"/>
      <c r="AG352" s="565"/>
      <c r="AH352" s="565"/>
      <c r="AI352" s="565"/>
      <c r="AJ352" s="565"/>
      <c r="AK352" s="565"/>
      <c r="AL352" s="565"/>
      <c r="AM352" s="565"/>
      <c r="AN352" s="565"/>
      <c r="AO352" s="565"/>
      <c r="AP352" s="565"/>
      <c r="AQ352" s="565"/>
      <c r="AR352" s="565"/>
      <c r="AS352" s="565"/>
      <c r="AT352" s="565"/>
      <c r="AU352" s="181"/>
      <c r="AV352" s="558"/>
    </row>
    <row r="353" ht="11.25" customHeight="1">
      <c r="A353" s="565"/>
      <c r="B353" s="181"/>
      <c r="C353" s="565"/>
      <c r="D353" s="565"/>
      <c r="E353" s="565"/>
      <c r="F353" s="565"/>
      <c r="G353" s="565"/>
      <c r="H353" s="565"/>
      <c r="I353" s="565"/>
      <c r="J353" s="565"/>
      <c r="K353" s="565"/>
      <c r="L353" s="565"/>
      <c r="M353" s="565"/>
      <c r="N353" s="565"/>
      <c r="O353" s="565"/>
      <c r="P353" s="565"/>
      <c r="Q353" s="565"/>
      <c r="R353" s="565"/>
      <c r="S353" s="565"/>
      <c r="T353" s="565"/>
      <c r="U353" s="565"/>
      <c r="V353" s="565"/>
      <c r="W353" s="565"/>
      <c r="X353" s="565"/>
      <c r="Y353" s="565"/>
      <c r="Z353" s="565"/>
      <c r="AA353" s="565"/>
      <c r="AB353" s="565"/>
      <c r="AC353" s="565"/>
      <c r="AD353" s="565"/>
      <c r="AE353" s="565"/>
      <c r="AF353" s="565"/>
      <c r="AG353" s="565"/>
      <c r="AH353" s="565"/>
      <c r="AI353" s="565"/>
      <c r="AJ353" s="565"/>
      <c r="AK353" s="565"/>
      <c r="AL353" s="565"/>
      <c r="AM353" s="565"/>
      <c r="AN353" s="565"/>
      <c r="AO353" s="565"/>
      <c r="AP353" s="565"/>
      <c r="AQ353" s="565"/>
      <c r="AR353" s="565"/>
      <c r="AS353" s="565"/>
      <c r="AT353" s="565"/>
      <c r="AU353" s="181"/>
      <c r="AV353" s="558"/>
    </row>
    <row r="354" ht="11.25" customHeight="1">
      <c r="A354" s="565"/>
      <c r="B354" s="181"/>
      <c r="C354" s="565"/>
      <c r="D354" s="565"/>
      <c r="E354" s="565"/>
      <c r="F354" s="565"/>
      <c r="G354" s="565"/>
      <c r="H354" s="565"/>
      <c r="I354" s="565"/>
      <c r="J354" s="565"/>
      <c r="K354" s="565"/>
      <c r="L354" s="565"/>
      <c r="M354" s="565"/>
      <c r="N354" s="565"/>
      <c r="O354" s="565"/>
      <c r="P354" s="565"/>
      <c r="Q354" s="565"/>
      <c r="R354" s="565"/>
      <c r="S354" s="565"/>
      <c r="T354" s="565"/>
      <c r="U354" s="565"/>
      <c r="V354" s="565"/>
      <c r="W354" s="565"/>
      <c r="X354" s="565"/>
      <c r="Y354" s="565"/>
      <c r="Z354" s="565"/>
      <c r="AA354" s="565"/>
      <c r="AB354" s="565"/>
      <c r="AC354" s="565"/>
      <c r="AD354" s="565"/>
      <c r="AE354" s="565"/>
      <c r="AF354" s="565"/>
      <c r="AG354" s="565"/>
      <c r="AH354" s="565"/>
      <c r="AI354" s="565"/>
      <c r="AJ354" s="565"/>
      <c r="AK354" s="565"/>
      <c r="AL354" s="565"/>
      <c r="AM354" s="565"/>
      <c r="AN354" s="565"/>
      <c r="AO354" s="565"/>
      <c r="AP354" s="565"/>
      <c r="AQ354" s="565"/>
      <c r="AR354" s="565"/>
      <c r="AS354" s="565"/>
      <c r="AT354" s="565"/>
      <c r="AU354" s="181"/>
      <c r="AV354" s="558"/>
    </row>
    <row r="355" ht="11.25" customHeight="1">
      <c r="A355" s="565"/>
      <c r="B355" s="181"/>
      <c r="C355" s="565"/>
      <c r="D355" s="565"/>
      <c r="E355" s="565"/>
      <c r="F355" s="565"/>
      <c r="G355" s="565"/>
      <c r="H355" s="565"/>
      <c r="I355" s="565"/>
      <c r="J355" s="565"/>
      <c r="K355" s="565"/>
      <c r="L355" s="565"/>
      <c r="M355" s="565"/>
      <c r="N355" s="565"/>
      <c r="O355" s="565"/>
      <c r="P355" s="565"/>
      <c r="Q355" s="565"/>
      <c r="R355" s="565"/>
      <c r="S355" s="565"/>
      <c r="T355" s="565"/>
      <c r="U355" s="565"/>
      <c r="V355" s="565"/>
      <c r="W355" s="565"/>
      <c r="X355" s="565"/>
      <c r="Y355" s="565"/>
      <c r="Z355" s="565"/>
      <c r="AA355" s="565"/>
      <c r="AB355" s="565"/>
      <c r="AC355" s="565"/>
      <c r="AD355" s="565"/>
      <c r="AE355" s="565"/>
      <c r="AF355" s="565"/>
      <c r="AG355" s="565"/>
      <c r="AH355" s="565"/>
      <c r="AI355" s="565"/>
      <c r="AJ355" s="565"/>
      <c r="AK355" s="565"/>
      <c r="AL355" s="565"/>
      <c r="AM355" s="565"/>
      <c r="AN355" s="565"/>
      <c r="AO355" s="565"/>
      <c r="AP355" s="565"/>
      <c r="AQ355" s="565"/>
      <c r="AR355" s="565"/>
      <c r="AS355" s="565"/>
      <c r="AT355" s="565"/>
      <c r="AU355" s="181"/>
      <c r="AV355" s="558"/>
    </row>
    <row r="356" ht="11.25" customHeight="1">
      <c r="A356" s="565"/>
      <c r="B356" s="181"/>
      <c r="C356" s="565"/>
      <c r="D356" s="565"/>
      <c r="E356" s="565"/>
      <c r="F356" s="565"/>
      <c r="G356" s="565"/>
      <c r="H356" s="565"/>
      <c r="I356" s="565"/>
      <c r="J356" s="565"/>
      <c r="K356" s="565"/>
      <c r="L356" s="565"/>
      <c r="M356" s="565"/>
      <c r="N356" s="565"/>
      <c r="O356" s="565"/>
      <c r="P356" s="565"/>
      <c r="Q356" s="565"/>
      <c r="R356" s="565"/>
      <c r="S356" s="565"/>
      <c r="T356" s="565"/>
      <c r="U356" s="565"/>
      <c r="V356" s="565"/>
      <c r="W356" s="565"/>
      <c r="X356" s="565"/>
      <c r="Y356" s="565"/>
      <c r="Z356" s="565"/>
      <c r="AA356" s="565"/>
      <c r="AB356" s="565"/>
      <c r="AC356" s="565"/>
      <c r="AD356" s="565"/>
      <c r="AE356" s="565"/>
      <c r="AF356" s="565"/>
      <c r="AG356" s="565"/>
      <c r="AH356" s="565"/>
      <c r="AI356" s="565"/>
      <c r="AJ356" s="565"/>
      <c r="AK356" s="565"/>
      <c r="AL356" s="565"/>
      <c r="AM356" s="565"/>
      <c r="AN356" s="565"/>
      <c r="AO356" s="565"/>
      <c r="AP356" s="565"/>
      <c r="AQ356" s="565"/>
      <c r="AR356" s="565"/>
      <c r="AS356" s="565"/>
      <c r="AT356" s="565"/>
      <c r="AU356" s="181"/>
      <c r="AV356" s="558"/>
    </row>
    <row r="357" ht="11.25" customHeight="1">
      <c r="A357" s="565"/>
      <c r="B357" s="181"/>
      <c r="C357" s="565"/>
      <c r="D357" s="565"/>
      <c r="E357" s="565"/>
      <c r="F357" s="565"/>
      <c r="G357" s="565"/>
      <c r="H357" s="565"/>
      <c r="I357" s="565"/>
      <c r="J357" s="565"/>
      <c r="K357" s="565"/>
      <c r="L357" s="565"/>
      <c r="M357" s="565"/>
      <c r="N357" s="565"/>
      <c r="O357" s="565"/>
      <c r="P357" s="565"/>
      <c r="Q357" s="565"/>
      <c r="R357" s="565"/>
      <c r="S357" s="565"/>
      <c r="T357" s="565"/>
      <c r="U357" s="565"/>
      <c r="V357" s="565"/>
      <c r="W357" s="565"/>
      <c r="X357" s="565"/>
      <c r="Y357" s="565"/>
      <c r="Z357" s="565"/>
      <c r="AA357" s="565"/>
      <c r="AB357" s="565"/>
      <c r="AC357" s="565"/>
      <c r="AD357" s="565"/>
      <c r="AE357" s="565"/>
      <c r="AF357" s="565"/>
      <c r="AG357" s="565"/>
      <c r="AH357" s="565"/>
      <c r="AI357" s="565"/>
      <c r="AJ357" s="565"/>
      <c r="AK357" s="565"/>
      <c r="AL357" s="565"/>
      <c r="AM357" s="565"/>
      <c r="AN357" s="565"/>
      <c r="AO357" s="565"/>
      <c r="AP357" s="565"/>
      <c r="AQ357" s="565"/>
      <c r="AR357" s="565"/>
      <c r="AS357" s="565"/>
      <c r="AT357" s="565"/>
      <c r="AU357" s="181"/>
      <c r="AV357" s="558"/>
    </row>
    <row r="358" ht="11.25" customHeight="1">
      <c r="A358" s="565"/>
      <c r="B358" s="181"/>
      <c r="C358" s="565"/>
      <c r="D358" s="565"/>
      <c r="E358" s="565"/>
      <c r="F358" s="565"/>
      <c r="G358" s="565"/>
      <c r="H358" s="565"/>
      <c r="I358" s="565"/>
      <c r="J358" s="565"/>
      <c r="K358" s="565"/>
      <c r="L358" s="565"/>
      <c r="M358" s="565"/>
      <c r="N358" s="565"/>
      <c r="O358" s="565"/>
      <c r="P358" s="565"/>
      <c r="Q358" s="565"/>
      <c r="R358" s="565"/>
      <c r="S358" s="565"/>
      <c r="T358" s="565"/>
      <c r="U358" s="565"/>
      <c r="V358" s="565"/>
      <c r="W358" s="565"/>
      <c r="X358" s="565"/>
      <c r="Y358" s="565"/>
      <c r="Z358" s="565"/>
      <c r="AA358" s="565"/>
      <c r="AB358" s="565"/>
      <c r="AC358" s="565"/>
      <c r="AD358" s="565"/>
      <c r="AE358" s="565"/>
      <c r="AF358" s="565"/>
      <c r="AG358" s="565"/>
      <c r="AH358" s="565"/>
      <c r="AI358" s="565"/>
      <c r="AJ358" s="565"/>
      <c r="AK358" s="565"/>
      <c r="AL358" s="565"/>
      <c r="AM358" s="565"/>
      <c r="AN358" s="565"/>
      <c r="AO358" s="565"/>
      <c r="AP358" s="565"/>
      <c r="AQ358" s="565"/>
      <c r="AR358" s="565"/>
      <c r="AS358" s="565"/>
      <c r="AT358" s="565"/>
      <c r="AU358" s="181"/>
      <c r="AV358" s="558"/>
    </row>
    <row r="359" ht="11.25" customHeight="1">
      <c r="A359" s="565"/>
      <c r="B359" s="181"/>
      <c r="C359" s="565"/>
      <c r="D359" s="565"/>
      <c r="E359" s="565"/>
      <c r="F359" s="565"/>
      <c r="G359" s="565"/>
      <c r="H359" s="565"/>
      <c r="I359" s="565"/>
      <c r="J359" s="565"/>
      <c r="K359" s="565"/>
      <c r="L359" s="565"/>
      <c r="M359" s="565"/>
      <c r="N359" s="565"/>
      <c r="O359" s="565"/>
      <c r="P359" s="565"/>
      <c r="Q359" s="565"/>
      <c r="R359" s="565"/>
      <c r="S359" s="565"/>
      <c r="T359" s="565"/>
      <c r="U359" s="565"/>
      <c r="V359" s="565"/>
      <c r="W359" s="565"/>
      <c r="X359" s="565"/>
      <c r="Y359" s="565"/>
      <c r="Z359" s="565"/>
      <c r="AA359" s="565"/>
      <c r="AB359" s="565"/>
      <c r="AC359" s="565"/>
      <c r="AD359" s="565"/>
      <c r="AE359" s="565"/>
      <c r="AF359" s="565"/>
      <c r="AG359" s="565"/>
      <c r="AH359" s="565"/>
      <c r="AI359" s="565"/>
      <c r="AJ359" s="565"/>
      <c r="AK359" s="565"/>
      <c r="AL359" s="565"/>
      <c r="AM359" s="565"/>
      <c r="AN359" s="565"/>
      <c r="AO359" s="565"/>
      <c r="AP359" s="565"/>
      <c r="AQ359" s="565"/>
      <c r="AR359" s="565"/>
      <c r="AS359" s="565"/>
      <c r="AT359" s="565"/>
      <c r="AU359" s="181"/>
      <c r="AV359" s="558"/>
    </row>
    <row r="360" ht="11.25" customHeight="1">
      <c r="A360" s="565"/>
      <c r="B360" s="181"/>
      <c r="C360" s="565"/>
      <c r="D360" s="565"/>
      <c r="E360" s="565"/>
      <c r="F360" s="565"/>
      <c r="G360" s="565"/>
      <c r="H360" s="565"/>
      <c r="I360" s="565"/>
      <c r="J360" s="565"/>
      <c r="K360" s="565"/>
      <c r="L360" s="565"/>
      <c r="M360" s="565"/>
      <c r="N360" s="565"/>
      <c r="O360" s="565"/>
      <c r="P360" s="565"/>
      <c r="Q360" s="565"/>
      <c r="R360" s="565"/>
      <c r="S360" s="565"/>
      <c r="T360" s="565"/>
      <c r="U360" s="565"/>
      <c r="V360" s="565"/>
      <c r="W360" s="565"/>
      <c r="X360" s="565"/>
      <c r="Y360" s="565"/>
      <c r="Z360" s="565"/>
      <c r="AA360" s="565"/>
      <c r="AB360" s="565"/>
      <c r="AC360" s="565"/>
      <c r="AD360" s="565"/>
      <c r="AE360" s="565"/>
      <c r="AF360" s="565"/>
      <c r="AG360" s="565"/>
      <c r="AH360" s="565"/>
      <c r="AI360" s="565"/>
      <c r="AJ360" s="565"/>
      <c r="AK360" s="565"/>
      <c r="AL360" s="565"/>
      <c r="AM360" s="565"/>
      <c r="AN360" s="565"/>
      <c r="AO360" s="565"/>
      <c r="AP360" s="565"/>
      <c r="AQ360" s="565"/>
      <c r="AR360" s="565"/>
      <c r="AS360" s="565"/>
      <c r="AT360" s="565"/>
      <c r="AU360" s="181"/>
      <c r="AV360" s="558"/>
    </row>
    <row r="361" ht="11.25" customHeight="1">
      <c r="A361" s="565"/>
      <c r="B361" s="181"/>
      <c r="C361" s="565"/>
      <c r="D361" s="565"/>
      <c r="E361" s="565"/>
      <c r="F361" s="565"/>
      <c r="G361" s="565"/>
      <c r="H361" s="565"/>
      <c r="I361" s="565"/>
      <c r="J361" s="565"/>
      <c r="K361" s="565"/>
      <c r="L361" s="565"/>
      <c r="M361" s="565"/>
      <c r="N361" s="565"/>
      <c r="O361" s="565"/>
      <c r="P361" s="565"/>
      <c r="Q361" s="565"/>
      <c r="R361" s="565"/>
      <c r="S361" s="565"/>
      <c r="T361" s="565"/>
      <c r="U361" s="565"/>
      <c r="V361" s="565"/>
      <c r="W361" s="565"/>
      <c r="X361" s="565"/>
      <c r="Y361" s="565"/>
      <c r="Z361" s="565"/>
      <c r="AA361" s="565"/>
      <c r="AB361" s="565"/>
      <c r="AC361" s="565"/>
      <c r="AD361" s="565"/>
      <c r="AE361" s="565"/>
      <c r="AF361" s="565"/>
      <c r="AG361" s="565"/>
      <c r="AH361" s="565"/>
      <c r="AI361" s="565"/>
      <c r="AJ361" s="565"/>
      <c r="AK361" s="565"/>
      <c r="AL361" s="565"/>
      <c r="AM361" s="565"/>
      <c r="AN361" s="565"/>
      <c r="AO361" s="565"/>
      <c r="AP361" s="565"/>
      <c r="AQ361" s="565"/>
      <c r="AR361" s="565"/>
      <c r="AS361" s="565"/>
      <c r="AT361" s="565"/>
      <c r="AU361" s="181"/>
      <c r="AV361" s="558"/>
    </row>
    <row r="362" ht="11.25" customHeight="1">
      <c r="A362" s="565"/>
      <c r="B362" s="181"/>
      <c r="C362" s="565"/>
      <c r="D362" s="565"/>
      <c r="E362" s="565"/>
      <c r="F362" s="565"/>
      <c r="G362" s="565"/>
      <c r="H362" s="565"/>
      <c r="I362" s="565"/>
      <c r="J362" s="565"/>
      <c r="K362" s="565"/>
      <c r="L362" s="565"/>
      <c r="M362" s="565"/>
      <c r="N362" s="565"/>
      <c r="O362" s="565"/>
      <c r="P362" s="565"/>
      <c r="Q362" s="565"/>
      <c r="R362" s="565"/>
      <c r="S362" s="565"/>
      <c r="T362" s="565"/>
      <c r="U362" s="565"/>
      <c r="V362" s="565"/>
      <c r="W362" s="565"/>
      <c r="X362" s="565"/>
      <c r="Y362" s="565"/>
      <c r="Z362" s="565"/>
      <c r="AA362" s="565"/>
      <c r="AB362" s="565"/>
      <c r="AC362" s="565"/>
      <c r="AD362" s="565"/>
      <c r="AE362" s="565"/>
      <c r="AF362" s="565"/>
      <c r="AG362" s="565"/>
      <c r="AH362" s="565"/>
      <c r="AI362" s="565"/>
      <c r="AJ362" s="565"/>
      <c r="AK362" s="565"/>
      <c r="AL362" s="565"/>
      <c r="AM362" s="565"/>
      <c r="AN362" s="565"/>
      <c r="AO362" s="565"/>
      <c r="AP362" s="565"/>
      <c r="AQ362" s="565"/>
      <c r="AR362" s="565"/>
      <c r="AS362" s="565"/>
      <c r="AT362" s="565"/>
      <c r="AU362" s="181"/>
      <c r="AV362" s="558"/>
    </row>
    <row r="363" ht="11.25" customHeight="1">
      <c r="A363" s="565"/>
      <c r="B363" s="181"/>
      <c r="C363" s="565"/>
      <c r="D363" s="565"/>
      <c r="E363" s="565"/>
      <c r="F363" s="565"/>
      <c r="G363" s="565"/>
      <c r="H363" s="565"/>
      <c r="I363" s="565"/>
      <c r="J363" s="565"/>
      <c r="K363" s="565"/>
      <c r="L363" s="565"/>
      <c r="M363" s="565"/>
      <c r="N363" s="565"/>
      <c r="O363" s="565"/>
      <c r="P363" s="565"/>
      <c r="Q363" s="565"/>
      <c r="R363" s="565"/>
      <c r="S363" s="565"/>
      <c r="T363" s="565"/>
      <c r="U363" s="565"/>
      <c r="V363" s="565"/>
      <c r="W363" s="565"/>
      <c r="X363" s="565"/>
      <c r="Y363" s="565"/>
      <c r="Z363" s="565"/>
      <c r="AA363" s="565"/>
      <c r="AB363" s="565"/>
      <c r="AC363" s="565"/>
      <c r="AD363" s="565"/>
      <c r="AE363" s="565"/>
      <c r="AF363" s="565"/>
      <c r="AG363" s="565"/>
      <c r="AH363" s="565"/>
      <c r="AI363" s="565"/>
      <c r="AJ363" s="565"/>
      <c r="AK363" s="565"/>
      <c r="AL363" s="565"/>
      <c r="AM363" s="565"/>
      <c r="AN363" s="565"/>
      <c r="AO363" s="565"/>
      <c r="AP363" s="565"/>
      <c r="AQ363" s="565"/>
      <c r="AR363" s="565"/>
      <c r="AS363" s="565"/>
      <c r="AT363" s="565"/>
      <c r="AU363" s="181"/>
      <c r="AV363" s="558"/>
    </row>
    <row r="364" ht="11.25" customHeight="1">
      <c r="A364" s="565"/>
      <c r="B364" s="181"/>
      <c r="C364" s="565"/>
      <c r="D364" s="565"/>
      <c r="E364" s="565"/>
      <c r="F364" s="565"/>
      <c r="G364" s="565"/>
      <c r="H364" s="565"/>
      <c r="I364" s="565"/>
      <c r="J364" s="565"/>
      <c r="K364" s="565"/>
      <c r="L364" s="565"/>
      <c r="M364" s="565"/>
      <c r="N364" s="565"/>
      <c r="O364" s="565"/>
      <c r="P364" s="565"/>
      <c r="Q364" s="565"/>
      <c r="R364" s="565"/>
      <c r="S364" s="565"/>
      <c r="T364" s="565"/>
      <c r="U364" s="565"/>
      <c r="V364" s="565"/>
      <c r="W364" s="565"/>
      <c r="X364" s="565"/>
      <c r="Y364" s="565"/>
      <c r="Z364" s="565"/>
      <c r="AA364" s="565"/>
      <c r="AB364" s="565"/>
      <c r="AC364" s="565"/>
      <c r="AD364" s="565"/>
      <c r="AE364" s="565"/>
      <c r="AF364" s="565"/>
      <c r="AG364" s="565"/>
      <c r="AH364" s="565"/>
      <c r="AI364" s="565"/>
      <c r="AJ364" s="565"/>
      <c r="AK364" s="565"/>
      <c r="AL364" s="565"/>
      <c r="AM364" s="565"/>
      <c r="AN364" s="565"/>
      <c r="AO364" s="565"/>
      <c r="AP364" s="565"/>
      <c r="AQ364" s="565"/>
      <c r="AR364" s="565"/>
      <c r="AS364" s="565"/>
      <c r="AT364" s="565"/>
      <c r="AU364" s="181"/>
      <c r="AV364" s="558"/>
    </row>
    <row r="365" ht="11.25" customHeight="1">
      <c r="A365" s="565"/>
      <c r="B365" s="181"/>
      <c r="C365" s="565"/>
      <c r="D365" s="565"/>
      <c r="E365" s="565"/>
      <c r="F365" s="565"/>
      <c r="G365" s="565"/>
      <c r="H365" s="565"/>
      <c r="I365" s="565"/>
      <c r="J365" s="565"/>
      <c r="K365" s="565"/>
      <c r="L365" s="565"/>
      <c r="M365" s="565"/>
      <c r="N365" s="565"/>
      <c r="O365" s="565"/>
      <c r="P365" s="565"/>
      <c r="Q365" s="565"/>
      <c r="R365" s="565"/>
      <c r="S365" s="565"/>
      <c r="T365" s="565"/>
      <c r="U365" s="565"/>
      <c r="V365" s="565"/>
      <c r="W365" s="565"/>
      <c r="X365" s="565"/>
      <c r="Y365" s="565"/>
      <c r="Z365" s="565"/>
      <c r="AA365" s="565"/>
      <c r="AB365" s="565"/>
      <c r="AC365" s="565"/>
      <c r="AD365" s="565"/>
      <c r="AE365" s="565"/>
      <c r="AF365" s="565"/>
      <c r="AG365" s="565"/>
      <c r="AH365" s="565"/>
      <c r="AI365" s="565"/>
      <c r="AJ365" s="565"/>
      <c r="AK365" s="565"/>
      <c r="AL365" s="565"/>
      <c r="AM365" s="565"/>
      <c r="AN365" s="565"/>
      <c r="AO365" s="565"/>
      <c r="AP365" s="565"/>
      <c r="AQ365" s="565"/>
      <c r="AR365" s="565"/>
      <c r="AS365" s="565"/>
      <c r="AT365" s="565"/>
      <c r="AU365" s="181"/>
      <c r="AV365" s="558"/>
    </row>
    <row r="366" ht="11.25" customHeight="1">
      <c r="A366" s="565"/>
      <c r="B366" s="181"/>
      <c r="C366" s="565"/>
      <c r="D366" s="565"/>
      <c r="E366" s="565"/>
      <c r="F366" s="565"/>
      <c r="G366" s="565"/>
      <c r="H366" s="565"/>
      <c r="I366" s="565"/>
      <c r="J366" s="565"/>
      <c r="K366" s="565"/>
      <c r="L366" s="565"/>
      <c r="M366" s="565"/>
      <c r="N366" s="565"/>
      <c r="O366" s="565"/>
      <c r="P366" s="565"/>
      <c r="Q366" s="565"/>
      <c r="R366" s="565"/>
      <c r="S366" s="565"/>
      <c r="T366" s="565"/>
      <c r="U366" s="565"/>
      <c r="V366" s="565"/>
      <c r="W366" s="565"/>
      <c r="X366" s="565"/>
      <c r="Y366" s="565"/>
      <c r="Z366" s="565"/>
      <c r="AA366" s="565"/>
      <c r="AB366" s="565"/>
      <c r="AC366" s="565"/>
      <c r="AD366" s="565"/>
      <c r="AE366" s="565"/>
      <c r="AF366" s="565"/>
      <c r="AG366" s="565"/>
      <c r="AH366" s="565"/>
      <c r="AI366" s="565"/>
      <c r="AJ366" s="565"/>
      <c r="AK366" s="565"/>
      <c r="AL366" s="565"/>
      <c r="AM366" s="565"/>
      <c r="AN366" s="565"/>
      <c r="AO366" s="565"/>
      <c r="AP366" s="565"/>
      <c r="AQ366" s="565"/>
      <c r="AR366" s="565"/>
      <c r="AS366" s="565"/>
      <c r="AT366" s="565"/>
      <c r="AU366" s="181"/>
      <c r="AV366" s="558"/>
    </row>
    <row r="367" ht="11.25" customHeight="1">
      <c r="A367" s="565"/>
      <c r="B367" s="181"/>
      <c r="C367" s="565"/>
      <c r="D367" s="565"/>
      <c r="E367" s="565"/>
      <c r="F367" s="565"/>
      <c r="G367" s="565"/>
      <c r="H367" s="565"/>
      <c r="I367" s="565"/>
      <c r="J367" s="565"/>
      <c r="K367" s="565"/>
      <c r="L367" s="565"/>
      <c r="M367" s="565"/>
      <c r="N367" s="565"/>
      <c r="O367" s="565"/>
      <c r="P367" s="565"/>
      <c r="Q367" s="565"/>
      <c r="R367" s="565"/>
      <c r="S367" s="565"/>
      <c r="T367" s="565"/>
      <c r="U367" s="565"/>
      <c r="V367" s="565"/>
      <c r="W367" s="565"/>
      <c r="X367" s="565"/>
      <c r="Y367" s="565"/>
      <c r="Z367" s="565"/>
      <c r="AA367" s="565"/>
      <c r="AB367" s="565"/>
      <c r="AC367" s="565"/>
      <c r="AD367" s="565"/>
      <c r="AE367" s="565"/>
      <c r="AF367" s="565"/>
      <c r="AG367" s="565"/>
      <c r="AH367" s="565"/>
      <c r="AI367" s="565"/>
      <c r="AJ367" s="565"/>
      <c r="AK367" s="565"/>
      <c r="AL367" s="565"/>
      <c r="AM367" s="565"/>
      <c r="AN367" s="565"/>
      <c r="AO367" s="565"/>
      <c r="AP367" s="565"/>
      <c r="AQ367" s="565"/>
      <c r="AR367" s="565"/>
      <c r="AS367" s="565"/>
      <c r="AT367" s="565"/>
      <c r="AU367" s="181"/>
      <c r="AV367" s="558"/>
    </row>
    <row r="368" ht="11.25" customHeight="1">
      <c r="A368" s="565"/>
      <c r="B368" s="181"/>
      <c r="C368" s="565"/>
      <c r="D368" s="565"/>
      <c r="E368" s="565"/>
      <c r="F368" s="565"/>
      <c r="G368" s="565"/>
      <c r="H368" s="565"/>
      <c r="I368" s="565"/>
      <c r="J368" s="565"/>
      <c r="K368" s="565"/>
      <c r="L368" s="565"/>
      <c r="M368" s="565"/>
      <c r="N368" s="565"/>
      <c r="O368" s="565"/>
      <c r="P368" s="565"/>
      <c r="Q368" s="565"/>
      <c r="R368" s="565"/>
      <c r="S368" s="565"/>
      <c r="T368" s="565"/>
      <c r="U368" s="565"/>
      <c r="V368" s="565"/>
      <c r="W368" s="565"/>
      <c r="X368" s="565"/>
      <c r="Y368" s="565"/>
      <c r="Z368" s="565"/>
      <c r="AA368" s="565"/>
      <c r="AB368" s="565"/>
      <c r="AC368" s="565"/>
      <c r="AD368" s="565"/>
      <c r="AE368" s="565"/>
      <c r="AF368" s="565"/>
      <c r="AG368" s="565"/>
      <c r="AH368" s="565"/>
      <c r="AI368" s="565"/>
      <c r="AJ368" s="565"/>
      <c r="AK368" s="565"/>
      <c r="AL368" s="565"/>
      <c r="AM368" s="565"/>
      <c r="AN368" s="565"/>
      <c r="AO368" s="565"/>
      <c r="AP368" s="565"/>
      <c r="AQ368" s="565"/>
      <c r="AR368" s="565"/>
      <c r="AS368" s="565"/>
      <c r="AT368" s="565"/>
      <c r="AU368" s="181"/>
      <c r="AV368" s="558"/>
    </row>
    <row r="369" ht="11.25" customHeight="1">
      <c r="A369" s="565"/>
      <c r="B369" s="181"/>
      <c r="C369" s="565"/>
      <c r="D369" s="565"/>
      <c r="E369" s="565"/>
      <c r="F369" s="565"/>
      <c r="G369" s="565"/>
      <c r="H369" s="565"/>
      <c r="I369" s="565"/>
      <c r="J369" s="565"/>
      <c r="K369" s="565"/>
      <c r="L369" s="565"/>
      <c r="M369" s="565"/>
      <c r="N369" s="565"/>
      <c r="O369" s="565"/>
      <c r="P369" s="565"/>
      <c r="Q369" s="565"/>
      <c r="R369" s="565"/>
      <c r="S369" s="565"/>
      <c r="T369" s="565"/>
      <c r="U369" s="565"/>
      <c r="V369" s="565"/>
      <c r="W369" s="565"/>
      <c r="X369" s="565"/>
      <c r="Y369" s="565"/>
      <c r="Z369" s="565"/>
      <c r="AA369" s="565"/>
      <c r="AB369" s="565"/>
      <c r="AC369" s="565"/>
      <c r="AD369" s="565"/>
      <c r="AE369" s="565"/>
      <c r="AF369" s="565"/>
      <c r="AG369" s="565"/>
      <c r="AH369" s="565"/>
      <c r="AI369" s="565"/>
      <c r="AJ369" s="565"/>
      <c r="AK369" s="565"/>
      <c r="AL369" s="565"/>
      <c r="AM369" s="565"/>
      <c r="AN369" s="565"/>
      <c r="AO369" s="565"/>
      <c r="AP369" s="565"/>
      <c r="AQ369" s="565"/>
      <c r="AR369" s="565"/>
      <c r="AS369" s="565"/>
      <c r="AT369" s="565"/>
      <c r="AU369" s="181"/>
      <c r="AV369" s="558"/>
    </row>
    <row r="370" ht="11.25" customHeight="1">
      <c r="A370" s="565"/>
      <c r="B370" s="181"/>
      <c r="C370" s="565"/>
      <c r="D370" s="565"/>
      <c r="E370" s="565"/>
      <c r="F370" s="565"/>
      <c r="G370" s="565"/>
      <c r="H370" s="565"/>
      <c r="I370" s="565"/>
      <c r="J370" s="565"/>
      <c r="K370" s="565"/>
      <c r="L370" s="565"/>
      <c r="M370" s="565"/>
      <c r="N370" s="565"/>
      <c r="O370" s="565"/>
      <c r="P370" s="565"/>
      <c r="Q370" s="565"/>
      <c r="R370" s="565"/>
      <c r="S370" s="565"/>
      <c r="T370" s="565"/>
      <c r="U370" s="565"/>
      <c r="V370" s="565"/>
      <c r="W370" s="565"/>
      <c r="X370" s="565"/>
      <c r="Y370" s="565"/>
      <c r="Z370" s="565"/>
      <c r="AA370" s="565"/>
      <c r="AB370" s="565"/>
      <c r="AC370" s="565"/>
      <c r="AD370" s="565"/>
      <c r="AE370" s="565"/>
      <c r="AF370" s="565"/>
      <c r="AG370" s="565"/>
      <c r="AH370" s="565"/>
      <c r="AI370" s="565"/>
      <c r="AJ370" s="565"/>
      <c r="AK370" s="565"/>
      <c r="AL370" s="565"/>
      <c r="AM370" s="565"/>
      <c r="AN370" s="565"/>
      <c r="AO370" s="565"/>
      <c r="AP370" s="565"/>
      <c r="AQ370" s="565"/>
      <c r="AR370" s="565"/>
      <c r="AS370" s="565"/>
      <c r="AT370" s="565"/>
      <c r="AU370" s="181"/>
      <c r="AV370" s="558"/>
    </row>
    <row r="371" ht="11.25" customHeight="1">
      <c r="A371" s="565"/>
      <c r="B371" s="181"/>
      <c r="C371" s="565"/>
      <c r="D371" s="565"/>
      <c r="E371" s="565"/>
      <c r="F371" s="565"/>
      <c r="G371" s="565"/>
      <c r="H371" s="565"/>
      <c r="I371" s="565"/>
      <c r="J371" s="565"/>
      <c r="K371" s="565"/>
      <c r="L371" s="565"/>
      <c r="M371" s="565"/>
      <c r="N371" s="565"/>
      <c r="O371" s="565"/>
      <c r="P371" s="565"/>
      <c r="Q371" s="565"/>
      <c r="R371" s="565"/>
      <c r="S371" s="565"/>
      <c r="T371" s="565"/>
      <c r="U371" s="565"/>
      <c r="V371" s="565"/>
      <c r="W371" s="565"/>
      <c r="X371" s="565"/>
      <c r="Y371" s="565"/>
      <c r="Z371" s="565"/>
      <c r="AA371" s="565"/>
      <c r="AB371" s="565"/>
      <c r="AC371" s="565"/>
      <c r="AD371" s="565"/>
      <c r="AE371" s="565"/>
      <c r="AF371" s="565"/>
      <c r="AG371" s="565"/>
      <c r="AH371" s="565"/>
      <c r="AI371" s="565"/>
      <c r="AJ371" s="565"/>
      <c r="AK371" s="565"/>
      <c r="AL371" s="565"/>
      <c r="AM371" s="565"/>
      <c r="AN371" s="565"/>
      <c r="AO371" s="565"/>
      <c r="AP371" s="565"/>
      <c r="AQ371" s="565"/>
      <c r="AR371" s="565"/>
      <c r="AS371" s="565"/>
      <c r="AT371" s="565"/>
      <c r="AU371" s="181"/>
      <c r="AV371" s="558"/>
    </row>
    <row r="372" ht="11.25" customHeight="1">
      <c r="A372" s="565"/>
      <c r="B372" s="181"/>
      <c r="C372" s="565"/>
      <c r="D372" s="565"/>
      <c r="E372" s="565"/>
      <c r="F372" s="565"/>
      <c r="G372" s="565"/>
      <c r="H372" s="565"/>
      <c r="I372" s="565"/>
      <c r="J372" s="565"/>
      <c r="K372" s="565"/>
      <c r="L372" s="565"/>
      <c r="M372" s="565"/>
      <c r="N372" s="565"/>
      <c r="O372" s="565"/>
      <c r="P372" s="565"/>
      <c r="Q372" s="565"/>
      <c r="R372" s="565"/>
      <c r="S372" s="565"/>
      <c r="T372" s="565"/>
      <c r="U372" s="565"/>
      <c r="V372" s="565"/>
      <c r="W372" s="565"/>
      <c r="X372" s="565"/>
      <c r="Y372" s="565"/>
      <c r="Z372" s="565"/>
      <c r="AA372" s="565"/>
      <c r="AB372" s="565"/>
      <c r="AC372" s="565"/>
      <c r="AD372" s="565"/>
      <c r="AE372" s="565"/>
      <c r="AF372" s="565"/>
      <c r="AG372" s="565"/>
      <c r="AH372" s="565"/>
      <c r="AI372" s="565"/>
      <c r="AJ372" s="565"/>
      <c r="AK372" s="565"/>
      <c r="AL372" s="565"/>
      <c r="AM372" s="565"/>
      <c r="AN372" s="565"/>
      <c r="AO372" s="565"/>
      <c r="AP372" s="565"/>
      <c r="AQ372" s="565"/>
      <c r="AR372" s="565"/>
      <c r="AS372" s="565"/>
      <c r="AT372" s="565"/>
      <c r="AU372" s="181"/>
      <c r="AV372" s="558"/>
    </row>
    <row r="373" ht="11.25" customHeight="1">
      <c r="A373" s="565"/>
      <c r="B373" s="181"/>
      <c r="C373" s="565"/>
      <c r="D373" s="565"/>
      <c r="E373" s="565"/>
      <c r="F373" s="565"/>
      <c r="G373" s="565"/>
      <c r="H373" s="565"/>
      <c r="I373" s="565"/>
      <c r="J373" s="565"/>
      <c r="K373" s="565"/>
      <c r="L373" s="565"/>
      <c r="M373" s="565"/>
      <c r="N373" s="565"/>
      <c r="O373" s="565"/>
      <c r="P373" s="565"/>
      <c r="Q373" s="565"/>
      <c r="R373" s="565"/>
      <c r="S373" s="565"/>
      <c r="T373" s="565"/>
      <c r="U373" s="565"/>
      <c r="V373" s="565"/>
      <c r="W373" s="565"/>
      <c r="X373" s="565"/>
      <c r="Y373" s="565"/>
      <c r="Z373" s="565"/>
      <c r="AA373" s="565"/>
      <c r="AB373" s="565"/>
      <c r="AC373" s="565"/>
      <c r="AD373" s="565"/>
      <c r="AE373" s="565"/>
      <c r="AF373" s="565"/>
      <c r="AG373" s="565"/>
      <c r="AH373" s="565"/>
      <c r="AI373" s="565"/>
      <c r="AJ373" s="565"/>
      <c r="AK373" s="565"/>
      <c r="AL373" s="565"/>
      <c r="AM373" s="565"/>
      <c r="AN373" s="565"/>
      <c r="AO373" s="565"/>
      <c r="AP373" s="565"/>
      <c r="AQ373" s="565"/>
      <c r="AR373" s="565"/>
      <c r="AS373" s="565"/>
      <c r="AT373" s="565"/>
      <c r="AU373" s="181"/>
      <c r="AV373" s="558"/>
    </row>
    <row r="374" ht="11.25" customHeight="1">
      <c r="A374" s="565"/>
      <c r="B374" s="181"/>
      <c r="C374" s="565"/>
      <c r="D374" s="565"/>
      <c r="E374" s="565"/>
      <c r="F374" s="565"/>
      <c r="G374" s="565"/>
      <c r="H374" s="565"/>
      <c r="I374" s="565"/>
      <c r="J374" s="565"/>
      <c r="K374" s="565"/>
      <c r="L374" s="565"/>
      <c r="M374" s="565"/>
      <c r="N374" s="565"/>
      <c r="O374" s="565"/>
      <c r="P374" s="565"/>
      <c r="Q374" s="565"/>
      <c r="R374" s="565"/>
      <c r="S374" s="565"/>
      <c r="T374" s="565"/>
      <c r="U374" s="565"/>
      <c r="V374" s="565"/>
      <c r="W374" s="565"/>
      <c r="X374" s="565"/>
      <c r="Y374" s="565"/>
      <c r="Z374" s="565"/>
      <c r="AA374" s="565"/>
      <c r="AB374" s="565"/>
      <c r="AC374" s="565"/>
      <c r="AD374" s="565"/>
      <c r="AE374" s="565"/>
      <c r="AF374" s="565"/>
      <c r="AG374" s="565"/>
      <c r="AH374" s="565"/>
      <c r="AI374" s="565"/>
      <c r="AJ374" s="565"/>
      <c r="AK374" s="565"/>
      <c r="AL374" s="565"/>
      <c r="AM374" s="565"/>
      <c r="AN374" s="565"/>
      <c r="AO374" s="565"/>
      <c r="AP374" s="565"/>
      <c r="AQ374" s="565"/>
      <c r="AR374" s="565"/>
      <c r="AS374" s="565"/>
      <c r="AT374" s="565"/>
      <c r="AU374" s="181"/>
      <c r="AV374" s="558"/>
    </row>
    <row r="375" ht="11.25" customHeight="1">
      <c r="A375" s="565"/>
      <c r="B375" s="181"/>
      <c r="C375" s="565"/>
      <c r="D375" s="565"/>
      <c r="E375" s="565"/>
      <c r="F375" s="565"/>
      <c r="G375" s="565"/>
      <c r="H375" s="565"/>
      <c r="I375" s="565"/>
      <c r="J375" s="565"/>
      <c r="K375" s="565"/>
      <c r="L375" s="565"/>
      <c r="M375" s="565"/>
      <c r="N375" s="565"/>
      <c r="O375" s="565"/>
      <c r="P375" s="565"/>
      <c r="Q375" s="565"/>
      <c r="R375" s="565"/>
      <c r="S375" s="565"/>
      <c r="T375" s="565"/>
      <c r="U375" s="565"/>
      <c r="V375" s="565"/>
      <c r="W375" s="565"/>
      <c r="X375" s="565"/>
      <c r="Y375" s="565"/>
      <c r="Z375" s="565"/>
      <c r="AA375" s="565"/>
      <c r="AB375" s="565"/>
      <c r="AC375" s="565"/>
      <c r="AD375" s="565"/>
      <c r="AE375" s="565"/>
      <c r="AF375" s="565"/>
      <c r="AG375" s="565"/>
      <c r="AH375" s="565"/>
      <c r="AI375" s="565"/>
      <c r="AJ375" s="565"/>
      <c r="AK375" s="565"/>
      <c r="AL375" s="565"/>
      <c r="AM375" s="565"/>
      <c r="AN375" s="565"/>
      <c r="AO375" s="565"/>
      <c r="AP375" s="565"/>
      <c r="AQ375" s="565"/>
      <c r="AR375" s="565"/>
      <c r="AS375" s="565"/>
      <c r="AT375" s="565"/>
      <c r="AU375" s="181"/>
      <c r="AV375" s="558"/>
    </row>
    <row r="376" ht="11.25" customHeight="1">
      <c r="A376" s="565"/>
      <c r="B376" s="181"/>
      <c r="C376" s="565"/>
      <c r="D376" s="565"/>
      <c r="E376" s="565"/>
      <c r="F376" s="565"/>
      <c r="G376" s="565"/>
      <c r="H376" s="565"/>
      <c r="I376" s="565"/>
      <c r="J376" s="565"/>
      <c r="K376" s="565"/>
      <c r="L376" s="565"/>
      <c r="M376" s="565"/>
      <c r="N376" s="565"/>
      <c r="O376" s="565"/>
      <c r="P376" s="565"/>
      <c r="Q376" s="565"/>
      <c r="R376" s="565"/>
      <c r="S376" s="565"/>
      <c r="T376" s="565"/>
      <c r="U376" s="565"/>
      <c r="V376" s="565"/>
      <c r="W376" s="565"/>
      <c r="X376" s="565"/>
      <c r="Y376" s="565"/>
      <c r="Z376" s="565"/>
      <c r="AA376" s="565"/>
      <c r="AB376" s="565"/>
      <c r="AC376" s="565"/>
      <c r="AD376" s="565"/>
      <c r="AE376" s="565"/>
      <c r="AF376" s="565"/>
      <c r="AG376" s="565"/>
      <c r="AH376" s="565"/>
      <c r="AI376" s="565"/>
      <c r="AJ376" s="565"/>
      <c r="AK376" s="565"/>
      <c r="AL376" s="565"/>
      <c r="AM376" s="565"/>
      <c r="AN376" s="565"/>
      <c r="AO376" s="565"/>
      <c r="AP376" s="565"/>
      <c r="AQ376" s="565"/>
      <c r="AR376" s="565"/>
      <c r="AS376" s="565"/>
      <c r="AT376" s="565"/>
      <c r="AU376" s="181"/>
      <c r="AV376" s="558"/>
    </row>
    <row r="377" ht="11.25" customHeight="1">
      <c r="A377" s="565"/>
      <c r="B377" s="181"/>
      <c r="C377" s="565"/>
      <c r="D377" s="565"/>
      <c r="E377" s="565"/>
      <c r="F377" s="565"/>
      <c r="G377" s="565"/>
      <c r="H377" s="565"/>
      <c r="I377" s="565"/>
      <c r="J377" s="565"/>
      <c r="K377" s="565"/>
      <c r="L377" s="565"/>
      <c r="M377" s="565"/>
      <c r="N377" s="565"/>
      <c r="O377" s="565"/>
      <c r="P377" s="565"/>
      <c r="Q377" s="565"/>
      <c r="R377" s="565"/>
      <c r="S377" s="565"/>
      <c r="T377" s="565"/>
      <c r="U377" s="565"/>
      <c r="V377" s="565"/>
      <c r="W377" s="565"/>
      <c r="X377" s="565"/>
      <c r="Y377" s="565"/>
      <c r="Z377" s="565"/>
      <c r="AA377" s="565"/>
      <c r="AB377" s="565"/>
      <c r="AC377" s="565"/>
      <c r="AD377" s="565"/>
      <c r="AE377" s="565"/>
      <c r="AF377" s="565"/>
      <c r="AG377" s="565"/>
      <c r="AH377" s="565"/>
      <c r="AI377" s="565"/>
      <c r="AJ377" s="565"/>
      <c r="AK377" s="565"/>
      <c r="AL377" s="565"/>
      <c r="AM377" s="565"/>
      <c r="AN377" s="565"/>
      <c r="AO377" s="565"/>
      <c r="AP377" s="565"/>
      <c r="AQ377" s="565"/>
      <c r="AR377" s="565"/>
      <c r="AS377" s="565"/>
      <c r="AT377" s="565"/>
      <c r="AU377" s="181"/>
      <c r="AV377" s="558"/>
    </row>
    <row r="378" ht="11.25" customHeight="1">
      <c r="A378" s="565"/>
      <c r="B378" s="181"/>
      <c r="C378" s="565"/>
      <c r="D378" s="565"/>
      <c r="E378" s="565"/>
      <c r="F378" s="565"/>
      <c r="G378" s="565"/>
      <c r="H378" s="565"/>
      <c r="I378" s="565"/>
      <c r="J378" s="565"/>
      <c r="K378" s="565"/>
      <c r="L378" s="565"/>
      <c r="M378" s="565"/>
      <c r="N378" s="565"/>
      <c r="O378" s="565"/>
      <c r="P378" s="565"/>
      <c r="Q378" s="565"/>
      <c r="R378" s="565"/>
      <c r="S378" s="565"/>
      <c r="T378" s="565"/>
      <c r="U378" s="565"/>
      <c r="V378" s="565"/>
      <c r="W378" s="565"/>
      <c r="X378" s="565"/>
      <c r="Y378" s="565"/>
      <c r="Z378" s="565"/>
      <c r="AA378" s="565"/>
      <c r="AB378" s="565"/>
      <c r="AC378" s="565"/>
      <c r="AD378" s="565"/>
      <c r="AE378" s="565"/>
      <c r="AF378" s="565"/>
      <c r="AG378" s="565"/>
      <c r="AH378" s="565"/>
      <c r="AI378" s="565"/>
      <c r="AJ378" s="565"/>
      <c r="AK378" s="565"/>
      <c r="AL378" s="565"/>
      <c r="AM378" s="565"/>
      <c r="AN378" s="565"/>
      <c r="AO378" s="565"/>
      <c r="AP378" s="565"/>
      <c r="AQ378" s="565"/>
      <c r="AR378" s="565"/>
      <c r="AS378" s="565"/>
      <c r="AT378" s="565"/>
      <c r="AU378" s="181"/>
      <c r="AV378" s="558"/>
    </row>
    <row r="379" ht="11.25" customHeight="1">
      <c r="A379" s="565"/>
      <c r="B379" s="181"/>
      <c r="C379" s="565"/>
      <c r="D379" s="565"/>
      <c r="E379" s="565"/>
      <c r="F379" s="565"/>
      <c r="G379" s="565"/>
      <c r="H379" s="565"/>
      <c r="I379" s="565"/>
      <c r="J379" s="565"/>
      <c r="K379" s="565"/>
      <c r="L379" s="565"/>
      <c r="M379" s="565"/>
      <c r="N379" s="565"/>
      <c r="O379" s="565"/>
      <c r="P379" s="565"/>
      <c r="Q379" s="565"/>
      <c r="R379" s="565"/>
      <c r="S379" s="565"/>
      <c r="T379" s="565"/>
      <c r="U379" s="565"/>
      <c r="V379" s="565"/>
      <c r="W379" s="565"/>
      <c r="X379" s="565"/>
      <c r="Y379" s="565"/>
      <c r="Z379" s="565"/>
      <c r="AA379" s="565"/>
      <c r="AB379" s="565"/>
      <c r="AC379" s="565"/>
      <c r="AD379" s="565"/>
      <c r="AE379" s="565"/>
      <c r="AF379" s="565"/>
      <c r="AG379" s="565"/>
      <c r="AH379" s="565"/>
      <c r="AI379" s="565"/>
      <c r="AJ379" s="565"/>
      <c r="AK379" s="565"/>
      <c r="AL379" s="565"/>
      <c r="AM379" s="565"/>
      <c r="AN379" s="565"/>
      <c r="AO379" s="565"/>
      <c r="AP379" s="565"/>
      <c r="AQ379" s="565"/>
      <c r="AR379" s="565"/>
      <c r="AS379" s="565"/>
      <c r="AT379" s="565"/>
      <c r="AU379" s="181"/>
      <c r="AV379" s="558"/>
    </row>
    <row r="380" ht="11.25" customHeight="1">
      <c r="A380" s="565"/>
      <c r="B380" s="181"/>
      <c r="C380" s="565"/>
      <c r="D380" s="565"/>
      <c r="E380" s="565"/>
      <c r="F380" s="565"/>
      <c r="G380" s="565"/>
      <c r="H380" s="565"/>
      <c r="I380" s="565"/>
      <c r="J380" s="565"/>
      <c r="K380" s="565"/>
      <c r="L380" s="565"/>
      <c r="M380" s="565"/>
      <c r="N380" s="565"/>
      <c r="O380" s="565"/>
      <c r="P380" s="565"/>
      <c r="Q380" s="565"/>
      <c r="R380" s="565"/>
      <c r="S380" s="565"/>
      <c r="T380" s="565"/>
      <c r="U380" s="565"/>
      <c r="V380" s="565"/>
      <c r="W380" s="565"/>
      <c r="X380" s="565"/>
      <c r="Y380" s="565"/>
      <c r="Z380" s="565"/>
      <c r="AA380" s="565"/>
      <c r="AB380" s="565"/>
      <c r="AC380" s="565"/>
      <c r="AD380" s="565"/>
      <c r="AE380" s="565"/>
      <c r="AF380" s="565"/>
      <c r="AG380" s="565"/>
      <c r="AH380" s="565"/>
      <c r="AI380" s="565"/>
      <c r="AJ380" s="565"/>
      <c r="AK380" s="565"/>
      <c r="AL380" s="565"/>
      <c r="AM380" s="565"/>
      <c r="AN380" s="565"/>
      <c r="AO380" s="565"/>
      <c r="AP380" s="565"/>
      <c r="AQ380" s="565"/>
      <c r="AR380" s="565"/>
      <c r="AS380" s="565"/>
      <c r="AT380" s="565"/>
      <c r="AU380" s="181"/>
      <c r="AV380" s="558"/>
    </row>
    <row r="381" ht="11.25" customHeight="1">
      <c r="A381" s="565"/>
      <c r="B381" s="181"/>
      <c r="C381" s="565"/>
      <c r="D381" s="565"/>
      <c r="E381" s="565"/>
      <c r="F381" s="565"/>
      <c r="G381" s="565"/>
      <c r="H381" s="565"/>
      <c r="I381" s="565"/>
      <c r="J381" s="565"/>
      <c r="K381" s="565"/>
      <c r="L381" s="565"/>
      <c r="M381" s="565"/>
      <c r="N381" s="565"/>
      <c r="O381" s="565"/>
      <c r="P381" s="565"/>
      <c r="Q381" s="565"/>
      <c r="R381" s="565"/>
      <c r="S381" s="565"/>
      <c r="T381" s="565"/>
      <c r="U381" s="565"/>
      <c r="V381" s="565"/>
      <c r="W381" s="565"/>
      <c r="X381" s="565"/>
      <c r="Y381" s="565"/>
      <c r="Z381" s="565"/>
      <c r="AA381" s="565"/>
      <c r="AB381" s="565"/>
      <c r="AC381" s="565"/>
      <c r="AD381" s="565"/>
      <c r="AE381" s="565"/>
      <c r="AF381" s="565"/>
      <c r="AG381" s="565"/>
      <c r="AH381" s="565"/>
      <c r="AI381" s="565"/>
      <c r="AJ381" s="565"/>
      <c r="AK381" s="565"/>
      <c r="AL381" s="565"/>
      <c r="AM381" s="565"/>
      <c r="AN381" s="565"/>
      <c r="AO381" s="565"/>
      <c r="AP381" s="565"/>
      <c r="AQ381" s="565"/>
      <c r="AR381" s="565"/>
      <c r="AS381" s="565"/>
      <c r="AT381" s="565"/>
      <c r="AU381" s="181"/>
      <c r="AV381" s="558"/>
    </row>
    <row r="382" ht="11.25" customHeight="1">
      <c r="A382" s="565"/>
      <c r="B382" s="181"/>
      <c r="C382" s="565"/>
      <c r="D382" s="565"/>
      <c r="E382" s="565"/>
      <c r="F382" s="565"/>
      <c r="G382" s="565"/>
      <c r="H382" s="565"/>
      <c r="I382" s="565"/>
      <c r="J382" s="565"/>
      <c r="K382" s="565"/>
      <c r="L382" s="565"/>
      <c r="M382" s="565"/>
      <c r="N382" s="565"/>
      <c r="O382" s="565"/>
      <c r="P382" s="565"/>
      <c r="Q382" s="565"/>
      <c r="R382" s="565"/>
      <c r="S382" s="565"/>
      <c r="T382" s="565"/>
      <c r="U382" s="565"/>
      <c r="V382" s="565"/>
      <c r="W382" s="565"/>
      <c r="X382" s="565"/>
      <c r="Y382" s="565"/>
      <c r="Z382" s="565"/>
      <c r="AA382" s="565"/>
      <c r="AB382" s="565"/>
      <c r="AC382" s="565"/>
      <c r="AD382" s="565"/>
      <c r="AE382" s="565"/>
      <c r="AF382" s="565"/>
      <c r="AG382" s="565"/>
      <c r="AH382" s="565"/>
      <c r="AI382" s="565"/>
      <c r="AJ382" s="565"/>
      <c r="AK382" s="565"/>
      <c r="AL382" s="565"/>
      <c r="AM382" s="565"/>
      <c r="AN382" s="565"/>
      <c r="AO382" s="565"/>
      <c r="AP382" s="565"/>
      <c r="AQ382" s="565"/>
      <c r="AR382" s="565"/>
      <c r="AS382" s="565"/>
      <c r="AT382" s="565"/>
      <c r="AU382" s="181"/>
      <c r="AV382" s="558"/>
    </row>
    <row r="383" ht="11.25" customHeight="1">
      <c r="A383" s="565"/>
      <c r="B383" s="181"/>
      <c r="C383" s="565"/>
      <c r="D383" s="565"/>
      <c r="E383" s="565"/>
      <c r="F383" s="565"/>
      <c r="G383" s="565"/>
      <c r="H383" s="565"/>
      <c r="I383" s="565"/>
      <c r="J383" s="565"/>
      <c r="K383" s="565"/>
      <c r="L383" s="565"/>
      <c r="M383" s="565"/>
      <c r="N383" s="565"/>
      <c r="O383" s="565"/>
      <c r="P383" s="565"/>
      <c r="Q383" s="565"/>
      <c r="R383" s="565"/>
      <c r="S383" s="565"/>
      <c r="T383" s="565"/>
      <c r="U383" s="565"/>
      <c r="V383" s="565"/>
      <c r="W383" s="565"/>
      <c r="X383" s="565"/>
      <c r="Y383" s="565"/>
      <c r="Z383" s="565"/>
      <c r="AA383" s="565"/>
      <c r="AB383" s="565"/>
      <c r="AC383" s="565"/>
      <c r="AD383" s="565"/>
      <c r="AE383" s="565"/>
      <c r="AF383" s="565"/>
      <c r="AG383" s="565"/>
      <c r="AH383" s="565"/>
      <c r="AI383" s="565"/>
      <c r="AJ383" s="565"/>
      <c r="AK383" s="565"/>
      <c r="AL383" s="565"/>
      <c r="AM383" s="565"/>
      <c r="AN383" s="565"/>
      <c r="AO383" s="565"/>
      <c r="AP383" s="565"/>
      <c r="AQ383" s="565"/>
      <c r="AR383" s="565"/>
      <c r="AS383" s="565"/>
      <c r="AT383" s="565"/>
      <c r="AU383" s="181"/>
      <c r="AV383" s="558"/>
    </row>
    <row r="384" ht="11.25" customHeight="1">
      <c r="A384" s="565"/>
      <c r="B384" s="181"/>
      <c r="C384" s="565"/>
      <c r="D384" s="565"/>
      <c r="E384" s="565"/>
      <c r="F384" s="565"/>
      <c r="G384" s="565"/>
      <c r="H384" s="565"/>
      <c r="I384" s="565"/>
      <c r="J384" s="565"/>
      <c r="K384" s="565"/>
      <c r="L384" s="565"/>
      <c r="M384" s="565"/>
      <c r="N384" s="565"/>
      <c r="O384" s="565"/>
      <c r="P384" s="565"/>
      <c r="Q384" s="565"/>
      <c r="R384" s="565"/>
      <c r="S384" s="565"/>
      <c r="T384" s="565"/>
      <c r="U384" s="565"/>
      <c r="V384" s="565"/>
      <c r="W384" s="565"/>
      <c r="X384" s="565"/>
      <c r="Y384" s="565"/>
      <c r="Z384" s="565"/>
      <c r="AA384" s="565"/>
      <c r="AB384" s="565"/>
      <c r="AC384" s="565"/>
      <c r="AD384" s="565"/>
      <c r="AE384" s="565"/>
      <c r="AF384" s="565"/>
      <c r="AG384" s="565"/>
      <c r="AH384" s="565"/>
      <c r="AI384" s="565"/>
      <c r="AJ384" s="565"/>
      <c r="AK384" s="565"/>
      <c r="AL384" s="565"/>
      <c r="AM384" s="565"/>
      <c r="AN384" s="565"/>
      <c r="AO384" s="565"/>
      <c r="AP384" s="565"/>
      <c r="AQ384" s="565"/>
      <c r="AR384" s="565"/>
      <c r="AS384" s="565"/>
      <c r="AT384" s="565"/>
      <c r="AU384" s="181"/>
      <c r="AV384" s="558"/>
    </row>
    <row r="385" ht="11.25" customHeight="1">
      <c r="A385" s="565"/>
      <c r="B385" s="181"/>
      <c r="C385" s="565"/>
      <c r="D385" s="565"/>
      <c r="E385" s="565"/>
      <c r="F385" s="565"/>
      <c r="G385" s="565"/>
      <c r="H385" s="565"/>
      <c r="I385" s="565"/>
      <c r="J385" s="565"/>
      <c r="K385" s="565"/>
      <c r="L385" s="565"/>
      <c r="M385" s="565"/>
      <c r="N385" s="565"/>
      <c r="O385" s="565"/>
      <c r="P385" s="565"/>
      <c r="Q385" s="565"/>
      <c r="R385" s="565"/>
      <c r="S385" s="565"/>
      <c r="T385" s="565"/>
      <c r="U385" s="565"/>
      <c r="V385" s="565"/>
      <c r="W385" s="565"/>
      <c r="X385" s="565"/>
      <c r="Y385" s="565"/>
      <c r="Z385" s="565"/>
      <c r="AA385" s="565"/>
      <c r="AB385" s="565"/>
      <c r="AC385" s="565"/>
      <c r="AD385" s="565"/>
      <c r="AE385" s="565"/>
      <c r="AF385" s="565"/>
      <c r="AG385" s="565"/>
      <c r="AH385" s="565"/>
      <c r="AI385" s="565"/>
      <c r="AJ385" s="565"/>
      <c r="AK385" s="565"/>
      <c r="AL385" s="565"/>
      <c r="AM385" s="565"/>
      <c r="AN385" s="565"/>
      <c r="AO385" s="565"/>
      <c r="AP385" s="565"/>
      <c r="AQ385" s="565"/>
      <c r="AR385" s="565"/>
      <c r="AS385" s="565"/>
      <c r="AT385" s="565"/>
      <c r="AU385" s="181"/>
      <c r="AV385" s="558"/>
    </row>
    <row r="386" ht="11.25" customHeight="1">
      <c r="A386" s="565"/>
      <c r="B386" s="181"/>
      <c r="C386" s="565"/>
      <c r="D386" s="565"/>
      <c r="E386" s="565"/>
      <c r="F386" s="565"/>
      <c r="G386" s="565"/>
      <c r="H386" s="565"/>
      <c r="I386" s="565"/>
      <c r="J386" s="565"/>
      <c r="K386" s="565"/>
      <c r="L386" s="565"/>
      <c r="M386" s="565"/>
      <c r="N386" s="565"/>
      <c r="O386" s="565"/>
      <c r="P386" s="565"/>
      <c r="Q386" s="565"/>
      <c r="R386" s="565"/>
      <c r="S386" s="565"/>
      <c r="T386" s="565"/>
      <c r="U386" s="565"/>
      <c r="V386" s="565"/>
      <c r="W386" s="565"/>
      <c r="X386" s="565"/>
      <c r="Y386" s="565"/>
      <c r="Z386" s="565"/>
      <c r="AA386" s="565"/>
      <c r="AB386" s="565"/>
      <c r="AC386" s="565"/>
      <c r="AD386" s="565"/>
      <c r="AE386" s="565"/>
      <c r="AF386" s="565"/>
      <c r="AG386" s="565"/>
      <c r="AH386" s="565"/>
      <c r="AI386" s="565"/>
      <c r="AJ386" s="565"/>
      <c r="AK386" s="565"/>
      <c r="AL386" s="565"/>
      <c r="AM386" s="565"/>
      <c r="AN386" s="565"/>
      <c r="AO386" s="565"/>
      <c r="AP386" s="565"/>
      <c r="AQ386" s="565"/>
      <c r="AR386" s="565"/>
      <c r="AS386" s="565"/>
      <c r="AT386" s="565"/>
      <c r="AU386" s="181"/>
      <c r="AV386" s="558"/>
    </row>
    <row r="387" ht="11.25" customHeight="1">
      <c r="A387" s="565"/>
      <c r="B387" s="181"/>
      <c r="C387" s="565"/>
      <c r="D387" s="565"/>
      <c r="E387" s="565"/>
      <c r="F387" s="565"/>
      <c r="G387" s="565"/>
      <c r="H387" s="565"/>
      <c r="I387" s="565"/>
      <c r="J387" s="565"/>
      <c r="K387" s="565"/>
      <c r="L387" s="565"/>
      <c r="M387" s="565"/>
      <c r="N387" s="565"/>
      <c r="O387" s="565"/>
      <c r="P387" s="565"/>
      <c r="Q387" s="565"/>
      <c r="R387" s="565"/>
      <c r="S387" s="565"/>
      <c r="T387" s="565"/>
      <c r="U387" s="565"/>
      <c r="V387" s="565"/>
      <c r="W387" s="565"/>
      <c r="X387" s="565"/>
      <c r="Y387" s="565"/>
      <c r="Z387" s="565"/>
      <c r="AA387" s="565"/>
      <c r="AB387" s="565"/>
      <c r="AC387" s="565"/>
      <c r="AD387" s="565"/>
      <c r="AE387" s="565"/>
      <c r="AF387" s="565"/>
      <c r="AG387" s="565"/>
      <c r="AH387" s="565"/>
      <c r="AI387" s="565"/>
      <c r="AJ387" s="565"/>
      <c r="AK387" s="565"/>
      <c r="AL387" s="565"/>
      <c r="AM387" s="565"/>
      <c r="AN387" s="565"/>
      <c r="AO387" s="565"/>
      <c r="AP387" s="565"/>
      <c r="AQ387" s="565"/>
      <c r="AR387" s="565"/>
      <c r="AS387" s="565"/>
      <c r="AT387" s="565"/>
      <c r="AU387" s="181"/>
      <c r="AV387" s="558"/>
    </row>
    <row r="388" ht="11.25" customHeight="1">
      <c r="A388" s="565"/>
      <c r="B388" s="181"/>
      <c r="C388" s="565"/>
      <c r="D388" s="565"/>
      <c r="E388" s="565"/>
      <c r="F388" s="565"/>
      <c r="G388" s="565"/>
      <c r="H388" s="565"/>
      <c r="I388" s="565"/>
      <c r="J388" s="565"/>
      <c r="K388" s="565"/>
      <c r="L388" s="565"/>
      <c r="M388" s="565"/>
      <c r="N388" s="565"/>
      <c r="O388" s="565"/>
      <c r="P388" s="565"/>
      <c r="Q388" s="565"/>
      <c r="R388" s="565"/>
      <c r="S388" s="565"/>
      <c r="T388" s="565"/>
      <c r="U388" s="565"/>
      <c r="V388" s="565"/>
      <c r="W388" s="565"/>
      <c r="X388" s="565"/>
      <c r="Y388" s="565"/>
      <c r="Z388" s="565"/>
      <c r="AA388" s="565"/>
      <c r="AB388" s="565"/>
      <c r="AC388" s="565"/>
      <c r="AD388" s="565"/>
      <c r="AE388" s="565"/>
      <c r="AF388" s="565"/>
      <c r="AG388" s="565"/>
      <c r="AH388" s="565"/>
      <c r="AI388" s="565"/>
      <c r="AJ388" s="565"/>
      <c r="AK388" s="565"/>
      <c r="AL388" s="565"/>
      <c r="AM388" s="565"/>
      <c r="AN388" s="565"/>
      <c r="AO388" s="565"/>
      <c r="AP388" s="565"/>
      <c r="AQ388" s="565"/>
      <c r="AR388" s="565"/>
      <c r="AS388" s="565"/>
      <c r="AT388" s="565"/>
      <c r="AU388" s="181"/>
      <c r="AV388" s="558"/>
    </row>
    <row r="389" ht="11.25" customHeight="1">
      <c r="A389" s="565"/>
      <c r="B389" s="181"/>
      <c r="C389" s="565"/>
      <c r="D389" s="565"/>
      <c r="E389" s="565"/>
      <c r="F389" s="565"/>
      <c r="G389" s="565"/>
      <c r="H389" s="565"/>
      <c r="I389" s="565"/>
      <c r="J389" s="565"/>
      <c r="K389" s="565"/>
      <c r="L389" s="565"/>
      <c r="M389" s="565"/>
      <c r="N389" s="565"/>
      <c r="O389" s="565"/>
      <c r="P389" s="565"/>
      <c r="Q389" s="565"/>
      <c r="R389" s="565"/>
      <c r="S389" s="565"/>
      <c r="T389" s="565"/>
      <c r="U389" s="565"/>
      <c r="V389" s="565"/>
      <c r="W389" s="565"/>
      <c r="X389" s="565"/>
      <c r="Y389" s="565"/>
      <c r="Z389" s="565"/>
      <c r="AA389" s="565"/>
      <c r="AB389" s="565"/>
      <c r="AC389" s="565"/>
      <c r="AD389" s="565"/>
      <c r="AE389" s="565"/>
      <c r="AF389" s="565"/>
      <c r="AG389" s="565"/>
      <c r="AH389" s="565"/>
      <c r="AI389" s="565"/>
      <c r="AJ389" s="565"/>
      <c r="AK389" s="565"/>
      <c r="AL389" s="565"/>
      <c r="AM389" s="565"/>
      <c r="AN389" s="565"/>
      <c r="AO389" s="565"/>
      <c r="AP389" s="565"/>
      <c r="AQ389" s="565"/>
      <c r="AR389" s="565"/>
      <c r="AS389" s="565"/>
      <c r="AT389" s="565"/>
      <c r="AU389" s="181"/>
      <c r="AV389" s="558"/>
    </row>
    <row r="390" ht="11.25" customHeight="1">
      <c r="A390" s="565"/>
      <c r="B390" s="181"/>
      <c r="C390" s="565"/>
      <c r="D390" s="565"/>
      <c r="E390" s="565"/>
      <c r="F390" s="565"/>
      <c r="G390" s="565"/>
      <c r="H390" s="565"/>
      <c r="I390" s="565"/>
      <c r="J390" s="565"/>
      <c r="K390" s="565"/>
      <c r="L390" s="565"/>
      <c r="M390" s="565"/>
      <c r="N390" s="565"/>
      <c r="O390" s="565"/>
      <c r="P390" s="565"/>
      <c r="Q390" s="565"/>
      <c r="R390" s="565"/>
      <c r="S390" s="565"/>
      <c r="T390" s="565"/>
      <c r="U390" s="565"/>
      <c r="V390" s="565"/>
      <c r="W390" s="565"/>
      <c r="X390" s="565"/>
      <c r="Y390" s="565"/>
      <c r="Z390" s="565"/>
      <c r="AA390" s="565"/>
      <c r="AB390" s="565"/>
      <c r="AC390" s="565"/>
      <c r="AD390" s="565"/>
      <c r="AE390" s="565"/>
      <c r="AF390" s="565"/>
      <c r="AG390" s="565"/>
      <c r="AH390" s="565"/>
      <c r="AI390" s="565"/>
      <c r="AJ390" s="565"/>
      <c r="AK390" s="565"/>
      <c r="AL390" s="565"/>
      <c r="AM390" s="565"/>
      <c r="AN390" s="565"/>
      <c r="AO390" s="565"/>
      <c r="AP390" s="565"/>
      <c r="AQ390" s="565"/>
      <c r="AR390" s="565"/>
      <c r="AS390" s="565"/>
      <c r="AT390" s="565"/>
      <c r="AU390" s="181"/>
      <c r="AV390" s="558"/>
    </row>
    <row r="391" ht="11.25" customHeight="1">
      <c r="A391" s="565"/>
      <c r="B391" s="181"/>
      <c r="C391" s="565"/>
      <c r="D391" s="565"/>
      <c r="E391" s="565"/>
      <c r="F391" s="565"/>
      <c r="G391" s="565"/>
      <c r="H391" s="565"/>
      <c r="I391" s="565"/>
      <c r="J391" s="565"/>
      <c r="K391" s="565"/>
      <c r="L391" s="565"/>
      <c r="M391" s="565"/>
      <c r="N391" s="565"/>
      <c r="O391" s="565"/>
      <c r="P391" s="565"/>
      <c r="Q391" s="565"/>
      <c r="R391" s="565"/>
      <c r="S391" s="565"/>
      <c r="T391" s="565"/>
      <c r="U391" s="565"/>
      <c r="V391" s="565"/>
      <c r="W391" s="565"/>
      <c r="X391" s="565"/>
      <c r="Y391" s="565"/>
      <c r="Z391" s="565"/>
      <c r="AA391" s="565"/>
      <c r="AB391" s="565"/>
      <c r="AC391" s="565"/>
      <c r="AD391" s="565"/>
      <c r="AE391" s="565"/>
      <c r="AF391" s="565"/>
      <c r="AG391" s="565"/>
      <c r="AH391" s="565"/>
      <c r="AI391" s="565"/>
      <c r="AJ391" s="565"/>
      <c r="AK391" s="565"/>
      <c r="AL391" s="565"/>
      <c r="AM391" s="565"/>
      <c r="AN391" s="565"/>
      <c r="AO391" s="565"/>
      <c r="AP391" s="565"/>
      <c r="AQ391" s="565"/>
      <c r="AR391" s="565"/>
      <c r="AS391" s="565"/>
      <c r="AT391" s="565"/>
      <c r="AU391" s="181"/>
      <c r="AV391" s="558"/>
    </row>
    <row r="392" ht="11.25" customHeight="1">
      <c r="A392" s="565"/>
      <c r="B392" s="181"/>
      <c r="C392" s="565"/>
      <c r="D392" s="565"/>
      <c r="E392" s="565"/>
      <c r="F392" s="565"/>
      <c r="G392" s="565"/>
      <c r="H392" s="565"/>
      <c r="I392" s="565"/>
      <c r="J392" s="565"/>
      <c r="K392" s="565"/>
      <c r="L392" s="565"/>
      <c r="M392" s="565"/>
      <c r="N392" s="565"/>
      <c r="O392" s="565"/>
      <c r="P392" s="565"/>
      <c r="Q392" s="565"/>
      <c r="R392" s="565"/>
      <c r="S392" s="565"/>
      <c r="T392" s="565"/>
      <c r="U392" s="565"/>
      <c r="V392" s="565"/>
      <c r="W392" s="565"/>
      <c r="X392" s="565"/>
      <c r="Y392" s="565"/>
      <c r="Z392" s="565"/>
      <c r="AA392" s="565"/>
      <c r="AB392" s="565"/>
      <c r="AC392" s="565"/>
      <c r="AD392" s="565"/>
      <c r="AE392" s="565"/>
      <c r="AF392" s="565"/>
      <c r="AG392" s="565"/>
      <c r="AH392" s="565"/>
      <c r="AI392" s="565"/>
      <c r="AJ392" s="565"/>
      <c r="AK392" s="565"/>
      <c r="AL392" s="565"/>
      <c r="AM392" s="565"/>
      <c r="AN392" s="565"/>
      <c r="AO392" s="565"/>
      <c r="AP392" s="565"/>
      <c r="AQ392" s="565"/>
      <c r="AR392" s="565"/>
      <c r="AS392" s="565"/>
      <c r="AT392" s="565"/>
      <c r="AU392" s="181"/>
      <c r="AV392" s="558"/>
    </row>
    <row r="393" ht="11.25" customHeight="1">
      <c r="A393" s="565"/>
      <c r="B393" s="181"/>
      <c r="C393" s="565"/>
      <c r="D393" s="565"/>
      <c r="E393" s="565"/>
      <c r="F393" s="565"/>
      <c r="G393" s="565"/>
      <c r="H393" s="565"/>
      <c r="I393" s="565"/>
      <c r="J393" s="565"/>
      <c r="K393" s="565"/>
      <c r="L393" s="565"/>
      <c r="M393" s="565"/>
      <c r="N393" s="565"/>
      <c r="O393" s="565"/>
      <c r="P393" s="565"/>
      <c r="Q393" s="565"/>
      <c r="R393" s="565"/>
      <c r="S393" s="565"/>
      <c r="T393" s="565"/>
      <c r="U393" s="565"/>
      <c r="V393" s="565"/>
      <c r="W393" s="565"/>
      <c r="X393" s="565"/>
      <c r="Y393" s="565"/>
      <c r="Z393" s="565"/>
      <c r="AA393" s="565"/>
      <c r="AB393" s="565"/>
      <c r="AC393" s="565"/>
      <c r="AD393" s="565"/>
      <c r="AE393" s="565"/>
      <c r="AF393" s="565"/>
      <c r="AG393" s="565"/>
      <c r="AH393" s="565"/>
      <c r="AI393" s="565"/>
      <c r="AJ393" s="565"/>
      <c r="AK393" s="565"/>
      <c r="AL393" s="565"/>
      <c r="AM393" s="565"/>
      <c r="AN393" s="565"/>
      <c r="AO393" s="565"/>
      <c r="AP393" s="565"/>
      <c r="AQ393" s="565"/>
      <c r="AR393" s="565"/>
      <c r="AS393" s="565"/>
      <c r="AT393" s="565"/>
      <c r="AU393" s="181"/>
      <c r="AV393" s="558"/>
    </row>
    <row r="394" ht="11.25" customHeight="1">
      <c r="A394" s="565"/>
      <c r="B394" s="181"/>
      <c r="C394" s="565"/>
      <c r="D394" s="565"/>
      <c r="E394" s="565"/>
      <c r="F394" s="565"/>
      <c r="G394" s="565"/>
      <c r="H394" s="565"/>
      <c r="I394" s="565"/>
      <c r="J394" s="565"/>
      <c r="K394" s="565"/>
      <c r="L394" s="565"/>
      <c r="M394" s="565"/>
      <c r="N394" s="565"/>
      <c r="O394" s="565"/>
      <c r="P394" s="565"/>
      <c r="Q394" s="565"/>
      <c r="R394" s="565"/>
      <c r="S394" s="565"/>
      <c r="T394" s="565"/>
      <c r="U394" s="565"/>
      <c r="V394" s="565"/>
      <c r="W394" s="565"/>
      <c r="X394" s="565"/>
      <c r="Y394" s="565"/>
      <c r="Z394" s="565"/>
      <c r="AA394" s="565"/>
      <c r="AB394" s="565"/>
      <c r="AC394" s="565"/>
      <c r="AD394" s="565"/>
      <c r="AE394" s="565"/>
      <c r="AF394" s="565"/>
      <c r="AG394" s="565"/>
      <c r="AH394" s="565"/>
      <c r="AI394" s="565"/>
      <c r="AJ394" s="565"/>
      <c r="AK394" s="565"/>
      <c r="AL394" s="565"/>
      <c r="AM394" s="565"/>
      <c r="AN394" s="565"/>
      <c r="AO394" s="565"/>
      <c r="AP394" s="565"/>
      <c r="AQ394" s="565"/>
      <c r="AR394" s="565"/>
      <c r="AS394" s="565"/>
      <c r="AT394" s="565"/>
      <c r="AU394" s="181"/>
      <c r="AV394" s="558"/>
    </row>
    <row r="395" ht="11.25" customHeight="1">
      <c r="A395" s="565"/>
      <c r="B395" s="181"/>
      <c r="C395" s="565"/>
      <c r="D395" s="565"/>
      <c r="E395" s="565"/>
      <c r="F395" s="565"/>
      <c r="G395" s="565"/>
      <c r="H395" s="565"/>
      <c r="I395" s="565"/>
      <c r="J395" s="565"/>
      <c r="K395" s="565"/>
      <c r="L395" s="565"/>
      <c r="M395" s="565"/>
      <c r="N395" s="565"/>
      <c r="O395" s="565"/>
      <c r="P395" s="565"/>
      <c r="Q395" s="565"/>
      <c r="R395" s="565"/>
      <c r="S395" s="565"/>
      <c r="T395" s="565"/>
      <c r="U395" s="565"/>
      <c r="V395" s="565"/>
      <c r="W395" s="565"/>
      <c r="X395" s="565"/>
      <c r="Y395" s="565"/>
      <c r="Z395" s="565"/>
      <c r="AA395" s="565"/>
      <c r="AB395" s="565"/>
      <c r="AC395" s="565"/>
      <c r="AD395" s="565"/>
      <c r="AE395" s="565"/>
      <c r="AF395" s="565"/>
      <c r="AG395" s="565"/>
      <c r="AH395" s="565"/>
      <c r="AI395" s="565"/>
      <c r="AJ395" s="565"/>
      <c r="AK395" s="565"/>
      <c r="AL395" s="565"/>
      <c r="AM395" s="565"/>
      <c r="AN395" s="565"/>
      <c r="AO395" s="565"/>
      <c r="AP395" s="565"/>
      <c r="AQ395" s="565"/>
      <c r="AR395" s="565"/>
      <c r="AS395" s="565"/>
      <c r="AT395" s="565"/>
      <c r="AU395" s="181"/>
      <c r="AV395" s="558"/>
    </row>
    <row r="396" ht="11.25" customHeight="1">
      <c r="A396" s="565"/>
      <c r="B396" s="181"/>
      <c r="C396" s="565"/>
      <c r="D396" s="565"/>
      <c r="E396" s="565"/>
      <c r="F396" s="565"/>
      <c r="G396" s="565"/>
      <c r="H396" s="565"/>
      <c r="I396" s="565"/>
      <c r="J396" s="565"/>
      <c r="K396" s="565"/>
      <c r="L396" s="565"/>
      <c r="M396" s="565"/>
      <c r="N396" s="565"/>
      <c r="O396" s="565"/>
      <c r="P396" s="565"/>
      <c r="Q396" s="565"/>
      <c r="R396" s="565"/>
      <c r="S396" s="565"/>
      <c r="T396" s="565"/>
      <c r="U396" s="565"/>
      <c r="V396" s="565"/>
      <c r="W396" s="565"/>
      <c r="X396" s="565"/>
      <c r="Y396" s="565"/>
      <c r="Z396" s="565"/>
      <c r="AA396" s="565"/>
      <c r="AB396" s="565"/>
      <c r="AC396" s="565"/>
      <c r="AD396" s="565"/>
      <c r="AE396" s="565"/>
      <c r="AF396" s="565"/>
      <c r="AG396" s="565"/>
      <c r="AH396" s="565"/>
      <c r="AI396" s="565"/>
      <c r="AJ396" s="565"/>
      <c r="AK396" s="565"/>
      <c r="AL396" s="565"/>
      <c r="AM396" s="565"/>
      <c r="AN396" s="565"/>
      <c r="AO396" s="565"/>
      <c r="AP396" s="565"/>
      <c r="AQ396" s="565"/>
      <c r="AR396" s="565"/>
      <c r="AS396" s="565"/>
      <c r="AT396" s="565"/>
      <c r="AU396" s="181"/>
      <c r="AV396" s="558"/>
    </row>
    <row r="397" ht="11.25" customHeight="1">
      <c r="A397" s="565"/>
      <c r="B397" s="181"/>
      <c r="C397" s="565"/>
      <c r="D397" s="565"/>
      <c r="E397" s="565"/>
      <c r="F397" s="565"/>
      <c r="G397" s="565"/>
      <c r="H397" s="565"/>
      <c r="I397" s="565"/>
      <c r="J397" s="565"/>
      <c r="K397" s="565"/>
      <c r="L397" s="565"/>
      <c r="M397" s="565"/>
      <c r="N397" s="565"/>
      <c r="O397" s="565"/>
      <c r="P397" s="565"/>
      <c r="Q397" s="565"/>
      <c r="R397" s="565"/>
      <c r="S397" s="565"/>
      <c r="T397" s="565"/>
      <c r="U397" s="565"/>
      <c r="V397" s="565"/>
      <c r="W397" s="565"/>
      <c r="X397" s="565"/>
      <c r="Y397" s="565"/>
      <c r="Z397" s="565"/>
      <c r="AA397" s="565"/>
      <c r="AB397" s="565"/>
      <c r="AC397" s="565"/>
      <c r="AD397" s="565"/>
      <c r="AE397" s="565"/>
      <c r="AF397" s="565"/>
      <c r="AG397" s="565"/>
      <c r="AH397" s="565"/>
      <c r="AI397" s="565"/>
      <c r="AJ397" s="565"/>
      <c r="AK397" s="565"/>
      <c r="AL397" s="565"/>
      <c r="AM397" s="565"/>
      <c r="AN397" s="565"/>
      <c r="AO397" s="565"/>
      <c r="AP397" s="565"/>
      <c r="AQ397" s="565"/>
      <c r="AR397" s="565"/>
      <c r="AS397" s="565"/>
      <c r="AT397" s="565"/>
      <c r="AU397" s="181"/>
      <c r="AV397" s="558"/>
    </row>
    <row r="398" ht="11.25" customHeight="1">
      <c r="A398" s="565"/>
      <c r="B398" s="181"/>
      <c r="C398" s="565"/>
      <c r="D398" s="565"/>
      <c r="E398" s="565"/>
      <c r="F398" s="565"/>
      <c r="G398" s="565"/>
      <c r="H398" s="565"/>
      <c r="I398" s="565"/>
      <c r="J398" s="565"/>
      <c r="K398" s="565"/>
      <c r="L398" s="565"/>
      <c r="M398" s="565"/>
      <c r="N398" s="565"/>
      <c r="O398" s="565"/>
      <c r="P398" s="565"/>
      <c r="Q398" s="565"/>
      <c r="R398" s="565"/>
      <c r="S398" s="565"/>
      <c r="T398" s="565"/>
      <c r="U398" s="565"/>
      <c r="V398" s="565"/>
      <c r="W398" s="565"/>
      <c r="X398" s="565"/>
      <c r="Y398" s="565"/>
      <c r="Z398" s="565"/>
      <c r="AA398" s="565"/>
      <c r="AB398" s="565"/>
      <c r="AC398" s="565"/>
      <c r="AD398" s="565"/>
      <c r="AE398" s="565"/>
      <c r="AF398" s="565"/>
      <c r="AG398" s="565"/>
      <c r="AH398" s="565"/>
      <c r="AI398" s="565"/>
      <c r="AJ398" s="565"/>
      <c r="AK398" s="565"/>
      <c r="AL398" s="565"/>
      <c r="AM398" s="565"/>
      <c r="AN398" s="565"/>
      <c r="AO398" s="565"/>
      <c r="AP398" s="565"/>
      <c r="AQ398" s="565"/>
      <c r="AR398" s="565"/>
      <c r="AS398" s="565"/>
      <c r="AT398" s="565"/>
      <c r="AU398" s="181"/>
      <c r="AV398" s="558"/>
    </row>
    <row r="399" ht="11.25" customHeight="1">
      <c r="A399" s="565"/>
      <c r="B399" s="181"/>
      <c r="C399" s="565"/>
      <c r="D399" s="565"/>
      <c r="E399" s="565"/>
      <c r="F399" s="565"/>
      <c r="G399" s="565"/>
      <c r="H399" s="565"/>
      <c r="I399" s="565"/>
      <c r="J399" s="565"/>
      <c r="K399" s="565"/>
      <c r="L399" s="565"/>
      <c r="M399" s="565"/>
      <c r="N399" s="565"/>
      <c r="O399" s="565"/>
      <c r="P399" s="565"/>
      <c r="Q399" s="565"/>
      <c r="R399" s="565"/>
      <c r="S399" s="565"/>
      <c r="T399" s="565"/>
      <c r="U399" s="565"/>
      <c r="V399" s="565"/>
      <c r="W399" s="565"/>
      <c r="X399" s="565"/>
      <c r="Y399" s="565"/>
      <c r="Z399" s="565"/>
      <c r="AA399" s="565"/>
      <c r="AB399" s="565"/>
      <c r="AC399" s="565"/>
      <c r="AD399" s="565"/>
      <c r="AE399" s="565"/>
      <c r="AF399" s="565"/>
      <c r="AG399" s="565"/>
      <c r="AH399" s="565"/>
      <c r="AI399" s="565"/>
      <c r="AJ399" s="565"/>
      <c r="AK399" s="565"/>
      <c r="AL399" s="565"/>
      <c r="AM399" s="565"/>
      <c r="AN399" s="565"/>
      <c r="AO399" s="565"/>
      <c r="AP399" s="565"/>
      <c r="AQ399" s="565"/>
      <c r="AR399" s="565"/>
      <c r="AS399" s="565"/>
      <c r="AT399" s="565"/>
      <c r="AU399" s="181"/>
      <c r="AV399" s="558"/>
    </row>
    <row r="400" ht="11.25" customHeight="1">
      <c r="A400" s="565"/>
      <c r="B400" s="181"/>
      <c r="C400" s="565"/>
      <c r="D400" s="565"/>
      <c r="E400" s="565"/>
      <c r="F400" s="565"/>
      <c r="G400" s="565"/>
      <c r="H400" s="565"/>
      <c r="I400" s="565"/>
      <c r="J400" s="565"/>
      <c r="K400" s="565"/>
      <c r="L400" s="565"/>
      <c r="M400" s="565"/>
      <c r="N400" s="565"/>
      <c r="O400" s="565"/>
      <c r="P400" s="565"/>
      <c r="Q400" s="565"/>
      <c r="R400" s="565"/>
      <c r="S400" s="565"/>
      <c r="T400" s="565"/>
      <c r="U400" s="565"/>
      <c r="V400" s="565"/>
      <c r="W400" s="565"/>
      <c r="X400" s="565"/>
      <c r="Y400" s="565"/>
      <c r="Z400" s="565"/>
      <c r="AA400" s="565"/>
      <c r="AB400" s="565"/>
      <c r="AC400" s="565"/>
      <c r="AD400" s="565"/>
      <c r="AE400" s="565"/>
      <c r="AF400" s="565"/>
      <c r="AG400" s="565"/>
      <c r="AH400" s="565"/>
      <c r="AI400" s="565"/>
      <c r="AJ400" s="565"/>
      <c r="AK400" s="565"/>
      <c r="AL400" s="565"/>
      <c r="AM400" s="565"/>
      <c r="AN400" s="565"/>
      <c r="AO400" s="565"/>
      <c r="AP400" s="565"/>
      <c r="AQ400" s="565"/>
      <c r="AR400" s="565"/>
      <c r="AS400" s="565"/>
      <c r="AT400" s="565"/>
      <c r="AU400" s="181"/>
      <c r="AV400" s="558"/>
    </row>
    <row r="401" ht="11.25" customHeight="1">
      <c r="A401" s="565"/>
      <c r="B401" s="181"/>
      <c r="C401" s="565"/>
      <c r="D401" s="565"/>
      <c r="E401" s="565"/>
      <c r="F401" s="565"/>
      <c r="G401" s="565"/>
      <c r="H401" s="565"/>
      <c r="I401" s="565"/>
      <c r="J401" s="565"/>
      <c r="K401" s="565"/>
      <c r="L401" s="565"/>
      <c r="M401" s="565"/>
      <c r="N401" s="565"/>
      <c r="O401" s="565"/>
      <c r="P401" s="565"/>
      <c r="Q401" s="565"/>
      <c r="R401" s="565"/>
      <c r="S401" s="565"/>
      <c r="T401" s="565"/>
      <c r="U401" s="565"/>
      <c r="V401" s="565"/>
      <c r="W401" s="565"/>
      <c r="X401" s="565"/>
      <c r="Y401" s="565"/>
      <c r="Z401" s="565"/>
      <c r="AA401" s="565"/>
      <c r="AB401" s="565"/>
      <c r="AC401" s="565"/>
      <c r="AD401" s="565"/>
      <c r="AE401" s="565"/>
      <c r="AF401" s="565"/>
      <c r="AG401" s="565"/>
      <c r="AH401" s="565"/>
      <c r="AI401" s="565"/>
      <c r="AJ401" s="565"/>
      <c r="AK401" s="565"/>
      <c r="AL401" s="565"/>
      <c r="AM401" s="565"/>
      <c r="AN401" s="565"/>
      <c r="AO401" s="565"/>
      <c r="AP401" s="565"/>
      <c r="AQ401" s="565"/>
      <c r="AR401" s="565"/>
      <c r="AS401" s="565"/>
      <c r="AT401" s="565"/>
      <c r="AU401" s="181"/>
      <c r="AV401" s="558"/>
    </row>
    <row r="402" ht="11.25" customHeight="1">
      <c r="A402" s="565"/>
      <c r="B402" s="181"/>
      <c r="C402" s="565"/>
      <c r="D402" s="565"/>
      <c r="E402" s="565"/>
      <c r="F402" s="565"/>
      <c r="G402" s="565"/>
      <c r="H402" s="565"/>
      <c r="I402" s="565"/>
      <c r="J402" s="565"/>
      <c r="K402" s="565"/>
      <c r="L402" s="565"/>
      <c r="M402" s="565"/>
      <c r="N402" s="565"/>
      <c r="O402" s="565"/>
      <c r="P402" s="565"/>
      <c r="Q402" s="565"/>
      <c r="R402" s="565"/>
      <c r="S402" s="565"/>
      <c r="T402" s="565"/>
      <c r="U402" s="565"/>
      <c r="V402" s="565"/>
      <c r="W402" s="565"/>
      <c r="X402" s="565"/>
      <c r="Y402" s="565"/>
      <c r="Z402" s="565"/>
      <c r="AA402" s="565"/>
      <c r="AB402" s="565"/>
      <c r="AC402" s="565"/>
      <c r="AD402" s="565"/>
      <c r="AE402" s="565"/>
      <c r="AF402" s="565"/>
      <c r="AG402" s="565"/>
      <c r="AH402" s="565"/>
      <c r="AI402" s="565"/>
      <c r="AJ402" s="565"/>
      <c r="AK402" s="565"/>
      <c r="AL402" s="565"/>
      <c r="AM402" s="565"/>
      <c r="AN402" s="565"/>
      <c r="AO402" s="565"/>
      <c r="AP402" s="565"/>
      <c r="AQ402" s="565"/>
      <c r="AR402" s="565"/>
      <c r="AS402" s="565"/>
      <c r="AT402" s="565"/>
      <c r="AU402" s="181"/>
      <c r="AV402" s="558"/>
    </row>
    <row r="403" ht="11.25" customHeight="1">
      <c r="A403" s="565"/>
      <c r="B403" s="181"/>
      <c r="C403" s="565"/>
      <c r="D403" s="565"/>
      <c r="E403" s="565"/>
      <c r="F403" s="565"/>
      <c r="G403" s="565"/>
      <c r="H403" s="565"/>
      <c r="I403" s="565"/>
      <c r="J403" s="565"/>
      <c r="K403" s="565"/>
      <c r="L403" s="565"/>
      <c r="M403" s="565"/>
      <c r="N403" s="565"/>
      <c r="O403" s="565"/>
      <c r="P403" s="565"/>
      <c r="Q403" s="565"/>
      <c r="R403" s="565"/>
      <c r="S403" s="565"/>
      <c r="T403" s="565"/>
      <c r="U403" s="565"/>
      <c r="V403" s="565"/>
      <c r="W403" s="565"/>
      <c r="X403" s="565"/>
      <c r="Y403" s="565"/>
      <c r="Z403" s="565"/>
      <c r="AA403" s="565"/>
      <c r="AB403" s="565"/>
      <c r="AC403" s="565"/>
      <c r="AD403" s="565"/>
      <c r="AE403" s="565"/>
      <c r="AF403" s="565"/>
      <c r="AG403" s="565"/>
      <c r="AH403" s="565"/>
      <c r="AI403" s="565"/>
      <c r="AJ403" s="565"/>
      <c r="AK403" s="565"/>
      <c r="AL403" s="565"/>
      <c r="AM403" s="565"/>
      <c r="AN403" s="565"/>
      <c r="AO403" s="565"/>
      <c r="AP403" s="565"/>
      <c r="AQ403" s="565"/>
      <c r="AR403" s="565"/>
      <c r="AS403" s="565"/>
      <c r="AT403" s="565"/>
      <c r="AU403" s="181"/>
      <c r="AV403" s="558"/>
    </row>
    <row r="404" ht="11.25" customHeight="1">
      <c r="A404" s="565"/>
      <c r="B404" s="181"/>
      <c r="C404" s="565"/>
      <c r="D404" s="565"/>
      <c r="E404" s="565"/>
      <c r="F404" s="565"/>
      <c r="G404" s="565"/>
      <c r="H404" s="565"/>
      <c r="I404" s="565"/>
      <c r="J404" s="565"/>
      <c r="K404" s="565"/>
      <c r="L404" s="565"/>
      <c r="M404" s="565"/>
      <c r="N404" s="565"/>
      <c r="O404" s="565"/>
      <c r="P404" s="565"/>
      <c r="Q404" s="565"/>
      <c r="R404" s="565"/>
      <c r="S404" s="565"/>
      <c r="T404" s="565"/>
      <c r="U404" s="565"/>
      <c r="V404" s="565"/>
      <c r="W404" s="565"/>
      <c r="X404" s="565"/>
      <c r="Y404" s="565"/>
      <c r="Z404" s="565"/>
      <c r="AA404" s="565"/>
      <c r="AB404" s="565"/>
      <c r="AC404" s="565"/>
      <c r="AD404" s="565"/>
      <c r="AE404" s="565"/>
      <c r="AF404" s="565"/>
      <c r="AG404" s="565"/>
      <c r="AH404" s="565"/>
      <c r="AI404" s="565"/>
      <c r="AJ404" s="565"/>
      <c r="AK404" s="565"/>
      <c r="AL404" s="565"/>
      <c r="AM404" s="565"/>
      <c r="AN404" s="565"/>
      <c r="AO404" s="565"/>
      <c r="AP404" s="565"/>
      <c r="AQ404" s="565"/>
      <c r="AR404" s="565"/>
      <c r="AS404" s="565"/>
      <c r="AT404" s="565"/>
      <c r="AU404" s="181"/>
      <c r="AV404" s="558"/>
    </row>
    <row r="405" ht="11.25" customHeight="1">
      <c r="A405" s="565"/>
      <c r="B405" s="181"/>
      <c r="C405" s="565"/>
      <c r="D405" s="565"/>
      <c r="E405" s="565"/>
      <c r="F405" s="565"/>
      <c r="G405" s="565"/>
      <c r="H405" s="565"/>
      <c r="I405" s="565"/>
      <c r="J405" s="565"/>
      <c r="K405" s="565"/>
      <c r="L405" s="565"/>
      <c r="M405" s="565"/>
      <c r="N405" s="565"/>
      <c r="O405" s="565"/>
      <c r="P405" s="565"/>
      <c r="Q405" s="565"/>
      <c r="R405" s="565"/>
      <c r="S405" s="565"/>
      <c r="T405" s="565"/>
      <c r="U405" s="565"/>
      <c r="V405" s="565"/>
      <c r="W405" s="565"/>
      <c r="X405" s="565"/>
      <c r="Y405" s="565"/>
      <c r="Z405" s="565"/>
      <c r="AA405" s="565"/>
      <c r="AB405" s="565"/>
      <c r="AC405" s="565"/>
      <c r="AD405" s="565"/>
      <c r="AE405" s="565"/>
      <c r="AF405" s="565"/>
      <c r="AG405" s="565"/>
      <c r="AH405" s="565"/>
      <c r="AI405" s="565"/>
      <c r="AJ405" s="565"/>
      <c r="AK405" s="565"/>
      <c r="AL405" s="565"/>
      <c r="AM405" s="565"/>
      <c r="AN405" s="565"/>
      <c r="AO405" s="565"/>
      <c r="AP405" s="565"/>
      <c r="AQ405" s="565"/>
      <c r="AR405" s="565"/>
      <c r="AS405" s="565"/>
      <c r="AT405" s="565"/>
      <c r="AU405" s="181"/>
      <c r="AV405" s="558"/>
    </row>
    <row r="406" ht="11.25" customHeight="1">
      <c r="A406" s="565"/>
      <c r="B406" s="181"/>
      <c r="C406" s="565"/>
      <c r="D406" s="565"/>
      <c r="E406" s="565"/>
      <c r="F406" s="565"/>
      <c r="G406" s="565"/>
      <c r="H406" s="565"/>
      <c r="I406" s="565"/>
      <c r="J406" s="565"/>
      <c r="K406" s="565"/>
      <c r="L406" s="565"/>
      <c r="M406" s="565"/>
      <c r="N406" s="565"/>
      <c r="O406" s="565"/>
      <c r="P406" s="565"/>
      <c r="Q406" s="565"/>
      <c r="R406" s="565"/>
      <c r="S406" s="565"/>
      <c r="T406" s="565"/>
      <c r="U406" s="565"/>
      <c r="V406" s="565"/>
      <c r="W406" s="565"/>
      <c r="X406" s="565"/>
      <c r="Y406" s="565"/>
      <c r="Z406" s="565"/>
      <c r="AA406" s="565"/>
      <c r="AB406" s="565"/>
      <c r="AC406" s="565"/>
      <c r="AD406" s="565"/>
      <c r="AE406" s="565"/>
      <c r="AF406" s="565"/>
      <c r="AG406" s="565"/>
      <c r="AH406" s="565"/>
      <c r="AI406" s="565"/>
      <c r="AJ406" s="565"/>
      <c r="AK406" s="565"/>
      <c r="AL406" s="565"/>
      <c r="AM406" s="565"/>
      <c r="AN406" s="565"/>
      <c r="AO406" s="565"/>
      <c r="AP406" s="565"/>
      <c r="AQ406" s="565"/>
      <c r="AR406" s="565"/>
      <c r="AS406" s="565"/>
      <c r="AT406" s="565"/>
      <c r="AU406" s="181"/>
      <c r="AV406" s="558"/>
    </row>
    <row r="407" ht="11.25" customHeight="1">
      <c r="A407" s="565"/>
      <c r="B407" s="181"/>
      <c r="C407" s="565"/>
      <c r="D407" s="565"/>
      <c r="E407" s="565"/>
      <c r="F407" s="565"/>
      <c r="G407" s="565"/>
      <c r="H407" s="565"/>
      <c r="I407" s="565"/>
      <c r="J407" s="565"/>
      <c r="K407" s="565"/>
      <c r="L407" s="565"/>
      <c r="M407" s="565"/>
      <c r="N407" s="565"/>
      <c r="O407" s="565"/>
      <c r="P407" s="565"/>
      <c r="Q407" s="565"/>
      <c r="R407" s="565"/>
      <c r="S407" s="565"/>
      <c r="T407" s="565"/>
      <c r="U407" s="565"/>
      <c r="V407" s="565"/>
      <c r="W407" s="565"/>
      <c r="X407" s="565"/>
      <c r="Y407" s="565"/>
      <c r="Z407" s="565"/>
      <c r="AA407" s="565"/>
      <c r="AB407" s="565"/>
      <c r="AC407" s="565"/>
      <c r="AD407" s="565"/>
      <c r="AE407" s="565"/>
      <c r="AF407" s="565"/>
      <c r="AG407" s="565"/>
      <c r="AH407" s="565"/>
      <c r="AI407" s="565"/>
      <c r="AJ407" s="565"/>
      <c r="AK407" s="565"/>
      <c r="AL407" s="565"/>
      <c r="AM407" s="565"/>
      <c r="AN407" s="565"/>
      <c r="AO407" s="565"/>
      <c r="AP407" s="565"/>
      <c r="AQ407" s="565"/>
      <c r="AR407" s="565"/>
      <c r="AS407" s="565"/>
      <c r="AT407" s="565"/>
      <c r="AU407" s="181"/>
      <c r="AV407" s="558"/>
    </row>
    <row r="408" ht="11.25" customHeight="1">
      <c r="A408" s="565"/>
      <c r="B408" s="181"/>
      <c r="C408" s="565"/>
      <c r="D408" s="565"/>
      <c r="E408" s="565"/>
      <c r="F408" s="565"/>
      <c r="G408" s="565"/>
      <c r="H408" s="565"/>
      <c r="I408" s="565"/>
      <c r="J408" s="565"/>
      <c r="K408" s="565"/>
      <c r="L408" s="565"/>
      <c r="M408" s="565"/>
      <c r="N408" s="565"/>
      <c r="O408" s="565"/>
      <c r="P408" s="565"/>
      <c r="Q408" s="565"/>
      <c r="R408" s="565"/>
      <c r="S408" s="565"/>
      <c r="T408" s="565"/>
      <c r="U408" s="565"/>
      <c r="V408" s="565"/>
      <c r="W408" s="565"/>
      <c r="X408" s="565"/>
      <c r="Y408" s="565"/>
      <c r="Z408" s="565"/>
      <c r="AA408" s="565"/>
      <c r="AB408" s="565"/>
      <c r="AC408" s="565"/>
      <c r="AD408" s="565"/>
      <c r="AE408" s="565"/>
      <c r="AF408" s="565"/>
      <c r="AG408" s="565"/>
      <c r="AH408" s="565"/>
      <c r="AI408" s="565"/>
      <c r="AJ408" s="565"/>
      <c r="AK408" s="565"/>
      <c r="AL408" s="565"/>
      <c r="AM408" s="565"/>
      <c r="AN408" s="565"/>
      <c r="AO408" s="565"/>
      <c r="AP408" s="565"/>
      <c r="AQ408" s="565"/>
      <c r="AR408" s="565"/>
      <c r="AS408" s="565"/>
      <c r="AT408" s="565"/>
      <c r="AU408" s="181"/>
      <c r="AV408" s="558"/>
    </row>
    <row r="409" ht="11.25" customHeight="1">
      <c r="A409" s="565"/>
      <c r="B409" s="181"/>
      <c r="C409" s="565"/>
      <c r="D409" s="565"/>
      <c r="E409" s="565"/>
      <c r="F409" s="565"/>
      <c r="G409" s="565"/>
      <c r="H409" s="565"/>
      <c r="I409" s="565"/>
      <c r="J409" s="565"/>
      <c r="K409" s="565"/>
      <c r="L409" s="565"/>
      <c r="M409" s="565"/>
      <c r="N409" s="565"/>
      <c r="O409" s="565"/>
      <c r="P409" s="565"/>
      <c r="Q409" s="565"/>
      <c r="R409" s="565"/>
      <c r="S409" s="565"/>
      <c r="T409" s="565"/>
      <c r="U409" s="565"/>
      <c r="V409" s="565"/>
      <c r="W409" s="565"/>
      <c r="X409" s="565"/>
      <c r="Y409" s="565"/>
      <c r="Z409" s="565"/>
      <c r="AA409" s="565"/>
      <c r="AB409" s="565"/>
      <c r="AC409" s="565"/>
      <c r="AD409" s="565"/>
      <c r="AE409" s="565"/>
      <c r="AF409" s="565"/>
      <c r="AG409" s="565"/>
      <c r="AH409" s="565"/>
      <c r="AI409" s="565"/>
      <c r="AJ409" s="565"/>
      <c r="AK409" s="565"/>
      <c r="AL409" s="565"/>
      <c r="AM409" s="565"/>
      <c r="AN409" s="565"/>
      <c r="AO409" s="565"/>
      <c r="AP409" s="565"/>
      <c r="AQ409" s="565"/>
      <c r="AR409" s="565"/>
      <c r="AS409" s="565"/>
      <c r="AT409" s="565"/>
      <c r="AU409" s="181"/>
      <c r="AV409" s="558"/>
    </row>
    <row r="410" ht="11.25" customHeight="1">
      <c r="A410" s="565"/>
      <c r="B410" s="181"/>
      <c r="C410" s="565"/>
      <c r="D410" s="565"/>
      <c r="E410" s="565"/>
      <c r="F410" s="565"/>
      <c r="G410" s="565"/>
      <c r="H410" s="565"/>
      <c r="I410" s="565"/>
      <c r="J410" s="565"/>
      <c r="K410" s="565"/>
      <c r="L410" s="565"/>
      <c r="M410" s="565"/>
      <c r="N410" s="565"/>
      <c r="O410" s="565"/>
      <c r="P410" s="565"/>
      <c r="Q410" s="565"/>
      <c r="R410" s="565"/>
      <c r="S410" s="565"/>
      <c r="T410" s="565"/>
      <c r="U410" s="565"/>
      <c r="V410" s="565"/>
      <c r="W410" s="565"/>
      <c r="X410" s="565"/>
      <c r="Y410" s="565"/>
      <c r="Z410" s="565"/>
      <c r="AA410" s="565"/>
      <c r="AB410" s="565"/>
      <c r="AC410" s="565"/>
      <c r="AD410" s="565"/>
      <c r="AE410" s="565"/>
      <c r="AF410" s="565"/>
      <c r="AG410" s="565"/>
      <c r="AH410" s="565"/>
      <c r="AI410" s="565"/>
      <c r="AJ410" s="565"/>
      <c r="AK410" s="565"/>
      <c r="AL410" s="565"/>
      <c r="AM410" s="565"/>
      <c r="AN410" s="565"/>
      <c r="AO410" s="565"/>
      <c r="AP410" s="565"/>
      <c r="AQ410" s="565"/>
      <c r="AR410" s="565"/>
      <c r="AS410" s="565"/>
      <c r="AT410" s="565"/>
      <c r="AU410" s="181"/>
      <c r="AV410" s="558"/>
    </row>
    <row r="411" ht="11.25" customHeight="1">
      <c r="A411" s="565"/>
      <c r="B411" s="181"/>
      <c r="C411" s="565"/>
      <c r="D411" s="565"/>
      <c r="E411" s="565"/>
      <c r="F411" s="565"/>
      <c r="G411" s="565"/>
      <c r="H411" s="565"/>
      <c r="I411" s="565"/>
      <c r="J411" s="565"/>
      <c r="K411" s="565"/>
      <c r="L411" s="565"/>
      <c r="M411" s="565"/>
      <c r="N411" s="565"/>
      <c r="O411" s="565"/>
      <c r="P411" s="565"/>
      <c r="Q411" s="565"/>
      <c r="R411" s="565"/>
      <c r="S411" s="565"/>
      <c r="T411" s="565"/>
      <c r="U411" s="565"/>
      <c r="V411" s="565"/>
      <c r="W411" s="565"/>
      <c r="X411" s="565"/>
      <c r="Y411" s="565"/>
      <c r="Z411" s="565"/>
      <c r="AA411" s="565"/>
      <c r="AB411" s="565"/>
      <c r="AC411" s="565"/>
      <c r="AD411" s="565"/>
      <c r="AE411" s="565"/>
      <c r="AF411" s="565"/>
      <c r="AG411" s="565"/>
      <c r="AH411" s="565"/>
      <c r="AI411" s="565"/>
      <c r="AJ411" s="565"/>
      <c r="AK411" s="565"/>
      <c r="AL411" s="565"/>
      <c r="AM411" s="565"/>
      <c r="AN411" s="565"/>
      <c r="AO411" s="565"/>
      <c r="AP411" s="565"/>
      <c r="AQ411" s="565"/>
      <c r="AR411" s="565"/>
      <c r="AS411" s="565"/>
      <c r="AT411" s="565"/>
      <c r="AU411" s="181"/>
      <c r="AV411" s="558"/>
    </row>
    <row r="412" ht="11.25" customHeight="1">
      <c r="A412" s="565"/>
      <c r="B412" s="181"/>
      <c r="C412" s="565"/>
      <c r="D412" s="565"/>
      <c r="E412" s="565"/>
      <c r="F412" s="565"/>
      <c r="G412" s="565"/>
      <c r="H412" s="565"/>
      <c r="I412" s="565"/>
      <c r="J412" s="565"/>
      <c r="K412" s="565"/>
      <c r="L412" s="565"/>
      <c r="M412" s="565"/>
      <c r="N412" s="565"/>
      <c r="O412" s="565"/>
      <c r="P412" s="565"/>
      <c r="Q412" s="565"/>
      <c r="R412" s="565"/>
      <c r="S412" s="565"/>
      <c r="T412" s="565"/>
      <c r="U412" s="565"/>
      <c r="V412" s="565"/>
      <c r="W412" s="565"/>
      <c r="X412" s="565"/>
      <c r="Y412" s="565"/>
      <c r="Z412" s="565"/>
      <c r="AA412" s="565"/>
      <c r="AB412" s="565"/>
      <c r="AC412" s="565"/>
      <c r="AD412" s="565"/>
      <c r="AE412" s="565"/>
      <c r="AF412" s="565"/>
      <c r="AG412" s="565"/>
      <c r="AH412" s="565"/>
      <c r="AI412" s="565"/>
      <c r="AJ412" s="565"/>
      <c r="AK412" s="565"/>
      <c r="AL412" s="565"/>
      <c r="AM412" s="565"/>
      <c r="AN412" s="565"/>
      <c r="AO412" s="565"/>
      <c r="AP412" s="565"/>
      <c r="AQ412" s="565"/>
      <c r="AR412" s="565"/>
      <c r="AS412" s="565"/>
      <c r="AT412" s="565"/>
      <c r="AU412" s="181"/>
      <c r="AV412" s="558"/>
    </row>
    <row r="413" ht="11.25" customHeight="1">
      <c r="A413" s="565"/>
      <c r="B413" s="181"/>
      <c r="C413" s="565"/>
      <c r="D413" s="565"/>
      <c r="E413" s="565"/>
      <c r="F413" s="565"/>
      <c r="G413" s="565"/>
      <c r="H413" s="565"/>
      <c r="I413" s="565"/>
      <c r="J413" s="565"/>
      <c r="K413" s="565"/>
      <c r="L413" s="565"/>
      <c r="M413" s="565"/>
      <c r="N413" s="565"/>
      <c r="O413" s="565"/>
      <c r="P413" s="565"/>
      <c r="Q413" s="565"/>
      <c r="R413" s="565"/>
      <c r="S413" s="565"/>
      <c r="T413" s="565"/>
      <c r="U413" s="565"/>
      <c r="V413" s="565"/>
      <c r="W413" s="565"/>
      <c r="X413" s="565"/>
      <c r="Y413" s="565"/>
      <c r="Z413" s="565"/>
      <c r="AA413" s="565"/>
      <c r="AB413" s="565"/>
      <c r="AC413" s="565"/>
      <c r="AD413" s="565"/>
      <c r="AE413" s="565"/>
      <c r="AF413" s="565"/>
      <c r="AG413" s="565"/>
      <c r="AH413" s="565"/>
      <c r="AI413" s="565"/>
      <c r="AJ413" s="565"/>
      <c r="AK413" s="565"/>
      <c r="AL413" s="565"/>
      <c r="AM413" s="565"/>
      <c r="AN413" s="565"/>
      <c r="AO413" s="565"/>
      <c r="AP413" s="565"/>
      <c r="AQ413" s="565"/>
      <c r="AR413" s="565"/>
      <c r="AS413" s="565"/>
      <c r="AT413" s="565"/>
      <c r="AU413" s="181"/>
      <c r="AV413" s="558"/>
    </row>
    <row r="414" ht="11.25" customHeight="1">
      <c r="A414" s="565"/>
      <c r="B414" s="181"/>
      <c r="C414" s="565"/>
      <c r="D414" s="565"/>
      <c r="E414" s="565"/>
      <c r="F414" s="565"/>
      <c r="G414" s="565"/>
      <c r="H414" s="565"/>
      <c r="I414" s="565"/>
      <c r="J414" s="565"/>
      <c r="K414" s="565"/>
      <c r="L414" s="565"/>
      <c r="M414" s="565"/>
      <c r="N414" s="565"/>
      <c r="O414" s="565"/>
      <c r="P414" s="565"/>
      <c r="Q414" s="565"/>
      <c r="R414" s="565"/>
      <c r="S414" s="565"/>
      <c r="T414" s="565"/>
      <c r="U414" s="565"/>
      <c r="V414" s="565"/>
      <c r="W414" s="565"/>
      <c r="X414" s="565"/>
      <c r="Y414" s="565"/>
      <c r="Z414" s="565"/>
      <c r="AA414" s="565"/>
      <c r="AB414" s="565"/>
      <c r="AC414" s="565"/>
      <c r="AD414" s="565"/>
      <c r="AE414" s="565"/>
      <c r="AF414" s="565"/>
      <c r="AG414" s="565"/>
      <c r="AH414" s="565"/>
      <c r="AI414" s="565"/>
      <c r="AJ414" s="565"/>
      <c r="AK414" s="565"/>
      <c r="AL414" s="565"/>
      <c r="AM414" s="565"/>
      <c r="AN414" s="565"/>
      <c r="AO414" s="565"/>
      <c r="AP414" s="565"/>
      <c r="AQ414" s="565"/>
      <c r="AR414" s="565"/>
      <c r="AS414" s="565"/>
      <c r="AT414" s="565"/>
      <c r="AU414" s="181"/>
      <c r="AV414" s="558"/>
    </row>
    <row r="415" ht="11.25" customHeight="1">
      <c r="A415" s="565"/>
      <c r="B415" s="181"/>
      <c r="C415" s="565"/>
      <c r="D415" s="565"/>
      <c r="E415" s="565"/>
      <c r="F415" s="565"/>
      <c r="G415" s="565"/>
      <c r="H415" s="565"/>
      <c r="I415" s="565"/>
      <c r="J415" s="565"/>
      <c r="K415" s="565"/>
      <c r="L415" s="565"/>
      <c r="M415" s="565"/>
      <c r="N415" s="565"/>
      <c r="O415" s="565"/>
      <c r="P415" s="565"/>
      <c r="Q415" s="565"/>
      <c r="R415" s="565"/>
      <c r="S415" s="565"/>
      <c r="T415" s="565"/>
      <c r="U415" s="565"/>
      <c r="V415" s="565"/>
      <c r="W415" s="565"/>
      <c r="X415" s="565"/>
      <c r="Y415" s="565"/>
      <c r="Z415" s="565"/>
      <c r="AA415" s="565"/>
      <c r="AB415" s="565"/>
      <c r="AC415" s="565"/>
      <c r="AD415" s="565"/>
      <c r="AE415" s="565"/>
      <c r="AF415" s="565"/>
      <c r="AG415" s="565"/>
      <c r="AH415" s="565"/>
      <c r="AI415" s="565"/>
      <c r="AJ415" s="565"/>
      <c r="AK415" s="565"/>
      <c r="AL415" s="565"/>
      <c r="AM415" s="565"/>
      <c r="AN415" s="565"/>
      <c r="AO415" s="565"/>
      <c r="AP415" s="565"/>
      <c r="AQ415" s="565"/>
      <c r="AR415" s="565"/>
      <c r="AS415" s="565"/>
      <c r="AT415" s="565"/>
      <c r="AU415" s="181"/>
      <c r="AV415" s="558"/>
    </row>
    <row r="416" ht="11.25" customHeight="1">
      <c r="A416" s="565"/>
      <c r="B416" s="181"/>
      <c r="C416" s="565"/>
      <c r="D416" s="565"/>
      <c r="E416" s="565"/>
      <c r="F416" s="565"/>
      <c r="G416" s="565"/>
      <c r="H416" s="565"/>
      <c r="I416" s="565"/>
      <c r="J416" s="565"/>
      <c r="K416" s="565"/>
      <c r="L416" s="565"/>
      <c r="M416" s="565"/>
      <c r="N416" s="565"/>
      <c r="O416" s="565"/>
      <c r="P416" s="565"/>
      <c r="Q416" s="565"/>
      <c r="R416" s="565"/>
      <c r="S416" s="565"/>
      <c r="T416" s="565"/>
      <c r="U416" s="565"/>
      <c r="V416" s="565"/>
      <c r="W416" s="565"/>
      <c r="X416" s="565"/>
      <c r="Y416" s="565"/>
      <c r="Z416" s="565"/>
      <c r="AA416" s="565"/>
      <c r="AB416" s="565"/>
      <c r="AC416" s="565"/>
      <c r="AD416" s="565"/>
      <c r="AE416" s="565"/>
      <c r="AF416" s="565"/>
      <c r="AG416" s="565"/>
      <c r="AH416" s="565"/>
      <c r="AI416" s="565"/>
      <c r="AJ416" s="565"/>
      <c r="AK416" s="565"/>
      <c r="AL416" s="565"/>
      <c r="AM416" s="565"/>
      <c r="AN416" s="565"/>
      <c r="AO416" s="565"/>
      <c r="AP416" s="565"/>
      <c r="AQ416" s="565"/>
      <c r="AR416" s="565"/>
      <c r="AS416" s="565"/>
      <c r="AT416" s="565"/>
      <c r="AU416" s="181"/>
      <c r="AV416" s="558"/>
    </row>
    <row r="417" ht="11.25" customHeight="1">
      <c r="A417" s="565"/>
      <c r="B417" s="181"/>
      <c r="C417" s="565"/>
      <c r="D417" s="565"/>
      <c r="E417" s="565"/>
      <c r="F417" s="565"/>
      <c r="G417" s="565"/>
      <c r="H417" s="565"/>
      <c r="I417" s="565"/>
      <c r="J417" s="565"/>
      <c r="K417" s="565"/>
      <c r="L417" s="565"/>
      <c r="M417" s="565"/>
      <c r="N417" s="565"/>
      <c r="O417" s="565"/>
      <c r="P417" s="565"/>
      <c r="Q417" s="565"/>
      <c r="R417" s="565"/>
      <c r="S417" s="565"/>
      <c r="T417" s="565"/>
      <c r="U417" s="565"/>
      <c r="V417" s="565"/>
      <c r="W417" s="565"/>
      <c r="X417" s="565"/>
      <c r="Y417" s="565"/>
      <c r="Z417" s="565"/>
      <c r="AA417" s="565"/>
      <c r="AB417" s="565"/>
      <c r="AC417" s="565"/>
      <c r="AD417" s="565"/>
      <c r="AE417" s="565"/>
      <c r="AF417" s="565"/>
      <c r="AG417" s="565"/>
      <c r="AH417" s="565"/>
      <c r="AI417" s="565"/>
      <c r="AJ417" s="565"/>
      <c r="AK417" s="565"/>
      <c r="AL417" s="565"/>
      <c r="AM417" s="565"/>
      <c r="AN417" s="565"/>
      <c r="AO417" s="565"/>
      <c r="AP417" s="565"/>
      <c r="AQ417" s="565"/>
      <c r="AR417" s="565"/>
      <c r="AS417" s="565"/>
      <c r="AT417" s="565"/>
      <c r="AU417" s="181"/>
      <c r="AV417" s="558"/>
    </row>
    <row r="418" ht="11.25" customHeight="1">
      <c r="A418" s="565"/>
      <c r="B418" s="181"/>
      <c r="C418" s="565"/>
      <c r="D418" s="565"/>
      <c r="E418" s="565"/>
      <c r="F418" s="565"/>
      <c r="G418" s="565"/>
      <c r="H418" s="565"/>
      <c r="I418" s="565"/>
      <c r="J418" s="565"/>
      <c r="K418" s="565"/>
      <c r="L418" s="565"/>
      <c r="M418" s="565"/>
      <c r="N418" s="565"/>
      <c r="O418" s="565"/>
      <c r="P418" s="565"/>
      <c r="Q418" s="565"/>
      <c r="R418" s="565"/>
      <c r="S418" s="565"/>
      <c r="T418" s="565"/>
      <c r="U418" s="565"/>
      <c r="V418" s="565"/>
      <c r="W418" s="565"/>
      <c r="X418" s="565"/>
      <c r="Y418" s="565"/>
      <c r="Z418" s="565"/>
      <c r="AA418" s="565"/>
      <c r="AB418" s="565"/>
      <c r="AC418" s="565"/>
      <c r="AD418" s="565"/>
      <c r="AE418" s="565"/>
      <c r="AF418" s="565"/>
      <c r="AG418" s="565"/>
      <c r="AH418" s="565"/>
      <c r="AI418" s="565"/>
      <c r="AJ418" s="565"/>
      <c r="AK418" s="565"/>
      <c r="AL418" s="565"/>
      <c r="AM418" s="565"/>
      <c r="AN418" s="565"/>
      <c r="AO418" s="565"/>
      <c r="AP418" s="565"/>
      <c r="AQ418" s="565"/>
      <c r="AR418" s="565"/>
      <c r="AS418" s="565"/>
      <c r="AT418" s="565"/>
      <c r="AU418" s="181"/>
      <c r="AV418" s="558"/>
    </row>
    <row r="419" ht="11.25" customHeight="1">
      <c r="A419" s="565"/>
      <c r="B419" s="181"/>
      <c r="C419" s="565"/>
      <c r="D419" s="565"/>
      <c r="E419" s="565"/>
      <c r="F419" s="565"/>
      <c r="G419" s="565"/>
      <c r="H419" s="565"/>
      <c r="I419" s="565"/>
      <c r="J419" s="565"/>
      <c r="K419" s="565"/>
      <c r="L419" s="565"/>
      <c r="M419" s="565"/>
      <c r="N419" s="565"/>
      <c r="O419" s="565"/>
      <c r="P419" s="565"/>
      <c r="Q419" s="565"/>
      <c r="R419" s="565"/>
      <c r="S419" s="565"/>
      <c r="T419" s="565"/>
      <c r="U419" s="565"/>
      <c r="V419" s="565"/>
      <c r="W419" s="565"/>
      <c r="X419" s="565"/>
      <c r="Y419" s="565"/>
      <c r="Z419" s="565"/>
      <c r="AA419" s="565"/>
      <c r="AB419" s="565"/>
      <c r="AC419" s="565"/>
      <c r="AD419" s="565"/>
      <c r="AE419" s="565"/>
      <c r="AF419" s="565"/>
      <c r="AG419" s="565"/>
      <c r="AH419" s="565"/>
      <c r="AI419" s="565"/>
      <c r="AJ419" s="565"/>
      <c r="AK419" s="565"/>
      <c r="AL419" s="565"/>
      <c r="AM419" s="565"/>
      <c r="AN419" s="565"/>
      <c r="AO419" s="565"/>
      <c r="AP419" s="565"/>
      <c r="AQ419" s="565"/>
      <c r="AR419" s="565"/>
      <c r="AS419" s="565"/>
      <c r="AT419" s="565"/>
      <c r="AU419" s="181"/>
      <c r="AV419" s="558"/>
    </row>
    <row r="420" ht="11.25" customHeight="1">
      <c r="A420" s="565"/>
      <c r="B420" s="181"/>
      <c r="C420" s="565"/>
      <c r="D420" s="565"/>
      <c r="E420" s="565"/>
      <c r="F420" s="565"/>
      <c r="G420" s="565"/>
      <c r="H420" s="565"/>
      <c r="I420" s="565"/>
      <c r="J420" s="565"/>
      <c r="K420" s="565"/>
      <c r="L420" s="565"/>
      <c r="M420" s="565"/>
      <c r="N420" s="565"/>
      <c r="O420" s="565"/>
      <c r="P420" s="565"/>
      <c r="Q420" s="565"/>
      <c r="R420" s="565"/>
      <c r="S420" s="565"/>
      <c r="T420" s="565"/>
      <c r="U420" s="565"/>
      <c r="V420" s="565"/>
      <c r="W420" s="565"/>
      <c r="X420" s="565"/>
      <c r="Y420" s="565"/>
      <c r="Z420" s="565"/>
      <c r="AA420" s="565"/>
      <c r="AB420" s="565"/>
      <c r="AC420" s="565"/>
      <c r="AD420" s="565"/>
      <c r="AE420" s="565"/>
      <c r="AF420" s="565"/>
      <c r="AG420" s="565"/>
      <c r="AH420" s="565"/>
      <c r="AI420" s="565"/>
      <c r="AJ420" s="565"/>
      <c r="AK420" s="565"/>
      <c r="AL420" s="565"/>
      <c r="AM420" s="565"/>
      <c r="AN420" s="565"/>
      <c r="AO420" s="565"/>
      <c r="AP420" s="565"/>
      <c r="AQ420" s="565"/>
      <c r="AR420" s="565"/>
      <c r="AS420" s="565"/>
      <c r="AT420" s="565"/>
      <c r="AU420" s="181"/>
      <c r="AV420" s="558"/>
    </row>
    <row r="421" ht="11.25" customHeight="1">
      <c r="A421" s="565"/>
      <c r="B421" s="181"/>
      <c r="C421" s="565"/>
      <c r="D421" s="565"/>
      <c r="E421" s="565"/>
      <c r="F421" s="565"/>
      <c r="G421" s="565"/>
      <c r="H421" s="565"/>
      <c r="I421" s="565"/>
      <c r="J421" s="565"/>
      <c r="K421" s="565"/>
      <c r="L421" s="565"/>
      <c r="M421" s="565"/>
      <c r="N421" s="565"/>
      <c r="O421" s="565"/>
      <c r="P421" s="565"/>
      <c r="Q421" s="565"/>
      <c r="R421" s="565"/>
      <c r="S421" s="565"/>
      <c r="T421" s="565"/>
      <c r="U421" s="565"/>
      <c r="V421" s="565"/>
      <c r="W421" s="565"/>
      <c r="X421" s="565"/>
      <c r="Y421" s="565"/>
      <c r="Z421" s="565"/>
      <c r="AA421" s="565"/>
      <c r="AB421" s="565"/>
      <c r="AC421" s="565"/>
      <c r="AD421" s="565"/>
      <c r="AE421" s="565"/>
      <c r="AF421" s="565"/>
      <c r="AG421" s="565"/>
      <c r="AH421" s="565"/>
      <c r="AI421" s="565"/>
      <c r="AJ421" s="565"/>
      <c r="AK421" s="565"/>
      <c r="AL421" s="565"/>
      <c r="AM421" s="565"/>
      <c r="AN421" s="565"/>
      <c r="AO421" s="565"/>
      <c r="AP421" s="565"/>
      <c r="AQ421" s="565"/>
      <c r="AR421" s="565"/>
      <c r="AS421" s="565"/>
      <c r="AT421" s="565"/>
      <c r="AU421" s="181"/>
      <c r="AV421" s="558"/>
    </row>
    <row r="422" ht="11.25" customHeight="1">
      <c r="A422" s="565"/>
      <c r="B422" s="181"/>
      <c r="C422" s="565"/>
      <c r="D422" s="565"/>
      <c r="E422" s="565"/>
      <c r="F422" s="565"/>
      <c r="G422" s="565"/>
      <c r="H422" s="565"/>
      <c r="I422" s="565"/>
      <c r="J422" s="565"/>
      <c r="K422" s="565"/>
      <c r="L422" s="565"/>
      <c r="M422" s="565"/>
      <c r="N422" s="565"/>
      <c r="O422" s="565"/>
      <c r="P422" s="565"/>
      <c r="Q422" s="565"/>
      <c r="R422" s="565"/>
      <c r="S422" s="565"/>
      <c r="T422" s="565"/>
      <c r="U422" s="565"/>
      <c r="V422" s="565"/>
      <c r="W422" s="565"/>
      <c r="X422" s="565"/>
      <c r="Y422" s="565"/>
      <c r="Z422" s="565"/>
      <c r="AA422" s="565"/>
      <c r="AB422" s="565"/>
      <c r="AC422" s="565"/>
      <c r="AD422" s="565"/>
      <c r="AE422" s="565"/>
      <c r="AF422" s="565"/>
      <c r="AG422" s="565"/>
      <c r="AH422" s="565"/>
      <c r="AI422" s="565"/>
      <c r="AJ422" s="565"/>
      <c r="AK422" s="565"/>
      <c r="AL422" s="565"/>
      <c r="AM422" s="565"/>
      <c r="AN422" s="565"/>
      <c r="AO422" s="565"/>
      <c r="AP422" s="565"/>
      <c r="AQ422" s="565"/>
      <c r="AR422" s="565"/>
      <c r="AS422" s="565"/>
      <c r="AT422" s="565"/>
      <c r="AU422" s="181"/>
      <c r="AV422" s="558"/>
    </row>
    <row r="423" ht="11.25" customHeight="1">
      <c r="A423" s="565"/>
      <c r="B423" s="181"/>
      <c r="C423" s="565"/>
      <c r="D423" s="565"/>
      <c r="E423" s="565"/>
      <c r="F423" s="565"/>
      <c r="G423" s="565"/>
      <c r="H423" s="565"/>
      <c r="I423" s="565"/>
      <c r="J423" s="565"/>
      <c r="K423" s="565"/>
      <c r="L423" s="565"/>
      <c r="M423" s="565"/>
      <c r="N423" s="565"/>
      <c r="O423" s="565"/>
      <c r="P423" s="565"/>
      <c r="Q423" s="565"/>
      <c r="R423" s="565"/>
      <c r="S423" s="565"/>
      <c r="T423" s="565"/>
      <c r="U423" s="565"/>
      <c r="V423" s="565"/>
      <c r="W423" s="565"/>
      <c r="X423" s="565"/>
      <c r="Y423" s="565"/>
      <c r="Z423" s="565"/>
      <c r="AA423" s="565"/>
      <c r="AB423" s="565"/>
      <c r="AC423" s="565"/>
      <c r="AD423" s="565"/>
      <c r="AE423" s="565"/>
      <c r="AF423" s="565"/>
      <c r="AG423" s="565"/>
      <c r="AH423" s="565"/>
      <c r="AI423" s="565"/>
      <c r="AJ423" s="565"/>
      <c r="AK423" s="565"/>
      <c r="AL423" s="565"/>
      <c r="AM423" s="565"/>
      <c r="AN423" s="565"/>
      <c r="AO423" s="565"/>
      <c r="AP423" s="565"/>
      <c r="AQ423" s="565"/>
      <c r="AR423" s="565"/>
      <c r="AS423" s="565"/>
      <c r="AT423" s="565"/>
      <c r="AU423" s="181"/>
      <c r="AV423" s="558"/>
    </row>
    <row r="424" ht="11.25" customHeight="1">
      <c r="A424" s="565"/>
      <c r="B424" s="181"/>
      <c r="C424" s="565"/>
      <c r="D424" s="565"/>
      <c r="E424" s="565"/>
      <c r="F424" s="565"/>
      <c r="G424" s="565"/>
      <c r="H424" s="565"/>
      <c r="I424" s="565"/>
      <c r="J424" s="565"/>
      <c r="K424" s="565"/>
      <c r="L424" s="565"/>
      <c r="M424" s="565"/>
      <c r="N424" s="565"/>
      <c r="O424" s="565"/>
      <c r="P424" s="565"/>
      <c r="Q424" s="565"/>
      <c r="R424" s="565"/>
      <c r="S424" s="565"/>
      <c r="T424" s="565"/>
      <c r="U424" s="565"/>
      <c r="V424" s="565"/>
      <c r="W424" s="565"/>
      <c r="X424" s="565"/>
      <c r="Y424" s="565"/>
      <c r="Z424" s="565"/>
      <c r="AA424" s="565"/>
      <c r="AB424" s="565"/>
      <c r="AC424" s="565"/>
      <c r="AD424" s="565"/>
      <c r="AE424" s="565"/>
      <c r="AF424" s="565"/>
      <c r="AG424" s="565"/>
      <c r="AH424" s="565"/>
      <c r="AI424" s="565"/>
      <c r="AJ424" s="565"/>
      <c r="AK424" s="565"/>
      <c r="AL424" s="565"/>
      <c r="AM424" s="565"/>
      <c r="AN424" s="565"/>
      <c r="AO424" s="565"/>
      <c r="AP424" s="565"/>
      <c r="AQ424" s="565"/>
      <c r="AR424" s="565"/>
      <c r="AS424" s="565"/>
      <c r="AT424" s="565"/>
      <c r="AU424" s="181"/>
      <c r="AV424" s="558"/>
    </row>
    <row r="425" ht="11.25" customHeight="1">
      <c r="A425" s="565"/>
      <c r="B425" s="181"/>
      <c r="C425" s="565"/>
      <c r="D425" s="565"/>
      <c r="E425" s="565"/>
      <c r="F425" s="565"/>
      <c r="G425" s="565"/>
      <c r="H425" s="565"/>
      <c r="I425" s="565"/>
      <c r="J425" s="565"/>
      <c r="K425" s="565"/>
      <c r="L425" s="565"/>
      <c r="M425" s="565"/>
      <c r="N425" s="565"/>
      <c r="O425" s="565"/>
      <c r="P425" s="565"/>
      <c r="Q425" s="565"/>
      <c r="R425" s="565"/>
      <c r="S425" s="565"/>
      <c r="T425" s="565"/>
      <c r="U425" s="565"/>
      <c r="V425" s="565"/>
      <c r="W425" s="565"/>
      <c r="X425" s="565"/>
      <c r="Y425" s="565"/>
      <c r="Z425" s="565"/>
      <c r="AA425" s="565"/>
      <c r="AB425" s="565"/>
      <c r="AC425" s="565"/>
      <c r="AD425" s="565"/>
      <c r="AE425" s="565"/>
      <c r="AF425" s="565"/>
      <c r="AG425" s="565"/>
      <c r="AH425" s="565"/>
      <c r="AI425" s="565"/>
      <c r="AJ425" s="565"/>
      <c r="AK425" s="565"/>
      <c r="AL425" s="565"/>
      <c r="AM425" s="565"/>
      <c r="AN425" s="565"/>
      <c r="AO425" s="565"/>
      <c r="AP425" s="565"/>
      <c r="AQ425" s="565"/>
      <c r="AR425" s="565"/>
      <c r="AS425" s="565"/>
      <c r="AT425" s="565"/>
      <c r="AU425" s="181"/>
      <c r="AV425" s="558"/>
    </row>
    <row r="426" ht="11.25" customHeight="1">
      <c r="A426" s="565"/>
      <c r="B426" s="181"/>
      <c r="C426" s="565"/>
      <c r="D426" s="565"/>
      <c r="E426" s="565"/>
      <c r="F426" s="565"/>
      <c r="G426" s="565"/>
      <c r="H426" s="565"/>
      <c r="I426" s="565"/>
      <c r="J426" s="565"/>
      <c r="K426" s="565"/>
      <c r="L426" s="565"/>
      <c r="M426" s="565"/>
      <c r="N426" s="565"/>
      <c r="O426" s="565"/>
      <c r="P426" s="565"/>
      <c r="Q426" s="565"/>
      <c r="R426" s="565"/>
      <c r="S426" s="565"/>
      <c r="T426" s="565"/>
      <c r="U426" s="565"/>
      <c r="V426" s="565"/>
      <c r="W426" s="565"/>
      <c r="X426" s="565"/>
      <c r="Y426" s="565"/>
      <c r="Z426" s="565"/>
      <c r="AA426" s="565"/>
      <c r="AB426" s="565"/>
      <c r="AC426" s="565"/>
      <c r="AD426" s="565"/>
      <c r="AE426" s="565"/>
      <c r="AF426" s="565"/>
      <c r="AG426" s="565"/>
      <c r="AH426" s="565"/>
      <c r="AI426" s="565"/>
      <c r="AJ426" s="565"/>
      <c r="AK426" s="565"/>
      <c r="AL426" s="565"/>
      <c r="AM426" s="565"/>
      <c r="AN426" s="565"/>
      <c r="AO426" s="565"/>
      <c r="AP426" s="565"/>
      <c r="AQ426" s="565"/>
      <c r="AR426" s="565"/>
      <c r="AS426" s="565"/>
      <c r="AT426" s="565"/>
      <c r="AU426" s="181"/>
      <c r="AV426" s="558"/>
    </row>
    <row r="427" ht="11.25" customHeight="1">
      <c r="A427" s="565"/>
      <c r="B427" s="181"/>
      <c r="C427" s="565"/>
      <c r="D427" s="565"/>
      <c r="E427" s="565"/>
      <c r="F427" s="565"/>
      <c r="G427" s="565"/>
      <c r="H427" s="565"/>
      <c r="I427" s="565"/>
      <c r="J427" s="565"/>
      <c r="K427" s="565"/>
      <c r="L427" s="565"/>
      <c r="M427" s="565"/>
      <c r="N427" s="565"/>
      <c r="O427" s="565"/>
      <c r="P427" s="565"/>
      <c r="Q427" s="565"/>
      <c r="R427" s="565"/>
      <c r="S427" s="565"/>
      <c r="T427" s="565"/>
      <c r="U427" s="565"/>
      <c r="V427" s="565"/>
      <c r="W427" s="565"/>
      <c r="X427" s="565"/>
      <c r="Y427" s="565"/>
      <c r="Z427" s="565"/>
      <c r="AA427" s="565"/>
      <c r="AB427" s="565"/>
      <c r="AC427" s="565"/>
      <c r="AD427" s="565"/>
      <c r="AE427" s="565"/>
      <c r="AF427" s="565"/>
      <c r="AG427" s="565"/>
      <c r="AH427" s="565"/>
      <c r="AI427" s="565"/>
      <c r="AJ427" s="565"/>
      <c r="AK427" s="565"/>
      <c r="AL427" s="565"/>
      <c r="AM427" s="565"/>
      <c r="AN427" s="565"/>
      <c r="AO427" s="565"/>
      <c r="AP427" s="565"/>
      <c r="AQ427" s="565"/>
      <c r="AR427" s="565"/>
      <c r="AS427" s="565"/>
      <c r="AT427" s="565"/>
      <c r="AU427" s="181"/>
      <c r="AV427" s="558"/>
    </row>
    <row r="428" ht="11.25" customHeight="1">
      <c r="A428" s="565"/>
      <c r="B428" s="181"/>
      <c r="C428" s="565"/>
      <c r="D428" s="565"/>
      <c r="E428" s="565"/>
      <c r="F428" s="565"/>
      <c r="G428" s="565"/>
      <c r="H428" s="565"/>
      <c r="I428" s="565"/>
      <c r="J428" s="565"/>
      <c r="K428" s="565"/>
      <c r="L428" s="565"/>
      <c r="M428" s="565"/>
      <c r="N428" s="565"/>
      <c r="O428" s="565"/>
      <c r="P428" s="565"/>
      <c r="Q428" s="565"/>
      <c r="R428" s="565"/>
      <c r="S428" s="565"/>
      <c r="T428" s="565"/>
      <c r="U428" s="565"/>
      <c r="V428" s="565"/>
      <c r="W428" s="565"/>
      <c r="X428" s="565"/>
      <c r="Y428" s="565"/>
      <c r="Z428" s="565"/>
      <c r="AA428" s="565"/>
      <c r="AB428" s="565"/>
      <c r="AC428" s="565"/>
      <c r="AD428" s="565"/>
      <c r="AE428" s="565"/>
      <c r="AF428" s="565"/>
      <c r="AG428" s="565"/>
      <c r="AH428" s="565"/>
      <c r="AI428" s="565"/>
      <c r="AJ428" s="565"/>
      <c r="AK428" s="565"/>
      <c r="AL428" s="565"/>
      <c r="AM428" s="565"/>
      <c r="AN428" s="565"/>
      <c r="AO428" s="565"/>
      <c r="AP428" s="565"/>
      <c r="AQ428" s="565"/>
      <c r="AR428" s="565"/>
      <c r="AS428" s="565"/>
      <c r="AT428" s="565"/>
      <c r="AU428" s="181"/>
      <c r="AV428" s="558"/>
    </row>
    <row r="429" ht="11.25" customHeight="1">
      <c r="A429" s="565"/>
      <c r="B429" s="181"/>
      <c r="C429" s="565"/>
      <c r="D429" s="565"/>
      <c r="E429" s="565"/>
      <c r="F429" s="565"/>
      <c r="G429" s="565"/>
      <c r="H429" s="565"/>
      <c r="I429" s="565"/>
      <c r="J429" s="565"/>
      <c r="K429" s="565"/>
      <c r="L429" s="565"/>
      <c r="M429" s="565"/>
      <c r="N429" s="565"/>
      <c r="O429" s="565"/>
      <c r="P429" s="565"/>
      <c r="Q429" s="565"/>
      <c r="R429" s="565"/>
      <c r="S429" s="565"/>
      <c r="T429" s="565"/>
      <c r="U429" s="565"/>
      <c r="V429" s="565"/>
      <c r="W429" s="565"/>
      <c r="X429" s="565"/>
      <c r="Y429" s="565"/>
      <c r="Z429" s="565"/>
      <c r="AA429" s="565"/>
      <c r="AB429" s="565"/>
      <c r="AC429" s="565"/>
      <c r="AD429" s="565"/>
      <c r="AE429" s="565"/>
      <c r="AF429" s="565"/>
      <c r="AG429" s="565"/>
      <c r="AH429" s="565"/>
      <c r="AI429" s="565"/>
      <c r="AJ429" s="565"/>
      <c r="AK429" s="565"/>
      <c r="AL429" s="565"/>
      <c r="AM429" s="565"/>
      <c r="AN429" s="565"/>
      <c r="AO429" s="565"/>
      <c r="AP429" s="565"/>
      <c r="AQ429" s="565"/>
      <c r="AR429" s="565"/>
      <c r="AS429" s="565"/>
      <c r="AT429" s="565"/>
      <c r="AU429" s="181"/>
      <c r="AV429" s="558"/>
    </row>
    <row r="430" ht="11.25" customHeight="1">
      <c r="A430" s="565"/>
      <c r="B430" s="181"/>
      <c r="C430" s="565"/>
      <c r="D430" s="565"/>
      <c r="E430" s="565"/>
      <c r="F430" s="565"/>
      <c r="G430" s="565"/>
      <c r="H430" s="565"/>
      <c r="I430" s="565"/>
      <c r="J430" s="565"/>
      <c r="K430" s="565"/>
      <c r="L430" s="565"/>
      <c r="M430" s="565"/>
      <c r="N430" s="565"/>
      <c r="O430" s="565"/>
      <c r="P430" s="565"/>
      <c r="Q430" s="565"/>
      <c r="R430" s="565"/>
      <c r="S430" s="565"/>
      <c r="T430" s="565"/>
      <c r="U430" s="565"/>
      <c r="V430" s="565"/>
      <c r="W430" s="565"/>
      <c r="X430" s="565"/>
      <c r="Y430" s="565"/>
      <c r="Z430" s="565"/>
      <c r="AA430" s="565"/>
      <c r="AB430" s="565"/>
      <c r="AC430" s="565"/>
      <c r="AD430" s="565"/>
      <c r="AE430" s="565"/>
      <c r="AF430" s="565"/>
      <c r="AG430" s="565"/>
      <c r="AH430" s="565"/>
      <c r="AI430" s="565"/>
      <c r="AJ430" s="565"/>
      <c r="AK430" s="565"/>
      <c r="AL430" s="565"/>
      <c r="AM430" s="565"/>
      <c r="AN430" s="565"/>
      <c r="AO430" s="565"/>
      <c r="AP430" s="565"/>
      <c r="AQ430" s="565"/>
      <c r="AR430" s="565"/>
      <c r="AS430" s="565"/>
      <c r="AT430" s="565"/>
      <c r="AU430" s="181"/>
      <c r="AV430" s="558"/>
    </row>
    <row r="431" ht="11.25" customHeight="1">
      <c r="A431" s="565"/>
      <c r="B431" s="181"/>
      <c r="C431" s="565"/>
      <c r="D431" s="565"/>
      <c r="E431" s="565"/>
      <c r="F431" s="565"/>
      <c r="G431" s="565"/>
      <c r="H431" s="565"/>
      <c r="I431" s="565"/>
      <c r="J431" s="565"/>
      <c r="K431" s="565"/>
      <c r="L431" s="565"/>
      <c r="M431" s="565"/>
      <c r="N431" s="565"/>
      <c r="O431" s="565"/>
      <c r="P431" s="565"/>
      <c r="Q431" s="565"/>
      <c r="R431" s="565"/>
      <c r="S431" s="565"/>
      <c r="T431" s="565"/>
      <c r="U431" s="565"/>
      <c r="V431" s="565"/>
      <c r="W431" s="565"/>
      <c r="X431" s="565"/>
      <c r="Y431" s="565"/>
      <c r="Z431" s="565"/>
      <c r="AA431" s="565"/>
      <c r="AB431" s="565"/>
      <c r="AC431" s="565"/>
      <c r="AD431" s="565"/>
      <c r="AE431" s="565"/>
      <c r="AF431" s="565"/>
      <c r="AG431" s="565"/>
      <c r="AH431" s="565"/>
      <c r="AI431" s="565"/>
      <c r="AJ431" s="565"/>
      <c r="AK431" s="565"/>
      <c r="AL431" s="565"/>
      <c r="AM431" s="565"/>
      <c r="AN431" s="565"/>
      <c r="AO431" s="565"/>
      <c r="AP431" s="565"/>
      <c r="AQ431" s="565"/>
      <c r="AR431" s="565"/>
      <c r="AS431" s="565"/>
      <c r="AT431" s="565"/>
      <c r="AU431" s="181"/>
      <c r="AV431" s="558"/>
    </row>
    <row r="432" ht="11.25" customHeight="1">
      <c r="A432" s="565"/>
      <c r="B432" s="181"/>
      <c r="C432" s="565"/>
      <c r="D432" s="565"/>
      <c r="E432" s="565"/>
      <c r="F432" s="565"/>
      <c r="G432" s="565"/>
      <c r="H432" s="565"/>
      <c r="I432" s="565"/>
      <c r="J432" s="565"/>
      <c r="K432" s="565"/>
      <c r="L432" s="565"/>
      <c r="M432" s="565"/>
      <c r="N432" s="565"/>
      <c r="O432" s="565"/>
      <c r="P432" s="565"/>
      <c r="Q432" s="565"/>
      <c r="R432" s="565"/>
      <c r="S432" s="565"/>
      <c r="T432" s="565"/>
      <c r="U432" s="565"/>
      <c r="V432" s="565"/>
      <c r="W432" s="565"/>
      <c r="X432" s="565"/>
      <c r="Y432" s="565"/>
      <c r="Z432" s="565"/>
      <c r="AA432" s="565"/>
      <c r="AB432" s="565"/>
      <c r="AC432" s="565"/>
      <c r="AD432" s="565"/>
      <c r="AE432" s="565"/>
      <c r="AF432" s="565"/>
      <c r="AG432" s="565"/>
      <c r="AH432" s="565"/>
      <c r="AI432" s="565"/>
      <c r="AJ432" s="565"/>
      <c r="AK432" s="565"/>
      <c r="AL432" s="565"/>
      <c r="AM432" s="565"/>
      <c r="AN432" s="565"/>
      <c r="AO432" s="565"/>
      <c r="AP432" s="565"/>
      <c r="AQ432" s="565"/>
      <c r="AR432" s="565"/>
      <c r="AS432" s="565"/>
      <c r="AT432" s="565"/>
      <c r="AU432" s="181"/>
      <c r="AV432" s="558"/>
    </row>
    <row r="433" ht="11.25" customHeight="1">
      <c r="A433" s="565"/>
      <c r="B433" s="181"/>
      <c r="C433" s="565"/>
      <c r="D433" s="565"/>
      <c r="E433" s="565"/>
      <c r="F433" s="565"/>
      <c r="G433" s="565"/>
      <c r="H433" s="565"/>
      <c r="I433" s="565"/>
      <c r="J433" s="565"/>
      <c r="K433" s="565"/>
      <c r="L433" s="565"/>
      <c r="M433" s="565"/>
      <c r="N433" s="565"/>
      <c r="O433" s="565"/>
      <c r="P433" s="565"/>
      <c r="Q433" s="565"/>
      <c r="R433" s="565"/>
      <c r="S433" s="565"/>
      <c r="T433" s="565"/>
      <c r="U433" s="565"/>
      <c r="V433" s="565"/>
      <c r="W433" s="565"/>
      <c r="X433" s="565"/>
      <c r="Y433" s="565"/>
      <c r="Z433" s="565"/>
      <c r="AA433" s="565"/>
      <c r="AB433" s="565"/>
      <c r="AC433" s="565"/>
      <c r="AD433" s="565"/>
      <c r="AE433" s="565"/>
      <c r="AF433" s="565"/>
      <c r="AG433" s="565"/>
      <c r="AH433" s="565"/>
      <c r="AI433" s="565"/>
      <c r="AJ433" s="565"/>
      <c r="AK433" s="565"/>
      <c r="AL433" s="565"/>
      <c r="AM433" s="565"/>
      <c r="AN433" s="565"/>
      <c r="AO433" s="565"/>
      <c r="AP433" s="565"/>
      <c r="AQ433" s="565"/>
      <c r="AR433" s="565"/>
      <c r="AS433" s="565"/>
      <c r="AT433" s="565"/>
      <c r="AU433" s="181"/>
      <c r="AV433" s="558"/>
    </row>
    <row r="434" ht="11.25" customHeight="1">
      <c r="A434" s="565"/>
      <c r="B434" s="181"/>
      <c r="C434" s="565"/>
      <c r="D434" s="565"/>
      <c r="E434" s="565"/>
      <c r="F434" s="565"/>
      <c r="G434" s="565"/>
      <c r="H434" s="565"/>
      <c r="I434" s="565"/>
      <c r="J434" s="565"/>
      <c r="K434" s="565"/>
      <c r="L434" s="565"/>
      <c r="M434" s="565"/>
      <c r="N434" s="565"/>
      <c r="O434" s="565"/>
      <c r="P434" s="565"/>
      <c r="Q434" s="565"/>
      <c r="R434" s="565"/>
      <c r="S434" s="565"/>
      <c r="T434" s="565"/>
      <c r="U434" s="565"/>
      <c r="V434" s="565"/>
      <c r="W434" s="565"/>
      <c r="X434" s="565"/>
      <c r="Y434" s="565"/>
      <c r="Z434" s="565"/>
      <c r="AA434" s="565"/>
      <c r="AB434" s="565"/>
      <c r="AC434" s="565"/>
      <c r="AD434" s="565"/>
      <c r="AE434" s="565"/>
      <c r="AF434" s="565"/>
      <c r="AG434" s="565"/>
      <c r="AH434" s="565"/>
      <c r="AI434" s="565"/>
      <c r="AJ434" s="565"/>
      <c r="AK434" s="565"/>
      <c r="AL434" s="565"/>
      <c r="AM434" s="565"/>
      <c r="AN434" s="565"/>
      <c r="AO434" s="565"/>
      <c r="AP434" s="565"/>
      <c r="AQ434" s="565"/>
      <c r="AR434" s="565"/>
      <c r="AS434" s="565"/>
      <c r="AT434" s="565"/>
      <c r="AU434" s="181"/>
      <c r="AV434" s="558"/>
    </row>
    <row r="435" ht="11.25" customHeight="1">
      <c r="A435" s="565"/>
      <c r="B435" s="181"/>
      <c r="C435" s="565"/>
      <c r="D435" s="565"/>
      <c r="E435" s="565"/>
      <c r="F435" s="565"/>
      <c r="G435" s="565"/>
      <c r="H435" s="565"/>
      <c r="I435" s="565"/>
      <c r="J435" s="565"/>
      <c r="K435" s="565"/>
      <c r="L435" s="565"/>
      <c r="M435" s="565"/>
      <c r="N435" s="565"/>
      <c r="O435" s="565"/>
      <c r="P435" s="565"/>
      <c r="Q435" s="565"/>
      <c r="R435" s="565"/>
      <c r="S435" s="565"/>
      <c r="T435" s="565"/>
      <c r="U435" s="565"/>
      <c r="V435" s="565"/>
      <c r="W435" s="565"/>
      <c r="X435" s="565"/>
      <c r="Y435" s="565"/>
      <c r="Z435" s="565"/>
      <c r="AA435" s="565"/>
      <c r="AB435" s="565"/>
      <c r="AC435" s="565"/>
      <c r="AD435" s="565"/>
      <c r="AE435" s="565"/>
      <c r="AF435" s="565"/>
      <c r="AG435" s="565"/>
      <c r="AH435" s="565"/>
      <c r="AI435" s="565"/>
      <c r="AJ435" s="565"/>
      <c r="AK435" s="565"/>
      <c r="AL435" s="565"/>
      <c r="AM435" s="565"/>
      <c r="AN435" s="565"/>
      <c r="AO435" s="565"/>
      <c r="AP435" s="565"/>
      <c r="AQ435" s="565"/>
      <c r="AR435" s="565"/>
      <c r="AS435" s="565"/>
      <c r="AT435" s="565"/>
      <c r="AU435" s="181"/>
      <c r="AV435" s="558"/>
    </row>
    <row r="436" ht="11.25" customHeight="1">
      <c r="A436" s="565"/>
      <c r="B436" s="181"/>
      <c r="C436" s="565"/>
      <c r="D436" s="565"/>
      <c r="E436" s="565"/>
      <c r="F436" s="565"/>
      <c r="G436" s="565"/>
      <c r="H436" s="565"/>
      <c r="I436" s="565"/>
      <c r="J436" s="565"/>
      <c r="K436" s="565"/>
      <c r="L436" s="565"/>
      <c r="M436" s="565"/>
      <c r="N436" s="565"/>
      <c r="O436" s="565"/>
      <c r="P436" s="565"/>
      <c r="Q436" s="565"/>
      <c r="R436" s="565"/>
      <c r="S436" s="565"/>
      <c r="T436" s="565"/>
      <c r="U436" s="565"/>
      <c r="V436" s="565"/>
      <c r="W436" s="565"/>
      <c r="X436" s="565"/>
      <c r="Y436" s="565"/>
      <c r="Z436" s="565"/>
      <c r="AA436" s="565"/>
      <c r="AB436" s="565"/>
      <c r="AC436" s="565"/>
      <c r="AD436" s="565"/>
      <c r="AE436" s="565"/>
      <c r="AF436" s="565"/>
      <c r="AG436" s="565"/>
      <c r="AH436" s="565"/>
      <c r="AI436" s="565"/>
      <c r="AJ436" s="565"/>
      <c r="AK436" s="565"/>
      <c r="AL436" s="565"/>
      <c r="AM436" s="565"/>
      <c r="AN436" s="565"/>
      <c r="AO436" s="565"/>
      <c r="AP436" s="565"/>
      <c r="AQ436" s="565"/>
      <c r="AR436" s="565"/>
      <c r="AS436" s="565"/>
      <c r="AT436" s="565"/>
      <c r="AU436" s="181"/>
      <c r="AV436" s="558"/>
    </row>
    <row r="437" ht="11.25" customHeight="1">
      <c r="A437" s="565"/>
      <c r="B437" s="181"/>
      <c r="C437" s="565"/>
      <c r="D437" s="565"/>
      <c r="E437" s="565"/>
      <c r="F437" s="565"/>
      <c r="G437" s="565"/>
      <c r="H437" s="565"/>
      <c r="I437" s="565"/>
      <c r="J437" s="565"/>
      <c r="K437" s="565"/>
      <c r="L437" s="565"/>
      <c r="M437" s="565"/>
      <c r="N437" s="565"/>
      <c r="O437" s="565"/>
      <c r="P437" s="565"/>
      <c r="Q437" s="565"/>
      <c r="R437" s="565"/>
      <c r="S437" s="565"/>
      <c r="T437" s="565"/>
      <c r="U437" s="565"/>
      <c r="V437" s="565"/>
      <c r="W437" s="565"/>
      <c r="X437" s="565"/>
      <c r="Y437" s="565"/>
      <c r="Z437" s="565"/>
      <c r="AA437" s="565"/>
      <c r="AB437" s="565"/>
      <c r="AC437" s="565"/>
      <c r="AD437" s="565"/>
      <c r="AE437" s="565"/>
      <c r="AF437" s="565"/>
      <c r="AG437" s="565"/>
      <c r="AH437" s="565"/>
      <c r="AI437" s="565"/>
      <c r="AJ437" s="565"/>
      <c r="AK437" s="565"/>
      <c r="AL437" s="565"/>
      <c r="AM437" s="565"/>
      <c r="AN437" s="565"/>
      <c r="AO437" s="565"/>
      <c r="AP437" s="565"/>
      <c r="AQ437" s="565"/>
      <c r="AR437" s="565"/>
      <c r="AS437" s="565"/>
      <c r="AT437" s="565"/>
      <c r="AU437" s="181"/>
      <c r="AV437" s="558"/>
    </row>
    <row r="438" ht="11.25" customHeight="1">
      <c r="A438" s="565"/>
      <c r="B438" s="181"/>
      <c r="C438" s="565"/>
      <c r="D438" s="565"/>
      <c r="E438" s="565"/>
      <c r="F438" s="565"/>
      <c r="G438" s="565"/>
      <c r="H438" s="565"/>
      <c r="I438" s="565"/>
      <c r="J438" s="565"/>
      <c r="K438" s="565"/>
      <c r="L438" s="565"/>
      <c r="M438" s="565"/>
      <c r="N438" s="565"/>
      <c r="O438" s="565"/>
      <c r="P438" s="565"/>
      <c r="Q438" s="565"/>
      <c r="R438" s="565"/>
      <c r="S438" s="565"/>
      <c r="T438" s="565"/>
      <c r="U438" s="565"/>
      <c r="V438" s="565"/>
      <c r="W438" s="565"/>
      <c r="X438" s="565"/>
      <c r="Y438" s="565"/>
      <c r="Z438" s="565"/>
      <c r="AA438" s="565"/>
      <c r="AB438" s="565"/>
      <c r="AC438" s="565"/>
      <c r="AD438" s="565"/>
      <c r="AE438" s="565"/>
      <c r="AF438" s="565"/>
      <c r="AG438" s="565"/>
      <c r="AH438" s="565"/>
      <c r="AI438" s="565"/>
      <c r="AJ438" s="565"/>
      <c r="AK438" s="565"/>
      <c r="AL438" s="565"/>
      <c r="AM438" s="565"/>
      <c r="AN438" s="565"/>
      <c r="AO438" s="565"/>
      <c r="AP438" s="565"/>
      <c r="AQ438" s="565"/>
      <c r="AR438" s="565"/>
      <c r="AS438" s="565"/>
      <c r="AT438" s="565"/>
      <c r="AU438" s="181"/>
      <c r="AV438" s="558"/>
    </row>
    <row r="439" ht="11.25" customHeight="1">
      <c r="A439" s="565"/>
      <c r="B439" s="181"/>
      <c r="C439" s="565"/>
      <c r="D439" s="565"/>
      <c r="E439" s="565"/>
      <c r="F439" s="565"/>
      <c r="G439" s="565"/>
      <c r="H439" s="565"/>
      <c r="I439" s="565"/>
      <c r="J439" s="565"/>
      <c r="K439" s="565"/>
      <c r="L439" s="565"/>
      <c r="M439" s="565"/>
      <c r="N439" s="565"/>
      <c r="O439" s="565"/>
      <c r="P439" s="565"/>
      <c r="Q439" s="565"/>
      <c r="R439" s="565"/>
      <c r="S439" s="565"/>
      <c r="T439" s="565"/>
      <c r="U439" s="565"/>
      <c r="V439" s="565"/>
      <c r="W439" s="565"/>
      <c r="X439" s="565"/>
      <c r="Y439" s="565"/>
      <c r="Z439" s="565"/>
      <c r="AA439" s="565"/>
      <c r="AB439" s="565"/>
      <c r="AC439" s="565"/>
      <c r="AD439" s="565"/>
      <c r="AE439" s="565"/>
      <c r="AF439" s="565"/>
      <c r="AG439" s="565"/>
      <c r="AH439" s="565"/>
      <c r="AI439" s="565"/>
      <c r="AJ439" s="565"/>
      <c r="AK439" s="565"/>
      <c r="AL439" s="565"/>
      <c r="AM439" s="565"/>
      <c r="AN439" s="565"/>
      <c r="AO439" s="565"/>
      <c r="AP439" s="565"/>
      <c r="AQ439" s="565"/>
      <c r="AR439" s="565"/>
      <c r="AS439" s="565"/>
      <c r="AT439" s="565"/>
      <c r="AU439" s="181"/>
      <c r="AV439" s="558"/>
    </row>
    <row r="440" ht="11.25" customHeight="1">
      <c r="A440" s="565"/>
      <c r="B440" s="181"/>
      <c r="C440" s="565"/>
      <c r="D440" s="565"/>
      <c r="E440" s="565"/>
      <c r="F440" s="565"/>
      <c r="G440" s="565"/>
      <c r="H440" s="565"/>
      <c r="I440" s="565"/>
      <c r="J440" s="565"/>
      <c r="K440" s="565"/>
      <c r="L440" s="565"/>
      <c r="M440" s="565"/>
      <c r="N440" s="565"/>
      <c r="O440" s="565"/>
      <c r="P440" s="565"/>
      <c r="Q440" s="565"/>
      <c r="R440" s="565"/>
      <c r="S440" s="565"/>
      <c r="T440" s="565"/>
      <c r="U440" s="565"/>
      <c r="V440" s="565"/>
      <c r="W440" s="565"/>
      <c r="X440" s="565"/>
      <c r="Y440" s="565"/>
      <c r="Z440" s="565"/>
      <c r="AA440" s="565"/>
      <c r="AB440" s="565"/>
      <c r="AC440" s="565"/>
      <c r="AD440" s="565"/>
      <c r="AE440" s="565"/>
      <c r="AF440" s="565"/>
      <c r="AG440" s="565"/>
      <c r="AH440" s="565"/>
      <c r="AI440" s="565"/>
      <c r="AJ440" s="565"/>
      <c r="AK440" s="565"/>
      <c r="AL440" s="565"/>
      <c r="AM440" s="565"/>
      <c r="AN440" s="565"/>
      <c r="AO440" s="565"/>
      <c r="AP440" s="565"/>
      <c r="AQ440" s="565"/>
      <c r="AR440" s="565"/>
      <c r="AS440" s="565"/>
      <c r="AT440" s="565"/>
      <c r="AU440" s="181"/>
      <c r="AV440" s="558"/>
    </row>
    <row r="441" ht="11.25" customHeight="1">
      <c r="A441" s="565"/>
      <c r="B441" s="181"/>
      <c r="C441" s="565"/>
      <c r="D441" s="565"/>
      <c r="E441" s="565"/>
      <c r="F441" s="565"/>
      <c r="G441" s="565"/>
      <c r="H441" s="565"/>
      <c r="I441" s="565"/>
      <c r="J441" s="565"/>
      <c r="K441" s="565"/>
      <c r="L441" s="565"/>
      <c r="M441" s="565"/>
      <c r="N441" s="565"/>
      <c r="O441" s="565"/>
      <c r="P441" s="565"/>
      <c r="Q441" s="565"/>
      <c r="R441" s="565"/>
      <c r="S441" s="565"/>
      <c r="T441" s="565"/>
      <c r="U441" s="565"/>
      <c r="V441" s="565"/>
      <c r="W441" s="565"/>
      <c r="X441" s="565"/>
      <c r="Y441" s="565"/>
      <c r="Z441" s="565"/>
      <c r="AA441" s="565"/>
      <c r="AB441" s="565"/>
      <c r="AC441" s="565"/>
      <c r="AD441" s="565"/>
      <c r="AE441" s="565"/>
      <c r="AF441" s="565"/>
      <c r="AG441" s="565"/>
      <c r="AH441" s="565"/>
      <c r="AI441" s="565"/>
      <c r="AJ441" s="565"/>
      <c r="AK441" s="565"/>
      <c r="AL441" s="565"/>
      <c r="AM441" s="565"/>
      <c r="AN441" s="565"/>
      <c r="AO441" s="565"/>
      <c r="AP441" s="565"/>
      <c r="AQ441" s="565"/>
      <c r="AR441" s="565"/>
      <c r="AS441" s="565"/>
      <c r="AT441" s="565"/>
      <c r="AU441" s="181"/>
      <c r="AV441" s="558"/>
    </row>
    <row r="442" ht="11.25" customHeight="1">
      <c r="A442" s="565"/>
      <c r="B442" s="181"/>
      <c r="C442" s="565"/>
      <c r="D442" s="565"/>
      <c r="E442" s="565"/>
      <c r="F442" s="565"/>
      <c r="G442" s="565"/>
      <c r="H442" s="565"/>
      <c r="I442" s="565"/>
      <c r="J442" s="565"/>
      <c r="K442" s="565"/>
      <c r="L442" s="565"/>
      <c r="M442" s="565"/>
      <c r="N442" s="565"/>
      <c r="O442" s="565"/>
      <c r="P442" s="565"/>
      <c r="Q442" s="565"/>
      <c r="R442" s="565"/>
      <c r="S442" s="565"/>
      <c r="T442" s="565"/>
      <c r="U442" s="565"/>
      <c r="V442" s="565"/>
      <c r="W442" s="565"/>
      <c r="X442" s="565"/>
      <c r="Y442" s="565"/>
      <c r="Z442" s="565"/>
      <c r="AA442" s="565"/>
      <c r="AB442" s="565"/>
      <c r="AC442" s="565"/>
      <c r="AD442" s="565"/>
      <c r="AE442" s="565"/>
      <c r="AF442" s="565"/>
      <c r="AG442" s="565"/>
      <c r="AH442" s="565"/>
      <c r="AI442" s="565"/>
      <c r="AJ442" s="565"/>
      <c r="AK442" s="565"/>
      <c r="AL442" s="565"/>
      <c r="AM442" s="565"/>
      <c r="AN442" s="565"/>
      <c r="AO442" s="565"/>
      <c r="AP442" s="565"/>
      <c r="AQ442" s="565"/>
      <c r="AR442" s="565"/>
      <c r="AS442" s="565"/>
      <c r="AT442" s="565"/>
      <c r="AU442" s="181"/>
      <c r="AV442" s="558"/>
    </row>
    <row r="443" ht="11.25" customHeight="1">
      <c r="A443" s="565"/>
      <c r="B443" s="181"/>
      <c r="C443" s="565"/>
      <c r="D443" s="565"/>
      <c r="E443" s="565"/>
      <c r="F443" s="565"/>
      <c r="G443" s="565"/>
      <c r="H443" s="565"/>
      <c r="I443" s="565"/>
      <c r="J443" s="565"/>
      <c r="K443" s="565"/>
      <c r="L443" s="565"/>
      <c r="M443" s="565"/>
      <c r="N443" s="565"/>
      <c r="O443" s="565"/>
      <c r="P443" s="565"/>
      <c r="Q443" s="565"/>
      <c r="R443" s="565"/>
      <c r="S443" s="565"/>
      <c r="T443" s="565"/>
      <c r="U443" s="565"/>
      <c r="V443" s="565"/>
      <c r="W443" s="565"/>
      <c r="X443" s="565"/>
      <c r="Y443" s="565"/>
      <c r="Z443" s="565"/>
      <c r="AA443" s="565"/>
      <c r="AB443" s="565"/>
      <c r="AC443" s="565"/>
      <c r="AD443" s="565"/>
      <c r="AE443" s="565"/>
      <c r="AF443" s="565"/>
      <c r="AG443" s="565"/>
      <c r="AH443" s="565"/>
      <c r="AI443" s="565"/>
      <c r="AJ443" s="565"/>
      <c r="AK443" s="565"/>
      <c r="AL443" s="565"/>
      <c r="AM443" s="565"/>
      <c r="AN443" s="565"/>
      <c r="AO443" s="565"/>
      <c r="AP443" s="565"/>
      <c r="AQ443" s="565"/>
      <c r="AR443" s="565"/>
      <c r="AS443" s="565"/>
      <c r="AT443" s="565"/>
      <c r="AU443" s="181"/>
      <c r="AV443" s="558"/>
    </row>
    <row r="444" ht="11.25" customHeight="1">
      <c r="A444" s="565"/>
      <c r="B444" s="181"/>
      <c r="C444" s="565"/>
      <c r="D444" s="565"/>
      <c r="E444" s="565"/>
      <c r="F444" s="565"/>
      <c r="G444" s="565"/>
      <c r="H444" s="565"/>
      <c r="I444" s="565"/>
      <c r="J444" s="565"/>
      <c r="K444" s="565"/>
      <c r="L444" s="565"/>
      <c r="M444" s="565"/>
      <c r="N444" s="565"/>
      <c r="O444" s="565"/>
      <c r="P444" s="565"/>
      <c r="Q444" s="565"/>
      <c r="R444" s="565"/>
      <c r="S444" s="565"/>
      <c r="T444" s="565"/>
      <c r="U444" s="565"/>
      <c r="V444" s="565"/>
      <c r="W444" s="565"/>
      <c r="X444" s="565"/>
      <c r="Y444" s="565"/>
      <c r="Z444" s="565"/>
      <c r="AA444" s="565"/>
      <c r="AB444" s="565"/>
      <c r="AC444" s="565"/>
      <c r="AD444" s="565"/>
      <c r="AE444" s="565"/>
      <c r="AF444" s="565"/>
      <c r="AG444" s="565"/>
      <c r="AH444" s="565"/>
      <c r="AI444" s="565"/>
      <c r="AJ444" s="565"/>
      <c r="AK444" s="565"/>
      <c r="AL444" s="565"/>
      <c r="AM444" s="565"/>
      <c r="AN444" s="565"/>
      <c r="AO444" s="565"/>
      <c r="AP444" s="565"/>
      <c r="AQ444" s="565"/>
      <c r="AR444" s="565"/>
      <c r="AS444" s="565"/>
      <c r="AT444" s="565"/>
      <c r="AU444" s="181"/>
      <c r="AV444" s="558"/>
    </row>
    <row r="445" ht="11.25" customHeight="1">
      <c r="A445" s="565"/>
      <c r="B445" s="181"/>
      <c r="C445" s="565"/>
      <c r="D445" s="565"/>
      <c r="E445" s="565"/>
      <c r="F445" s="565"/>
      <c r="G445" s="565"/>
      <c r="H445" s="565"/>
      <c r="I445" s="565"/>
      <c r="J445" s="565"/>
      <c r="K445" s="565"/>
      <c r="L445" s="565"/>
      <c r="M445" s="565"/>
      <c r="N445" s="565"/>
      <c r="O445" s="565"/>
      <c r="P445" s="565"/>
      <c r="Q445" s="565"/>
      <c r="R445" s="565"/>
      <c r="S445" s="565"/>
      <c r="T445" s="565"/>
      <c r="U445" s="565"/>
      <c r="V445" s="565"/>
      <c r="W445" s="565"/>
      <c r="X445" s="565"/>
      <c r="Y445" s="565"/>
      <c r="Z445" s="565"/>
      <c r="AA445" s="565"/>
      <c r="AB445" s="565"/>
      <c r="AC445" s="565"/>
      <c r="AD445" s="565"/>
      <c r="AE445" s="565"/>
      <c r="AF445" s="565"/>
      <c r="AG445" s="565"/>
      <c r="AH445" s="565"/>
      <c r="AI445" s="565"/>
      <c r="AJ445" s="565"/>
      <c r="AK445" s="565"/>
      <c r="AL445" s="565"/>
      <c r="AM445" s="565"/>
      <c r="AN445" s="565"/>
      <c r="AO445" s="565"/>
      <c r="AP445" s="565"/>
      <c r="AQ445" s="565"/>
      <c r="AR445" s="565"/>
      <c r="AS445" s="565"/>
      <c r="AT445" s="565"/>
      <c r="AU445" s="181"/>
      <c r="AV445" s="558"/>
    </row>
    <row r="446" ht="11.25" customHeight="1">
      <c r="A446" s="565"/>
      <c r="B446" s="181"/>
      <c r="C446" s="565"/>
      <c r="D446" s="565"/>
      <c r="E446" s="565"/>
      <c r="F446" s="565"/>
      <c r="G446" s="565"/>
      <c r="H446" s="565"/>
      <c r="I446" s="565"/>
      <c r="J446" s="565"/>
      <c r="K446" s="565"/>
      <c r="L446" s="565"/>
      <c r="M446" s="565"/>
      <c r="N446" s="565"/>
      <c r="O446" s="565"/>
      <c r="P446" s="565"/>
      <c r="Q446" s="565"/>
      <c r="R446" s="565"/>
      <c r="S446" s="565"/>
      <c r="T446" s="565"/>
      <c r="U446" s="565"/>
      <c r="V446" s="565"/>
      <c r="W446" s="565"/>
      <c r="X446" s="565"/>
      <c r="Y446" s="565"/>
      <c r="Z446" s="565"/>
      <c r="AA446" s="565"/>
      <c r="AB446" s="565"/>
      <c r="AC446" s="565"/>
      <c r="AD446" s="565"/>
      <c r="AE446" s="565"/>
      <c r="AF446" s="565"/>
      <c r="AG446" s="565"/>
      <c r="AH446" s="565"/>
      <c r="AI446" s="565"/>
      <c r="AJ446" s="565"/>
      <c r="AK446" s="565"/>
      <c r="AL446" s="565"/>
      <c r="AM446" s="565"/>
      <c r="AN446" s="565"/>
      <c r="AO446" s="565"/>
      <c r="AP446" s="565"/>
      <c r="AQ446" s="565"/>
      <c r="AR446" s="565"/>
      <c r="AS446" s="565"/>
      <c r="AT446" s="565"/>
      <c r="AU446" s="181"/>
      <c r="AV446" s="558"/>
    </row>
    <row r="447" ht="11.25" customHeight="1">
      <c r="A447" s="565"/>
      <c r="B447" s="181"/>
      <c r="C447" s="565"/>
      <c r="D447" s="565"/>
      <c r="E447" s="565"/>
      <c r="F447" s="565"/>
      <c r="G447" s="565"/>
      <c r="H447" s="565"/>
      <c r="I447" s="565"/>
      <c r="J447" s="565"/>
      <c r="K447" s="565"/>
      <c r="L447" s="565"/>
      <c r="M447" s="565"/>
      <c r="N447" s="565"/>
      <c r="O447" s="565"/>
      <c r="P447" s="565"/>
      <c r="Q447" s="565"/>
      <c r="R447" s="565"/>
      <c r="S447" s="565"/>
      <c r="T447" s="565"/>
      <c r="U447" s="565"/>
      <c r="V447" s="565"/>
      <c r="W447" s="565"/>
      <c r="X447" s="565"/>
      <c r="Y447" s="565"/>
      <c r="Z447" s="565"/>
      <c r="AA447" s="565"/>
      <c r="AB447" s="565"/>
      <c r="AC447" s="565"/>
      <c r="AD447" s="565"/>
      <c r="AE447" s="565"/>
      <c r="AF447" s="565"/>
      <c r="AG447" s="565"/>
      <c r="AH447" s="565"/>
      <c r="AI447" s="565"/>
      <c r="AJ447" s="565"/>
      <c r="AK447" s="565"/>
      <c r="AL447" s="565"/>
      <c r="AM447" s="565"/>
      <c r="AN447" s="565"/>
      <c r="AO447" s="565"/>
      <c r="AP447" s="565"/>
      <c r="AQ447" s="565"/>
      <c r="AR447" s="565"/>
      <c r="AS447" s="565"/>
      <c r="AT447" s="565"/>
      <c r="AU447" s="181"/>
      <c r="AV447" s="558"/>
    </row>
    <row r="448" ht="11.25" customHeight="1">
      <c r="A448" s="565"/>
      <c r="B448" s="181"/>
      <c r="C448" s="565"/>
      <c r="D448" s="565"/>
      <c r="E448" s="565"/>
      <c r="F448" s="565"/>
      <c r="G448" s="565"/>
      <c r="H448" s="565"/>
      <c r="I448" s="565"/>
      <c r="J448" s="565"/>
      <c r="K448" s="565"/>
      <c r="L448" s="565"/>
      <c r="M448" s="565"/>
      <c r="N448" s="565"/>
      <c r="O448" s="565"/>
      <c r="P448" s="565"/>
      <c r="Q448" s="565"/>
      <c r="R448" s="565"/>
      <c r="S448" s="565"/>
      <c r="T448" s="565"/>
      <c r="U448" s="565"/>
      <c r="V448" s="565"/>
      <c r="W448" s="565"/>
      <c r="X448" s="565"/>
      <c r="Y448" s="565"/>
      <c r="Z448" s="565"/>
      <c r="AA448" s="565"/>
      <c r="AB448" s="565"/>
      <c r="AC448" s="565"/>
      <c r="AD448" s="565"/>
      <c r="AE448" s="565"/>
      <c r="AF448" s="565"/>
      <c r="AG448" s="565"/>
      <c r="AH448" s="565"/>
      <c r="AI448" s="565"/>
      <c r="AJ448" s="565"/>
      <c r="AK448" s="565"/>
      <c r="AL448" s="565"/>
      <c r="AM448" s="565"/>
      <c r="AN448" s="565"/>
      <c r="AO448" s="565"/>
      <c r="AP448" s="565"/>
      <c r="AQ448" s="565"/>
      <c r="AR448" s="565"/>
      <c r="AS448" s="565"/>
      <c r="AT448" s="565"/>
      <c r="AU448" s="181"/>
      <c r="AV448" s="558"/>
    </row>
    <row r="449" ht="11.25" customHeight="1">
      <c r="A449" s="565"/>
      <c r="B449" s="181"/>
      <c r="C449" s="565"/>
      <c r="D449" s="565"/>
      <c r="E449" s="565"/>
      <c r="F449" s="565"/>
      <c r="G449" s="565"/>
      <c r="H449" s="565"/>
      <c r="I449" s="565"/>
      <c r="J449" s="565"/>
      <c r="K449" s="565"/>
      <c r="L449" s="565"/>
      <c r="M449" s="565"/>
      <c r="N449" s="565"/>
      <c r="O449" s="565"/>
      <c r="P449" s="565"/>
      <c r="Q449" s="565"/>
      <c r="R449" s="565"/>
      <c r="S449" s="565"/>
      <c r="T449" s="565"/>
      <c r="U449" s="565"/>
      <c r="V449" s="565"/>
      <c r="W449" s="565"/>
      <c r="X449" s="565"/>
      <c r="Y449" s="565"/>
      <c r="Z449" s="565"/>
      <c r="AA449" s="565"/>
      <c r="AB449" s="565"/>
      <c r="AC449" s="565"/>
      <c r="AD449" s="565"/>
      <c r="AE449" s="565"/>
      <c r="AF449" s="565"/>
      <c r="AG449" s="565"/>
      <c r="AH449" s="565"/>
      <c r="AI449" s="565"/>
      <c r="AJ449" s="565"/>
      <c r="AK449" s="565"/>
      <c r="AL449" s="565"/>
      <c r="AM449" s="565"/>
      <c r="AN449" s="565"/>
      <c r="AO449" s="565"/>
      <c r="AP449" s="565"/>
      <c r="AQ449" s="565"/>
      <c r="AR449" s="565"/>
      <c r="AS449" s="565"/>
      <c r="AT449" s="565"/>
      <c r="AU449" s="181"/>
      <c r="AV449" s="558"/>
    </row>
    <row r="450" ht="11.25" customHeight="1">
      <c r="A450" s="565"/>
      <c r="B450" s="181"/>
      <c r="C450" s="565"/>
      <c r="D450" s="565"/>
      <c r="E450" s="565"/>
      <c r="F450" s="565"/>
      <c r="G450" s="565"/>
      <c r="H450" s="565"/>
      <c r="I450" s="565"/>
      <c r="J450" s="565"/>
      <c r="K450" s="565"/>
      <c r="L450" s="565"/>
      <c r="M450" s="565"/>
      <c r="N450" s="565"/>
      <c r="O450" s="565"/>
      <c r="P450" s="565"/>
      <c r="Q450" s="565"/>
      <c r="R450" s="565"/>
      <c r="S450" s="565"/>
      <c r="T450" s="565"/>
      <c r="U450" s="565"/>
      <c r="V450" s="565"/>
      <c r="W450" s="565"/>
      <c r="X450" s="565"/>
      <c r="Y450" s="565"/>
      <c r="Z450" s="565"/>
      <c r="AA450" s="565"/>
      <c r="AB450" s="565"/>
      <c r="AC450" s="565"/>
      <c r="AD450" s="565"/>
      <c r="AE450" s="565"/>
      <c r="AF450" s="565"/>
      <c r="AG450" s="565"/>
      <c r="AH450" s="565"/>
      <c r="AI450" s="565"/>
      <c r="AJ450" s="565"/>
      <c r="AK450" s="565"/>
      <c r="AL450" s="565"/>
      <c r="AM450" s="565"/>
      <c r="AN450" s="565"/>
      <c r="AO450" s="565"/>
      <c r="AP450" s="565"/>
      <c r="AQ450" s="565"/>
      <c r="AR450" s="565"/>
      <c r="AS450" s="565"/>
      <c r="AT450" s="565"/>
      <c r="AU450" s="181"/>
      <c r="AV450" s="558"/>
    </row>
    <row r="451" ht="11.25" customHeight="1">
      <c r="A451" s="565"/>
      <c r="B451" s="181"/>
      <c r="C451" s="565"/>
      <c r="D451" s="565"/>
      <c r="E451" s="565"/>
      <c r="F451" s="565"/>
      <c r="G451" s="565"/>
      <c r="H451" s="565"/>
      <c r="I451" s="565"/>
      <c r="J451" s="565"/>
      <c r="K451" s="565"/>
      <c r="L451" s="565"/>
      <c r="M451" s="565"/>
      <c r="N451" s="565"/>
      <c r="O451" s="565"/>
      <c r="P451" s="565"/>
      <c r="Q451" s="565"/>
      <c r="R451" s="565"/>
      <c r="S451" s="565"/>
      <c r="T451" s="565"/>
      <c r="U451" s="565"/>
      <c r="V451" s="565"/>
      <c r="W451" s="565"/>
      <c r="X451" s="565"/>
      <c r="Y451" s="565"/>
      <c r="Z451" s="565"/>
      <c r="AA451" s="565"/>
      <c r="AB451" s="565"/>
      <c r="AC451" s="565"/>
      <c r="AD451" s="565"/>
      <c r="AE451" s="565"/>
      <c r="AF451" s="565"/>
      <c r="AG451" s="565"/>
      <c r="AH451" s="565"/>
      <c r="AI451" s="565"/>
      <c r="AJ451" s="565"/>
      <c r="AK451" s="565"/>
      <c r="AL451" s="565"/>
      <c r="AM451" s="565"/>
      <c r="AN451" s="565"/>
      <c r="AO451" s="565"/>
      <c r="AP451" s="565"/>
      <c r="AQ451" s="565"/>
      <c r="AR451" s="565"/>
      <c r="AS451" s="565"/>
      <c r="AT451" s="565"/>
      <c r="AU451" s="181"/>
      <c r="AV451" s="558"/>
    </row>
    <row r="452" ht="11.25" customHeight="1">
      <c r="A452" s="565"/>
      <c r="B452" s="181"/>
      <c r="C452" s="565"/>
      <c r="D452" s="565"/>
      <c r="E452" s="565"/>
      <c r="F452" s="565"/>
      <c r="G452" s="565"/>
      <c r="H452" s="565"/>
      <c r="I452" s="565"/>
      <c r="J452" s="565"/>
      <c r="K452" s="565"/>
      <c r="L452" s="565"/>
      <c r="M452" s="565"/>
      <c r="N452" s="565"/>
      <c r="O452" s="565"/>
      <c r="P452" s="565"/>
      <c r="Q452" s="565"/>
      <c r="R452" s="565"/>
      <c r="S452" s="565"/>
      <c r="T452" s="565"/>
      <c r="U452" s="565"/>
      <c r="V452" s="565"/>
      <c r="W452" s="565"/>
      <c r="X452" s="565"/>
      <c r="Y452" s="565"/>
      <c r="Z452" s="565"/>
      <c r="AA452" s="565"/>
      <c r="AB452" s="565"/>
      <c r="AC452" s="565"/>
      <c r="AD452" s="565"/>
      <c r="AE452" s="565"/>
      <c r="AF452" s="565"/>
      <c r="AG452" s="565"/>
      <c r="AH452" s="565"/>
      <c r="AI452" s="565"/>
      <c r="AJ452" s="565"/>
      <c r="AK452" s="565"/>
      <c r="AL452" s="565"/>
      <c r="AM452" s="565"/>
      <c r="AN452" s="565"/>
      <c r="AO452" s="565"/>
      <c r="AP452" s="565"/>
      <c r="AQ452" s="565"/>
      <c r="AR452" s="565"/>
      <c r="AS452" s="565"/>
      <c r="AT452" s="565"/>
      <c r="AU452" s="181"/>
      <c r="AV452" s="558"/>
    </row>
    <row r="453" ht="11.25" customHeight="1">
      <c r="A453" s="565"/>
      <c r="B453" s="181"/>
      <c r="C453" s="565"/>
      <c r="D453" s="565"/>
      <c r="E453" s="565"/>
      <c r="F453" s="565"/>
      <c r="G453" s="565"/>
      <c r="H453" s="565"/>
      <c r="I453" s="565"/>
      <c r="J453" s="565"/>
      <c r="K453" s="565"/>
      <c r="L453" s="565"/>
      <c r="M453" s="565"/>
      <c r="N453" s="565"/>
      <c r="O453" s="565"/>
      <c r="P453" s="565"/>
      <c r="Q453" s="565"/>
      <c r="R453" s="565"/>
      <c r="S453" s="565"/>
      <c r="T453" s="565"/>
      <c r="U453" s="565"/>
      <c r="V453" s="565"/>
      <c r="W453" s="565"/>
      <c r="X453" s="565"/>
      <c r="Y453" s="565"/>
      <c r="Z453" s="565"/>
      <c r="AA453" s="565"/>
      <c r="AB453" s="565"/>
      <c r="AC453" s="565"/>
      <c r="AD453" s="565"/>
      <c r="AE453" s="565"/>
      <c r="AF453" s="565"/>
      <c r="AG453" s="565"/>
      <c r="AH453" s="565"/>
      <c r="AI453" s="565"/>
      <c r="AJ453" s="565"/>
      <c r="AK453" s="565"/>
      <c r="AL453" s="565"/>
      <c r="AM453" s="565"/>
      <c r="AN453" s="565"/>
      <c r="AO453" s="565"/>
      <c r="AP453" s="565"/>
      <c r="AQ453" s="565"/>
      <c r="AR453" s="565"/>
      <c r="AS453" s="565"/>
      <c r="AT453" s="565"/>
      <c r="AU453" s="181"/>
      <c r="AV453" s="558"/>
    </row>
    <row r="454" ht="11.25" customHeight="1">
      <c r="A454" s="565"/>
      <c r="B454" s="181"/>
      <c r="C454" s="565"/>
      <c r="D454" s="565"/>
      <c r="E454" s="565"/>
      <c r="F454" s="565"/>
      <c r="G454" s="565"/>
      <c r="H454" s="565"/>
      <c r="I454" s="565"/>
      <c r="J454" s="565"/>
      <c r="K454" s="565"/>
      <c r="L454" s="565"/>
      <c r="M454" s="565"/>
      <c r="N454" s="565"/>
      <c r="O454" s="565"/>
      <c r="P454" s="565"/>
      <c r="Q454" s="565"/>
      <c r="R454" s="565"/>
      <c r="S454" s="565"/>
      <c r="T454" s="565"/>
      <c r="U454" s="565"/>
      <c r="V454" s="565"/>
      <c r="W454" s="565"/>
      <c r="X454" s="565"/>
      <c r="Y454" s="565"/>
      <c r="Z454" s="565"/>
      <c r="AA454" s="565"/>
      <c r="AB454" s="565"/>
      <c r="AC454" s="565"/>
      <c r="AD454" s="565"/>
      <c r="AE454" s="565"/>
      <c r="AF454" s="565"/>
      <c r="AG454" s="565"/>
      <c r="AH454" s="565"/>
      <c r="AI454" s="565"/>
      <c r="AJ454" s="565"/>
      <c r="AK454" s="565"/>
      <c r="AL454" s="565"/>
      <c r="AM454" s="565"/>
      <c r="AN454" s="565"/>
      <c r="AO454" s="565"/>
      <c r="AP454" s="565"/>
      <c r="AQ454" s="565"/>
      <c r="AR454" s="565"/>
      <c r="AS454" s="565"/>
      <c r="AT454" s="565"/>
      <c r="AU454" s="181"/>
      <c r="AV454" s="558"/>
    </row>
    <row r="455" ht="11.25" customHeight="1">
      <c r="A455" s="565"/>
      <c r="B455" s="181"/>
      <c r="C455" s="565"/>
      <c r="D455" s="565"/>
      <c r="E455" s="565"/>
      <c r="F455" s="565"/>
      <c r="G455" s="565"/>
      <c r="H455" s="565"/>
      <c r="I455" s="565"/>
      <c r="J455" s="565"/>
      <c r="K455" s="565"/>
      <c r="L455" s="565"/>
      <c r="M455" s="565"/>
      <c r="N455" s="565"/>
      <c r="O455" s="565"/>
      <c r="P455" s="565"/>
      <c r="Q455" s="565"/>
      <c r="R455" s="565"/>
      <c r="S455" s="565"/>
      <c r="T455" s="565"/>
      <c r="U455" s="565"/>
      <c r="V455" s="565"/>
      <c r="W455" s="565"/>
      <c r="X455" s="565"/>
      <c r="Y455" s="565"/>
      <c r="Z455" s="565"/>
      <c r="AA455" s="565"/>
      <c r="AB455" s="565"/>
      <c r="AC455" s="565"/>
      <c r="AD455" s="565"/>
      <c r="AE455" s="565"/>
      <c r="AF455" s="565"/>
      <c r="AG455" s="565"/>
      <c r="AH455" s="565"/>
      <c r="AI455" s="565"/>
      <c r="AJ455" s="565"/>
      <c r="AK455" s="565"/>
      <c r="AL455" s="565"/>
      <c r="AM455" s="565"/>
      <c r="AN455" s="565"/>
      <c r="AO455" s="565"/>
      <c r="AP455" s="565"/>
      <c r="AQ455" s="565"/>
      <c r="AR455" s="565"/>
      <c r="AS455" s="565"/>
      <c r="AT455" s="565"/>
      <c r="AU455" s="181"/>
      <c r="AV455" s="558"/>
    </row>
    <row r="456" ht="11.25" customHeight="1">
      <c r="A456" s="565"/>
      <c r="B456" s="181"/>
      <c r="C456" s="565"/>
      <c r="D456" s="565"/>
      <c r="E456" s="565"/>
      <c r="F456" s="565"/>
      <c r="G456" s="565"/>
      <c r="H456" s="565"/>
      <c r="I456" s="565"/>
      <c r="J456" s="565"/>
      <c r="K456" s="565"/>
      <c r="L456" s="565"/>
      <c r="M456" s="565"/>
      <c r="N456" s="565"/>
      <c r="O456" s="565"/>
      <c r="P456" s="565"/>
      <c r="Q456" s="565"/>
      <c r="R456" s="565"/>
      <c r="S456" s="565"/>
      <c r="T456" s="565"/>
      <c r="U456" s="565"/>
      <c r="V456" s="565"/>
      <c r="W456" s="565"/>
      <c r="X456" s="565"/>
      <c r="Y456" s="565"/>
      <c r="Z456" s="565"/>
      <c r="AA456" s="565"/>
      <c r="AB456" s="565"/>
      <c r="AC456" s="565"/>
      <c r="AD456" s="565"/>
      <c r="AE456" s="565"/>
      <c r="AF456" s="565"/>
      <c r="AG456" s="565"/>
      <c r="AH456" s="565"/>
      <c r="AI456" s="565"/>
      <c r="AJ456" s="565"/>
      <c r="AK456" s="565"/>
      <c r="AL456" s="565"/>
      <c r="AM456" s="565"/>
      <c r="AN456" s="565"/>
      <c r="AO456" s="565"/>
      <c r="AP456" s="565"/>
      <c r="AQ456" s="565"/>
      <c r="AR456" s="565"/>
      <c r="AS456" s="565"/>
      <c r="AT456" s="565"/>
      <c r="AU456" s="181"/>
      <c r="AV456" s="558"/>
    </row>
    <row r="457" ht="11.25" customHeight="1">
      <c r="A457" s="565"/>
      <c r="B457" s="181"/>
      <c r="C457" s="565"/>
      <c r="D457" s="565"/>
      <c r="E457" s="565"/>
      <c r="F457" s="565"/>
      <c r="G457" s="565"/>
      <c r="H457" s="565"/>
      <c r="I457" s="565"/>
      <c r="J457" s="565"/>
      <c r="K457" s="565"/>
      <c r="L457" s="565"/>
      <c r="M457" s="565"/>
      <c r="N457" s="565"/>
      <c r="O457" s="565"/>
      <c r="P457" s="565"/>
      <c r="Q457" s="565"/>
      <c r="R457" s="565"/>
      <c r="S457" s="565"/>
      <c r="T457" s="565"/>
      <c r="U457" s="565"/>
      <c r="V457" s="565"/>
      <c r="W457" s="565"/>
      <c r="X457" s="565"/>
      <c r="Y457" s="565"/>
      <c r="Z457" s="565"/>
      <c r="AA457" s="565"/>
      <c r="AB457" s="565"/>
      <c r="AC457" s="565"/>
      <c r="AD457" s="565"/>
      <c r="AE457" s="565"/>
      <c r="AF457" s="565"/>
      <c r="AG457" s="565"/>
      <c r="AH457" s="565"/>
      <c r="AI457" s="565"/>
      <c r="AJ457" s="565"/>
      <c r="AK457" s="565"/>
      <c r="AL457" s="565"/>
      <c r="AM457" s="565"/>
      <c r="AN457" s="565"/>
      <c r="AO457" s="565"/>
      <c r="AP457" s="565"/>
      <c r="AQ457" s="565"/>
      <c r="AR457" s="565"/>
      <c r="AS457" s="565"/>
      <c r="AT457" s="565"/>
      <c r="AU457" s="181"/>
      <c r="AV457" s="558"/>
    </row>
    <row r="458" ht="11.25" customHeight="1">
      <c r="A458" s="565"/>
      <c r="B458" s="181"/>
      <c r="C458" s="565"/>
      <c r="D458" s="565"/>
      <c r="E458" s="565"/>
      <c r="F458" s="565"/>
      <c r="G458" s="565"/>
      <c r="H458" s="565"/>
      <c r="I458" s="565"/>
      <c r="J458" s="565"/>
      <c r="K458" s="565"/>
      <c r="L458" s="565"/>
      <c r="M458" s="565"/>
      <c r="N458" s="565"/>
      <c r="O458" s="565"/>
      <c r="P458" s="565"/>
      <c r="Q458" s="565"/>
      <c r="R458" s="565"/>
      <c r="S458" s="565"/>
      <c r="T458" s="565"/>
      <c r="U458" s="565"/>
      <c r="V458" s="565"/>
      <c r="W458" s="565"/>
      <c r="X458" s="565"/>
      <c r="Y458" s="565"/>
      <c r="Z458" s="565"/>
      <c r="AA458" s="565"/>
      <c r="AB458" s="565"/>
      <c r="AC458" s="565"/>
      <c r="AD458" s="565"/>
      <c r="AE458" s="565"/>
      <c r="AF458" s="565"/>
      <c r="AG458" s="565"/>
      <c r="AH458" s="565"/>
      <c r="AI458" s="565"/>
      <c r="AJ458" s="565"/>
      <c r="AK458" s="565"/>
      <c r="AL458" s="565"/>
      <c r="AM458" s="565"/>
      <c r="AN458" s="565"/>
      <c r="AO458" s="565"/>
      <c r="AP458" s="565"/>
      <c r="AQ458" s="565"/>
      <c r="AR458" s="565"/>
      <c r="AS458" s="565"/>
      <c r="AT458" s="565"/>
      <c r="AU458" s="181"/>
      <c r="AV458" s="558"/>
    </row>
    <row r="459" ht="11.25" customHeight="1">
      <c r="A459" s="565"/>
      <c r="B459" s="181"/>
      <c r="C459" s="565"/>
      <c r="D459" s="565"/>
      <c r="E459" s="565"/>
      <c r="F459" s="565"/>
      <c r="G459" s="565"/>
      <c r="H459" s="565"/>
      <c r="I459" s="565"/>
      <c r="J459" s="565"/>
      <c r="K459" s="565"/>
      <c r="L459" s="565"/>
      <c r="M459" s="565"/>
      <c r="N459" s="565"/>
      <c r="O459" s="565"/>
      <c r="P459" s="565"/>
      <c r="Q459" s="565"/>
      <c r="R459" s="565"/>
      <c r="S459" s="565"/>
      <c r="T459" s="565"/>
      <c r="U459" s="565"/>
      <c r="V459" s="565"/>
      <c r="W459" s="565"/>
      <c r="X459" s="565"/>
      <c r="Y459" s="565"/>
      <c r="Z459" s="565"/>
      <c r="AA459" s="565"/>
      <c r="AB459" s="565"/>
      <c r="AC459" s="565"/>
      <c r="AD459" s="565"/>
      <c r="AE459" s="565"/>
      <c r="AF459" s="565"/>
      <c r="AG459" s="565"/>
      <c r="AH459" s="565"/>
      <c r="AI459" s="565"/>
      <c r="AJ459" s="565"/>
      <c r="AK459" s="565"/>
      <c r="AL459" s="565"/>
      <c r="AM459" s="565"/>
      <c r="AN459" s="565"/>
      <c r="AO459" s="565"/>
      <c r="AP459" s="565"/>
      <c r="AQ459" s="565"/>
      <c r="AR459" s="565"/>
      <c r="AS459" s="565"/>
      <c r="AT459" s="565"/>
      <c r="AU459" s="181"/>
      <c r="AV459" s="558"/>
    </row>
    <row r="460" ht="11.25" customHeight="1">
      <c r="A460" s="565"/>
      <c r="B460" s="181"/>
      <c r="C460" s="565"/>
      <c r="D460" s="565"/>
      <c r="E460" s="565"/>
      <c r="F460" s="565"/>
      <c r="G460" s="565"/>
      <c r="H460" s="565"/>
      <c r="I460" s="565"/>
      <c r="J460" s="565"/>
      <c r="K460" s="565"/>
      <c r="L460" s="565"/>
      <c r="M460" s="565"/>
      <c r="N460" s="565"/>
      <c r="O460" s="565"/>
      <c r="P460" s="565"/>
      <c r="Q460" s="565"/>
      <c r="R460" s="565"/>
      <c r="S460" s="565"/>
      <c r="T460" s="565"/>
      <c r="U460" s="565"/>
      <c r="V460" s="565"/>
      <c r="W460" s="565"/>
      <c r="X460" s="565"/>
      <c r="Y460" s="565"/>
      <c r="Z460" s="565"/>
      <c r="AA460" s="565"/>
      <c r="AB460" s="565"/>
      <c r="AC460" s="565"/>
      <c r="AD460" s="565"/>
      <c r="AE460" s="565"/>
      <c r="AF460" s="565"/>
      <c r="AG460" s="565"/>
      <c r="AH460" s="565"/>
      <c r="AI460" s="565"/>
      <c r="AJ460" s="565"/>
      <c r="AK460" s="565"/>
      <c r="AL460" s="565"/>
      <c r="AM460" s="565"/>
      <c r="AN460" s="565"/>
      <c r="AO460" s="565"/>
      <c r="AP460" s="565"/>
      <c r="AQ460" s="565"/>
      <c r="AR460" s="565"/>
      <c r="AS460" s="565"/>
      <c r="AT460" s="565"/>
      <c r="AU460" s="181"/>
      <c r="AV460" s="558"/>
    </row>
    <row r="461" ht="11.25" customHeight="1">
      <c r="A461" s="565"/>
      <c r="B461" s="181"/>
      <c r="C461" s="565"/>
      <c r="D461" s="565"/>
      <c r="E461" s="565"/>
      <c r="F461" s="565"/>
      <c r="G461" s="565"/>
      <c r="H461" s="565"/>
      <c r="I461" s="565"/>
      <c r="J461" s="565"/>
      <c r="K461" s="565"/>
      <c r="L461" s="565"/>
      <c r="M461" s="565"/>
      <c r="N461" s="565"/>
      <c r="O461" s="565"/>
      <c r="P461" s="565"/>
      <c r="Q461" s="565"/>
      <c r="R461" s="565"/>
      <c r="S461" s="565"/>
      <c r="T461" s="565"/>
      <c r="U461" s="565"/>
      <c r="V461" s="565"/>
      <c r="W461" s="565"/>
      <c r="X461" s="565"/>
      <c r="Y461" s="565"/>
      <c r="Z461" s="565"/>
      <c r="AA461" s="565"/>
      <c r="AB461" s="565"/>
      <c r="AC461" s="565"/>
      <c r="AD461" s="565"/>
      <c r="AE461" s="565"/>
      <c r="AF461" s="565"/>
      <c r="AG461" s="565"/>
      <c r="AH461" s="565"/>
      <c r="AI461" s="565"/>
      <c r="AJ461" s="565"/>
      <c r="AK461" s="565"/>
      <c r="AL461" s="565"/>
      <c r="AM461" s="565"/>
      <c r="AN461" s="565"/>
      <c r="AO461" s="565"/>
      <c r="AP461" s="565"/>
      <c r="AQ461" s="565"/>
      <c r="AR461" s="565"/>
      <c r="AS461" s="565"/>
      <c r="AT461" s="565"/>
      <c r="AU461" s="181"/>
      <c r="AV461" s="558"/>
    </row>
    <row r="462" ht="11.25" customHeight="1">
      <c r="A462" s="565"/>
      <c r="B462" s="181"/>
      <c r="C462" s="565"/>
      <c r="D462" s="565"/>
      <c r="E462" s="565"/>
      <c r="F462" s="565"/>
      <c r="G462" s="565"/>
      <c r="H462" s="565"/>
      <c r="I462" s="565"/>
      <c r="J462" s="565"/>
      <c r="K462" s="565"/>
      <c r="L462" s="565"/>
      <c r="M462" s="565"/>
      <c r="N462" s="565"/>
      <c r="O462" s="565"/>
      <c r="P462" s="565"/>
      <c r="Q462" s="565"/>
      <c r="R462" s="565"/>
      <c r="S462" s="565"/>
      <c r="T462" s="565"/>
      <c r="U462" s="565"/>
      <c r="V462" s="565"/>
      <c r="W462" s="565"/>
      <c r="X462" s="565"/>
      <c r="Y462" s="565"/>
      <c r="Z462" s="565"/>
      <c r="AA462" s="565"/>
      <c r="AB462" s="565"/>
      <c r="AC462" s="565"/>
      <c r="AD462" s="565"/>
      <c r="AE462" s="565"/>
      <c r="AF462" s="565"/>
      <c r="AG462" s="565"/>
      <c r="AH462" s="565"/>
      <c r="AI462" s="565"/>
      <c r="AJ462" s="565"/>
      <c r="AK462" s="565"/>
      <c r="AL462" s="565"/>
      <c r="AM462" s="565"/>
      <c r="AN462" s="565"/>
      <c r="AO462" s="565"/>
      <c r="AP462" s="565"/>
      <c r="AQ462" s="565"/>
      <c r="AR462" s="565"/>
      <c r="AS462" s="565"/>
      <c r="AT462" s="565"/>
      <c r="AU462" s="181"/>
      <c r="AV462" s="558"/>
    </row>
    <row r="463" ht="11.25" customHeight="1">
      <c r="A463" s="565"/>
      <c r="B463" s="181"/>
      <c r="C463" s="565"/>
      <c r="D463" s="565"/>
      <c r="E463" s="565"/>
      <c r="F463" s="565"/>
      <c r="G463" s="565"/>
      <c r="H463" s="565"/>
      <c r="I463" s="565"/>
      <c r="J463" s="565"/>
      <c r="K463" s="565"/>
      <c r="L463" s="565"/>
      <c r="M463" s="565"/>
      <c r="N463" s="565"/>
      <c r="O463" s="565"/>
      <c r="P463" s="565"/>
      <c r="Q463" s="565"/>
      <c r="R463" s="565"/>
      <c r="S463" s="565"/>
      <c r="T463" s="565"/>
      <c r="U463" s="565"/>
      <c r="V463" s="565"/>
      <c r="W463" s="565"/>
      <c r="X463" s="565"/>
      <c r="Y463" s="565"/>
      <c r="Z463" s="565"/>
      <c r="AA463" s="565"/>
      <c r="AB463" s="565"/>
      <c r="AC463" s="565"/>
      <c r="AD463" s="565"/>
      <c r="AE463" s="565"/>
      <c r="AF463" s="565"/>
      <c r="AG463" s="565"/>
      <c r="AH463" s="565"/>
      <c r="AI463" s="565"/>
      <c r="AJ463" s="565"/>
      <c r="AK463" s="565"/>
      <c r="AL463" s="565"/>
      <c r="AM463" s="565"/>
      <c r="AN463" s="565"/>
      <c r="AO463" s="565"/>
      <c r="AP463" s="565"/>
      <c r="AQ463" s="565"/>
      <c r="AR463" s="565"/>
      <c r="AS463" s="565"/>
      <c r="AT463" s="565"/>
      <c r="AU463" s="181"/>
      <c r="AV463" s="558"/>
    </row>
    <row r="464" ht="11.25" customHeight="1">
      <c r="A464" s="565"/>
      <c r="B464" s="181"/>
      <c r="C464" s="565"/>
      <c r="D464" s="565"/>
      <c r="E464" s="565"/>
      <c r="F464" s="565"/>
      <c r="G464" s="565"/>
      <c r="H464" s="565"/>
      <c r="I464" s="565"/>
      <c r="J464" s="565"/>
      <c r="K464" s="565"/>
      <c r="L464" s="565"/>
      <c r="M464" s="565"/>
      <c r="N464" s="565"/>
      <c r="O464" s="565"/>
      <c r="P464" s="565"/>
      <c r="Q464" s="565"/>
      <c r="R464" s="565"/>
      <c r="S464" s="565"/>
      <c r="T464" s="565"/>
      <c r="U464" s="565"/>
      <c r="V464" s="565"/>
      <c r="W464" s="565"/>
      <c r="X464" s="565"/>
      <c r="Y464" s="565"/>
      <c r="Z464" s="565"/>
      <c r="AA464" s="565"/>
      <c r="AB464" s="565"/>
      <c r="AC464" s="565"/>
      <c r="AD464" s="565"/>
      <c r="AE464" s="565"/>
      <c r="AF464" s="565"/>
      <c r="AG464" s="565"/>
      <c r="AH464" s="565"/>
      <c r="AI464" s="565"/>
      <c r="AJ464" s="565"/>
      <c r="AK464" s="565"/>
      <c r="AL464" s="565"/>
      <c r="AM464" s="565"/>
      <c r="AN464" s="565"/>
      <c r="AO464" s="565"/>
      <c r="AP464" s="565"/>
      <c r="AQ464" s="565"/>
      <c r="AR464" s="565"/>
      <c r="AS464" s="565"/>
      <c r="AT464" s="565"/>
      <c r="AU464" s="181"/>
      <c r="AV464" s="558"/>
    </row>
    <row r="465" ht="11.25" customHeight="1">
      <c r="A465" s="565"/>
      <c r="B465" s="181"/>
      <c r="C465" s="565"/>
      <c r="D465" s="565"/>
      <c r="E465" s="565"/>
      <c r="F465" s="565"/>
      <c r="G465" s="565"/>
      <c r="H465" s="565"/>
      <c r="I465" s="565"/>
      <c r="J465" s="565"/>
      <c r="K465" s="565"/>
      <c r="L465" s="565"/>
      <c r="M465" s="565"/>
      <c r="N465" s="565"/>
      <c r="O465" s="565"/>
      <c r="P465" s="565"/>
      <c r="Q465" s="565"/>
      <c r="R465" s="565"/>
      <c r="S465" s="565"/>
      <c r="T465" s="565"/>
      <c r="U465" s="565"/>
      <c r="V465" s="565"/>
      <c r="W465" s="565"/>
      <c r="X465" s="565"/>
      <c r="Y465" s="565"/>
      <c r="Z465" s="565"/>
      <c r="AA465" s="565"/>
      <c r="AB465" s="565"/>
      <c r="AC465" s="565"/>
      <c r="AD465" s="565"/>
      <c r="AE465" s="565"/>
      <c r="AF465" s="565"/>
      <c r="AG465" s="565"/>
      <c r="AH465" s="565"/>
      <c r="AI465" s="565"/>
      <c r="AJ465" s="565"/>
      <c r="AK465" s="565"/>
      <c r="AL465" s="565"/>
      <c r="AM465" s="565"/>
      <c r="AN465" s="565"/>
      <c r="AO465" s="565"/>
      <c r="AP465" s="565"/>
      <c r="AQ465" s="565"/>
      <c r="AR465" s="565"/>
      <c r="AS465" s="565"/>
      <c r="AT465" s="565"/>
      <c r="AU465" s="181"/>
      <c r="AV465" s="558"/>
    </row>
    <row r="466" ht="11.25" customHeight="1">
      <c r="A466" s="565"/>
      <c r="B466" s="181"/>
      <c r="C466" s="565"/>
      <c r="D466" s="565"/>
      <c r="E466" s="565"/>
      <c r="F466" s="565"/>
      <c r="G466" s="565"/>
      <c r="H466" s="565"/>
      <c r="I466" s="565"/>
      <c r="J466" s="565"/>
      <c r="K466" s="565"/>
      <c r="L466" s="565"/>
      <c r="M466" s="565"/>
      <c r="N466" s="565"/>
      <c r="O466" s="565"/>
      <c r="P466" s="565"/>
      <c r="Q466" s="565"/>
      <c r="R466" s="565"/>
      <c r="S466" s="565"/>
      <c r="T466" s="565"/>
      <c r="U466" s="565"/>
      <c r="V466" s="565"/>
      <c r="W466" s="565"/>
      <c r="X466" s="565"/>
      <c r="Y466" s="565"/>
      <c r="Z466" s="565"/>
      <c r="AA466" s="565"/>
      <c r="AB466" s="565"/>
      <c r="AC466" s="565"/>
      <c r="AD466" s="565"/>
      <c r="AE466" s="565"/>
      <c r="AF466" s="565"/>
      <c r="AG466" s="565"/>
      <c r="AH466" s="565"/>
      <c r="AI466" s="565"/>
      <c r="AJ466" s="565"/>
      <c r="AK466" s="565"/>
      <c r="AL466" s="565"/>
      <c r="AM466" s="565"/>
      <c r="AN466" s="565"/>
      <c r="AO466" s="565"/>
      <c r="AP466" s="565"/>
      <c r="AQ466" s="565"/>
      <c r="AR466" s="565"/>
      <c r="AS466" s="565"/>
      <c r="AT466" s="565"/>
      <c r="AU466" s="181"/>
      <c r="AV466" s="558"/>
    </row>
    <row r="467" ht="11.25" customHeight="1">
      <c r="A467" s="565"/>
      <c r="B467" s="181"/>
      <c r="C467" s="565"/>
      <c r="D467" s="565"/>
      <c r="E467" s="565"/>
      <c r="F467" s="565"/>
      <c r="G467" s="565"/>
      <c r="H467" s="565"/>
      <c r="I467" s="565"/>
      <c r="J467" s="565"/>
      <c r="K467" s="565"/>
      <c r="L467" s="565"/>
      <c r="M467" s="565"/>
      <c r="N467" s="565"/>
      <c r="O467" s="565"/>
      <c r="P467" s="565"/>
      <c r="Q467" s="565"/>
      <c r="R467" s="565"/>
      <c r="S467" s="565"/>
      <c r="T467" s="565"/>
      <c r="U467" s="565"/>
      <c r="V467" s="565"/>
      <c r="W467" s="565"/>
      <c r="X467" s="565"/>
      <c r="Y467" s="565"/>
      <c r="Z467" s="565"/>
      <c r="AA467" s="565"/>
      <c r="AB467" s="565"/>
      <c r="AC467" s="565"/>
      <c r="AD467" s="565"/>
      <c r="AE467" s="565"/>
      <c r="AF467" s="565"/>
      <c r="AG467" s="565"/>
      <c r="AH467" s="565"/>
      <c r="AI467" s="565"/>
      <c r="AJ467" s="565"/>
      <c r="AK467" s="565"/>
      <c r="AL467" s="565"/>
      <c r="AM467" s="565"/>
      <c r="AN467" s="565"/>
      <c r="AO467" s="565"/>
      <c r="AP467" s="565"/>
      <c r="AQ467" s="565"/>
      <c r="AR467" s="565"/>
      <c r="AS467" s="565"/>
      <c r="AT467" s="565"/>
      <c r="AU467" s="181"/>
      <c r="AV467" s="558"/>
    </row>
    <row r="468" ht="11.25" customHeight="1">
      <c r="A468" s="565"/>
      <c r="B468" s="181"/>
      <c r="C468" s="565"/>
      <c r="D468" s="565"/>
      <c r="E468" s="565"/>
      <c r="F468" s="565"/>
      <c r="G468" s="565"/>
      <c r="H468" s="565"/>
      <c r="I468" s="565"/>
      <c r="J468" s="565"/>
      <c r="K468" s="565"/>
      <c r="L468" s="565"/>
      <c r="M468" s="565"/>
      <c r="N468" s="565"/>
      <c r="O468" s="565"/>
      <c r="P468" s="565"/>
      <c r="Q468" s="565"/>
      <c r="R468" s="565"/>
      <c r="S468" s="565"/>
      <c r="T468" s="565"/>
      <c r="U468" s="565"/>
      <c r="V468" s="565"/>
      <c r="W468" s="565"/>
      <c r="X468" s="565"/>
      <c r="Y468" s="565"/>
      <c r="Z468" s="565"/>
      <c r="AA468" s="565"/>
      <c r="AB468" s="565"/>
      <c r="AC468" s="565"/>
      <c r="AD468" s="565"/>
      <c r="AE468" s="565"/>
      <c r="AF468" s="565"/>
      <c r="AG468" s="565"/>
      <c r="AH468" s="565"/>
      <c r="AI468" s="565"/>
      <c r="AJ468" s="565"/>
      <c r="AK468" s="565"/>
      <c r="AL468" s="565"/>
      <c r="AM468" s="565"/>
      <c r="AN468" s="565"/>
      <c r="AO468" s="565"/>
      <c r="AP468" s="565"/>
      <c r="AQ468" s="565"/>
      <c r="AR468" s="565"/>
      <c r="AS468" s="565"/>
      <c r="AT468" s="565"/>
      <c r="AU468" s="181"/>
      <c r="AV468" s="558"/>
    </row>
    <row r="469" ht="11.25" customHeight="1">
      <c r="A469" s="565"/>
      <c r="B469" s="181"/>
      <c r="C469" s="565"/>
      <c r="D469" s="565"/>
      <c r="E469" s="565"/>
      <c r="F469" s="565"/>
      <c r="G469" s="565"/>
      <c r="H469" s="565"/>
      <c r="I469" s="565"/>
      <c r="J469" s="565"/>
      <c r="K469" s="565"/>
      <c r="L469" s="565"/>
      <c r="M469" s="565"/>
      <c r="N469" s="565"/>
      <c r="O469" s="565"/>
      <c r="P469" s="565"/>
      <c r="Q469" s="565"/>
      <c r="R469" s="565"/>
      <c r="S469" s="565"/>
      <c r="T469" s="565"/>
      <c r="U469" s="565"/>
      <c r="V469" s="565"/>
      <c r="W469" s="565"/>
      <c r="X469" s="565"/>
      <c r="Y469" s="565"/>
      <c r="Z469" s="565"/>
      <c r="AA469" s="565"/>
      <c r="AB469" s="565"/>
      <c r="AC469" s="565"/>
      <c r="AD469" s="565"/>
      <c r="AE469" s="565"/>
      <c r="AF469" s="565"/>
      <c r="AG469" s="565"/>
      <c r="AH469" s="565"/>
      <c r="AI469" s="565"/>
      <c r="AJ469" s="565"/>
      <c r="AK469" s="565"/>
      <c r="AL469" s="565"/>
      <c r="AM469" s="565"/>
      <c r="AN469" s="565"/>
      <c r="AO469" s="565"/>
      <c r="AP469" s="565"/>
      <c r="AQ469" s="565"/>
      <c r="AR469" s="565"/>
      <c r="AS469" s="565"/>
      <c r="AT469" s="565"/>
      <c r="AU469" s="181"/>
      <c r="AV469" s="558"/>
    </row>
    <row r="470" ht="11.25" customHeight="1">
      <c r="A470" s="565"/>
      <c r="B470" s="181"/>
      <c r="C470" s="565"/>
      <c r="D470" s="565"/>
      <c r="E470" s="565"/>
      <c r="F470" s="565"/>
      <c r="G470" s="565"/>
      <c r="H470" s="565"/>
      <c r="I470" s="565"/>
      <c r="J470" s="565"/>
      <c r="K470" s="565"/>
      <c r="L470" s="565"/>
      <c r="M470" s="565"/>
      <c r="N470" s="565"/>
      <c r="O470" s="565"/>
      <c r="P470" s="565"/>
      <c r="Q470" s="565"/>
      <c r="R470" s="565"/>
      <c r="S470" s="565"/>
      <c r="T470" s="565"/>
      <c r="U470" s="565"/>
      <c r="V470" s="565"/>
      <c r="W470" s="565"/>
      <c r="X470" s="565"/>
      <c r="Y470" s="565"/>
      <c r="Z470" s="565"/>
      <c r="AA470" s="565"/>
      <c r="AB470" s="565"/>
      <c r="AC470" s="565"/>
      <c r="AD470" s="565"/>
      <c r="AE470" s="565"/>
      <c r="AF470" s="565"/>
      <c r="AG470" s="565"/>
      <c r="AH470" s="565"/>
      <c r="AI470" s="565"/>
      <c r="AJ470" s="565"/>
      <c r="AK470" s="565"/>
      <c r="AL470" s="565"/>
      <c r="AM470" s="565"/>
      <c r="AN470" s="565"/>
      <c r="AO470" s="565"/>
      <c r="AP470" s="565"/>
      <c r="AQ470" s="565"/>
      <c r="AR470" s="565"/>
      <c r="AS470" s="565"/>
      <c r="AT470" s="565"/>
      <c r="AU470" s="181"/>
      <c r="AV470" s="558"/>
    </row>
    <row r="471" ht="11.25" customHeight="1">
      <c r="A471" s="565"/>
      <c r="B471" s="181"/>
      <c r="C471" s="565"/>
      <c r="D471" s="565"/>
      <c r="E471" s="565"/>
      <c r="F471" s="565"/>
      <c r="G471" s="565"/>
      <c r="H471" s="565"/>
      <c r="I471" s="565"/>
      <c r="J471" s="565"/>
      <c r="K471" s="565"/>
      <c r="L471" s="565"/>
      <c r="M471" s="565"/>
      <c r="N471" s="565"/>
      <c r="O471" s="565"/>
      <c r="P471" s="565"/>
      <c r="Q471" s="565"/>
      <c r="R471" s="565"/>
      <c r="S471" s="565"/>
      <c r="T471" s="565"/>
      <c r="U471" s="565"/>
      <c r="V471" s="565"/>
      <c r="W471" s="565"/>
      <c r="X471" s="565"/>
      <c r="Y471" s="565"/>
      <c r="Z471" s="565"/>
      <c r="AA471" s="565"/>
      <c r="AB471" s="565"/>
      <c r="AC471" s="565"/>
      <c r="AD471" s="565"/>
      <c r="AE471" s="565"/>
      <c r="AF471" s="565"/>
      <c r="AG471" s="565"/>
      <c r="AH471" s="565"/>
      <c r="AI471" s="565"/>
      <c r="AJ471" s="565"/>
      <c r="AK471" s="565"/>
      <c r="AL471" s="565"/>
      <c r="AM471" s="565"/>
      <c r="AN471" s="565"/>
      <c r="AO471" s="565"/>
      <c r="AP471" s="565"/>
      <c r="AQ471" s="565"/>
      <c r="AR471" s="565"/>
      <c r="AS471" s="565"/>
      <c r="AT471" s="565"/>
      <c r="AU471" s="181"/>
      <c r="AV471" s="558"/>
    </row>
    <row r="472" ht="11.25" customHeight="1">
      <c r="A472" s="565"/>
      <c r="B472" s="181"/>
      <c r="C472" s="565"/>
      <c r="D472" s="565"/>
      <c r="E472" s="565"/>
      <c r="F472" s="565"/>
      <c r="G472" s="565"/>
      <c r="H472" s="565"/>
      <c r="I472" s="565"/>
      <c r="J472" s="565"/>
      <c r="K472" s="565"/>
      <c r="L472" s="565"/>
      <c r="M472" s="565"/>
      <c r="N472" s="565"/>
      <c r="O472" s="565"/>
      <c r="P472" s="565"/>
      <c r="Q472" s="565"/>
      <c r="R472" s="565"/>
      <c r="S472" s="565"/>
      <c r="T472" s="565"/>
      <c r="U472" s="565"/>
      <c r="V472" s="565"/>
      <c r="W472" s="565"/>
      <c r="X472" s="565"/>
      <c r="Y472" s="565"/>
      <c r="Z472" s="565"/>
      <c r="AA472" s="565"/>
      <c r="AB472" s="565"/>
      <c r="AC472" s="565"/>
      <c r="AD472" s="565"/>
      <c r="AE472" s="565"/>
      <c r="AF472" s="565"/>
      <c r="AG472" s="565"/>
      <c r="AH472" s="565"/>
      <c r="AI472" s="565"/>
      <c r="AJ472" s="565"/>
      <c r="AK472" s="565"/>
      <c r="AL472" s="565"/>
      <c r="AM472" s="565"/>
      <c r="AN472" s="565"/>
      <c r="AO472" s="565"/>
      <c r="AP472" s="565"/>
      <c r="AQ472" s="565"/>
      <c r="AR472" s="565"/>
      <c r="AS472" s="565"/>
      <c r="AT472" s="565"/>
      <c r="AU472" s="181"/>
      <c r="AV472" s="558"/>
    </row>
    <row r="473" ht="11.25" customHeight="1">
      <c r="A473" s="565"/>
      <c r="B473" s="181"/>
      <c r="C473" s="565"/>
      <c r="D473" s="565"/>
      <c r="E473" s="565"/>
      <c r="F473" s="565"/>
      <c r="G473" s="565"/>
      <c r="H473" s="565"/>
      <c r="I473" s="565"/>
      <c r="J473" s="565"/>
      <c r="K473" s="565"/>
      <c r="L473" s="565"/>
      <c r="M473" s="565"/>
      <c r="N473" s="565"/>
      <c r="O473" s="565"/>
      <c r="P473" s="565"/>
      <c r="Q473" s="565"/>
      <c r="R473" s="565"/>
      <c r="S473" s="565"/>
      <c r="T473" s="565"/>
      <c r="U473" s="565"/>
      <c r="V473" s="565"/>
      <c r="W473" s="565"/>
      <c r="X473" s="565"/>
      <c r="Y473" s="565"/>
      <c r="Z473" s="565"/>
      <c r="AA473" s="565"/>
      <c r="AB473" s="565"/>
      <c r="AC473" s="565"/>
      <c r="AD473" s="565"/>
      <c r="AE473" s="565"/>
      <c r="AF473" s="565"/>
      <c r="AG473" s="565"/>
      <c r="AH473" s="565"/>
      <c r="AI473" s="565"/>
      <c r="AJ473" s="565"/>
      <c r="AK473" s="565"/>
      <c r="AL473" s="565"/>
      <c r="AM473" s="565"/>
      <c r="AN473" s="565"/>
      <c r="AO473" s="565"/>
      <c r="AP473" s="565"/>
      <c r="AQ473" s="565"/>
      <c r="AR473" s="565"/>
      <c r="AS473" s="565"/>
      <c r="AT473" s="565"/>
      <c r="AU473" s="181"/>
      <c r="AV473" s="558"/>
    </row>
    <row r="474" ht="11.25" customHeight="1">
      <c r="A474" s="565"/>
      <c r="B474" s="181"/>
      <c r="C474" s="565"/>
      <c r="D474" s="565"/>
      <c r="E474" s="565"/>
      <c r="F474" s="565"/>
      <c r="G474" s="565"/>
      <c r="H474" s="565"/>
      <c r="I474" s="565"/>
      <c r="J474" s="565"/>
      <c r="K474" s="565"/>
      <c r="L474" s="565"/>
      <c r="M474" s="565"/>
      <c r="N474" s="565"/>
      <c r="O474" s="565"/>
      <c r="P474" s="565"/>
      <c r="Q474" s="565"/>
      <c r="R474" s="565"/>
      <c r="S474" s="565"/>
      <c r="T474" s="565"/>
      <c r="U474" s="565"/>
      <c r="V474" s="565"/>
      <c r="W474" s="565"/>
      <c r="X474" s="565"/>
      <c r="Y474" s="565"/>
      <c r="Z474" s="565"/>
      <c r="AA474" s="565"/>
      <c r="AB474" s="565"/>
      <c r="AC474" s="565"/>
      <c r="AD474" s="565"/>
      <c r="AE474" s="565"/>
      <c r="AF474" s="565"/>
      <c r="AG474" s="565"/>
      <c r="AH474" s="565"/>
      <c r="AI474" s="565"/>
      <c r="AJ474" s="565"/>
      <c r="AK474" s="565"/>
      <c r="AL474" s="565"/>
      <c r="AM474" s="565"/>
      <c r="AN474" s="565"/>
      <c r="AO474" s="565"/>
      <c r="AP474" s="565"/>
      <c r="AQ474" s="565"/>
      <c r="AR474" s="565"/>
      <c r="AS474" s="565"/>
      <c r="AT474" s="565"/>
      <c r="AU474" s="181"/>
      <c r="AV474" s="558"/>
    </row>
    <row r="475" ht="11.25" customHeight="1">
      <c r="A475" s="565"/>
      <c r="B475" s="181"/>
      <c r="C475" s="565"/>
      <c r="D475" s="565"/>
      <c r="E475" s="565"/>
      <c r="F475" s="565"/>
      <c r="G475" s="565"/>
      <c r="H475" s="565"/>
      <c r="I475" s="565"/>
      <c r="J475" s="565"/>
      <c r="K475" s="565"/>
      <c r="L475" s="565"/>
      <c r="M475" s="565"/>
      <c r="N475" s="565"/>
      <c r="O475" s="565"/>
      <c r="P475" s="565"/>
      <c r="Q475" s="565"/>
      <c r="R475" s="565"/>
      <c r="S475" s="565"/>
      <c r="T475" s="565"/>
      <c r="U475" s="565"/>
      <c r="V475" s="565"/>
      <c r="W475" s="565"/>
      <c r="X475" s="565"/>
      <c r="Y475" s="565"/>
      <c r="Z475" s="565"/>
      <c r="AA475" s="565"/>
      <c r="AB475" s="565"/>
      <c r="AC475" s="565"/>
      <c r="AD475" s="565"/>
      <c r="AE475" s="565"/>
      <c r="AF475" s="565"/>
      <c r="AG475" s="565"/>
      <c r="AH475" s="565"/>
      <c r="AI475" s="565"/>
      <c r="AJ475" s="565"/>
      <c r="AK475" s="565"/>
      <c r="AL475" s="565"/>
      <c r="AM475" s="565"/>
      <c r="AN475" s="565"/>
      <c r="AO475" s="565"/>
      <c r="AP475" s="565"/>
      <c r="AQ475" s="565"/>
      <c r="AR475" s="565"/>
      <c r="AS475" s="565"/>
      <c r="AT475" s="565"/>
      <c r="AU475" s="181"/>
      <c r="AV475" s="558"/>
    </row>
    <row r="476" ht="11.25" customHeight="1">
      <c r="A476" s="565"/>
      <c r="B476" s="181"/>
      <c r="C476" s="565"/>
      <c r="D476" s="565"/>
      <c r="E476" s="565"/>
      <c r="F476" s="565"/>
      <c r="G476" s="565"/>
      <c r="H476" s="565"/>
      <c r="I476" s="565"/>
      <c r="J476" s="565"/>
      <c r="K476" s="565"/>
      <c r="L476" s="565"/>
      <c r="M476" s="565"/>
      <c r="N476" s="565"/>
      <c r="O476" s="565"/>
      <c r="P476" s="565"/>
      <c r="Q476" s="565"/>
      <c r="R476" s="565"/>
      <c r="S476" s="565"/>
      <c r="T476" s="565"/>
      <c r="U476" s="565"/>
      <c r="V476" s="565"/>
      <c r="W476" s="565"/>
      <c r="X476" s="565"/>
      <c r="Y476" s="565"/>
      <c r="Z476" s="565"/>
      <c r="AA476" s="565"/>
      <c r="AB476" s="565"/>
      <c r="AC476" s="565"/>
      <c r="AD476" s="565"/>
      <c r="AE476" s="565"/>
      <c r="AF476" s="565"/>
      <c r="AG476" s="565"/>
      <c r="AH476" s="565"/>
      <c r="AI476" s="565"/>
      <c r="AJ476" s="565"/>
      <c r="AK476" s="565"/>
      <c r="AL476" s="565"/>
      <c r="AM476" s="565"/>
      <c r="AN476" s="565"/>
      <c r="AO476" s="565"/>
      <c r="AP476" s="565"/>
      <c r="AQ476" s="565"/>
      <c r="AR476" s="565"/>
      <c r="AS476" s="565"/>
      <c r="AT476" s="565"/>
      <c r="AU476" s="181"/>
      <c r="AV476" s="558"/>
    </row>
    <row r="477" ht="11.25" customHeight="1">
      <c r="A477" s="565"/>
      <c r="B477" s="181"/>
      <c r="C477" s="565"/>
      <c r="D477" s="565"/>
      <c r="E477" s="565"/>
      <c r="F477" s="565"/>
      <c r="G477" s="565"/>
      <c r="H477" s="565"/>
      <c r="I477" s="565"/>
      <c r="J477" s="565"/>
      <c r="K477" s="565"/>
      <c r="L477" s="565"/>
      <c r="M477" s="565"/>
      <c r="N477" s="565"/>
      <c r="O477" s="565"/>
      <c r="P477" s="565"/>
      <c r="Q477" s="565"/>
      <c r="R477" s="565"/>
      <c r="S477" s="565"/>
      <c r="T477" s="565"/>
      <c r="U477" s="565"/>
      <c r="V477" s="565"/>
      <c r="W477" s="565"/>
      <c r="X477" s="565"/>
      <c r="Y477" s="565"/>
      <c r="Z477" s="565"/>
      <c r="AA477" s="565"/>
      <c r="AB477" s="565"/>
      <c r="AC477" s="565"/>
      <c r="AD477" s="565"/>
      <c r="AE477" s="565"/>
      <c r="AF477" s="565"/>
      <c r="AG477" s="565"/>
      <c r="AH477" s="565"/>
      <c r="AI477" s="565"/>
      <c r="AJ477" s="565"/>
      <c r="AK477" s="565"/>
      <c r="AL477" s="565"/>
      <c r="AM477" s="565"/>
      <c r="AN477" s="565"/>
      <c r="AO477" s="565"/>
      <c r="AP477" s="565"/>
      <c r="AQ477" s="565"/>
      <c r="AR477" s="565"/>
      <c r="AS477" s="565"/>
      <c r="AT477" s="565"/>
      <c r="AU477" s="181"/>
      <c r="AV477" s="558"/>
    </row>
    <row r="478" ht="11.25" customHeight="1">
      <c r="A478" s="565"/>
      <c r="B478" s="181"/>
      <c r="C478" s="565"/>
      <c r="D478" s="565"/>
      <c r="E478" s="565"/>
      <c r="F478" s="565"/>
      <c r="G478" s="565"/>
      <c r="H478" s="565"/>
      <c r="I478" s="565"/>
      <c r="J478" s="565"/>
      <c r="K478" s="565"/>
      <c r="L478" s="565"/>
      <c r="M478" s="565"/>
      <c r="N478" s="565"/>
      <c r="O478" s="565"/>
      <c r="P478" s="565"/>
      <c r="Q478" s="565"/>
      <c r="R478" s="565"/>
      <c r="S478" s="565"/>
      <c r="T478" s="565"/>
      <c r="U478" s="565"/>
      <c r="V478" s="565"/>
      <c r="W478" s="565"/>
      <c r="X478" s="565"/>
      <c r="Y478" s="565"/>
      <c r="Z478" s="565"/>
      <c r="AA478" s="565"/>
      <c r="AB478" s="565"/>
      <c r="AC478" s="565"/>
      <c r="AD478" s="565"/>
      <c r="AE478" s="565"/>
      <c r="AF478" s="565"/>
      <c r="AG478" s="565"/>
      <c r="AH478" s="565"/>
      <c r="AI478" s="565"/>
      <c r="AJ478" s="565"/>
      <c r="AK478" s="565"/>
      <c r="AL478" s="565"/>
      <c r="AM478" s="565"/>
      <c r="AN478" s="565"/>
      <c r="AO478" s="565"/>
      <c r="AP478" s="565"/>
      <c r="AQ478" s="565"/>
      <c r="AR478" s="565"/>
      <c r="AS478" s="565"/>
      <c r="AT478" s="565"/>
      <c r="AU478" s="181"/>
      <c r="AV478" s="558"/>
    </row>
    <row r="479" ht="11.25" customHeight="1">
      <c r="A479" s="565"/>
      <c r="B479" s="181"/>
      <c r="C479" s="565"/>
      <c r="D479" s="565"/>
      <c r="E479" s="565"/>
      <c r="F479" s="565"/>
      <c r="G479" s="565"/>
      <c r="H479" s="565"/>
      <c r="I479" s="565"/>
      <c r="J479" s="565"/>
      <c r="K479" s="565"/>
      <c r="L479" s="565"/>
      <c r="M479" s="565"/>
      <c r="N479" s="565"/>
      <c r="O479" s="565"/>
      <c r="P479" s="565"/>
      <c r="Q479" s="565"/>
      <c r="R479" s="565"/>
      <c r="S479" s="565"/>
      <c r="T479" s="565"/>
      <c r="U479" s="565"/>
      <c r="V479" s="565"/>
      <c r="W479" s="565"/>
      <c r="X479" s="565"/>
      <c r="Y479" s="565"/>
      <c r="Z479" s="565"/>
      <c r="AA479" s="565"/>
      <c r="AB479" s="565"/>
      <c r="AC479" s="565"/>
      <c r="AD479" s="565"/>
      <c r="AE479" s="565"/>
      <c r="AF479" s="565"/>
      <c r="AG479" s="565"/>
      <c r="AH479" s="565"/>
      <c r="AI479" s="565"/>
      <c r="AJ479" s="565"/>
      <c r="AK479" s="565"/>
      <c r="AL479" s="565"/>
      <c r="AM479" s="565"/>
      <c r="AN479" s="565"/>
      <c r="AO479" s="565"/>
      <c r="AP479" s="565"/>
      <c r="AQ479" s="565"/>
      <c r="AR479" s="565"/>
      <c r="AS479" s="565"/>
      <c r="AT479" s="565"/>
      <c r="AU479" s="181"/>
      <c r="AV479" s="558"/>
    </row>
    <row r="480" ht="11.25" customHeight="1">
      <c r="A480" s="565"/>
      <c r="B480" s="181"/>
      <c r="C480" s="565"/>
      <c r="D480" s="565"/>
      <c r="E480" s="565"/>
      <c r="F480" s="565"/>
      <c r="G480" s="565"/>
      <c r="H480" s="565"/>
      <c r="I480" s="565"/>
      <c r="J480" s="565"/>
      <c r="K480" s="565"/>
      <c r="L480" s="565"/>
      <c r="M480" s="565"/>
      <c r="N480" s="565"/>
      <c r="O480" s="565"/>
      <c r="P480" s="565"/>
      <c r="Q480" s="565"/>
      <c r="R480" s="565"/>
      <c r="S480" s="565"/>
      <c r="T480" s="565"/>
      <c r="U480" s="565"/>
      <c r="V480" s="565"/>
      <c r="W480" s="565"/>
      <c r="X480" s="565"/>
      <c r="Y480" s="565"/>
      <c r="Z480" s="565"/>
      <c r="AA480" s="565"/>
      <c r="AB480" s="565"/>
      <c r="AC480" s="565"/>
      <c r="AD480" s="565"/>
      <c r="AE480" s="565"/>
      <c r="AF480" s="565"/>
      <c r="AG480" s="565"/>
      <c r="AH480" s="565"/>
      <c r="AI480" s="565"/>
      <c r="AJ480" s="565"/>
      <c r="AK480" s="565"/>
      <c r="AL480" s="565"/>
      <c r="AM480" s="565"/>
      <c r="AN480" s="565"/>
      <c r="AO480" s="565"/>
      <c r="AP480" s="565"/>
      <c r="AQ480" s="565"/>
      <c r="AR480" s="565"/>
      <c r="AS480" s="565"/>
      <c r="AT480" s="565"/>
      <c r="AU480" s="181"/>
      <c r="AV480" s="558"/>
    </row>
    <row r="481" ht="11.25" customHeight="1">
      <c r="A481" s="565"/>
      <c r="B481" s="181"/>
      <c r="C481" s="565"/>
      <c r="D481" s="565"/>
      <c r="E481" s="565"/>
      <c r="F481" s="565"/>
      <c r="G481" s="565"/>
      <c r="H481" s="565"/>
      <c r="I481" s="565"/>
      <c r="J481" s="565"/>
      <c r="K481" s="565"/>
      <c r="L481" s="565"/>
      <c r="M481" s="565"/>
      <c r="N481" s="565"/>
      <c r="O481" s="565"/>
      <c r="P481" s="565"/>
      <c r="Q481" s="565"/>
      <c r="R481" s="565"/>
      <c r="S481" s="565"/>
      <c r="T481" s="565"/>
      <c r="U481" s="565"/>
      <c r="V481" s="565"/>
      <c r="W481" s="565"/>
      <c r="X481" s="565"/>
      <c r="Y481" s="565"/>
      <c r="Z481" s="565"/>
      <c r="AA481" s="565"/>
      <c r="AB481" s="565"/>
      <c r="AC481" s="565"/>
      <c r="AD481" s="565"/>
      <c r="AE481" s="565"/>
      <c r="AF481" s="565"/>
      <c r="AG481" s="565"/>
      <c r="AH481" s="565"/>
      <c r="AI481" s="565"/>
      <c r="AJ481" s="565"/>
      <c r="AK481" s="565"/>
      <c r="AL481" s="565"/>
      <c r="AM481" s="565"/>
      <c r="AN481" s="565"/>
      <c r="AO481" s="565"/>
      <c r="AP481" s="565"/>
      <c r="AQ481" s="565"/>
      <c r="AR481" s="565"/>
      <c r="AS481" s="565"/>
      <c r="AT481" s="565"/>
      <c r="AU481" s="181"/>
      <c r="AV481" s="558"/>
    </row>
    <row r="482" ht="11.25" customHeight="1">
      <c r="A482" s="565"/>
      <c r="B482" s="181"/>
      <c r="C482" s="565"/>
      <c r="D482" s="565"/>
      <c r="E482" s="565"/>
      <c r="F482" s="565"/>
      <c r="G482" s="565"/>
      <c r="H482" s="565"/>
      <c r="I482" s="565"/>
      <c r="J482" s="565"/>
      <c r="K482" s="565"/>
      <c r="L482" s="565"/>
      <c r="M482" s="565"/>
      <c r="N482" s="565"/>
      <c r="O482" s="565"/>
      <c r="P482" s="565"/>
      <c r="Q482" s="565"/>
      <c r="R482" s="565"/>
      <c r="S482" s="565"/>
      <c r="T482" s="565"/>
      <c r="U482" s="565"/>
      <c r="V482" s="565"/>
      <c r="W482" s="565"/>
      <c r="X482" s="565"/>
      <c r="Y482" s="565"/>
      <c r="Z482" s="565"/>
      <c r="AA482" s="565"/>
      <c r="AB482" s="565"/>
      <c r="AC482" s="565"/>
      <c r="AD482" s="565"/>
      <c r="AE482" s="565"/>
      <c r="AF482" s="565"/>
      <c r="AG482" s="565"/>
      <c r="AH482" s="565"/>
      <c r="AI482" s="565"/>
      <c r="AJ482" s="565"/>
      <c r="AK482" s="565"/>
      <c r="AL482" s="565"/>
      <c r="AM482" s="565"/>
      <c r="AN482" s="565"/>
      <c r="AO482" s="565"/>
      <c r="AP482" s="565"/>
      <c r="AQ482" s="565"/>
      <c r="AR482" s="565"/>
      <c r="AS482" s="565"/>
      <c r="AT482" s="565"/>
      <c r="AU482" s="181"/>
      <c r="AV482" s="558"/>
    </row>
    <row r="483" ht="11.25" customHeight="1">
      <c r="A483" s="565"/>
      <c r="B483" s="181"/>
      <c r="C483" s="565"/>
      <c r="D483" s="565"/>
      <c r="E483" s="565"/>
      <c r="F483" s="565"/>
      <c r="G483" s="565"/>
      <c r="H483" s="565"/>
      <c r="I483" s="565"/>
      <c r="J483" s="565"/>
      <c r="K483" s="565"/>
      <c r="L483" s="565"/>
      <c r="M483" s="565"/>
      <c r="N483" s="565"/>
      <c r="O483" s="565"/>
      <c r="P483" s="565"/>
      <c r="Q483" s="565"/>
      <c r="R483" s="565"/>
      <c r="S483" s="565"/>
      <c r="T483" s="565"/>
      <c r="U483" s="565"/>
      <c r="V483" s="565"/>
      <c r="W483" s="565"/>
      <c r="X483" s="565"/>
      <c r="Y483" s="565"/>
      <c r="Z483" s="565"/>
      <c r="AA483" s="565"/>
      <c r="AB483" s="565"/>
      <c r="AC483" s="565"/>
      <c r="AD483" s="565"/>
      <c r="AE483" s="565"/>
      <c r="AF483" s="565"/>
      <c r="AG483" s="565"/>
      <c r="AH483" s="565"/>
      <c r="AI483" s="565"/>
      <c r="AJ483" s="565"/>
      <c r="AK483" s="565"/>
      <c r="AL483" s="565"/>
      <c r="AM483" s="565"/>
      <c r="AN483" s="565"/>
      <c r="AO483" s="565"/>
      <c r="AP483" s="565"/>
      <c r="AQ483" s="565"/>
      <c r="AR483" s="565"/>
      <c r="AS483" s="565"/>
      <c r="AT483" s="565"/>
      <c r="AU483" s="181"/>
      <c r="AV483" s="558"/>
    </row>
    <row r="484" ht="11.25" customHeight="1">
      <c r="A484" s="565"/>
      <c r="B484" s="181"/>
      <c r="C484" s="565"/>
      <c r="D484" s="565"/>
      <c r="E484" s="565"/>
      <c r="F484" s="565"/>
      <c r="G484" s="565"/>
      <c r="H484" s="565"/>
      <c r="I484" s="565"/>
      <c r="J484" s="565"/>
      <c r="K484" s="565"/>
      <c r="L484" s="565"/>
      <c r="M484" s="565"/>
      <c r="N484" s="565"/>
      <c r="O484" s="565"/>
      <c r="P484" s="565"/>
      <c r="Q484" s="565"/>
      <c r="R484" s="565"/>
      <c r="S484" s="565"/>
      <c r="T484" s="565"/>
      <c r="U484" s="565"/>
      <c r="V484" s="565"/>
      <c r="W484" s="565"/>
      <c r="X484" s="565"/>
      <c r="Y484" s="565"/>
      <c r="Z484" s="565"/>
      <c r="AA484" s="565"/>
      <c r="AB484" s="565"/>
      <c r="AC484" s="565"/>
      <c r="AD484" s="565"/>
      <c r="AE484" s="565"/>
      <c r="AF484" s="565"/>
      <c r="AG484" s="565"/>
      <c r="AH484" s="565"/>
      <c r="AI484" s="565"/>
      <c r="AJ484" s="565"/>
      <c r="AK484" s="565"/>
      <c r="AL484" s="565"/>
      <c r="AM484" s="565"/>
      <c r="AN484" s="565"/>
      <c r="AO484" s="565"/>
      <c r="AP484" s="565"/>
      <c r="AQ484" s="565"/>
      <c r="AR484" s="565"/>
      <c r="AS484" s="565"/>
      <c r="AT484" s="565"/>
      <c r="AU484" s="181"/>
      <c r="AV484" s="558"/>
    </row>
    <row r="485" ht="11.25" customHeight="1">
      <c r="A485" s="565"/>
      <c r="B485" s="181"/>
      <c r="C485" s="565"/>
      <c r="D485" s="565"/>
      <c r="E485" s="565"/>
      <c r="F485" s="565"/>
      <c r="G485" s="565"/>
      <c r="H485" s="565"/>
      <c r="I485" s="565"/>
      <c r="J485" s="565"/>
      <c r="K485" s="565"/>
      <c r="L485" s="565"/>
      <c r="M485" s="565"/>
      <c r="N485" s="565"/>
      <c r="O485" s="565"/>
      <c r="P485" s="565"/>
      <c r="Q485" s="565"/>
      <c r="R485" s="565"/>
      <c r="S485" s="565"/>
      <c r="T485" s="565"/>
      <c r="U485" s="565"/>
      <c r="V485" s="565"/>
      <c r="W485" s="565"/>
      <c r="X485" s="565"/>
      <c r="Y485" s="565"/>
      <c r="Z485" s="565"/>
      <c r="AA485" s="565"/>
      <c r="AB485" s="565"/>
      <c r="AC485" s="565"/>
      <c r="AD485" s="565"/>
      <c r="AE485" s="565"/>
      <c r="AF485" s="565"/>
      <c r="AG485" s="565"/>
      <c r="AH485" s="565"/>
      <c r="AI485" s="565"/>
      <c r="AJ485" s="565"/>
      <c r="AK485" s="565"/>
      <c r="AL485" s="565"/>
      <c r="AM485" s="565"/>
      <c r="AN485" s="565"/>
      <c r="AO485" s="565"/>
      <c r="AP485" s="565"/>
      <c r="AQ485" s="565"/>
      <c r="AR485" s="565"/>
      <c r="AS485" s="565"/>
      <c r="AT485" s="565"/>
      <c r="AU485" s="181"/>
      <c r="AV485" s="558"/>
    </row>
    <row r="486" ht="11.25" customHeight="1">
      <c r="A486" s="565"/>
      <c r="B486" s="181"/>
      <c r="C486" s="565"/>
      <c r="D486" s="565"/>
      <c r="E486" s="565"/>
      <c r="F486" s="565"/>
      <c r="G486" s="565"/>
      <c r="H486" s="565"/>
      <c r="I486" s="565"/>
      <c r="J486" s="565"/>
      <c r="K486" s="565"/>
      <c r="L486" s="565"/>
      <c r="M486" s="565"/>
      <c r="N486" s="565"/>
      <c r="O486" s="565"/>
      <c r="P486" s="565"/>
      <c r="Q486" s="565"/>
      <c r="R486" s="565"/>
      <c r="S486" s="565"/>
      <c r="T486" s="565"/>
      <c r="U486" s="565"/>
      <c r="V486" s="565"/>
      <c r="W486" s="565"/>
      <c r="X486" s="565"/>
      <c r="Y486" s="565"/>
      <c r="Z486" s="565"/>
      <c r="AA486" s="565"/>
      <c r="AB486" s="565"/>
      <c r="AC486" s="565"/>
      <c r="AD486" s="565"/>
      <c r="AE486" s="565"/>
      <c r="AF486" s="565"/>
      <c r="AG486" s="565"/>
      <c r="AH486" s="565"/>
      <c r="AI486" s="565"/>
      <c r="AJ486" s="565"/>
      <c r="AK486" s="565"/>
      <c r="AL486" s="565"/>
      <c r="AM486" s="565"/>
      <c r="AN486" s="565"/>
      <c r="AO486" s="565"/>
      <c r="AP486" s="565"/>
      <c r="AQ486" s="565"/>
      <c r="AR486" s="565"/>
      <c r="AS486" s="565"/>
      <c r="AT486" s="565"/>
      <c r="AU486" s="181"/>
      <c r="AV486" s="558"/>
    </row>
    <row r="487" ht="11.25" customHeight="1">
      <c r="A487" s="565"/>
      <c r="B487" s="181"/>
      <c r="C487" s="565"/>
      <c r="D487" s="565"/>
      <c r="E487" s="565"/>
      <c r="F487" s="565"/>
      <c r="G487" s="565"/>
      <c r="H487" s="565"/>
      <c r="I487" s="565"/>
      <c r="J487" s="565"/>
      <c r="K487" s="565"/>
      <c r="L487" s="565"/>
      <c r="M487" s="565"/>
      <c r="N487" s="565"/>
      <c r="O487" s="565"/>
      <c r="P487" s="565"/>
      <c r="Q487" s="565"/>
      <c r="R487" s="565"/>
      <c r="S487" s="565"/>
      <c r="T487" s="565"/>
      <c r="U487" s="565"/>
      <c r="V487" s="565"/>
      <c r="W487" s="565"/>
      <c r="X487" s="565"/>
      <c r="Y487" s="565"/>
      <c r="Z487" s="565"/>
      <c r="AA487" s="565"/>
      <c r="AB487" s="565"/>
      <c r="AC487" s="565"/>
      <c r="AD487" s="565"/>
      <c r="AE487" s="565"/>
      <c r="AF487" s="565"/>
      <c r="AG487" s="565"/>
      <c r="AH487" s="565"/>
      <c r="AI487" s="565"/>
      <c r="AJ487" s="565"/>
      <c r="AK487" s="565"/>
      <c r="AL487" s="565"/>
      <c r="AM487" s="565"/>
      <c r="AN487" s="565"/>
      <c r="AO487" s="565"/>
      <c r="AP487" s="565"/>
      <c r="AQ487" s="565"/>
      <c r="AR487" s="565"/>
      <c r="AS487" s="565"/>
      <c r="AT487" s="565"/>
      <c r="AU487" s="181"/>
      <c r="AV487" s="558"/>
    </row>
    <row r="488" ht="11.25" customHeight="1">
      <c r="A488" s="565"/>
      <c r="B488" s="181"/>
      <c r="C488" s="565"/>
      <c r="D488" s="565"/>
      <c r="E488" s="565"/>
      <c r="F488" s="565"/>
      <c r="G488" s="565"/>
      <c r="H488" s="565"/>
      <c r="I488" s="565"/>
      <c r="J488" s="565"/>
      <c r="K488" s="565"/>
      <c r="L488" s="565"/>
      <c r="M488" s="565"/>
      <c r="N488" s="565"/>
      <c r="O488" s="565"/>
      <c r="P488" s="565"/>
      <c r="Q488" s="565"/>
      <c r="R488" s="565"/>
      <c r="S488" s="565"/>
      <c r="T488" s="565"/>
      <c r="U488" s="565"/>
      <c r="V488" s="565"/>
      <c r="W488" s="565"/>
      <c r="X488" s="565"/>
      <c r="Y488" s="565"/>
      <c r="Z488" s="565"/>
      <c r="AA488" s="565"/>
      <c r="AB488" s="565"/>
      <c r="AC488" s="565"/>
      <c r="AD488" s="565"/>
      <c r="AE488" s="565"/>
      <c r="AF488" s="565"/>
      <c r="AG488" s="565"/>
      <c r="AH488" s="565"/>
      <c r="AI488" s="565"/>
      <c r="AJ488" s="565"/>
      <c r="AK488" s="565"/>
      <c r="AL488" s="565"/>
      <c r="AM488" s="565"/>
      <c r="AN488" s="565"/>
      <c r="AO488" s="565"/>
      <c r="AP488" s="565"/>
      <c r="AQ488" s="565"/>
      <c r="AR488" s="565"/>
      <c r="AS488" s="565"/>
      <c r="AT488" s="565"/>
      <c r="AU488" s="181"/>
      <c r="AV488" s="558"/>
    </row>
    <row r="489" ht="11.25" customHeight="1">
      <c r="A489" s="565"/>
      <c r="B489" s="181"/>
      <c r="C489" s="565"/>
      <c r="D489" s="565"/>
      <c r="E489" s="565"/>
      <c r="F489" s="565"/>
      <c r="G489" s="565"/>
      <c r="H489" s="565"/>
      <c r="I489" s="565"/>
      <c r="J489" s="565"/>
      <c r="K489" s="565"/>
      <c r="L489" s="565"/>
      <c r="M489" s="565"/>
      <c r="N489" s="565"/>
      <c r="O489" s="565"/>
      <c r="P489" s="565"/>
      <c r="Q489" s="565"/>
      <c r="R489" s="565"/>
      <c r="S489" s="565"/>
      <c r="T489" s="565"/>
      <c r="U489" s="565"/>
      <c r="V489" s="565"/>
      <c r="W489" s="565"/>
      <c r="X489" s="565"/>
      <c r="Y489" s="565"/>
      <c r="Z489" s="565"/>
      <c r="AA489" s="565"/>
      <c r="AB489" s="565"/>
      <c r="AC489" s="565"/>
      <c r="AD489" s="565"/>
      <c r="AE489" s="565"/>
      <c r="AF489" s="565"/>
      <c r="AG489" s="565"/>
      <c r="AH489" s="565"/>
      <c r="AI489" s="565"/>
      <c r="AJ489" s="565"/>
      <c r="AK489" s="565"/>
      <c r="AL489" s="565"/>
      <c r="AM489" s="565"/>
      <c r="AN489" s="565"/>
      <c r="AO489" s="565"/>
      <c r="AP489" s="565"/>
      <c r="AQ489" s="565"/>
      <c r="AR489" s="565"/>
      <c r="AS489" s="565"/>
      <c r="AT489" s="565"/>
      <c r="AU489" s="181"/>
      <c r="AV489" s="558"/>
    </row>
    <row r="490" ht="11.25" customHeight="1">
      <c r="A490" s="565"/>
      <c r="B490" s="181"/>
      <c r="C490" s="565"/>
      <c r="D490" s="565"/>
      <c r="E490" s="565"/>
      <c r="F490" s="565"/>
      <c r="G490" s="565"/>
      <c r="H490" s="565"/>
      <c r="I490" s="565"/>
      <c r="J490" s="565"/>
      <c r="K490" s="565"/>
      <c r="L490" s="565"/>
      <c r="M490" s="565"/>
      <c r="N490" s="565"/>
      <c r="O490" s="565"/>
      <c r="P490" s="565"/>
      <c r="Q490" s="565"/>
      <c r="R490" s="565"/>
      <c r="S490" s="565"/>
      <c r="T490" s="565"/>
      <c r="U490" s="565"/>
      <c r="V490" s="565"/>
      <c r="W490" s="565"/>
      <c r="X490" s="565"/>
      <c r="Y490" s="565"/>
      <c r="Z490" s="565"/>
      <c r="AA490" s="565"/>
      <c r="AB490" s="565"/>
      <c r="AC490" s="565"/>
      <c r="AD490" s="565"/>
      <c r="AE490" s="565"/>
      <c r="AF490" s="565"/>
      <c r="AG490" s="565"/>
      <c r="AH490" s="565"/>
      <c r="AI490" s="565"/>
      <c r="AJ490" s="565"/>
      <c r="AK490" s="565"/>
      <c r="AL490" s="565"/>
      <c r="AM490" s="565"/>
      <c r="AN490" s="565"/>
      <c r="AO490" s="565"/>
      <c r="AP490" s="565"/>
      <c r="AQ490" s="565"/>
      <c r="AR490" s="565"/>
      <c r="AS490" s="565"/>
      <c r="AT490" s="565"/>
      <c r="AU490" s="181"/>
      <c r="AV490" s="558"/>
    </row>
    <row r="491" ht="11.25" customHeight="1">
      <c r="A491" s="565"/>
      <c r="B491" s="181"/>
      <c r="C491" s="565"/>
      <c r="D491" s="565"/>
      <c r="E491" s="565"/>
      <c r="F491" s="565"/>
      <c r="G491" s="565"/>
      <c r="H491" s="565"/>
      <c r="I491" s="565"/>
      <c r="J491" s="565"/>
      <c r="K491" s="565"/>
      <c r="L491" s="565"/>
      <c r="M491" s="565"/>
      <c r="N491" s="565"/>
      <c r="O491" s="565"/>
      <c r="P491" s="565"/>
      <c r="Q491" s="565"/>
      <c r="R491" s="565"/>
      <c r="S491" s="565"/>
      <c r="T491" s="565"/>
      <c r="U491" s="565"/>
      <c r="V491" s="565"/>
      <c r="W491" s="565"/>
      <c r="X491" s="565"/>
      <c r="Y491" s="565"/>
      <c r="Z491" s="565"/>
      <c r="AA491" s="565"/>
      <c r="AB491" s="565"/>
      <c r="AC491" s="565"/>
      <c r="AD491" s="565"/>
      <c r="AE491" s="565"/>
      <c r="AF491" s="565"/>
      <c r="AG491" s="565"/>
      <c r="AH491" s="565"/>
      <c r="AI491" s="565"/>
      <c r="AJ491" s="565"/>
      <c r="AK491" s="565"/>
      <c r="AL491" s="565"/>
      <c r="AM491" s="565"/>
      <c r="AN491" s="565"/>
      <c r="AO491" s="565"/>
      <c r="AP491" s="565"/>
      <c r="AQ491" s="565"/>
      <c r="AR491" s="565"/>
      <c r="AS491" s="565"/>
      <c r="AT491" s="565"/>
      <c r="AU491" s="181"/>
      <c r="AV491" s="558"/>
    </row>
    <row r="492" ht="11.25" customHeight="1">
      <c r="A492" s="565"/>
      <c r="B492" s="181"/>
      <c r="C492" s="565"/>
      <c r="D492" s="565"/>
      <c r="E492" s="565"/>
      <c r="F492" s="565"/>
      <c r="G492" s="565"/>
      <c r="H492" s="565"/>
      <c r="I492" s="565"/>
      <c r="J492" s="565"/>
      <c r="K492" s="565"/>
      <c r="L492" s="565"/>
      <c r="M492" s="565"/>
      <c r="N492" s="565"/>
      <c r="O492" s="565"/>
      <c r="P492" s="565"/>
      <c r="Q492" s="565"/>
      <c r="R492" s="565"/>
      <c r="S492" s="565"/>
      <c r="T492" s="565"/>
      <c r="U492" s="565"/>
      <c r="V492" s="565"/>
      <c r="W492" s="565"/>
      <c r="X492" s="565"/>
      <c r="Y492" s="565"/>
      <c r="Z492" s="565"/>
      <c r="AA492" s="565"/>
      <c r="AB492" s="565"/>
      <c r="AC492" s="565"/>
      <c r="AD492" s="565"/>
      <c r="AE492" s="565"/>
      <c r="AF492" s="565"/>
      <c r="AG492" s="565"/>
      <c r="AH492" s="565"/>
      <c r="AI492" s="565"/>
      <c r="AJ492" s="565"/>
      <c r="AK492" s="565"/>
      <c r="AL492" s="565"/>
      <c r="AM492" s="565"/>
      <c r="AN492" s="565"/>
      <c r="AO492" s="565"/>
      <c r="AP492" s="565"/>
      <c r="AQ492" s="565"/>
      <c r="AR492" s="565"/>
      <c r="AS492" s="565"/>
      <c r="AT492" s="565"/>
      <c r="AU492" s="181"/>
      <c r="AV492" s="558"/>
    </row>
    <row r="493" ht="11.25" customHeight="1">
      <c r="A493" s="565"/>
      <c r="B493" s="181"/>
      <c r="C493" s="565"/>
      <c r="D493" s="565"/>
      <c r="E493" s="565"/>
      <c r="F493" s="565"/>
      <c r="G493" s="565"/>
      <c r="H493" s="565"/>
      <c r="I493" s="565"/>
      <c r="J493" s="565"/>
      <c r="K493" s="565"/>
      <c r="L493" s="565"/>
      <c r="M493" s="565"/>
      <c r="N493" s="565"/>
      <c r="O493" s="565"/>
      <c r="P493" s="565"/>
      <c r="Q493" s="565"/>
      <c r="R493" s="565"/>
      <c r="S493" s="565"/>
      <c r="T493" s="565"/>
      <c r="U493" s="565"/>
      <c r="V493" s="565"/>
      <c r="W493" s="565"/>
      <c r="X493" s="565"/>
      <c r="Y493" s="565"/>
      <c r="Z493" s="565"/>
      <c r="AA493" s="565"/>
      <c r="AB493" s="565"/>
      <c r="AC493" s="565"/>
      <c r="AD493" s="565"/>
      <c r="AE493" s="565"/>
      <c r="AF493" s="565"/>
      <c r="AG493" s="565"/>
      <c r="AH493" s="565"/>
      <c r="AI493" s="565"/>
      <c r="AJ493" s="565"/>
      <c r="AK493" s="565"/>
      <c r="AL493" s="565"/>
      <c r="AM493" s="565"/>
      <c r="AN493" s="565"/>
      <c r="AO493" s="565"/>
      <c r="AP493" s="565"/>
      <c r="AQ493" s="565"/>
      <c r="AR493" s="565"/>
      <c r="AS493" s="565"/>
      <c r="AT493" s="565"/>
      <c r="AU493" s="181"/>
      <c r="AV493" s="558"/>
    </row>
    <row r="494" ht="11.25" customHeight="1">
      <c r="A494" s="565"/>
      <c r="B494" s="181"/>
      <c r="C494" s="565"/>
      <c r="D494" s="565"/>
      <c r="E494" s="565"/>
      <c r="F494" s="565"/>
      <c r="G494" s="565"/>
      <c r="H494" s="565"/>
      <c r="I494" s="565"/>
      <c r="J494" s="565"/>
      <c r="K494" s="565"/>
      <c r="L494" s="565"/>
      <c r="M494" s="565"/>
      <c r="N494" s="565"/>
      <c r="O494" s="565"/>
      <c r="P494" s="565"/>
      <c r="Q494" s="565"/>
      <c r="R494" s="565"/>
      <c r="S494" s="565"/>
      <c r="T494" s="565"/>
      <c r="U494" s="565"/>
      <c r="V494" s="565"/>
      <c r="W494" s="565"/>
      <c r="X494" s="565"/>
      <c r="Y494" s="565"/>
      <c r="Z494" s="565"/>
      <c r="AA494" s="565"/>
      <c r="AB494" s="565"/>
      <c r="AC494" s="565"/>
      <c r="AD494" s="565"/>
      <c r="AE494" s="565"/>
      <c r="AF494" s="565"/>
      <c r="AG494" s="565"/>
      <c r="AH494" s="565"/>
      <c r="AI494" s="565"/>
      <c r="AJ494" s="565"/>
      <c r="AK494" s="565"/>
      <c r="AL494" s="565"/>
      <c r="AM494" s="565"/>
      <c r="AN494" s="565"/>
      <c r="AO494" s="565"/>
      <c r="AP494" s="565"/>
      <c r="AQ494" s="565"/>
      <c r="AR494" s="565"/>
      <c r="AS494" s="565"/>
      <c r="AT494" s="565"/>
      <c r="AU494" s="181"/>
      <c r="AV494" s="558"/>
    </row>
    <row r="495" ht="11.25" customHeight="1">
      <c r="A495" s="565"/>
      <c r="B495" s="181"/>
      <c r="C495" s="565"/>
      <c r="D495" s="565"/>
      <c r="E495" s="565"/>
      <c r="F495" s="565"/>
      <c r="G495" s="565"/>
      <c r="H495" s="565"/>
      <c r="I495" s="565"/>
      <c r="J495" s="565"/>
      <c r="K495" s="565"/>
      <c r="L495" s="565"/>
      <c r="M495" s="565"/>
      <c r="N495" s="565"/>
      <c r="O495" s="565"/>
      <c r="P495" s="565"/>
      <c r="Q495" s="565"/>
      <c r="R495" s="565"/>
      <c r="S495" s="565"/>
      <c r="T495" s="565"/>
      <c r="U495" s="565"/>
      <c r="V495" s="565"/>
      <c r="W495" s="565"/>
      <c r="X495" s="565"/>
      <c r="Y495" s="565"/>
      <c r="Z495" s="565"/>
      <c r="AA495" s="565"/>
      <c r="AB495" s="565"/>
      <c r="AC495" s="565"/>
      <c r="AD495" s="565"/>
      <c r="AE495" s="565"/>
      <c r="AF495" s="565"/>
      <c r="AG495" s="565"/>
      <c r="AH495" s="565"/>
      <c r="AI495" s="565"/>
      <c r="AJ495" s="565"/>
      <c r="AK495" s="565"/>
      <c r="AL495" s="565"/>
      <c r="AM495" s="565"/>
      <c r="AN495" s="565"/>
      <c r="AO495" s="565"/>
      <c r="AP495" s="565"/>
      <c r="AQ495" s="565"/>
      <c r="AR495" s="565"/>
      <c r="AS495" s="565"/>
      <c r="AT495" s="565"/>
      <c r="AU495" s="181"/>
      <c r="AV495" s="558"/>
    </row>
    <row r="496" ht="11.25" customHeight="1">
      <c r="A496" s="565"/>
      <c r="B496" s="181"/>
      <c r="C496" s="565"/>
      <c r="D496" s="565"/>
      <c r="E496" s="565"/>
      <c r="F496" s="565"/>
      <c r="G496" s="565"/>
      <c r="H496" s="565"/>
      <c r="I496" s="565"/>
      <c r="J496" s="565"/>
      <c r="K496" s="565"/>
      <c r="L496" s="565"/>
      <c r="M496" s="565"/>
      <c r="N496" s="565"/>
      <c r="O496" s="565"/>
      <c r="P496" s="565"/>
      <c r="Q496" s="565"/>
      <c r="R496" s="565"/>
      <c r="S496" s="565"/>
      <c r="T496" s="565"/>
      <c r="U496" s="565"/>
      <c r="V496" s="565"/>
      <c r="W496" s="565"/>
      <c r="X496" s="565"/>
      <c r="Y496" s="565"/>
      <c r="Z496" s="565"/>
      <c r="AA496" s="565"/>
      <c r="AB496" s="565"/>
      <c r="AC496" s="565"/>
      <c r="AD496" s="565"/>
      <c r="AE496" s="565"/>
      <c r="AF496" s="565"/>
      <c r="AG496" s="565"/>
      <c r="AH496" s="565"/>
      <c r="AI496" s="565"/>
      <c r="AJ496" s="565"/>
      <c r="AK496" s="565"/>
      <c r="AL496" s="565"/>
      <c r="AM496" s="565"/>
      <c r="AN496" s="565"/>
      <c r="AO496" s="565"/>
      <c r="AP496" s="565"/>
      <c r="AQ496" s="565"/>
      <c r="AR496" s="565"/>
      <c r="AS496" s="565"/>
      <c r="AT496" s="565"/>
      <c r="AU496" s="181"/>
      <c r="AV496" s="558"/>
    </row>
    <row r="497" ht="11.25" customHeight="1">
      <c r="A497" s="565"/>
      <c r="B497" s="181"/>
      <c r="C497" s="565"/>
      <c r="D497" s="565"/>
      <c r="E497" s="565"/>
      <c r="F497" s="565"/>
      <c r="G497" s="565"/>
      <c r="H497" s="565"/>
      <c r="I497" s="565"/>
      <c r="J497" s="565"/>
      <c r="K497" s="565"/>
      <c r="L497" s="565"/>
      <c r="M497" s="565"/>
      <c r="N497" s="565"/>
      <c r="O497" s="565"/>
      <c r="P497" s="565"/>
      <c r="Q497" s="565"/>
      <c r="R497" s="565"/>
      <c r="S497" s="565"/>
      <c r="T497" s="565"/>
      <c r="U497" s="565"/>
      <c r="V497" s="565"/>
      <c r="W497" s="565"/>
      <c r="X497" s="565"/>
      <c r="Y497" s="565"/>
      <c r="Z497" s="565"/>
      <c r="AA497" s="565"/>
      <c r="AB497" s="565"/>
      <c r="AC497" s="565"/>
      <c r="AD497" s="565"/>
      <c r="AE497" s="565"/>
      <c r="AF497" s="565"/>
      <c r="AG497" s="565"/>
      <c r="AH497" s="565"/>
      <c r="AI497" s="565"/>
      <c r="AJ497" s="565"/>
      <c r="AK497" s="565"/>
      <c r="AL497" s="565"/>
      <c r="AM497" s="565"/>
      <c r="AN497" s="565"/>
      <c r="AO497" s="565"/>
      <c r="AP497" s="565"/>
      <c r="AQ497" s="565"/>
      <c r="AR497" s="565"/>
      <c r="AS497" s="565"/>
      <c r="AT497" s="565"/>
      <c r="AU497" s="181"/>
      <c r="AV497" s="558"/>
    </row>
    <row r="498" ht="11.25" customHeight="1">
      <c r="A498" s="565"/>
      <c r="B498" s="181"/>
      <c r="C498" s="565"/>
      <c r="D498" s="565"/>
      <c r="E498" s="565"/>
      <c r="F498" s="565"/>
      <c r="G498" s="565"/>
      <c r="H498" s="565"/>
      <c r="I498" s="565"/>
      <c r="J498" s="565"/>
      <c r="K498" s="565"/>
      <c r="L498" s="565"/>
      <c r="M498" s="565"/>
      <c r="N498" s="565"/>
      <c r="O498" s="565"/>
      <c r="P498" s="565"/>
      <c r="Q498" s="565"/>
      <c r="R498" s="565"/>
      <c r="S498" s="565"/>
      <c r="T498" s="565"/>
      <c r="U498" s="565"/>
      <c r="V498" s="565"/>
      <c r="W498" s="565"/>
      <c r="X498" s="565"/>
      <c r="Y498" s="565"/>
      <c r="Z498" s="565"/>
      <c r="AA498" s="565"/>
      <c r="AB498" s="565"/>
      <c r="AC498" s="565"/>
      <c r="AD498" s="565"/>
      <c r="AE498" s="565"/>
      <c r="AF498" s="565"/>
      <c r="AG498" s="565"/>
      <c r="AH498" s="565"/>
      <c r="AI498" s="565"/>
      <c r="AJ498" s="565"/>
      <c r="AK498" s="565"/>
      <c r="AL498" s="565"/>
      <c r="AM498" s="565"/>
      <c r="AN498" s="565"/>
      <c r="AO498" s="565"/>
      <c r="AP498" s="565"/>
      <c r="AQ498" s="565"/>
      <c r="AR498" s="565"/>
      <c r="AS498" s="565"/>
      <c r="AT498" s="565"/>
      <c r="AU498" s="181"/>
      <c r="AV498" s="558"/>
    </row>
    <row r="499" ht="11.25" customHeight="1">
      <c r="A499" s="565"/>
      <c r="B499" s="181"/>
      <c r="C499" s="565"/>
      <c r="D499" s="565"/>
      <c r="E499" s="565"/>
      <c r="F499" s="565"/>
      <c r="G499" s="565"/>
      <c r="H499" s="565"/>
      <c r="I499" s="565"/>
      <c r="J499" s="565"/>
      <c r="K499" s="565"/>
      <c r="L499" s="565"/>
      <c r="M499" s="565"/>
      <c r="N499" s="565"/>
      <c r="O499" s="565"/>
      <c r="P499" s="565"/>
      <c r="Q499" s="565"/>
      <c r="R499" s="565"/>
      <c r="S499" s="565"/>
      <c r="T499" s="565"/>
      <c r="U499" s="565"/>
      <c r="V499" s="565"/>
      <c r="W499" s="565"/>
      <c r="X499" s="565"/>
      <c r="Y499" s="565"/>
      <c r="Z499" s="565"/>
      <c r="AA499" s="565"/>
      <c r="AB499" s="565"/>
      <c r="AC499" s="565"/>
      <c r="AD499" s="565"/>
      <c r="AE499" s="565"/>
      <c r="AF499" s="565"/>
      <c r="AG499" s="565"/>
      <c r="AH499" s="565"/>
      <c r="AI499" s="565"/>
      <c r="AJ499" s="565"/>
      <c r="AK499" s="565"/>
      <c r="AL499" s="565"/>
      <c r="AM499" s="565"/>
      <c r="AN499" s="565"/>
      <c r="AO499" s="565"/>
      <c r="AP499" s="565"/>
      <c r="AQ499" s="565"/>
      <c r="AR499" s="565"/>
      <c r="AS499" s="565"/>
      <c r="AT499" s="565"/>
      <c r="AU499" s="181"/>
      <c r="AV499" s="558"/>
    </row>
    <row r="500" ht="11.25" customHeight="1">
      <c r="A500" s="565"/>
      <c r="B500" s="181"/>
      <c r="C500" s="565"/>
      <c r="D500" s="565"/>
      <c r="E500" s="565"/>
      <c r="F500" s="565"/>
      <c r="G500" s="565"/>
      <c r="H500" s="565"/>
      <c r="I500" s="565"/>
      <c r="J500" s="565"/>
      <c r="K500" s="565"/>
      <c r="L500" s="565"/>
      <c r="M500" s="565"/>
      <c r="N500" s="565"/>
      <c r="O500" s="565"/>
      <c r="P500" s="565"/>
      <c r="Q500" s="565"/>
      <c r="R500" s="565"/>
      <c r="S500" s="565"/>
      <c r="T500" s="565"/>
      <c r="U500" s="565"/>
      <c r="V500" s="565"/>
      <c r="W500" s="565"/>
      <c r="X500" s="565"/>
      <c r="Y500" s="565"/>
      <c r="Z500" s="565"/>
      <c r="AA500" s="565"/>
      <c r="AB500" s="565"/>
      <c r="AC500" s="565"/>
      <c r="AD500" s="565"/>
      <c r="AE500" s="565"/>
      <c r="AF500" s="565"/>
      <c r="AG500" s="565"/>
      <c r="AH500" s="565"/>
      <c r="AI500" s="565"/>
      <c r="AJ500" s="565"/>
      <c r="AK500" s="565"/>
      <c r="AL500" s="565"/>
      <c r="AM500" s="565"/>
      <c r="AN500" s="565"/>
      <c r="AO500" s="565"/>
      <c r="AP500" s="565"/>
      <c r="AQ500" s="565"/>
      <c r="AR500" s="565"/>
      <c r="AS500" s="565"/>
      <c r="AT500" s="565"/>
      <c r="AU500" s="181"/>
      <c r="AV500" s="558"/>
    </row>
    <row r="501" ht="11.25" customHeight="1">
      <c r="A501" s="565"/>
      <c r="B501" s="181"/>
      <c r="C501" s="565"/>
      <c r="D501" s="565"/>
      <c r="E501" s="565"/>
      <c r="F501" s="565"/>
      <c r="G501" s="565"/>
      <c r="H501" s="565"/>
      <c r="I501" s="565"/>
      <c r="J501" s="565"/>
      <c r="K501" s="565"/>
      <c r="L501" s="565"/>
      <c r="M501" s="565"/>
      <c r="N501" s="565"/>
      <c r="O501" s="565"/>
      <c r="P501" s="565"/>
      <c r="Q501" s="565"/>
      <c r="R501" s="565"/>
      <c r="S501" s="565"/>
      <c r="T501" s="565"/>
      <c r="U501" s="565"/>
      <c r="V501" s="565"/>
      <c r="W501" s="565"/>
      <c r="X501" s="565"/>
      <c r="Y501" s="565"/>
      <c r="Z501" s="565"/>
      <c r="AA501" s="565"/>
      <c r="AB501" s="565"/>
      <c r="AC501" s="565"/>
      <c r="AD501" s="565"/>
      <c r="AE501" s="565"/>
      <c r="AF501" s="565"/>
      <c r="AG501" s="565"/>
      <c r="AH501" s="565"/>
      <c r="AI501" s="565"/>
      <c r="AJ501" s="565"/>
      <c r="AK501" s="565"/>
      <c r="AL501" s="565"/>
      <c r="AM501" s="565"/>
      <c r="AN501" s="565"/>
      <c r="AO501" s="565"/>
      <c r="AP501" s="565"/>
      <c r="AQ501" s="565"/>
      <c r="AR501" s="565"/>
      <c r="AS501" s="565"/>
      <c r="AT501" s="565"/>
      <c r="AU501" s="181"/>
      <c r="AV501" s="558"/>
    </row>
    <row r="502" ht="11.25" customHeight="1">
      <c r="A502" s="565"/>
      <c r="B502" s="181"/>
      <c r="C502" s="565"/>
      <c r="D502" s="565"/>
      <c r="E502" s="565"/>
      <c r="F502" s="565"/>
      <c r="G502" s="565"/>
      <c r="H502" s="565"/>
      <c r="I502" s="565"/>
      <c r="J502" s="565"/>
      <c r="K502" s="565"/>
      <c r="L502" s="565"/>
      <c r="M502" s="565"/>
      <c r="N502" s="565"/>
      <c r="O502" s="565"/>
      <c r="P502" s="565"/>
      <c r="Q502" s="565"/>
      <c r="R502" s="565"/>
      <c r="S502" s="565"/>
      <c r="T502" s="565"/>
      <c r="U502" s="565"/>
      <c r="V502" s="565"/>
      <c r="W502" s="565"/>
      <c r="X502" s="565"/>
      <c r="Y502" s="565"/>
      <c r="Z502" s="565"/>
      <c r="AA502" s="565"/>
      <c r="AB502" s="565"/>
      <c r="AC502" s="565"/>
      <c r="AD502" s="565"/>
      <c r="AE502" s="565"/>
      <c r="AF502" s="565"/>
      <c r="AG502" s="565"/>
      <c r="AH502" s="565"/>
      <c r="AI502" s="565"/>
      <c r="AJ502" s="565"/>
      <c r="AK502" s="565"/>
      <c r="AL502" s="565"/>
      <c r="AM502" s="565"/>
      <c r="AN502" s="565"/>
      <c r="AO502" s="565"/>
      <c r="AP502" s="565"/>
      <c r="AQ502" s="565"/>
      <c r="AR502" s="565"/>
      <c r="AS502" s="565"/>
      <c r="AT502" s="565"/>
      <c r="AU502" s="181"/>
      <c r="AV502" s="558"/>
    </row>
    <row r="503" ht="11.25" customHeight="1">
      <c r="A503" s="565"/>
      <c r="B503" s="181"/>
      <c r="C503" s="565"/>
      <c r="D503" s="565"/>
      <c r="E503" s="565"/>
      <c r="F503" s="565"/>
      <c r="G503" s="565"/>
      <c r="H503" s="565"/>
      <c r="I503" s="565"/>
      <c r="J503" s="565"/>
      <c r="K503" s="565"/>
      <c r="L503" s="565"/>
      <c r="M503" s="565"/>
      <c r="N503" s="565"/>
      <c r="O503" s="565"/>
      <c r="P503" s="565"/>
      <c r="Q503" s="565"/>
      <c r="R503" s="565"/>
      <c r="S503" s="565"/>
      <c r="T503" s="565"/>
      <c r="U503" s="565"/>
      <c r="V503" s="565"/>
      <c r="W503" s="565"/>
      <c r="X503" s="565"/>
      <c r="Y503" s="565"/>
      <c r="Z503" s="565"/>
      <c r="AA503" s="565"/>
      <c r="AB503" s="565"/>
      <c r="AC503" s="565"/>
      <c r="AD503" s="565"/>
      <c r="AE503" s="565"/>
      <c r="AF503" s="565"/>
      <c r="AG503" s="565"/>
      <c r="AH503" s="565"/>
      <c r="AI503" s="565"/>
      <c r="AJ503" s="565"/>
      <c r="AK503" s="565"/>
      <c r="AL503" s="565"/>
      <c r="AM503" s="565"/>
      <c r="AN503" s="565"/>
      <c r="AO503" s="565"/>
      <c r="AP503" s="565"/>
      <c r="AQ503" s="565"/>
      <c r="AR503" s="565"/>
      <c r="AS503" s="565"/>
      <c r="AT503" s="565"/>
      <c r="AU503" s="181"/>
      <c r="AV503" s="558"/>
    </row>
    <row r="504" ht="11.25" customHeight="1">
      <c r="A504" s="565"/>
      <c r="B504" s="181"/>
      <c r="C504" s="565"/>
      <c r="D504" s="565"/>
      <c r="E504" s="565"/>
      <c r="F504" s="565"/>
      <c r="G504" s="565"/>
      <c r="H504" s="565"/>
      <c r="I504" s="565"/>
      <c r="J504" s="565"/>
      <c r="K504" s="565"/>
      <c r="L504" s="565"/>
      <c r="M504" s="565"/>
      <c r="N504" s="565"/>
      <c r="O504" s="565"/>
      <c r="P504" s="565"/>
      <c r="Q504" s="565"/>
      <c r="R504" s="565"/>
      <c r="S504" s="565"/>
      <c r="T504" s="565"/>
      <c r="U504" s="565"/>
      <c r="V504" s="565"/>
      <c r="W504" s="565"/>
      <c r="X504" s="565"/>
      <c r="Y504" s="565"/>
      <c r="Z504" s="565"/>
      <c r="AA504" s="565"/>
      <c r="AB504" s="565"/>
      <c r="AC504" s="565"/>
      <c r="AD504" s="565"/>
      <c r="AE504" s="565"/>
      <c r="AF504" s="565"/>
      <c r="AG504" s="565"/>
      <c r="AH504" s="565"/>
      <c r="AI504" s="565"/>
      <c r="AJ504" s="565"/>
      <c r="AK504" s="565"/>
      <c r="AL504" s="565"/>
      <c r="AM504" s="565"/>
      <c r="AN504" s="565"/>
      <c r="AO504" s="565"/>
      <c r="AP504" s="565"/>
      <c r="AQ504" s="565"/>
      <c r="AR504" s="565"/>
      <c r="AS504" s="565"/>
      <c r="AT504" s="565"/>
      <c r="AU504" s="181"/>
      <c r="AV504" s="558"/>
    </row>
    <row r="505" ht="11.25" customHeight="1">
      <c r="A505" s="565"/>
      <c r="B505" s="181"/>
      <c r="C505" s="565"/>
      <c r="D505" s="565"/>
      <c r="E505" s="565"/>
      <c r="F505" s="565"/>
      <c r="G505" s="565"/>
      <c r="H505" s="565"/>
      <c r="I505" s="565"/>
      <c r="J505" s="565"/>
      <c r="K505" s="565"/>
      <c r="L505" s="565"/>
      <c r="M505" s="565"/>
      <c r="N505" s="565"/>
      <c r="O505" s="565"/>
      <c r="P505" s="565"/>
      <c r="Q505" s="565"/>
      <c r="R505" s="565"/>
      <c r="S505" s="565"/>
      <c r="T505" s="565"/>
      <c r="U505" s="565"/>
      <c r="V505" s="565"/>
      <c r="W505" s="565"/>
      <c r="X505" s="565"/>
      <c r="Y505" s="565"/>
      <c r="Z505" s="565"/>
      <c r="AA505" s="565"/>
      <c r="AB505" s="565"/>
      <c r="AC505" s="565"/>
      <c r="AD505" s="565"/>
      <c r="AE505" s="565"/>
      <c r="AF505" s="565"/>
      <c r="AG505" s="565"/>
      <c r="AH505" s="565"/>
      <c r="AI505" s="565"/>
      <c r="AJ505" s="565"/>
      <c r="AK505" s="565"/>
      <c r="AL505" s="565"/>
      <c r="AM505" s="565"/>
      <c r="AN505" s="565"/>
      <c r="AO505" s="565"/>
      <c r="AP505" s="565"/>
      <c r="AQ505" s="565"/>
      <c r="AR505" s="565"/>
      <c r="AS505" s="565"/>
      <c r="AT505" s="565"/>
      <c r="AU505" s="181"/>
      <c r="AV505" s="558"/>
    </row>
    <row r="506" ht="11.25" customHeight="1">
      <c r="A506" s="565"/>
      <c r="B506" s="181"/>
      <c r="C506" s="565"/>
      <c r="D506" s="565"/>
      <c r="E506" s="565"/>
      <c r="F506" s="565"/>
      <c r="G506" s="565"/>
      <c r="H506" s="565"/>
      <c r="I506" s="565"/>
      <c r="J506" s="565"/>
      <c r="K506" s="565"/>
      <c r="L506" s="565"/>
      <c r="M506" s="565"/>
      <c r="N506" s="565"/>
      <c r="O506" s="565"/>
      <c r="P506" s="565"/>
      <c r="Q506" s="565"/>
      <c r="R506" s="565"/>
      <c r="S506" s="565"/>
      <c r="T506" s="565"/>
      <c r="U506" s="565"/>
      <c r="V506" s="565"/>
      <c r="W506" s="565"/>
      <c r="X506" s="565"/>
      <c r="Y506" s="565"/>
      <c r="Z506" s="565"/>
      <c r="AA506" s="565"/>
      <c r="AB506" s="565"/>
      <c r="AC506" s="565"/>
      <c r="AD506" s="565"/>
      <c r="AE506" s="565"/>
      <c r="AF506" s="565"/>
      <c r="AG506" s="565"/>
      <c r="AH506" s="565"/>
      <c r="AI506" s="565"/>
      <c r="AJ506" s="565"/>
      <c r="AK506" s="565"/>
      <c r="AL506" s="565"/>
      <c r="AM506" s="565"/>
      <c r="AN506" s="565"/>
      <c r="AO506" s="565"/>
      <c r="AP506" s="565"/>
      <c r="AQ506" s="565"/>
      <c r="AR506" s="565"/>
      <c r="AS506" s="565"/>
      <c r="AT506" s="565"/>
      <c r="AU506" s="181"/>
      <c r="AV506" s="558"/>
    </row>
    <row r="507" ht="11.25" customHeight="1">
      <c r="A507" s="565"/>
      <c r="B507" s="181"/>
      <c r="C507" s="565"/>
      <c r="D507" s="565"/>
      <c r="E507" s="565"/>
      <c r="F507" s="565"/>
      <c r="G507" s="565"/>
      <c r="H507" s="565"/>
      <c r="I507" s="565"/>
      <c r="J507" s="565"/>
      <c r="K507" s="565"/>
      <c r="L507" s="565"/>
      <c r="M507" s="565"/>
      <c r="N507" s="565"/>
      <c r="O507" s="565"/>
      <c r="P507" s="565"/>
      <c r="Q507" s="565"/>
      <c r="R507" s="565"/>
      <c r="S507" s="565"/>
      <c r="T507" s="565"/>
      <c r="U507" s="565"/>
      <c r="V507" s="565"/>
      <c r="W507" s="565"/>
      <c r="X507" s="565"/>
      <c r="Y507" s="565"/>
      <c r="Z507" s="565"/>
      <c r="AA507" s="565"/>
      <c r="AB507" s="565"/>
      <c r="AC507" s="565"/>
      <c r="AD507" s="565"/>
      <c r="AE507" s="565"/>
      <c r="AF507" s="565"/>
      <c r="AG507" s="565"/>
      <c r="AH507" s="565"/>
      <c r="AI507" s="565"/>
      <c r="AJ507" s="565"/>
      <c r="AK507" s="565"/>
      <c r="AL507" s="565"/>
      <c r="AM507" s="565"/>
      <c r="AN507" s="565"/>
      <c r="AO507" s="565"/>
      <c r="AP507" s="565"/>
      <c r="AQ507" s="565"/>
      <c r="AR507" s="565"/>
      <c r="AS507" s="565"/>
      <c r="AT507" s="565"/>
      <c r="AU507" s="181"/>
      <c r="AV507" s="558"/>
    </row>
    <row r="508" ht="11.25" customHeight="1">
      <c r="A508" s="565"/>
      <c r="B508" s="181"/>
      <c r="C508" s="565"/>
      <c r="D508" s="565"/>
      <c r="E508" s="565"/>
      <c r="F508" s="565"/>
      <c r="G508" s="565"/>
      <c r="H508" s="565"/>
      <c r="I508" s="565"/>
      <c r="J508" s="565"/>
      <c r="K508" s="565"/>
      <c r="L508" s="565"/>
      <c r="M508" s="565"/>
      <c r="N508" s="565"/>
      <c r="O508" s="565"/>
      <c r="P508" s="565"/>
      <c r="Q508" s="565"/>
      <c r="R508" s="565"/>
      <c r="S508" s="565"/>
      <c r="T508" s="565"/>
      <c r="U508" s="565"/>
      <c r="V508" s="565"/>
      <c r="W508" s="565"/>
      <c r="X508" s="565"/>
      <c r="Y508" s="565"/>
      <c r="Z508" s="565"/>
      <c r="AA508" s="565"/>
      <c r="AB508" s="565"/>
      <c r="AC508" s="565"/>
      <c r="AD508" s="565"/>
      <c r="AE508" s="565"/>
      <c r="AF508" s="565"/>
      <c r="AG508" s="565"/>
      <c r="AH508" s="565"/>
      <c r="AI508" s="565"/>
      <c r="AJ508" s="565"/>
      <c r="AK508" s="565"/>
      <c r="AL508" s="565"/>
      <c r="AM508" s="565"/>
      <c r="AN508" s="565"/>
      <c r="AO508" s="565"/>
      <c r="AP508" s="565"/>
      <c r="AQ508" s="565"/>
      <c r="AR508" s="565"/>
      <c r="AS508" s="565"/>
      <c r="AT508" s="565"/>
      <c r="AU508" s="181"/>
      <c r="AV508" s="558"/>
    </row>
    <row r="509" ht="11.25" customHeight="1">
      <c r="A509" s="565"/>
      <c r="B509" s="181"/>
      <c r="C509" s="565"/>
      <c r="D509" s="565"/>
      <c r="E509" s="565"/>
      <c r="F509" s="565"/>
      <c r="G509" s="565"/>
      <c r="H509" s="565"/>
      <c r="I509" s="565"/>
      <c r="J509" s="565"/>
      <c r="K509" s="565"/>
      <c r="L509" s="565"/>
      <c r="M509" s="565"/>
      <c r="N509" s="565"/>
      <c r="O509" s="565"/>
      <c r="P509" s="565"/>
      <c r="Q509" s="565"/>
      <c r="R509" s="565"/>
      <c r="S509" s="565"/>
      <c r="T509" s="565"/>
      <c r="U509" s="565"/>
      <c r="V509" s="565"/>
      <c r="W509" s="565"/>
      <c r="X509" s="565"/>
      <c r="Y509" s="565"/>
      <c r="Z509" s="565"/>
      <c r="AA509" s="565"/>
      <c r="AB509" s="565"/>
      <c r="AC509" s="565"/>
      <c r="AD509" s="565"/>
      <c r="AE509" s="565"/>
      <c r="AF509" s="565"/>
      <c r="AG509" s="565"/>
      <c r="AH509" s="565"/>
      <c r="AI509" s="565"/>
      <c r="AJ509" s="565"/>
      <c r="AK509" s="565"/>
      <c r="AL509" s="565"/>
      <c r="AM509" s="565"/>
      <c r="AN509" s="565"/>
      <c r="AO509" s="565"/>
      <c r="AP509" s="565"/>
      <c r="AQ509" s="565"/>
      <c r="AR509" s="565"/>
      <c r="AS509" s="565"/>
      <c r="AT509" s="565"/>
      <c r="AU509" s="181"/>
      <c r="AV509" s="558"/>
    </row>
    <row r="510" ht="11.25" customHeight="1">
      <c r="A510" s="565"/>
      <c r="B510" s="181"/>
      <c r="C510" s="565"/>
      <c r="D510" s="565"/>
      <c r="E510" s="565"/>
      <c r="F510" s="565"/>
      <c r="G510" s="565"/>
      <c r="H510" s="565"/>
      <c r="I510" s="565"/>
      <c r="J510" s="565"/>
      <c r="K510" s="565"/>
      <c r="L510" s="565"/>
      <c r="M510" s="565"/>
      <c r="N510" s="565"/>
      <c r="O510" s="565"/>
      <c r="P510" s="565"/>
      <c r="Q510" s="565"/>
      <c r="R510" s="565"/>
      <c r="S510" s="565"/>
      <c r="T510" s="565"/>
      <c r="U510" s="565"/>
      <c r="V510" s="565"/>
      <c r="W510" s="565"/>
      <c r="X510" s="565"/>
      <c r="Y510" s="565"/>
      <c r="Z510" s="565"/>
      <c r="AA510" s="565"/>
      <c r="AB510" s="565"/>
      <c r="AC510" s="565"/>
      <c r="AD510" s="565"/>
      <c r="AE510" s="565"/>
      <c r="AF510" s="565"/>
      <c r="AG510" s="565"/>
      <c r="AH510" s="565"/>
      <c r="AI510" s="565"/>
      <c r="AJ510" s="565"/>
      <c r="AK510" s="565"/>
      <c r="AL510" s="565"/>
      <c r="AM510" s="565"/>
      <c r="AN510" s="565"/>
      <c r="AO510" s="565"/>
      <c r="AP510" s="565"/>
      <c r="AQ510" s="565"/>
      <c r="AR510" s="565"/>
      <c r="AS510" s="565"/>
      <c r="AT510" s="565"/>
      <c r="AU510" s="181"/>
      <c r="AV510" s="558"/>
    </row>
    <row r="511" ht="11.25" customHeight="1">
      <c r="A511" s="565"/>
      <c r="B511" s="181"/>
      <c r="C511" s="565"/>
      <c r="D511" s="565"/>
      <c r="E511" s="565"/>
      <c r="F511" s="565"/>
      <c r="G511" s="565"/>
      <c r="H511" s="565"/>
      <c r="I511" s="565"/>
      <c r="J511" s="565"/>
      <c r="K511" s="565"/>
      <c r="L511" s="565"/>
      <c r="M511" s="565"/>
      <c r="N511" s="565"/>
      <c r="O511" s="565"/>
      <c r="P511" s="565"/>
      <c r="Q511" s="565"/>
      <c r="R511" s="565"/>
      <c r="S511" s="565"/>
      <c r="T511" s="565"/>
      <c r="U511" s="565"/>
      <c r="V511" s="565"/>
      <c r="W511" s="565"/>
      <c r="X511" s="565"/>
      <c r="Y511" s="565"/>
      <c r="Z511" s="565"/>
      <c r="AA511" s="565"/>
      <c r="AB511" s="565"/>
      <c r="AC511" s="565"/>
      <c r="AD511" s="565"/>
      <c r="AE511" s="565"/>
      <c r="AF511" s="565"/>
      <c r="AG511" s="565"/>
      <c r="AH511" s="565"/>
      <c r="AI511" s="565"/>
      <c r="AJ511" s="565"/>
      <c r="AK511" s="565"/>
      <c r="AL511" s="565"/>
      <c r="AM511" s="565"/>
      <c r="AN511" s="565"/>
      <c r="AO511" s="565"/>
      <c r="AP511" s="565"/>
      <c r="AQ511" s="565"/>
      <c r="AR511" s="565"/>
      <c r="AS511" s="565"/>
      <c r="AT511" s="565"/>
      <c r="AU511" s="181"/>
      <c r="AV511" s="558"/>
    </row>
    <row r="512" ht="11.25" customHeight="1">
      <c r="A512" s="565"/>
      <c r="B512" s="181"/>
      <c r="C512" s="565"/>
      <c r="D512" s="565"/>
      <c r="E512" s="565"/>
      <c r="F512" s="565"/>
      <c r="G512" s="565"/>
      <c r="H512" s="565"/>
      <c r="I512" s="565"/>
      <c r="J512" s="565"/>
      <c r="K512" s="565"/>
      <c r="L512" s="565"/>
      <c r="M512" s="565"/>
      <c r="N512" s="565"/>
      <c r="O512" s="565"/>
      <c r="P512" s="565"/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  <c r="AA512" s="565"/>
      <c r="AB512" s="565"/>
      <c r="AC512" s="565"/>
      <c r="AD512" s="565"/>
      <c r="AE512" s="565"/>
      <c r="AF512" s="565"/>
      <c r="AG512" s="565"/>
      <c r="AH512" s="565"/>
      <c r="AI512" s="565"/>
      <c r="AJ512" s="565"/>
      <c r="AK512" s="565"/>
      <c r="AL512" s="565"/>
      <c r="AM512" s="565"/>
      <c r="AN512" s="565"/>
      <c r="AO512" s="565"/>
      <c r="AP512" s="565"/>
      <c r="AQ512" s="565"/>
      <c r="AR512" s="565"/>
      <c r="AS512" s="565"/>
      <c r="AT512" s="565"/>
      <c r="AU512" s="181"/>
      <c r="AV512" s="558"/>
    </row>
    <row r="513" ht="11.25" customHeight="1">
      <c r="A513" s="565"/>
      <c r="B513" s="181"/>
      <c r="C513" s="565"/>
      <c r="D513" s="565"/>
      <c r="E513" s="565"/>
      <c r="F513" s="565"/>
      <c r="G513" s="565"/>
      <c r="H513" s="565"/>
      <c r="I513" s="565"/>
      <c r="J513" s="565"/>
      <c r="K513" s="565"/>
      <c r="L513" s="565"/>
      <c r="M513" s="565"/>
      <c r="N513" s="565"/>
      <c r="O513" s="565"/>
      <c r="P513" s="565"/>
      <c r="Q513" s="565"/>
      <c r="R513" s="565"/>
      <c r="S513" s="565"/>
      <c r="T513" s="565"/>
      <c r="U513" s="565"/>
      <c r="V513" s="565"/>
      <c r="W513" s="565"/>
      <c r="X513" s="565"/>
      <c r="Y513" s="565"/>
      <c r="Z513" s="565"/>
      <c r="AA513" s="565"/>
      <c r="AB513" s="565"/>
      <c r="AC513" s="565"/>
      <c r="AD513" s="565"/>
      <c r="AE513" s="565"/>
      <c r="AF513" s="565"/>
      <c r="AG513" s="565"/>
      <c r="AH513" s="565"/>
      <c r="AI513" s="565"/>
      <c r="AJ513" s="565"/>
      <c r="AK513" s="565"/>
      <c r="AL513" s="565"/>
      <c r="AM513" s="565"/>
      <c r="AN513" s="565"/>
      <c r="AO513" s="565"/>
      <c r="AP513" s="565"/>
      <c r="AQ513" s="565"/>
      <c r="AR513" s="565"/>
      <c r="AS513" s="565"/>
      <c r="AT513" s="565"/>
      <c r="AU513" s="181"/>
      <c r="AV513" s="558"/>
    </row>
    <row r="514" ht="11.25" customHeight="1">
      <c r="A514" s="565"/>
      <c r="B514" s="181"/>
      <c r="C514" s="565"/>
      <c r="D514" s="565"/>
      <c r="E514" s="565"/>
      <c r="F514" s="565"/>
      <c r="G514" s="565"/>
      <c r="H514" s="565"/>
      <c r="I514" s="565"/>
      <c r="J514" s="565"/>
      <c r="K514" s="565"/>
      <c r="L514" s="565"/>
      <c r="M514" s="565"/>
      <c r="N514" s="565"/>
      <c r="O514" s="565"/>
      <c r="P514" s="565"/>
      <c r="Q514" s="565"/>
      <c r="R514" s="565"/>
      <c r="S514" s="565"/>
      <c r="T514" s="565"/>
      <c r="U514" s="565"/>
      <c r="V514" s="565"/>
      <c r="W514" s="565"/>
      <c r="X514" s="565"/>
      <c r="Y514" s="565"/>
      <c r="Z514" s="565"/>
      <c r="AA514" s="565"/>
      <c r="AB514" s="565"/>
      <c r="AC514" s="565"/>
      <c r="AD514" s="565"/>
      <c r="AE514" s="565"/>
      <c r="AF514" s="565"/>
      <c r="AG514" s="565"/>
      <c r="AH514" s="565"/>
      <c r="AI514" s="565"/>
      <c r="AJ514" s="565"/>
      <c r="AK514" s="565"/>
      <c r="AL514" s="565"/>
      <c r="AM514" s="565"/>
      <c r="AN514" s="565"/>
      <c r="AO514" s="565"/>
      <c r="AP514" s="565"/>
      <c r="AQ514" s="565"/>
      <c r="AR514" s="565"/>
      <c r="AS514" s="565"/>
      <c r="AT514" s="565"/>
      <c r="AU514" s="181"/>
      <c r="AV514" s="558"/>
    </row>
    <row r="515" ht="11.25" customHeight="1">
      <c r="A515" s="565"/>
      <c r="B515" s="181"/>
      <c r="C515" s="565"/>
      <c r="D515" s="565"/>
      <c r="E515" s="565"/>
      <c r="F515" s="565"/>
      <c r="G515" s="565"/>
      <c r="H515" s="565"/>
      <c r="I515" s="565"/>
      <c r="J515" s="565"/>
      <c r="K515" s="565"/>
      <c r="L515" s="565"/>
      <c r="M515" s="565"/>
      <c r="N515" s="565"/>
      <c r="O515" s="565"/>
      <c r="P515" s="565"/>
      <c r="Q515" s="565"/>
      <c r="R515" s="565"/>
      <c r="S515" s="565"/>
      <c r="T515" s="565"/>
      <c r="U515" s="565"/>
      <c r="V515" s="565"/>
      <c r="W515" s="565"/>
      <c r="X515" s="565"/>
      <c r="Y515" s="565"/>
      <c r="Z515" s="565"/>
      <c r="AA515" s="565"/>
      <c r="AB515" s="565"/>
      <c r="AC515" s="565"/>
      <c r="AD515" s="565"/>
      <c r="AE515" s="565"/>
      <c r="AF515" s="565"/>
      <c r="AG515" s="565"/>
      <c r="AH515" s="565"/>
      <c r="AI515" s="565"/>
      <c r="AJ515" s="565"/>
      <c r="AK515" s="565"/>
      <c r="AL515" s="565"/>
      <c r="AM515" s="565"/>
      <c r="AN515" s="565"/>
      <c r="AO515" s="565"/>
      <c r="AP515" s="565"/>
      <c r="AQ515" s="565"/>
      <c r="AR515" s="565"/>
      <c r="AS515" s="565"/>
      <c r="AT515" s="565"/>
      <c r="AU515" s="181"/>
      <c r="AV515" s="558"/>
    </row>
    <row r="516" ht="11.25" customHeight="1">
      <c r="A516" s="565"/>
      <c r="B516" s="181"/>
      <c r="C516" s="565"/>
      <c r="D516" s="565"/>
      <c r="E516" s="565"/>
      <c r="F516" s="565"/>
      <c r="G516" s="565"/>
      <c r="H516" s="565"/>
      <c r="I516" s="565"/>
      <c r="J516" s="565"/>
      <c r="K516" s="565"/>
      <c r="L516" s="565"/>
      <c r="M516" s="565"/>
      <c r="N516" s="565"/>
      <c r="O516" s="565"/>
      <c r="P516" s="565"/>
      <c r="Q516" s="565"/>
      <c r="R516" s="565"/>
      <c r="S516" s="565"/>
      <c r="T516" s="565"/>
      <c r="U516" s="565"/>
      <c r="V516" s="565"/>
      <c r="W516" s="565"/>
      <c r="X516" s="565"/>
      <c r="Y516" s="565"/>
      <c r="Z516" s="565"/>
      <c r="AA516" s="565"/>
      <c r="AB516" s="565"/>
      <c r="AC516" s="565"/>
      <c r="AD516" s="565"/>
      <c r="AE516" s="565"/>
      <c r="AF516" s="565"/>
      <c r="AG516" s="565"/>
      <c r="AH516" s="565"/>
      <c r="AI516" s="565"/>
      <c r="AJ516" s="565"/>
      <c r="AK516" s="565"/>
      <c r="AL516" s="565"/>
      <c r="AM516" s="565"/>
      <c r="AN516" s="565"/>
      <c r="AO516" s="565"/>
      <c r="AP516" s="565"/>
      <c r="AQ516" s="565"/>
      <c r="AR516" s="565"/>
      <c r="AS516" s="565"/>
      <c r="AT516" s="565"/>
      <c r="AU516" s="181"/>
      <c r="AV516" s="558"/>
    </row>
    <row r="517" ht="11.25" customHeight="1">
      <c r="A517" s="565"/>
      <c r="B517" s="181"/>
      <c r="C517" s="565"/>
      <c r="D517" s="565"/>
      <c r="E517" s="565"/>
      <c r="F517" s="565"/>
      <c r="G517" s="565"/>
      <c r="H517" s="565"/>
      <c r="I517" s="565"/>
      <c r="J517" s="565"/>
      <c r="K517" s="565"/>
      <c r="L517" s="565"/>
      <c r="M517" s="565"/>
      <c r="N517" s="565"/>
      <c r="O517" s="565"/>
      <c r="P517" s="565"/>
      <c r="Q517" s="565"/>
      <c r="R517" s="565"/>
      <c r="S517" s="565"/>
      <c r="T517" s="565"/>
      <c r="U517" s="565"/>
      <c r="V517" s="565"/>
      <c r="W517" s="565"/>
      <c r="X517" s="565"/>
      <c r="Y517" s="565"/>
      <c r="Z517" s="565"/>
      <c r="AA517" s="565"/>
      <c r="AB517" s="565"/>
      <c r="AC517" s="565"/>
      <c r="AD517" s="565"/>
      <c r="AE517" s="565"/>
      <c r="AF517" s="565"/>
      <c r="AG517" s="565"/>
      <c r="AH517" s="565"/>
      <c r="AI517" s="565"/>
      <c r="AJ517" s="565"/>
      <c r="AK517" s="565"/>
      <c r="AL517" s="565"/>
      <c r="AM517" s="565"/>
      <c r="AN517" s="565"/>
      <c r="AO517" s="565"/>
      <c r="AP517" s="565"/>
      <c r="AQ517" s="565"/>
      <c r="AR517" s="565"/>
      <c r="AS517" s="565"/>
      <c r="AT517" s="565"/>
      <c r="AU517" s="181"/>
      <c r="AV517" s="558"/>
    </row>
    <row r="518" ht="11.25" customHeight="1">
      <c r="A518" s="565"/>
      <c r="B518" s="181"/>
      <c r="C518" s="565"/>
      <c r="D518" s="565"/>
      <c r="E518" s="565"/>
      <c r="F518" s="565"/>
      <c r="G518" s="565"/>
      <c r="H518" s="565"/>
      <c r="I518" s="565"/>
      <c r="J518" s="565"/>
      <c r="K518" s="565"/>
      <c r="L518" s="565"/>
      <c r="M518" s="565"/>
      <c r="N518" s="565"/>
      <c r="O518" s="565"/>
      <c r="P518" s="565"/>
      <c r="Q518" s="565"/>
      <c r="R518" s="565"/>
      <c r="S518" s="565"/>
      <c r="T518" s="565"/>
      <c r="U518" s="565"/>
      <c r="V518" s="565"/>
      <c r="W518" s="565"/>
      <c r="X518" s="565"/>
      <c r="Y518" s="565"/>
      <c r="Z518" s="565"/>
      <c r="AA518" s="565"/>
      <c r="AB518" s="565"/>
      <c r="AC518" s="565"/>
      <c r="AD518" s="565"/>
      <c r="AE518" s="565"/>
      <c r="AF518" s="565"/>
      <c r="AG518" s="565"/>
      <c r="AH518" s="565"/>
      <c r="AI518" s="565"/>
      <c r="AJ518" s="565"/>
      <c r="AK518" s="565"/>
      <c r="AL518" s="565"/>
      <c r="AM518" s="565"/>
      <c r="AN518" s="565"/>
      <c r="AO518" s="565"/>
      <c r="AP518" s="565"/>
      <c r="AQ518" s="565"/>
      <c r="AR518" s="565"/>
      <c r="AS518" s="565"/>
      <c r="AT518" s="565"/>
      <c r="AU518" s="181"/>
      <c r="AV518" s="558"/>
    </row>
    <row r="519" ht="11.25" customHeight="1">
      <c r="A519" s="565"/>
      <c r="B519" s="181"/>
      <c r="C519" s="565"/>
      <c r="D519" s="565"/>
      <c r="E519" s="565"/>
      <c r="F519" s="565"/>
      <c r="G519" s="565"/>
      <c r="H519" s="565"/>
      <c r="I519" s="565"/>
      <c r="J519" s="565"/>
      <c r="K519" s="565"/>
      <c r="L519" s="565"/>
      <c r="M519" s="565"/>
      <c r="N519" s="565"/>
      <c r="O519" s="565"/>
      <c r="P519" s="565"/>
      <c r="Q519" s="565"/>
      <c r="R519" s="565"/>
      <c r="S519" s="565"/>
      <c r="T519" s="565"/>
      <c r="U519" s="565"/>
      <c r="V519" s="565"/>
      <c r="W519" s="565"/>
      <c r="X519" s="565"/>
      <c r="Y519" s="565"/>
      <c r="Z519" s="565"/>
      <c r="AA519" s="565"/>
      <c r="AB519" s="565"/>
      <c r="AC519" s="565"/>
      <c r="AD519" s="565"/>
      <c r="AE519" s="565"/>
      <c r="AF519" s="565"/>
      <c r="AG519" s="565"/>
      <c r="AH519" s="565"/>
      <c r="AI519" s="565"/>
      <c r="AJ519" s="565"/>
      <c r="AK519" s="565"/>
      <c r="AL519" s="565"/>
      <c r="AM519" s="565"/>
      <c r="AN519" s="565"/>
      <c r="AO519" s="565"/>
      <c r="AP519" s="565"/>
      <c r="AQ519" s="565"/>
      <c r="AR519" s="565"/>
      <c r="AS519" s="565"/>
      <c r="AT519" s="565"/>
      <c r="AU519" s="181"/>
      <c r="AV519" s="558"/>
    </row>
    <row r="520" ht="11.25" customHeight="1">
      <c r="A520" s="565"/>
      <c r="B520" s="181"/>
      <c r="C520" s="565"/>
      <c r="D520" s="565"/>
      <c r="E520" s="565"/>
      <c r="F520" s="565"/>
      <c r="G520" s="565"/>
      <c r="H520" s="565"/>
      <c r="I520" s="565"/>
      <c r="J520" s="565"/>
      <c r="K520" s="565"/>
      <c r="L520" s="565"/>
      <c r="M520" s="565"/>
      <c r="N520" s="565"/>
      <c r="O520" s="565"/>
      <c r="P520" s="565"/>
      <c r="Q520" s="565"/>
      <c r="R520" s="565"/>
      <c r="S520" s="565"/>
      <c r="T520" s="565"/>
      <c r="U520" s="565"/>
      <c r="V520" s="565"/>
      <c r="W520" s="565"/>
      <c r="X520" s="565"/>
      <c r="Y520" s="565"/>
      <c r="Z520" s="565"/>
      <c r="AA520" s="565"/>
      <c r="AB520" s="565"/>
      <c r="AC520" s="565"/>
      <c r="AD520" s="565"/>
      <c r="AE520" s="565"/>
      <c r="AF520" s="565"/>
      <c r="AG520" s="565"/>
      <c r="AH520" s="565"/>
      <c r="AI520" s="565"/>
      <c r="AJ520" s="565"/>
      <c r="AK520" s="565"/>
      <c r="AL520" s="565"/>
      <c r="AM520" s="565"/>
      <c r="AN520" s="565"/>
      <c r="AO520" s="565"/>
      <c r="AP520" s="565"/>
      <c r="AQ520" s="565"/>
      <c r="AR520" s="565"/>
      <c r="AS520" s="565"/>
      <c r="AT520" s="565"/>
      <c r="AU520" s="181"/>
      <c r="AV520" s="558"/>
    </row>
    <row r="521" ht="11.25" customHeight="1">
      <c r="A521" s="565"/>
      <c r="B521" s="181"/>
      <c r="C521" s="565"/>
      <c r="D521" s="565"/>
      <c r="E521" s="565"/>
      <c r="F521" s="565"/>
      <c r="G521" s="565"/>
      <c r="H521" s="565"/>
      <c r="I521" s="565"/>
      <c r="J521" s="565"/>
      <c r="K521" s="565"/>
      <c r="L521" s="565"/>
      <c r="M521" s="565"/>
      <c r="N521" s="565"/>
      <c r="O521" s="565"/>
      <c r="P521" s="565"/>
      <c r="Q521" s="565"/>
      <c r="R521" s="565"/>
      <c r="S521" s="565"/>
      <c r="T521" s="565"/>
      <c r="U521" s="565"/>
      <c r="V521" s="565"/>
      <c r="W521" s="565"/>
      <c r="X521" s="565"/>
      <c r="Y521" s="565"/>
      <c r="Z521" s="565"/>
      <c r="AA521" s="565"/>
      <c r="AB521" s="565"/>
      <c r="AC521" s="565"/>
      <c r="AD521" s="565"/>
      <c r="AE521" s="565"/>
      <c r="AF521" s="565"/>
      <c r="AG521" s="565"/>
      <c r="AH521" s="565"/>
      <c r="AI521" s="565"/>
      <c r="AJ521" s="565"/>
      <c r="AK521" s="565"/>
      <c r="AL521" s="565"/>
      <c r="AM521" s="565"/>
      <c r="AN521" s="565"/>
      <c r="AO521" s="565"/>
      <c r="AP521" s="565"/>
      <c r="AQ521" s="565"/>
      <c r="AR521" s="565"/>
      <c r="AS521" s="565"/>
      <c r="AT521" s="565"/>
      <c r="AU521" s="181"/>
      <c r="AV521" s="558"/>
    </row>
    <row r="522" ht="11.25" customHeight="1">
      <c r="A522" s="565"/>
      <c r="B522" s="181"/>
      <c r="C522" s="565"/>
      <c r="D522" s="565"/>
      <c r="E522" s="565"/>
      <c r="F522" s="565"/>
      <c r="G522" s="565"/>
      <c r="H522" s="565"/>
      <c r="I522" s="565"/>
      <c r="J522" s="565"/>
      <c r="K522" s="565"/>
      <c r="L522" s="565"/>
      <c r="M522" s="565"/>
      <c r="N522" s="565"/>
      <c r="O522" s="565"/>
      <c r="P522" s="565"/>
      <c r="Q522" s="565"/>
      <c r="R522" s="565"/>
      <c r="S522" s="565"/>
      <c r="T522" s="565"/>
      <c r="U522" s="565"/>
      <c r="V522" s="565"/>
      <c r="W522" s="565"/>
      <c r="X522" s="565"/>
      <c r="Y522" s="565"/>
      <c r="Z522" s="565"/>
      <c r="AA522" s="565"/>
      <c r="AB522" s="565"/>
      <c r="AC522" s="565"/>
      <c r="AD522" s="565"/>
      <c r="AE522" s="565"/>
      <c r="AF522" s="565"/>
      <c r="AG522" s="565"/>
      <c r="AH522" s="565"/>
      <c r="AI522" s="565"/>
      <c r="AJ522" s="565"/>
      <c r="AK522" s="565"/>
      <c r="AL522" s="565"/>
      <c r="AM522" s="565"/>
      <c r="AN522" s="565"/>
      <c r="AO522" s="565"/>
      <c r="AP522" s="565"/>
      <c r="AQ522" s="565"/>
      <c r="AR522" s="565"/>
      <c r="AS522" s="565"/>
      <c r="AT522" s="565"/>
      <c r="AU522" s="181"/>
      <c r="AV522" s="558"/>
    </row>
    <row r="523" ht="11.25" customHeight="1">
      <c r="A523" s="565"/>
      <c r="B523" s="181"/>
      <c r="C523" s="565"/>
      <c r="D523" s="565"/>
      <c r="E523" s="565"/>
      <c r="F523" s="565"/>
      <c r="G523" s="565"/>
      <c r="H523" s="565"/>
      <c r="I523" s="565"/>
      <c r="J523" s="565"/>
      <c r="K523" s="565"/>
      <c r="L523" s="565"/>
      <c r="M523" s="565"/>
      <c r="N523" s="565"/>
      <c r="O523" s="565"/>
      <c r="P523" s="565"/>
      <c r="Q523" s="565"/>
      <c r="R523" s="565"/>
      <c r="S523" s="565"/>
      <c r="T523" s="565"/>
      <c r="U523" s="565"/>
      <c r="V523" s="565"/>
      <c r="W523" s="565"/>
      <c r="X523" s="565"/>
      <c r="Y523" s="565"/>
      <c r="Z523" s="565"/>
      <c r="AA523" s="565"/>
      <c r="AB523" s="565"/>
      <c r="AC523" s="565"/>
      <c r="AD523" s="565"/>
      <c r="AE523" s="565"/>
      <c r="AF523" s="565"/>
      <c r="AG523" s="565"/>
      <c r="AH523" s="565"/>
      <c r="AI523" s="565"/>
      <c r="AJ523" s="565"/>
      <c r="AK523" s="565"/>
      <c r="AL523" s="565"/>
      <c r="AM523" s="565"/>
      <c r="AN523" s="565"/>
      <c r="AO523" s="565"/>
      <c r="AP523" s="565"/>
      <c r="AQ523" s="565"/>
      <c r="AR523" s="565"/>
      <c r="AS523" s="565"/>
      <c r="AT523" s="565"/>
      <c r="AU523" s="181"/>
      <c r="AV523" s="558"/>
    </row>
    <row r="524" ht="11.25" customHeight="1">
      <c r="A524" s="565"/>
      <c r="B524" s="181"/>
      <c r="C524" s="565"/>
      <c r="D524" s="565"/>
      <c r="E524" s="565"/>
      <c r="F524" s="565"/>
      <c r="G524" s="565"/>
      <c r="H524" s="565"/>
      <c r="I524" s="565"/>
      <c r="J524" s="565"/>
      <c r="K524" s="565"/>
      <c r="L524" s="565"/>
      <c r="M524" s="565"/>
      <c r="N524" s="565"/>
      <c r="O524" s="565"/>
      <c r="P524" s="565"/>
      <c r="Q524" s="565"/>
      <c r="R524" s="565"/>
      <c r="S524" s="565"/>
      <c r="T524" s="565"/>
      <c r="U524" s="565"/>
      <c r="V524" s="565"/>
      <c r="W524" s="565"/>
      <c r="X524" s="565"/>
      <c r="Y524" s="565"/>
      <c r="Z524" s="565"/>
      <c r="AA524" s="565"/>
      <c r="AB524" s="565"/>
      <c r="AC524" s="565"/>
      <c r="AD524" s="565"/>
      <c r="AE524" s="565"/>
      <c r="AF524" s="565"/>
      <c r="AG524" s="565"/>
      <c r="AH524" s="565"/>
      <c r="AI524" s="565"/>
      <c r="AJ524" s="565"/>
      <c r="AK524" s="565"/>
      <c r="AL524" s="565"/>
      <c r="AM524" s="565"/>
      <c r="AN524" s="565"/>
      <c r="AO524" s="565"/>
      <c r="AP524" s="565"/>
      <c r="AQ524" s="565"/>
      <c r="AR524" s="565"/>
      <c r="AS524" s="565"/>
      <c r="AT524" s="565"/>
      <c r="AU524" s="181"/>
      <c r="AV524" s="558"/>
    </row>
    <row r="525" ht="11.25" customHeight="1">
      <c r="A525" s="565"/>
      <c r="B525" s="181"/>
      <c r="C525" s="565"/>
      <c r="D525" s="565"/>
      <c r="E525" s="565"/>
      <c r="F525" s="565"/>
      <c r="G525" s="565"/>
      <c r="H525" s="565"/>
      <c r="I525" s="565"/>
      <c r="J525" s="565"/>
      <c r="K525" s="565"/>
      <c r="L525" s="565"/>
      <c r="M525" s="565"/>
      <c r="N525" s="565"/>
      <c r="O525" s="565"/>
      <c r="P525" s="565"/>
      <c r="Q525" s="565"/>
      <c r="R525" s="565"/>
      <c r="S525" s="565"/>
      <c r="T525" s="565"/>
      <c r="U525" s="565"/>
      <c r="V525" s="565"/>
      <c r="W525" s="565"/>
      <c r="X525" s="565"/>
      <c r="Y525" s="565"/>
      <c r="Z525" s="565"/>
      <c r="AA525" s="565"/>
      <c r="AB525" s="565"/>
      <c r="AC525" s="565"/>
      <c r="AD525" s="565"/>
      <c r="AE525" s="565"/>
      <c r="AF525" s="565"/>
      <c r="AG525" s="565"/>
      <c r="AH525" s="565"/>
      <c r="AI525" s="565"/>
      <c r="AJ525" s="565"/>
      <c r="AK525" s="565"/>
      <c r="AL525" s="565"/>
      <c r="AM525" s="565"/>
      <c r="AN525" s="565"/>
      <c r="AO525" s="565"/>
      <c r="AP525" s="565"/>
      <c r="AQ525" s="565"/>
      <c r="AR525" s="565"/>
      <c r="AS525" s="565"/>
      <c r="AT525" s="565"/>
      <c r="AU525" s="181"/>
      <c r="AV525" s="558"/>
    </row>
    <row r="526" ht="11.25" customHeight="1">
      <c r="A526" s="565"/>
      <c r="B526" s="181"/>
      <c r="C526" s="565"/>
      <c r="D526" s="565"/>
      <c r="E526" s="565"/>
      <c r="F526" s="565"/>
      <c r="G526" s="565"/>
      <c r="H526" s="565"/>
      <c r="I526" s="565"/>
      <c r="J526" s="565"/>
      <c r="K526" s="565"/>
      <c r="L526" s="565"/>
      <c r="M526" s="565"/>
      <c r="N526" s="565"/>
      <c r="O526" s="565"/>
      <c r="P526" s="565"/>
      <c r="Q526" s="565"/>
      <c r="R526" s="565"/>
      <c r="S526" s="565"/>
      <c r="T526" s="565"/>
      <c r="U526" s="565"/>
      <c r="V526" s="565"/>
      <c r="W526" s="565"/>
      <c r="X526" s="565"/>
      <c r="Y526" s="565"/>
      <c r="Z526" s="565"/>
      <c r="AA526" s="565"/>
      <c r="AB526" s="565"/>
      <c r="AC526" s="565"/>
      <c r="AD526" s="565"/>
      <c r="AE526" s="565"/>
      <c r="AF526" s="565"/>
      <c r="AG526" s="565"/>
      <c r="AH526" s="565"/>
      <c r="AI526" s="565"/>
      <c r="AJ526" s="565"/>
      <c r="AK526" s="565"/>
      <c r="AL526" s="565"/>
      <c r="AM526" s="565"/>
      <c r="AN526" s="565"/>
      <c r="AO526" s="565"/>
      <c r="AP526" s="565"/>
      <c r="AQ526" s="565"/>
      <c r="AR526" s="565"/>
      <c r="AS526" s="565"/>
      <c r="AT526" s="565"/>
      <c r="AU526" s="181"/>
      <c r="AV526" s="558"/>
    </row>
    <row r="527" ht="11.25" customHeight="1">
      <c r="A527" s="565"/>
      <c r="B527" s="181"/>
      <c r="C527" s="565"/>
      <c r="D527" s="565"/>
      <c r="E527" s="565"/>
      <c r="F527" s="565"/>
      <c r="G527" s="565"/>
      <c r="H527" s="565"/>
      <c r="I527" s="565"/>
      <c r="J527" s="565"/>
      <c r="K527" s="565"/>
      <c r="L527" s="565"/>
      <c r="M527" s="565"/>
      <c r="N527" s="565"/>
      <c r="O527" s="565"/>
      <c r="P527" s="565"/>
      <c r="Q527" s="565"/>
      <c r="R527" s="565"/>
      <c r="S527" s="565"/>
      <c r="T527" s="565"/>
      <c r="U527" s="565"/>
      <c r="V527" s="565"/>
      <c r="W527" s="565"/>
      <c r="X527" s="565"/>
      <c r="Y527" s="565"/>
      <c r="Z527" s="565"/>
      <c r="AA527" s="565"/>
      <c r="AB527" s="565"/>
      <c r="AC527" s="565"/>
      <c r="AD527" s="565"/>
      <c r="AE527" s="565"/>
      <c r="AF527" s="565"/>
      <c r="AG527" s="565"/>
      <c r="AH527" s="565"/>
      <c r="AI527" s="565"/>
      <c r="AJ527" s="565"/>
      <c r="AK527" s="565"/>
      <c r="AL527" s="565"/>
      <c r="AM527" s="565"/>
      <c r="AN527" s="565"/>
      <c r="AO527" s="565"/>
      <c r="AP527" s="565"/>
      <c r="AQ527" s="565"/>
      <c r="AR527" s="565"/>
      <c r="AS527" s="565"/>
      <c r="AT527" s="565"/>
      <c r="AU527" s="181"/>
      <c r="AV527" s="558"/>
    </row>
    <row r="528" ht="11.25" customHeight="1">
      <c r="A528" s="565"/>
      <c r="B528" s="181"/>
      <c r="C528" s="565"/>
      <c r="D528" s="565"/>
      <c r="E528" s="565"/>
      <c r="F528" s="565"/>
      <c r="G528" s="565"/>
      <c r="H528" s="565"/>
      <c r="I528" s="565"/>
      <c r="J528" s="565"/>
      <c r="K528" s="565"/>
      <c r="L528" s="565"/>
      <c r="M528" s="565"/>
      <c r="N528" s="565"/>
      <c r="O528" s="565"/>
      <c r="P528" s="565"/>
      <c r="Q528" s="565"/>
      <c r="R528" s="565"/>
      <c r="S528" s="565"/>
      <c r="T528" s="565"/>
      <c r="U528" s="565"/>
      <c r="V528" s="565"/>
      <c r="W528" s="565"/>
      <c r="X528" s="565"/>
      <c r="Y528" s="565"/>
      <c r="Z528" s="565"/>
      <c r="AA528" s="565"/>
      <c r="AB528" s="565"/>
      <c r="AC528" s="565"/>
      <c r="AD528" s="565"/>
      <c r="AE528" s="565"/>
      <c r="AF528" s="565"/>
      <c r="AG528" s="565"/>
      <c r="AH528" s="565"/>
      <c r="AI528" s="565"/>
      <c r="AJ528" s="565"/>
      <c r="AK528" s="565"/>
      <c r="AL528" s="565"/>
      <c r="AM528" s="565"/>
      <c r="AN528" s="565"/>
      <c r="AO528" s="565"/>
      <c r="AP528" s="565"/>
      <c r="AQ528" s="565"/>
      <c r="AR528" s="565"/>
      <c r="AS528" s="565"/>
      <c r="AT528" s="565"/>
      <c r="AU528" s="181"/>
      <c r="AV528" s="558"/>
    </row>
    <row r="529" ht="11.25" customHeight="1">
      <c r="A529" s="565"/>
      <c r="B529" s="181"/>
      <c r="C529" s="565"/>
      <c r="D529" s="565"/>
      <c r="E529" s="565"/>
      <c r="F529" s="565"/>
      <c r="G529" s="565"/>
      <c r="H529" s="565"/>
      <c r="I529" s="565"/>
      <c r="J529" s="565"/>
      <c r="K529" s="565"/>
      <c r="L529" s="565"/>
      <c r="M529" s="565"/>
      <c r="N529" s="565"/>
      <c r="O529" s="565"/>
      <c r="P529" s="565"/>
      <c r="Q529" s="565"/>
      <c r="R529" s="565"/>
      <c r="S529" s="565"/>
      <c r="T529" s="565"/>
      <c r="U529" s="565"/>
      <c r="V529" s="565"/>
      <c r="W529" s="565"/>
      <c r="X529" s="565"/>
      <c r="Y529" s="565"/>
      <c r="Z529" s="565"/>
      <c r="AA529" s="565"/>
      <c r="AB529" s="565"/>
      <c r="AC529" s="565"/>
      <c r="AD529" s="565"/>
      <c r="AE529" s="565"/>
      <c r="AF529" s="565"/>
      <c r="AG529" s="565"/>
      <c r="AH529" s="565"/>
      <c r="AI529" s="565"/>
      <c r="AJ529" s="565"/>
      <c r="AK529" s="565"/>
      <c r="AL529" s="565"/>
      <c r="AM529" s="565"/>
      <c r="AN529" s="565"/>
      <c r="AO529" s="565"/>
      <c r="AP529" s="565"/>
      <c r="AQ529" s="565"/>
      <c r="AR529" s="565"/>
      <c r="AS529" s="565"/>
      <c r="AT529" s="565"/>
      <c r="AU529" s="181"/>
      <c r="AV529" s="558"/>
    </row>
    <row r="530" ht="11.25" customHeight="1">
      <c r="A530" s="565"/>
      <c r="B530" s="181"/>
      <c r="C530" s="565"/>
      <c r="D530" s="565"/>
      <c r="E530" s="565"/>
      <c r="F530" s="565"/>
      <c r="G530" s="565"/>
      <c r="H530" s="565"/>
      <c r="I530" s="565"/>
      <c r="J530" s="565"/>
      <c r="K530" s="565"/>
      <c r="L530" s="565"/>
      <c r="M530" s="565"/>
      <c r="N530" s="565"/>
      <c r="O530" s="565"/>
      <c r="P530" s="565"/>
      <c r="Q530" s="565"/>
      <c r="R530" s="565"/>
      <c r="S530" s="565"/>
      <c r="T530" s="565"/>
      <c r="U530" s="565"/>
      <c r="V530" s="565"/>
      <c r="W530" s="565"/>
      <c r="X530" s="565"/>
      <c r="Y530" s="565"/>
      <c r="Z530" s="565"/>
      <c r="AA530" s="565"/>
      <c r="AB530" s="565"/>
      <c r="AC530" s="565"/>
      <c r="AD530" s="565"/>
      <c r="AE530" s="565"/>
      <c r="AF530" s="565"/>
      <c r="AG530" s="565"/>
      <c r="AH530" s="565"/>
      <c r="AI530" s="565"/>
      <c r="AJ530" s="565"/>
      <c r="AK530" s="565"/>
      <c r="AL530" s="565"/>
      <c r="AM530" s="565"/>
      <c r="AN530" s="565"/>
      <c r="AO530" s="565"/>
      <c r="AP530" s="565"/>
      <c r="AQ530" s="565"/>
      <c r="AR530" s="565"/>
      <c r="AS530" s="565"/>
      <c r="AT530" s="565"/>
      <c r="AU530" s="181"/>
      <c r="AV530" s="558"/>
    </row>
    <row r="531" ht="11.25" customHeight="1">
      <c r="A531" s="565"/>
      <c r="B531" s="181"/>
      <c r="C531" s="565"/>
      <c r="D531" s="565"/>
      <c r="E531" s="565"/>
      <c r="F531" s="565"/>
      <c r="G531" s="565"/>
      <c r="H531" s="565"/>
      <c r="I531" s="565"/>
      <c r="J531" s="565"/>
      <c r="K531" s="565"/>
      <c r="L531" s="565"/>
      <c r="M531" s="565"/>
      <c r="N531" s="565"/>
      <c r="O531" s="565"/>
      <c r="P531" s="565"/>
      <c r="Q531" s="565"/>
      <c r="R531" s="565"/>
      <c r="S531" s="565"/>
      <c r="T531" s="565"/>
      <c r="U531" s="565"/>
      <c r="V531" s="565"/>
      <c r="W531" s="565"/>
      <c r="X531" s="565"/>
      <c r="Y531" s="565"/>
      <c r="Z531" s="565"/>
      <c r="AA531" s="565"/>
      <c r="AB531" s="565"/>
      <c r="AC531" s="565"/>
      <c r="AD531" s="565"/>
      <c r="AE531" s="565"/>
      <c r="AF531" s="565"/>
      <c r="AG531" s="565"/>
      <c r="AH531" s="565"/>
      <c r="AI531" s="565"/>
      <c r="AJ531" s="565"/>
      <c r="AK531" s="565"/>
      <c r="AL531" s="565"/>
      <c r="AM531" s="565"/>
      <c r="AN531" s="565"/>
      <c r="AO531" s="565"/>
      <c r="AP531" s="565"/>
      <c r="AQ531" s="565"/>
      <c r="AR531" s="565"/>
      <c r="AS531" s="565"/>
      <c r="AT531" s="565"/>
      <c r="AU531" s="181"/>
      <c r="AV531" s="558"/>
    </row>
    <row r="532" ht="11.25" customHeight="1">
      <c r="A532" s="565"/>
      <c r="B532" s="181"/>
      <c r="C532" s="565"/>
      <c r="D532" s="565"/>
      <c r="E532" s="565"/>
      <c r="F532" s="565"/>
      <c r="G532" s="565"/>
      <c r="H532" s="565"/>
      <c r="I532" s="565"/>
      <c r="J532" s="565"/>
      <c r="K532" s="565"/>
      <c r="L532" s="565"/>
      <c r="M532" s="565"/>
      <c r="N532" s="565"/>
      <c r="O532" s="565"/>
      <c r="P532" s="565"/>
      <c r="Q532" s="565"/>
      <c r="R532" s="565"/>
      <c r="S532" s="565"/>
      <c r="T532" s="565"/>
      <c r="U532" s="565"/>
      <c r="V532" s="565"/>
      <c r="W532" s="565"/>
      <c r="X532" s="565"/>
      <c r="Y532" s="565"/>
      <c r="Z532" s="565"/>
      <c r="AA532" s="565"/>
      <c r="AB532" s="565"/>
      <c r="AC532" s="565"/>
      <c r="AD532" s="565"/>
      <c r="AE532" s="565"/>
      <c r="AF532" s="565"/>
      <c r="AG532" s="565"/>
      <c r="AH532" s="565"/>
      <c r="AI532" s="565"/>
      <c r="AJ532" s="565"/>
      <c r="AK532" s="565"/>
      <c r="AL532" s="565"/>
      <c r="AM532" s="565"/>
      <c r="AN532" s="565"/>
      <c r="AO532" s="565"/>
      <c r="AP532" s="565"/>
      <c r="AQ532" s="565"/>
      <c r="AR532" s="565"/>
      <c r="AS532" s="565"/>
      <c r="AT532" s="565"/>
      <c r="AU532" s="181"/>
      <c r="AV532" s="558"/>
    </row>
    <row r="533" ht="11.25" customHeight="1">
      <c r="A533" s="565"/>
      <c r="B533" s="181"/>
      <c r="C533" s="565"/>
      <c r="D533" s="565"/>
      <c r="E533" s="565"/>
      <c r="F533" s="565"/>
      <c r="G533" s="565"/>
      <c r="H533" s="565"/>
      <c r="I533" s="565"/>
      <c r="J533" s="565"/>
      <c r="K533" s="565"/>
      <c r="L533" s="565"/>
      <c r="M533" s="565"/>
      <c r="N533" s="565"/>
      <c r="O533" s="565"/>
      <c r="P533" s="565"/>
      <c r="Q533" s="565"/>
      <c r="R533" s="565"/>
      <c r="S533" s="565"/>
      <c r="T533" s="565"/>
      <c r="U533" s="565"/>
      <c r="V533" s="565"/>
      <c r="W533" s="565"/>
      <c r="X533" s="565"/>
      <c r="Y533" s="565"/>
      <c r="Z533" s="565"/>
      <c r="AA533" s="565"/>
      <c r="AB533" s="565"/>
      <c r="AC533" s="565"/>
      <c r="AD533" s="565"/>
      <c r="AE533" s="565"/>
      <c r="AF533" s="565"/>
      <c r="AG533" s="565"/>
      <c r="AH533" s="565"/>
      <c r="AI533" s="565"/>
      <c r="AJ533" s="565"/>
      <c r="AK533" s="565"/>
      <c r="AL533" s="565"/>
      <c r="AM533" s="565"/>
      <c r="AN533" s="565"/>
      <c r="AO533" s="565"/>
      <c r="AP533" s="565"/>
      <c r="AQ533" s="565"/>
      <c r="AR533" s="565"/>
      <c r="AS533" s="565"/>
      <c r="AT533" s="565"/>
      <c r="AU533" s="181"/>
      <c r="AV533" s="558"/>
    </row>
    <row r="534" ht="11.25" customHeight="1">
      <c r="A534" s="565"/>
      <c r="B534" s="181"/>
      <c r="C534" s="565"/>
      <c r="D534" s="565"/>
      <c r="E534" s="565"/>
      <c r="F534" s="565"/>
      <c r="G534" s="565"/>
      <c r="H534" s="565"/>
      <c r="I534" s="565"/>
      <c r="J534" s="565"/>
      <c r="K534" s="565"/>
      <c r="L534" s="565"/>
      <c r="M534" s="565"/>
      <c r="N534" s="565"/>
      <c r="O534" s="565"/>
      <c r="P534" s="565"/>
      <c r="Q534" s="565"/>
      <c r="R534" s="565"/>
      <c r="S534" s="565"/>
      <c r="T534" s="565"/>
      <c r="U534" s="565"/>
      <c r="V534" s="565"/>
      <c r="W534" s="565"/>
      <c r="X534" s="565"/>
      <c r="Y534" s="565"/>
      <c r="Z534" s="565"/>
      <c r="AA534" s="565"/>
      <c r="AB534" s="565"/>
      <c r="AC534" s="565"/>
      <c r="AD534" s="565"/>
      <c r="AE534" s="565"/>
      <c r="AF534" s="565"/>
      <c r="AG534" s="565"/>
      <c r="AH534" s="565"/>
      <c r="AI534" s="565"/>
      <c r="AJ534" s="565"/>
      <c r="AK534" s="565"/>
      <c r="AL534" s="565"/>
      <c r="AM534" s="565"/>
      <c r="AN534" s="565"/>
      <c r="AO534" s="565"/>
      <c r="AP534" s="565"/>
      <c r="AQ534" s="565"/>
      <c r="AR534" s="565"/>
      <c r="AS534" s="565"/>
      <c r="AT534" s="565"/>
      <c r="AU534" s="181"/>
      <c r="AV534" s="558"/>
    </row>
    <row r="535" ht="11.25" customHeight="1">
      <c r="A535" s="565"/>
      <c r="B535" s="181"/>
      <c r="C535" s="565"/>
      <c r="D535" s="565"/>
      <c r="E535" s="565"/>
      <c r="F535" s="565"/>
      <c r="G535" s="565"/>
      <c r="H535" s="565"/>
      <c r="I535" s="565"/>
      <c r="J535" s="565"/>
      <c r="K535" s="565"/>
      <c r="L535" s="565"/>
      <c r="M535" s="565"/>
      <c r="N535" s="565"/>
      <c r="O535" s="565"/>
      <c r="P535" s="565"/>
      <c r="Q535" s="565"/>
      <c r="R535" s="565"/>
      <c r="S535" s="565"/>
      <c r="T535" s="565"/>
      <c r="U535" s="565"/>
      <c r="V535" s="565"/>
      <c r="W535" s="565"/>
      <c r="X535" s="565"/>
      <c r="Y535" s="565"/>
      <c r="Z535" s="565"/>
      <c r="AA535" s="565"/>
      <c r="AB535" s="565"/>
      <c r="AC535" s="565"/>
      <c r="AD535" s="565"/>
      <c r="AE535" s="565"/>
      <c r="AF535" s="565"/>
      <c r="AG535" s="565"/>
      <c r="AH535" s="565"/>
      <c r="AI535" s="565"/>
      <c r="AJ535" s="565"/>
      <c r="AK535" s="565"/>
      <c r="AL535" s="565"/>
      <c r="AM535" s="565"/>
      <c r="AN535" s="565"/>
      <c r="AO535" s="565"/>
      <c r="AP535" s="565"/>
      <c r="AQ535" s="565"/>
      <c r="AR535" s="565"/>
      <c r="AS535" s="565"/>
      <c r="AT535" s="565"/>
      <c r="AU535" s="181"/>
      <c r="AV535" s="558"/>
    </row>
    <row r="536" ht="11.25" customHeight="1">
      <c r="A536" s="565"/>
      <c r="B536" s="181"/>
      <c r="C536" s="565"/>
      <c r="D536" s="565"/>
      <c r="E536" s="565"/>
      <c r="F536" s="565"/>
      <c r="G536" s="565"/>
      <c r="H536" s="565"/>
      <c r="I536" s="565"/>
      <c r="J536" s="565"/>
      <c r="K536" s="565"/>
      <c r="L536" s="565"/>
      <c r="M536" s="565"/>
      <c r="N536" s="565"/>
      <c r="O536" s="565"/>
      <c r="P536" s="565"/>
      <c r="Q536" s="565"/>
      <c r="R536" s="565"/>
      <c r="S536" s="565"/>
      <c r="T536" s="565"/>
      <c r="U536" s="565"/>
      <c r="V536" s="565"/>
      <c r="W536" s="565"/>
      <c r="X536" s="565"/>
      <c r="Y536" s="565"/>
      <c r="Z536" s="565"/>
      <c r="AA536" s="565"/>
      <c r="AB536" s="565"/>
      <c r="AC536" s="565"/>
      <c r="AD536" s="565"/>
      <c r="AE536" s="565"/>
      <c r="AF536" s="565"/>
      <c r="AG536" s="565"/>
      <c r="AH536" s="565"/>
      <c r="AI536" s="565"/>
      <c r="AJ536" s="565"/>
      <c r="AK536" s="565"/>
      <c r="AL536" s="565"/>
      <c r="AM536" s="565"/>
      <c r="AN536" s="565"/>
      <c r="AO536" s="565"/>
      <c r="AP536" s="565"/>
      <c r="AQ536" s="565"/>
      <c r="AR536" s="565"/>
      <c r="AS536" s="565"/>
      <c r="AT536" s="565"/>
      <c r="AU536" s="181"/>
      <c r="AV536" s="558"/>
    </row>
    <row r="537" ht="11.25" customHeight="1">
      <c r="A537" s="565"/>
      <c r="B537" s="181"/>
      <c r="C537" s="565"/>
      <c r="D537" s="565"/>
      <c r="E537" s="565"/>
      <c r="F537" s="565"/>
      <c r="G537" s="565"/>
      <c r="H537" s="565"/>
      <c r="I537" s="565"/>
      <c r="J537" s="565"/>
      <c r="K537" s="565"/>
      <c r="L537" s="565"/>
      <c r="M537" s="565"/>
      <c r="N537" s="565"/>
      <c r="O537" s="565"/>
      <c r="P537" s="565"/>
      <c r="Q537" s="565"/>
      <c r="R537" s="565"/>
      <c r="S537" s="565"/>
      <c r="T537" s="565"/>
      <c r="U537" s="565"/>
      <c r="V537" s="565"/>
      <c r="W537" s="565"/>
      <c r="X537" s="565"/>
      <c r="Y537" s="565"/>
      <c r="Z537" s="565"/>
      <c r="AA537" s="565"/>
      <c r="AB537" s="565"/>
      <c r="AC537" s="565"/>
      <c r="AD537" s="565"/>
      <c r="AE537" s="565"/>
      <c r="AF537" s="565"/>
      <c r="AG537" s="565"/>
      <c r="AH537" s="565"/>
      <c r="AI537" s="565"/>
      <c r="AJ537" s="565"/>
      <c r="AK537" s="565"/>
      <c r="AL537" s="565"/>
      <c r="AM537" s="565"/>
      <c r="AN537" s="565"/>
      <c r="AO537" s="565"/>
      <c r="AP537" s="565"/>
      <c r="AQ537" s="565"/>
      <c r="AR537" s="565"/>
      <c r="AS537" s="565"/>
      <c r="AT537" s="565"/>
      <c r="AU537" s="181"/>
      <c r="AV537" s="558"/>
    </row>
    <row r="538" ht="11.25" customHeight="1">
      <c r="A538" s="565"/>
      <c r="B538" s="181"/>
      <c r="C538" s="565"/>
      <c r="D538" s="565"/>
      <c r="E538" s="565"/>
      <c r="F538" s="565"/>
      <c r="G538" s="565"/>
      <c r="H538" s="565"/>
      <c r="I538" s="565"/>
      <c r="J538" s="565"/>
      <c r="K538" s="565"/>
      <c r="L538" s="565"/>
      <c r="M538" s="565"/>
      <c r="N538" s="565"/>
      <c r="O538" s="565"/>
      <c r="P538" s="565"/>
      <c r="Q538" s="565"/>
      <c r="R538" s="565"/>
      <c r="S538" s="565"/>
      <c r="T538" s="565"/>
      <c r="U538" s="565"/>
      <c r="V538" s="565"/>
      <c r="W538" s="565"/>
      <c r="X538" s="565"/>
      <c r="Y538" s="565"/>
      <c r="Z538" s="565"/>
      <c r="AA538" s="565"/>
      <c r="AB538" s="565"/>
      <c r="AC538" s="565"/>
      <c r="AD538" s="565"/>
      <c r="AE538" s="565"/>
      <c r="AF538" s="565"/>
      <c r="AG538" s="565"/>
      <c r="AH538" s="565"/>
      <c r="AI538" s="565"/>
      <c r="AJ538" s="565"/>
      <c r="AK538" s="565"/>
      <c r="AL538" s="565"/>
      <c r="AM538" s="565"/>
      <c r="AN538" s="565"/>
      <c r="AO538" s="565"/>
      <c r="AP538" s="565"/>
      <c r="AQ538" s="565"/>
      <c r="AR538" s="565"/>
      <c r="AS538" s="565"/>
      <c r="AT538" s="565"/>
      <c r="AU538" s="181"/>
      <c r="AV538" s="558"/>
    </row>
    <row r="539" ht="11.25" customHeight="1">
      <c r="A539" s="565"/>
      <c r="B539" s="181"/>
      <c r="C539" s="565"/>
      <c r="D539" s="565"/>
      <c r="E539" s="565"/>
      <c r="F539" s="565"/>
      <c r="G539" s="565"/>
      <c r="H539" s="565"/>
      <c r="I539" s="565"/>
      <c r="J539" s="565"/>
      <c r="K539" s="565"/>
      <c r="L539" s="565"/>
      <c r="M539" s="565"/>
      <c r="N539" s="565"/>
      <c r="O539" s="565"/>
      <c r="P539" s="565"/>
      <c r="Q539" s="565"/>
      <c r="R539" s="565"/>
      <c r="S539" s="565"/>
      <c r="T539" s="565"/>
      <c r="U539" s="565"/>
      <c r="V539" s="565"/>
      <c r="W539" s="565"/>
      <c r="X539" s="565"/>
      <c r="Y539" s="565"/>
      <c r="Z539" s="565"/>
      <c r="AA539" s="565"/>
      <c r="AB539" s="565"/>
      <c r="AC539" s="565"/>
      <c r="AD539" s="565"/>
      <c r="AE539" s="565"/>
      <c r="AF539" s="565"/>
      <c r="AG539" s="565"/>
      <c r="AH539" s="565"/>
      <c r="AI539" s="565"/>
      <c r="AJ539" s="565"/>
      <c r="AK539" s="565"/>
      <c r="AL539" s="565"/>
      <c r="AM539" s="565"/>
      <c r="AN539" s="565"/>
      <c r="AO539" s="565"/>
      <c r="AP539" s="565"/>
      <c r="AQ539" s="565"/>
      <c r="AR539" s="565"/>
      <c r="AS539" s="565"/>
      <c r="AT539" s="565"/>
      <c r="AU539" s="181"/>
      <c r="AV539" s="558"/>
    </row>
    <row r="540" ht="11.25" customHeight="1">
      <c r="A540" s="565"/>
      <c r="B540" s="181"/>
      <c r="C540" s="565"/>
      <c r="D540" s="565"/>
      <c r="E540" s="565"/>
      <c r="F540" s="565"/>
      <c r="G540" s="565"/>
      <c r="H540" s="565"/>
      <c r="I540" s="565"/>
      <c r="J540" s="565"/>
      <c r="K540" s="565"/>
      <c r="L540" s="565"/>
      <c r="M540" s="565"/>
      <c r="N540" s="565"/>
      <c r="O540" s="565"/>
      <c r="P540" s="565"/>
      <c r="Q540" s="565"/>
      <c r="R540" s="565"/>
      <c r="S540" s="565"/>
      <c r="T540" s="565"/>
      <c r="U540" s="565"/>
      <c r="V540" s="565"/>
      <c r="W540" s="565"/>
      <c r="X540" s="565"/>
      <c r="Y540" s="565"/>
      <c r="Z540" s="565"/>
      <c r="AA540" s="565"/>
      <c r="AB540" s="565"/>
      <c r="AC540" s="565"/>
      <c r="AD540" s="565"/>
      <c r="AE540" s="565"/>
      <c r="AF540" s="565"/>
      <c r="AG540" s="565"/>
      <c r="AH540" s="565"/>
      <c r="AI540" s="565"/>
      <c r="AJ540" s="565"/>
      <c r="AK540" s="565"/>
      <c r="AL540" s="565"/>
      <c r="AM540" s="565"/>
      <c r="AN540" s="565"/>
      <c r="AO540" s="565"/>
      <c r="AP540" s="565"/>
      <c r="AQ540" s="565"/>
      <c r="AR540" s="565"/>
      <c r="AS540" s="565"/>
      <c r="AT540" s="565"/>
      <c r="AU540" s="181"/>
      <c r="AV540" s="558"/>
    </row>
    <row r="541" ht="11.25" customHeight="1">
      <c r="A541" s="565"/>
      <c r="B541" s="181"/>
      <c r="C541" s="565"/>
      <c r="D541" s="565"/>
      <c r="E541" s="565"/>
      <c r="F541" s="565"/>
      <c r="G541" s="565"/>
      <c r="H541" s="565"/>
      <c r="I541" s="565"/>
      <c r="J541" s="565"/>
      <c r="K541" s="565"/>
      <c r="L541" s="565"/>
      <c r="M541" s="565"/>
      <c r="N541" s="565"/>
      <c r="O541" s="565"/>
      <c r="P541" s="565"/>
      <c r="Q541" s="565"/>
      <c r="R541" s="565"/>
      <c r="S541" s="565"/>
      <c r="T541" s="565"/>
      <c r="U541" s="565"/>
      <c r="V541" s="565"/>
      <c r="W541" s="565"/>
      <c r="X541" s="565"/>
      <c r="Y541" s="565"/>
      <c r="Z541" s="565"/>
      <c r="AA541" s="565"/>
      <c r="AB541" s="565"/>
      <c r="AC541" s="565"/>
      <c r="AD541" s="565"/>
      <c r="AE541" s="565"/>
      <c r="AF541" s="565"/>
      <c r="AG541" s="565"/>
      <c r="AH541" s="565"/>
      <c r="AI541" s="565"/>
      <c r="AJ541" s="565"/>
      <c r="AK541" s="565"/>
      <c r="AL541" s="565"/>
      <c r="AM541" s="565"/>
      <c r="AN541" s="565"/>
      <c r="AO541" s="565"/>
      <c r="AP541" s="565"/>
      <c r="AQ541" s="565"/>
      <c r="AR541" s="565"/>
      <c r="AS541" s="565"/>
      <c r="AT541" s="565"/>
      <c r="AU541" s="181"/>
      <c r="AV541" s="558"/>
    </row>
    <row r="542" ht="11.25" customHeight="1">
      <c r="A542" s="565"/>
      <c r="B542" s="181"/>
      <c r="C542" s="565"/>
      <c r="D542" s="565"/>
      <c r="E542" s="565"/>
      <c r="F542" s="565"/>
      <c r="G542" s="565"/>
      <c r="H542" s="565"/>
      <c r="I542" s="565"/>
      <c r="J542" s="565"/>
      <c r="K542" s="565"/>
      <c r="L542" s="565"/>
      <c r="M542" s="565"/>
      <c r="N542" s="565"/>
      <c r="O542" s="565"/>
      <c r="P542" s="565"/>
      <c r="Q542" s="565"/>
      <c r="R542" s="565"/>
      <c r="S542" s="565"/>
      <c r="T542" s="565"/>
      <c r="U542" s="565"/>
      <c r="V542" s="565"/>
      <c r="W542" s="565"/>
      <c r="X542" s="565"/>
      <c r="Y542" s="565"/>
      <c r="Z542" s="565"/>
      <c r="AA542" s="565"/>
      <c r="AB542" s="565"/>
      <c r="AC542" s="565"/>
      <c r="AD542" s="565"/>
      <c r="AE542" s="565"/>
      <c r="AF542" s="565"/>
      <c r="AG542" s="565"/>
      <c r="AH542" s="565"/>
      <c r="AI542" s="565"/>
      <c r="AJ542" s="565"/>
      <c r="AK542" s="565"/>
      <c r="AL542" s="565"/>
      <c r="AM542" s="565"/>
      <c r="AN542" s="565"/>
      <c r="AO542" s="565"/>
      <c r="AP542" s="565"/>
      <c r="AQ542" s="565"/>
      <c r="AR542" s="565"/>
      <c r="AS542" s="565"/>
      <c r="AT542" s="565"/>
      <c r="AU542" s="181"/>
      <c r="AV542" s="558"/>
    </row>
    <row r="543" ht="11.25" customHeight="1">
      <c r="A543" s="565"/>
      <c r="B543" s="181"/>
      <c r="C543" s="565"/>
      <c r="D543" s="565"/>
      <c r="E543" s="565"/>
      <c r="F543" s="565"/>
      <c r="G543" s="565"/>
      <c r="H543" s="565"/>
      <c r="I543" s="565"/>
      <c r="J543" s="565"/>
      <c r="K543" s="565"/>
      <c r="L543" s="565"/>
      <c r="M543" s="565"/>
      <c r="N543" s="565"/>
      <c r="O543" s="565"/>
      <c r="P543" s="565"/>
      <c r="Q543" s="565"/>
      <c r="R543" s="565"/>
      <c r="S543" s="565"/>
      <c r="T543" s="565"/>
      <c r="U543" s="565"/>
      <c r="V543" s="565"/>
      <c r="W543" s="565"/>
      <c r="X543" s="565"/>
      <c r="Y543" s="565"/>
      <c r="Z543" s="565"/>
      <c r="AA543" s="565"/>
      <c r="AB543" s="565"/>
      <c r="AC543" s="565"/>
      <c r="AD543" s="565"/>
      <c r="AE543" s="565"/>
      <c r="AF543" s="565"/>
      <c r="AG543" s="565"/>
      <c r="AH543" s="565"/>
      <c r="AI543" s="565"/>
      <c r="AJ543" s="565"/>
      <c r="AK543" s="565"/>
      <c r="AL543" s="565"/>
      <c r="AM543" s="565"/>
      <c r="AN543" s="565"/>
      <c r="AO543" s="565"/>
      <c r="AP543" s="565"/>
      <c r="AQ543" s="565"/>
      <c r="AR543" s="565"/>
      <c r="AS543" s="565"/>
      <c r="AT543" s="565"/>
      <c r="AU543" s="181"/>
      <c r="AV543" s="558"/>
    </row>
    <row r="544" ht="11.25" customHeight="1">
      <c r="A544" s="565"/>
      <c r="B544" s="181"/>
      <c r="C544" s="565"/>
      <c r="D544" s="565"/>
      <c r="E544" s="565"/>
      <c r="F544" s="565"/>
      <c r="G544" s="565"/>
      <c r="H544" s="565"/>
      <c r="I544" s="565"/>
      <c r="J544" s="565"/>
      <c r="K544" s="565"/>
      <c r="L544" s="565"/>
      <c r="M544" s="565"/>
      <c r="N544" s="565"/>
      <c r="O544" s="565"/>
      <c r="P544" s="565"/>
      <c r="Q544" s="565"/>
      <c r="R544" s="565"/>
      <c r="S544" s="565"/>
      <c r="T544" s="565"/>
      <c r="U544" s="565"/>
      <c r="V544" s="565"/>
      <c r="W544" s="565"/>
      <c r="X544" s="565"/>
      <c r="Y544" s="565"/>
      <c r="Z544" s="565"/>
      <c r="AA544" s="565"/>
      <c r="AB544" s="565"/>
      <c r="AC544" s="565"/>
      <c r="AD544" s="565"/>
      <c r="AE544" s="565"/>
      <c r="AF544" s="565"/>
      <c r="AG544" s="565"/>
      <c r="AH544" s="565"/>
      <c r="AI544" s="565"/>
      <c r="AJ544" s="565"/>
      <c r="AK544" s="565"/>
      <c r="AL544" s="565"/>
      <c r="AM544" s="565"/>
      <c r="AN544" s="565"/>
      <c r="AO544" s="565"/>
      <c r="AP544" s="565"/>
      <c r="AQ544" s="565"/>
      <c r="AR544" s="565"/>
      <c r="AS544" s="565"/>
      <c r="AT544" s="565"/>
      <c r="AU544" s="181"/>
      <c r="AV544" s="558"/>
    </row>
    <row r="545" ht="11.25" customHeight="1">
      <c r="A545" s="565"/>
      <c r="B545" s="181"/>
      <c r="C545" s="565"/>
      <c r="D545" s="565"/>
      <c r="E545" s="565"/>
      <c r="F545" s="565"/>
      <c r="G545" s="565"/>
      <c r="H545" s="565"/>
      <c r="I545" s="565"/>
      <c r="J545" s="565"/>
      <c r="K545" s="565"/>
      <c r="L545" s="565"/>
      <c r="M545" s="565"/>
      <c r="N545" s="565"/>
      <c r="O545" s="565"/>
      <c r="P545" s="565"/>
      <c r="Q545" s="565"/>
      <c r="R545" s="565"/>
      <c r="S545" s="565"/>
      <c r="T545" s="565"/>
      <c r="U545" s="565"/>
      <c r="V545" s="565"/>
      <c r="W545" s="565"/>
      <c r="X545" s="565"/>
      <c r="Y545" s="565"/>
      <c r="Z545" s="565"/>
      <c r="AA545" s="565"/>
      <c r="AB545" s="565"/>
      <c r="AC545" s="565"/>
      <c r="AD545" s="565"/>
      <c r="AE545" s="565"/>
      <c r="AF545" s="565"/>
      <c r="AG545" s="565"/>
      <c r="AH545" s="565"/>
      <c r="AI545" s="565"/>
      <c r="AJ545" s="565"/>
      <c r="AK545" s="565"/>
      <c r="AL545" s="565"/>
      <c r="AM545" s="565"/>
      <c r="AN545" s="565"/>
      <c r="AO545" s="565"/>
      <c r="AP545" s="565"/>
      <c r="AQ545" s="565"/>
      <c r="AR545" s="565"/>
      <c r="AS545" s="565"/>
      <c r="AT545" s="565"/>
      <c r="AU545" s="181"/>
      <c r="AV545" s="558"/>
    </row>
    <row r="546" ht="11.25" customHeight="1">
      <c r="A546" s="565"/>
      <c r="B546" s="181"/>
      <c r="C546" s="565"/>
      <c r="D546" s="565"/>
      <c r="E546" s="565"/>
      <c r="F546" s="565"/>
      <c r="G546" s="565"/>
      <c r="H546" s="565"/>
      <c r="I546" s="565"/>
      <c r="J546" s="565"/>
      <c r="K546" s="565"/>
      <c r="L546" s="565"/>
      <c r="M546" s="565"/>
      <c r="N546" s="565"/>
      <c r="O546" s="565"/>
      <c r="P546" s="565"/>
      <c r="Q546" s="565"/>
      <c r="R546" s="565"/>
      <c r="S546" s="565"/>
      <c r="T546" s="565"/>
      <c r="U546" s="565"/>
      <c r="V546" s="565"/>
      <c r="W546" s="565"/>
      <c r="X546" s="565"/>
      <c r="Y546" s="565"/>
      <c r="Z546" s="565"/>
      <c r="AA546" s="565"/>
      <c r="AB546" s="565"/>
      <c r="AC546" s="565"/>
      <c r="AD546" s="565"/>
      <c r="AE546" s="565"/>
      <c r="AF546" s="565"/>
      <c r="AG546" s="565"/>
      <c r="AH546" s="565"/>
      <c r="AI546" s="565"/>
      <c r="AJ546" s="565"/>
      <c r="AK546" s="565"/>
      <c r="AL546" s="565"/>
      <c r="AM546" s="565"/>
      <c r="AN546" s="565"/>
      <c r="AO546" s="565"/>
      <c r="AP546" s="565"/>
      <c r="AQ546" s="565"/>
      <c r="AR546" s="565"/>
      <c r="AS546" s="565"/>
      <c r="AT546" s="565"/>
      <c r="AU546" s="181"/>
      <c r="AV546" s="558"/>
    </row>
    <row r="547" ht="11.25" customHeight="1">
      <c r="A547" s="565"/>
      <c r="B547" s="181"/>
      <c r="C547" s="565"/>
      <c r="D547" s="565"/>
      <c r="E547" s="565"/>
      <c r="F547" s="565"/>
      <c r="G547" s="565"/>
      <c r="H547" s="565"/>
      <c r="I547" s="565"/>
      <c r="J547" s="565"/>
      <c r="K547" s="565"/>
      <c r="L547" s="565"/>
      <c r="M547" s="565"/>
      <c r="N547" s="565"/>
      <c r="O547" s="565"/>
      <c r="P547" s="565"/>
      <c r="Q547" s="565"/>
      <c r="R547" s="565"/>
      <c r="S547" s="565"/>
      <c r="T547" s="565"/>
      <c r="U547" s="565"/>
      <c r="V547" s="565"/>
      <c r="W547" s="565"/>
      <c r="X547" s="565"/>
      <c r="Y547" s="565"/>
      <c r="Z547" s="565"/>
      <c r="AA547" s="565"/>
      <c r="AB547" s="565"/>
      <c r="AC547" s="565"/>
      <c r="AD547" s="565"/>
      <c r="AE547" s="565"/>
      <c r="AF547" s="565"/>
      <c r="AG547" s="565"/>
      <c r="AH547" s="565"/>
      <c r="AI547" s="565"/>
      <c r="AJ547" s="565"/>
      <c r="AK547" s="565"/>
      <c r="AL547" s="565"/>
      <c r="AM547" s="565"/>
      <c r="AN547" s="565"/>
      <c r="AO547" s="565"/>
      <c r="AP547" s="565"/>
      <c r="AQ547" s="565"/>
      <c r="AR547" s="565"/>
      <c r="AS547" s="565"/>
      <c r="AT547" s="565"/>
      <c r="AU547" s="181"/>
      <c r="AV547" s="558"/>
    </row>
    <row r="548" ht="11.25" customHeight="1">
      <c r="A548" s="565"/>
      <c r="B548" s="181"/>
      <c r="C548" s="565"/>
      <c r="D548" s="565"/>
      <c r="E548" s="565"/>
      <c r="F548" s="565"/>
      <c r="G548" s="565"/>
      <c r="H548" s="565"/>
      <c r="I548" s="565"/>
      <c r="J548" s="565"/>
      <c r="K548" s="565"/>
      <c r="L548" s="565"/>
      <c r="M548" s="565"/>
      <c r="N548" s="565"/>
      <c r="O548" s="565"/>
      <c r="P548" s="565"/>
      <c r="Q548" s="565"/>
      <c r="R548" s="565"/>
      <c r="S548" s="565"/>
      <c r="T548" s="565"/>
      <c r="U548" s="565"/>
      <c r="V548" s="565"/>
      <c r="W548" s="565"/>
      <c r="X548" s="565"/>
      <c r="Y548" s="565"/>
      <c r="Z548" s="565"/>
      <c r="AA548" s="565"/>
      <c r="AB548" s="565"/>
      <c r="AC548" s="565"/>
      <c r="AD548" s="565"/>
      <c r="AE548" s="565"/>
      <c r="AF548" s="565"/>
      <c r="AG548" s="565"/>
      <c r="AH548" s="565"/>
      <c r="AI548" s="565"/>
      <c r="AJ548" s="565"/>
      <c r="AK548" s="565"/>
      <c r="AL548" s="565"/>
      <c r="AM548" s="565"/>
      <c r="AN548" s="565"/>
      <c r="AO548" s="565"/>
      <c r="AP548" s="565"/>
      <c r="AQ548" s="565"/>
      <c r="AR548" s="565"/>
      <c r="AS548" s="565"/>
      <c r="AT548" s="565"/>
      <c r="AU548" s="181"/>
      <c r="AV548" s="558"/>
    </row>
    <row r="549" ht="11.25" customHeight="1">
      <c r="A549" s="565"/>
      <c r="B549" s="181"/>
      <c r="C549" s="565"/>
      <c r="D549" s="565"/>
      <c r="E549" s="565"/>
      <c r="F549" s="565"/>
      <c r="G549" s="565"/>
      <c r="H549" s="565"/>
      <c r="I549" s="565"/>
      <c r="J549" s="565"/>
      <c r="K549" s="565"/>
      <c r="L549" s="565"/>
      <c r="M549" s="565"/>
      <c r="N549" s="565"/>
      <c r="O549" s="565"/>
      <c r="P549" s="565"/>
      <c r="Q549" s="565"/>
      <c r="R549" s="565"/>
      <c r="S549" s="565"/>
      <c r="T549" s="565"/>
      <c r="U549" s="565"/>
      <c r="V549" s="565"/>
      <c r="W549" s="565"/>
      <c r="X549" s="565"/>
      <c r="Y549" s="565"/>
      <c r="Z549" s="565"/>
      <c r="AA549" s="565"/>
      <c r="AB549" s="565"/>
      <c r="AC549" s="565"/>
      <c r="AD549" s="565"/>
      <c r="AE549" s="565"/>
      <c r="AF549" s="565"/>
      <c r="AG549" s="565"/>
      <c r="AH549" s="565"/>
      <c r="AI549" s="565"/>
      <c r="AJ549" s="565"/>
      <c r="AK549" s="565"/>
      <c r="AL549" s="565"/>
      <c r="AM549" s="565"/>
      <c r="AN549" s="565"/>
      <c r="AO549" s="565"/>
      <c r="AP549" s="565"/>
      <c r="AQ549" s="565"/>
      <c r="AR549" s="565"/>
      <c r="AS549" s="565"/>
      <c r="AT549" s="565"/>
      <c r="AU549" s="181"/>
      <c r="AV549" s="558"/>
    </row>
    <row r="550" ht="11.25" customHeight="1">
      <c r="A550" s="565"/>
      <c r="B550" s="181"/>
      <c r="C550" s="565"/>
      <c r="D550" s="565"/>
      <c r="E550" s="565"/>
      <c r="F550" s="565"/>
      <c r="G550" s="565"/>
      <c r="H550" s="565"/>
      <c r="I550" s="565"/>
      <c r="J550" s="565"/>
      <c r="K550" s="565"/>
      <c r="L550" s="565"/>
      <c r="M550" s="565"/>
      <c r="N550" s="565"/>
      <c r="O550" s="565"/>
      <c r="P550" s="565"/>
      <c r="Q550" s="565"/>
      <c r="R550" s="565"/>
      <c r="S550" s="565"/>
      <c r="T550" s="565"/>
      <c r="U550" s="565"/>
      <c r="V550" s="565"/>
      <c r="W550" s="565"/>
      <c r="X550" s="565"/>
      <c r="Y550" s="565"/>
      <c r="Z550" s="565"/>
      <c r="AA550" s="565"/>
      <c r="AB550" s="565"/>
      <c r="AC550" s="565"/>
      <c r="AD550" s="565"/>
      <c r="AE550" s="565"/>
      <c r="AF550" s="565"/>
      <c r="AG550" s="565"/>
      <c r="AH550" s="565"/>
      <c r="AI550" s="565"/>
      <c r="AJ550" s="565"/>
      <c r="AK550" s="565"/>
      <c r="AL550" s="565"/>
      <c r="AM550" s="565"/>
      <c r="AN550" s="565"/>
      <c r="AO550" s="565"/>
      <c r="AP550" s="565"/>
      <c r="AQ550" s="565"/>
      <c r="AR550" s="565"/>
      <c r="AS550" s="565"/>
      <c r="AT550" s="565"/>
      <c r="AU550" s="181"/>
      <c r="AV550" s="558"/>
    </row>
    <row r="551" ht="11.25" customHeight="1">
      <c r="A551" s="565"/>
      <c r="B551" s="181"/>
      <c r="C551" s="565"/>
      <c r="D551" s="565"/>
      <c r="E551" s="565"/>
      <c r="F551" s="565"/>
      <c r="G551" s="565"/>
      <c r="H551" s="565"/>
      <c r="I551" s="565"/>
      <c r="J551" s="565"/>
      <c r="K551" s="565"/>
      <c r="L551" s="565"/>
      <c r="M551" s="565"/>
      <c r="N551" s="565"/>
      <c r="O551" s="565"/>
      <c r="P551" s="565"/>
      <c r="Q551" s="565"/>
      <c r="R551" s="565"/>
      <c r="S551" s="565"/>
      <c r="T551" s="565"/>
      <c r="U551" s="565"/>
      <c r="V551" s="565"/>
      <c r="W551" s="565"/>
      <c r="X551" s="565"/>
      <c r="Y551" s="565"/>
      <c r="Z551" s="565"/>
      <c r="AA551" s="565"/>
      <c r="AB551" s="565"/>
      <c r="AC551" s="565"/>
      <c r="AD551" s="565"/>
      <c r="AE551" s="565"/>
      <c r="AF551" s="565"/>
      <c r="AG551" s="565"/>
      <c r="AH551" s="565"/>
      <c r="AI551" s="565"/>
      <c r="AJ551" s="565"/>
      <c r="AK551" s="565"/>
      <c r="AL551" s="565"/>
      <c r="AM551" s="565"/>
      <c r="AN551" s="565"/>
      <c r="AO551" s="565"/>
      <c r="AP551" s="565"/>
      <c r="AQ551" s="565"/>
      <c r="AR551" s="565"/>
      <c r="AS551" s="565"/>
      <c r="AT551" s="565"/>
      <c r="AU551" s="181"/>
      <c r="AV551" s="558"/>
    </row>
    <row r="552" ht="11.25" customHeight="1">
      <c r="A552" s="565"/>
      <c r="B552" s="181"/>
      <c r="C552" s="565"/>
      <c r="D552" s="565"/>
      <c r="E552" s="565"/>
      <c r="F552" s="565"/>
      <c r="G552" s="565"/>
      <c r="H552" s="565"/>
      <c r="I552" s="565"/>
      <c r="J552" s="565"/>
      <c r="K552" s="565"/>
      <c r="L552" s="565"/>
      <c r="M552" s="565"/>
      <c r="N552" s="565"/>
      <c r="O552" s="565"/>
      <c r="P552" s="565"/>
      <c r="Q552" s="565"/>
      <c r="R552" s="565"/>
      <c r="S552" s="565"/>
      <c r="T552" s="565"/>
      <c r="U552" s="565"/>
      <c r="V552" s="565"/>
      <c r="W552" s="565"/>
      <c r="X552" s="565"/>
      <c r="Y552" s="565"/>
      <c r="Z552" s="565"/>
      <c r="AA552" s="565"/>
      <c r="AB552" s="565"/>
      <c r="AC552" s="565"/>
      <c r="AD552" s="565"/>
      <c r="AE552" s="565"/>
      <c r="AF552" s="565"/>
      <c r="AG552" s="565"/>
      <c r="AH552" s="565"/>
      <c r="AI552" s="565"/>
      <c r="AJ552" s="565"/>
      <c r="AK552" s="565"/>
      <c r="AL552" s="565"/>
      <c r="AM552" s="565"/>
      <c r="AN552" s="565"/>
      <c r="AO552" s="565"/>
      <c r="AP552" s="565"/>
      <c r="AQ552" s="565"/>
      <c r="AR552" s="565"/>
      <c r="AS552" s="565"/>
      <c r="AT552" s="565"/>
      <c r="AU552" s="181"/>
      <c r="AV552" s="558"/>
    </row>
    <row r="553" ht="11.25" customHeight="1">
      <c r="A553" s="565"/>
      <c r="B553" s="181"/>
      <c r="C553" s="565"/>
      <c r="D553" s="565"/>
      <c r="E553" s="565"/>
      <c r="F553" s="565"/>
      <c r="G553" s="565"/>
      <c r="H553" s="565"/>
      <c r="I553" s="565"/>
      <c r="J553" s="565"/>
      <c r="K553" s="565"/>
      <c r="L553" s="565"/>
      <c r="M553" s="565"/>
      <c r="N553" s="565"/>
      <c r="O553" s="565"/>
      <c r="P553" s="565"/>
      <c r="Q553" s="565"/>
      <c r="R553" s="565"/>
      <c r="S553" s="565"/>
      <c r="T553" s="565"/>
      <c r="U553" s="565"/>
      <c r="V553" s="565"/>
      <c r="W553" s="565"/>
      <c r="X553" s="565"/>
      <c r="Y553" s="565"/>
      <c r="Z553" s="565"/>
      <c r="AA553" s="565"/>
      <c r="AB553" s="565"/>
      <c r="AC553" s="565"/>
      <c r="AD553" s="565"/>
      <c r="AE553" s="565"/>
      <c r="AF553" s="565"/>
      <c r="AG553" s="565"/>
      <c r="AH553" s="565"/>
      <c r="AI553" s="565"/>
      <c r="AJ553" s="565"/>
      <c r="AK553" s="565"/>
      <c r="AL553" s="565"/>
      <c r="AM553" s="565"/>
      <c r="AN553" s="565"/>
      <c r="AO553" s="565"/>
      <c r="AP553" s="565"/>
      <c r="AQ553" s="565"/>
      <c r="AR553" s="565"/>
      <c r="AS553" s="565"/>
      <c r="AT553" s="565"/>
      <c r="AU553" s="181"/>
      <c r="AV553" s="558"/>
    </row>
    <row r="554" ht="11.25" customHeight="1">
      <c r="A554" s="565"/>
      <c r="B554" s="181"/>
      <c r="C554" s="565"/>
      <c r="D554" s="565"/>
      <c r="E554" s="565"/>
      <c r="F554" s="565"/>
      <c r="G554" s="565"/>
      <c r="H554" s="565"/>
      <c r="I554" s="565"/>
      <c r="J554" s="565"/>
      <c r="K554" s="565"/>
      <c r="L554" s="565"/>
      <c r="M554" s="565"/>
      <c r="N554" s="565"/>
      <c r="O554" s="565"/>
      <c r="P554" s="565"/>
      <c r="Q554" s="565"/>
      <c r="R554" s="565"/>
      <c r="S554" s="565"/>
      <c r="T554" s="565"/>
      <c r="U554" s="565"/>
      <c r="V554" s="565"/>
      <c r="W554" s="565"/>
      <c r="X554" s="565"/>
      <c r="Y554" s="565"/>
      <c r="Z554" s="565"/>
      <c r="AA554" s="565"/>
      <c r="AB554" s="565"/>
      <c r="AC554" s="565"/>
      <c r="AD554" s="565"/>
      <c r="AE554" s="565"/>
      <c r="AF554" s="565"/>
      <c r="AG554" s="565"/>
      <c r="AH554" s="565"/>
      <c r="AI554" s="565"/>
      <c r="AJ554" s="565"/>
      <c r="AK554" s="565"/>
      <c r="AL554" s="565"/>
      <c r="AM554" s="565"/>
      <c r="AN554" s="565"/>
      <c r="AO554" s="565"/>
      <c r="AP554" s="565"/>
      <c r="AQ554" s="565"/>
      <c r="AR554" s="565"/>
      <c r="AS554" s="565"/>
      <c r="AT554" s="565"/>
      <c r="AU554" s="181"/>
      <c r="AV554" s="558"/>
    </row>
    <row r="555" ht="11.25" customHeight="1">
      <c r="A555" s="565"/>
      <c r="B555" s="181"/>
      <c r="C555" s="565"/>
      <c r="D555" s="565"/>
      <c r="E555" s="565"/>
      <c r="F555" s="565"/>
      <c r="G555" s="565"/>
      <c r="H555" s="565"/>
      <c r="I555" s="565"/>
      <c r="J555" s="565"/>
      <c r="K555" s="565"/>
      <c r="L555" s="565"/>
      <c r="M555" s="565"/>
      <c r="N555" s="565"/>
      <c r="O555" s="565"/>
      <c r="P555" s="565"/>
      <c r="Q555" s="565"/>
      <c r="R555" s="565"/>
      <c r="S555" s="565"/>
      <c r="T555" s="565"/>
      <c r="U555" s="565"/>
      <c r="V555" s="565"/>
      <c r="W555" s="565"/>
      <c r="X555" s="565"/>
      <c r="Y555" s="565"/>
      <c r="Z555" s="565"/>
      <c r="AA555" s="565"/>
      <c r="AB555" s="565"/>
      <c r="AC555" s="565"/>
      <c r="AD555" s="565"/>
      <c r="AE555" s="565"/>
      <c r="AF555" s="565"/>
      <c r="AG555" s="565"/>
      <c r="AH555" s="565"/>
      <c r="AI555" s="565"/>
      <c r="AJ555" s="565"/>
      <c r="AK555" s="565"/>
      <c r="AL555" s="565"/>
      <c r="AM555" s="565"/>
      <c r="AN555" s="565"/>
      <c r="AO555" s="565"/>
      <c r="AP555" s="565"/>
      <c r="AQ555" s="565"/>
      <c r="AR555" s="565"/>
      <c r="AS555" s="565"/>
      <c r="AT555" s="565"/>
      <c r="AU555" s="181"/>
      <c r="AV555" s="558"/>
    </row>
    <row r="556" ht="11.25" customHeight="1">
      <c r="A556" s="565"/>
      <c r="B556" s="181"/>
      <c r="C556" s="565"/>
      <c r="D556" s="565"/>
      <c r="E556" s="565"/>
      <c r="F556" s="565"/>
      <c r="G556" s="565"/>
      <c r="H556" s="565"/>
      <c r="I556" s="565"/>
      <c r="J556" s="565"/>
      <c r="K556" s="565"/>
      <c r="L556" s="565"/>
      <c r="M556" s="565"/>
      <c r="N556" s="565"/>
      <c r="O556" s="565"/>
      <c r="P556" s="565"/>
      <c r="Q556" s="565"/>
      <c r="R556" s="565"/>
      <c r="S556" s="565"/>
      <c r="T556" s="565"/>
      <c r="U556" s="565"/>
      <c r="V556" s="565"/>
      <c r="W556" s="565"/>
      <c r="X556" s="565"/>
      <c r="Y556" s="565"/>
      <c r="Z556" s="565"/>
      <c r="AA556" s="565"/>
      <c r="AB556" s="565"/>
      <c r="AC556" s="565"/>
      <c r="AD556" s="565"/>
      <c r="AE556" s="565"/>
      <c r="AF556" s="565"/>
      <c r="AG556" s="565"/>
      <c r="AH556" s="565"/>
      <c r="AI556" s="565"/>
      <c r="AJ556" s="565"/>
      <c r="AK556" s="565"/>
      <c r="AL556" s="565"/>
      <c r="AM556" s="565"/>
      <c r="AN556" s="565"/>
      <c r="AO556" s="565"/>
      <c r="AP556" s="565"/>
      <c r="AQ556" s="565"/>
      <c r="AR556" s="565"/>
      <c r="AS556" s="565"/>
      <c r="AT556" s="565"/>
      <c r="AU556" s="181"/>
      <c r="AV556" s="558"/>
    </row>
    <row r="557" ht="11.25" customHeight="1">
      <c r="A557" s="565"/>
      <c r="B557" s="181"/>
      <c r="C557" s="565"/>
      <c r="D557" s="565"/>
      <c r="E557" s="565"/>
      <c r="F557" s="565"/>
      <c r="G557" s="565"/>
      <c r="H557" s="565"/>
      <c r="I557" s="565"/>
      <c r="J557" s="565"/>
      <c r="K557" s="565"/>
      <c r="L557" s="565"/>
      <c r="M557" s="565"/>
      <c r="N557" s="565"/>
      <c r="O557" s="565"/>
      <c r="P557" s="565"/>
      <c r="Q557" s="565"/>
      <c r="R557" s="565"/>
      <c r="S557" s="565"/>
      <c r="T557" s="565"/>
      <c r="U557" s="565"/>
      <c r="V557" s="565"/>
      <c r="W557" s="565"/>
      <c r="X557" s="565"/>
      <c r="Y557" s="565"/>
      <c r="Z557" s="565"/>
      <c r="AA557" s="565"/>
      <c r="AB557" s="565"/>
      <c r="AC557" s="565"/>
      <c r="AD557" s="565"/>
      <c r="AE557" s="565"/>
      <c r="AF557" s="565"/>
      <c r="AG557" s="565"/>
      <c r="AH557" s="565"/>
      <c r="AI557" s="565"/>
      <c r="AJ557" s="565"/>
      <c r="AK557" s="565"/>
      <c r="AL557" s="565"/>
      <c r="AM557" s="565"/>
      <c r="AN557" s="565"/>
      <c r="AO557" s="565"/>
      <c r="AP557" s="565"/>
      <c r="AQ557" s="565"/>
      <c r="AR557" s="565"/>
      <c r="AS557" s="565"/>
      <c r="AT557" s="565"/>
      <c r="AU557" s="181"/>
      <c r="AV557" s="558"/>
    </row>
    <row r="558" ht="11.25" customHeight="1">
      <c r="A558" s="565"/>
      <c r="B558" s="181"/>
      <c r="C558" s="565"/>
      <c r="D558" s="565"/>
      <c r="E558" s="565"/>
      <c r="F558" s="565"/>
      <c r="G558" s="565"/>
      <c r="H558" s="565"/>
      <c r="I558" s="565"/>
      <c r="J558" s="565"/>
      <c r="K558" s="565"/>
      <c r="L558" s="565"/>
      <c r="M558" s="565"/>
      <c r="N558" s="565"/>
      <c r="O558" s="565"/>
      <c r="P558" s="565"/>
      <c r="Q558" s="565"/>
      <c r="R558" s="565"/>
      <c r="S558" s="565"/>
      <c r="T558" s="565"/>
      <c r="U558" s="565"/>
      <c r="V558" s="565"/>
      <c r="W558" s="565"/>
      <c r="X558" s="565"/>
      <c r="Y558" s="565"/>
      <c r="Z558" s="565"/>
      <c r="AA558" s="565"/>
      <c r="AB558" s="565"/>
      <c r="AC558" s="565"/>
      <c r="AD558" s="565"/>
      <c r="AE558" s="565"/>
      <c r="AF558" s="565"/>
      <c r="AG558" s="565"/>
      <c r="AH558" s="565"/>
      <c r="AI558" s="565"/>
      <c r="AJ558" s="565"/>
      <c r="AK558" s="565"/>
      <c r="AL558" s="565"/>
      <c r="AM558" s="565"/>
      <c r="AN558" s="565"/>
      <c r="AO558" s="565"/>
      <c r="AP558" s="565"/>
      <c r="AQ558" s="565"/>
      <c r="AR558" s="565"/>
      <c r="AS558" s="565"/>
      <c r="AT558" s="565"/>
      <c r="AU558" s="181"/>
      <c r="AV558" s="558"/>
    </row>
    <row r="559" ht="11.25" customHeight="1">
      <c r="A559" s="565"/>
      <c r="B559" s="181"/>
      <c r="C559" s="565"/>
      <c r="D559" s="565"/>
      <c r="E559" s="565"/>
      <c r="F559" s="565"/>
      <c r="G559" s="565"/>
      <c r="H559" s="565"/>
      <c r="I559" s="565"/>
      <c r="J559" s="565"/>
      <c r="K559" s="565"/>
      <c r="L559" s="565"/>
      <c r="M559" s="565"/>
      <c r="N559" s="565"/>
      <c r="O559" s="565"/>
      <c r="P559" s="565"/>
      <c r="Q559" s="565"/>
      <c r="R559" s="565"/>
      <c r="S559" s="565"/>
      <c r="T559" s="565"/>
      <c r="U559" s="565"/>
      <c r="V559" s="565"/>
      <c r="W559" s="565"/>
      <c r="X559" s="565"/>
      <c r="Y559" s="565"/>
      <c r="Z559" s="565"/>
      <c r="AA559" s="565"/>
      <c r="AB559" s="565"/>
      <c r="AC559" s="565"/>
      <c r="AD559" s="565"/>
      <c r="AE559" s="565"/>
      <c r="AF559" s="565"/>
      <c r="AG559" s="565"/>
      <c r="AH559" s="565"/>
      <c r="AI559" s="565"/>
      <c r="AJ559" s="565"/>
      <c r="AK559" s="565"/>
      <c r="AL559" s="565"/>
      <c r="AM559" s="565"/>
      <c r="AN559" s="565"/>
      <c r="AO559" s="565"/>
      <c r="AP559" s="565"/>
      <c r="AQ559" s="565"/>
      <c r="AR559" s="565"/>
      <c r="AS559" s="565"/>
      <c r="AT559" s="565"/>
      <c r="AU559" s="181"/>
      <c r="AV559" s="558"/>
    </row>
    <row r="560" ht="11.25" customHeight="1">
      <c r="A560" s="565"/>
      <c r="B560" s="181"/>
      <c r="C560" s="565"/>
      <c r="D560" s="565"/>
      <c r="E560" s="565"/>
      <c r="F560" s="565"/>
      <c r="G560" s="565"/>
      <c r="H560" s="565"/>
      <c r="I560" s="565"/>
      <c r="J560" s="565"/>
      <c r="K560" s="565"/>
      <c r="L560" s="565"/>
      <c r="M560" s="565"/>
      <c r="N560" s="565"/>
      <c r="O560" s="565"/>
      <c r="P560" s="565"/>
      <c r="Q560" s="565"/>
      <c r="R560" s="565"/>
      <c r="S560" s="565"/>
      <c r="T560" s="565"/>
      <c r="U560" s="565"/>
      <c r="V560" s="565"/>
      <c r="W560" s="565"/>
      <c r="X560" s="565"/>
      <c r="Y560" s="565"/>
      <c r="Z560" s="565"/>
      <c r="AA560" s="565"/>
      <c r="AB560" s="565"/>
      <c r="AC560" s="565"/>
      <c r="AD560" s="565"/>
      <c r="AE560" s="565"/>
      <c r="AF560" s="565"/>
      <c r="AG560" s="565"/>
      <c r="AH560" s="565"/>
      <c r="AI560" s="565"/>
      <c r="AJ560" s="565"/>
      <c r="AK560" s="565"/>
      <c r="AL560" s="565"/>
      <c r="AM560" s="565"/>
      <c r="AN560" s="565"/>
      <c r="AO560" s="565"/>
      <c r="AP560" s="565"/>
      <c r="AQ560" s="565"/>
      <c r="AR560" s="565"/>
      <c r="AS560" s="565"/>
      <c r="AT560" s="565"/>
      <c r="AU560" s="181"/>
      <c r="AV560" s="558"/>
    </row>
    <row r="561" ht="11.25" customHeight="1">
      <c r="A561" s="565"/>
      <c r="B561" s="181"/>
      <c r="C561" s="565"/>
      <c r="D561" s="565"/>
      <c r="E561" s="565"/>
      <c r="F561" s="565"/>
      <c r="G561" s="565"/>
      <c r="H561" s="565"/>
      <c r="I561" s="565"/>
      <c r="J561" s="565"/>
      <c r="K561" s="565"/>
      <c r="L561" s="565"/>
      <c r="M561" s="565"/>
      <c r="N561" s="565"/>
      <c r="O561" s="565"/>
      <c r="P561" s="565"/>
      <c r="Q561" s="565"/>
      <c r="R561" s="565"/>
      <c r="S561" s="565"/>
      <c r="T561" s="565"/>
      <c r="U561" s="565"/>
      <c r="V561" s="565"/>
      <c r="W561" s="565"/>
      <c r="X561" s="565"/>
      <c r="Y561" s="565"/>
      <c r="Z561" s="565"/>
      <c r="AA561" s="565"/>
      <c r="AB561" s="565"/>
      <c r="AC561" s="565"/>
      <c r="AD561" s="565"/>
      <c r="AE561" s="565"/>
      <c r="AF561" s="565"/>
      <c r="AG561" s="565"/>
      <c r="AH561" s="565"/>
      <c r="AI561" s="565"/>
      <c r="AJ561" s="565"/>
      <c r="AK561" s="565"/>
      <c r="AL561" s="565"/>
      <c r="AM561" s="565"/>
      <c r="AN561" s="565"/>
      <c r="AO561" s="565"/>
      <c r="AP561" s="565"/>
      <c r="AQ561" s="565"/>
      <c r="AR561" s="565"/>
      <c r="AS561" s="565"/>
      <c r="AT561" s="565"/>
      <c r="AU561" s="181"/>
      <c r="AV561" s="558"/>
    </row>
    <row r="562" ht="11.25" customHeight="1">
      <c r="A562" s="565"/>
      <c r="B562" s="181"/>
      <c r="C562" s="565"/>
      <c r="D562" s="565"/>
      <c r="E562" s="565"/>
      <c r="F562" s="565"/>
      <c r="G562" s="565"/>
      <c r="H562" s="565"/>
      <c r="I562" s="565"/>
      <c r="J562" s="565"/>
      <c r="K562" s="565"/>
      <c r="L562" s="565"/>
      <c r="M562" s="565"/>
      <c r="N562" s="565"/>
      <c r="O562" s="565"/>
      <c r="P562" s="565"/>
      <c r="Q562" s="565"/>
      <c r="R562" s="565"/>
      <c r="S562" s="565"/>
      <c r="T562" s="565"/>
      <c r="U562" s="565"/>
      <c r="V562" s="565"/>
      <c r="W562" s="565"/>
      <c r="X562" s="565"/>
      <c r="Y562" s="565"/>
      <c r="Z562" s="565"/>
      <c r="AA562" s="565"/>
      <c r="AB562" s="565"/>
      <c r="AC562" s="565"/>
      <c r="AD562" s="565"/>
      <c r="AE562" s="565"/>
      <c r="AF562" s="565"/>
      <c r="AG562" s="565"/>
      <c r="AH562" s="565"/>
      <c r="AI562" s="565"/>
      <c r="AJ562" s="565"/>
      <c r="AK562" s="565"/>
      <c r="AL562" s="565"/>
      <c r="AM562" s="565"/>
      <c r="AN562" s="565"/>
      <c r="AO562" s="565"/>
      <c r="AP562" s="565"/>
      <c r="AQ562" s="565"/>
      <c r="AR562" s="565"/>
      <c r="AS562" s="565"/>
      <c r="AT562" s="565"/>
      <c r="AU562" s="181"/>
      <c r="AV562" s="558"/>
    </row>
    <row r="563" ht="11.25" customHeight="1">
      <c r="A563" s="565"/>
      <c r="B563" s="181"/>
      <c r="C563" s="565"/>
      <c r="D563" s="565"/>
      <c r="E563" s="565"/>
      <c r="F563" s="565"/>
      <c r="G563" s="565"/>
      <c r="H563" s="565"/>
      <c r="I563" s="565"/>
      <c r="J563" s="565"/>
      <c r="K563" s="565"/>
      <c r="L563" s="565"/>
      <c r="M563" s="565"/>
      <c r="N563" s="565"/>
      <c r="O563" s="565"/>
      <c r="P563" s="565"/>
      <c r="Q563" s="565"/>
      <c r="R563" s="565"/>
      <c r="S563" s="565"/>
      <c r="T563" s="565"/>
      <c r="U563" s="565"/>
      <c r="V563" s="565"/>
      <c r="W563" s="565"/>
      <c r="X563" s="565"/>
      <c r="Y563" s="565"/>
      <c r="Z563" s="565"/>
      <c r="AA563" s="565"/>
      <c r="AB563" s="565"/>
      <c r="AC563" s="565"/>
      <c r="AD563" s="565"/>
      <c r="AE563" s="565"/>
      <c r="AF563" s="565"/>
      <c r="AG563" s="565"/>
      <c r="AH563" s="565"/>
      <c r="AI563" s="565"/>
      <c r="AJ563" s="565"/>
      <c r="AK563" s="565"/>
      <c r="AL563" s="565"/>
      <c r="AM563" s="565"/>
      <c r="AN563" s="565"/>
      <c r="AO563" s="565"/>
      <c r="AP563" s="565"/>
      <c r="AQ563" s="565"/>
      <c r="AR563" s="565"/>
      <c r="AS563" s="565"/>
      <c r="AT563" s="565"/>
      <c r="AU563" s="181"/>
      <c r="AV563" s="558"/>
    </row>
    <row r="564" ht="11.25" customHeight="1">
      <c r="A564" s="565"/>
      <c r="B564" s="181"/>
      <c r="C564" s="565"/>
      <c r="D564" s="565"/>
      <c r="E564" s="565"/>
      <c r="F564" s="565"/>
      <c r="G564" s="565"/>
      <c r="H564" s="565"/>
      <c r="I564" s="565"/>
      <c r="J564" s="565"/>
      <c r="K564" s="565"/>
      <c r="L564" s="565"/>
      <c r="M564" s="565"/>
      <c r="N564" s="565"/>
      <c r="O564" s="565"/>
      <c r="P564" s="565"/>
      <c r="Q564" s="565"/>
      <c r="R564" s="565"/>
      <c r="S564" s="565"/>
      <c r="T564" s="565"/>
      <c r="U564" s="565"/>
      <c r="V564" s="565"/>
      <c r="W564" s="565"/>
      <c r="X564" s="565"/>
      <c r="Y564" s="565"/>
      <c r="Z564" s="565"/>
      <c r="AA564" s="565"/>
      <c r="AB564" s="565"/>
      <c r="AC564" s="565"/>
      <c r="AD564" s="565"/>
      <c r="AE564" s="565"/>
      <c r="AF564" s="565"/>
      <c r="AG564" s="565"/>
      <c r="AH564" s="565"/>
      <c r="AI564" s="565"/>
      <c r="AJ564" s="565"/>
      <c r="AK564" s="565"/>
      <c r="AL564" s="565"/>
      <c r="AM564" s="565"/>
      <c r="AN564" s="565"/>
      <c r="AO564" s="565"/>
      <c r="AP564" s="565"/>
      <c r="AQ564" s="565"/>
      <c r="AR564" s="565"/>
      <c r="AS564" s="565"/>
      <c r="AT564" s="565"/>
      <c r="AU564" s="181"/>
      <c r="AV564" s="558"/>
    </row>
    <row r="565" ht="11.25" customHeight="1">
      <c r="A565" s="565"/>
      <c r="B565" s="181"/>
      <c r="C565" s="565"/>
      <c r="D565" s="565"/>
      <c r="E565" s="565"/>
      <c r="F565" s="565"/>
      <c r="G565" s="565"/>
      <c r="H565" s="565"/>
      <c r="I565" s="565"/>
      <c r="J565" s="565"/>
      <c r="K565" s="565"/>
      <c r="L565" s="565"/>
      <c r="M565" s="565"/>
      <c r="N565" s="565"/>
      <c r="O565" s="565"/>
      <c r="P565" s="565"/>
      <c r="Q565" s="565"/>
      <c r="R565" s="565"/>
      <c r="S565" s="565"/>
      <c r="T565" s="565"/>
      <c r="U565" s="565"/>
      <c r="V565" s="565"/>
      <c r="W565" s="565"/>
      <c r="X565" s="565"/>
      <c r="Y565" s="565"/>
      <c r="Z565" s="565"/>
      <c r="AA565" s="565"/>
      <c r="AB565" s="565"/>
      <c r="AC565" s="565"/>
      <c r="AD565" s="565"/>
      <c r="AE565" s="565"/>
      <c r="AF565" s="565"/>
      <c r="AG565" s="565"/>
      <c r="AH565" s="565"/>
      <c r="AI565" s="565"/>
      <c r="AJ565" s="565"/>
      <c r="AK565" s="565"/>
      <c r="AL565" s="565"/>
      <c r="AM565" s="565"/>
      <c r="AN565" s="565"/>
      <c r="AO565" s="565"/>
      <c r="AP565" s="565"/>
      <c r="AQ565" s="565"/>
      <c r="AR565" s="565"/>
      <c r="AS565" s="565"/>
      <c r="AT565" s="565"/>
      <c r="AU565" s="181"/>
      <c r="AV565" s="558"/>
    </row>
    <row r="566" ht="11.25" customHeight="1">
      <c r="A566" s="565"/>
      <c r="B566" s="181"/>
      <c r="C566" s="565"/>
      <c r="D566" s="565"/>
      <c r="E566" s="565"/>
      <c r="F566" s="565"/>
      <c r="G566" s="565"/>
      <c r="H566" s="565"/>
      <c r="I566" s="565"/>
      <c r="J566" s="565"/>
      <c r="K566" s="565"/>
      <c r="L566" s="565"/>
      <c r="M566" s="565"/>
      <c r="N566" s="565"/>
      <c r="O566" s="565"/>
      <c r="P566" s="565"/>
      <c r="Q566" s="565"/>
      <c r="R566" s="565"/>
      <c r="S566" s="565"/>
      <c r="T566" s="565"/>
      <c r="U566" s="565"/>
      <c r="V566" s="565"/>
      <c r="W566" s="565"/>
      <c r="X566" s="565"/>
      <c r="Y566" s="565"/>
      <c r="Z566" s="565"/>
      <c r="AA566" s="565"/>
      <c r="AB566" s="565"/>
      <c r="AC566" s="565"/>
      <c r="AD566" s="565"/>
      <c r="AE566" s="565"/>
      <c r="AF566" s="565"/>
      <c r="AG566" s="565"/>
      <c r="AH566" s="565"/>
      <c r="AI566" s="565"/>
      <c r="AJ566" s="565"/>
      <c r="AK566" s="565"/>
      <c r="AL566" s="565"/>
      <c r="AM566" s="565"/>
      <c r="AN566" s="565"/>
      <c r="AO566" s="565"/>
      <c r="AP566" s="565"/>
      <c r="AQ566" s="565"/>
      <c r="AR566" s="565"/>
      <c r="AS566" s="565"/>
      <c r="AT566" s="565"/>
      <c r="AU566" s="181"/>
      <c r="AV566" s="558"/>
    </row>
    <row r="567" ht="11.25" customHeight="1">
      <c r="A567" s="565"/>
      <c r="B567" s="181"/>
      <c r="C567" s="565"/>
      <c r="D567" s="565"/>
      <c r="E567" s="565"/>
      <c r="F567" s="565"/>
      <c r="G567" s="565"/>
      <c r="H567" s="565"/>
      <c r="I567" s="565"/>
      <c r="J567" s="565"/>
      <c r="K567" s="565"/>
      <c r="L567" s="565"/>
      <c r="M567" s="565"/>
      <c r="N567" s="565"/>
      <c r="O567" s="565"/>
      <c r="P567" s="565"/>
      <c r="Q567" s="565"/>
      <c r="R567" s="565"/>
      <c r="S567" s="565"/>
      <c r="T567" s="565"/>
      <c r="U567" s="565"/>
      <c r="V567" s="565"/>
      <c r="W567" s="565"/>
      <c r="X567" s="565"/>
      <c r="Y567" s="565"/>
      <c r="Z567" s="565"/>
      <c r="AA567" s="565"/>
      <c r="AB567" s="565"/>
      <c r="AC567" s="565"/>
      <c r="AD567" s="565"/>
      <c r="AE567" s="565"/>
      <c r="AF567" s="565"/>
      <c r="AG567" s="565"/>
      <c r="AH567" s="565"/>
      <c r="AI567" s="565"/>
      <c r="AJ567" s="565"/>
      <c r="AK567" s="565"/>
      <c r="AL567" s="565"/>
      <c r="AM567" s="565"/>
      <c r="AN567" s="565"/>
      <c r="AO567" s="565"/>
      <c r="AP567" s="565"/>
      <c r="AQ567" s="565"/>
      <c r="AR567" s="565"/>
      <c r="AS567" s="565"/>
      <c r="AT567" s="565"/>
      <c r="AU567" s="181"/>
      <c r="AV567" s="558"/>
    </row>
    <row r="568" ht="11.25" customHeight="1">
      <c r="A568" s="565"/>
      <c r="B568" s="181"/>
      <c r="C568" s="565"/>
      <c r="D568" s="565"/>
      <c r="E568" s="565"/>
      <c r="F568" s="565"/>
      <c r="G568" s="565"/>
      <c r="H568" s="565"/>
      <c r="I568" s="565"/>
      <c r="J568" s="565"/>
      <c r="K568" s="565"/>
      <c r="L568" s="565"/>
      <c r="M568" s="565"/>
      <c r="N568" s="565"/>
      <c r="O568" s="565"/>
      <c r="P568" s="565"/>
      <c r="Q568" s="565"/>
      <c r="R568" s="565"/>
      <c r="S568" s="565"/>
      <c r="T568" s="565"/>
      <c r="U568" s="565"/>
      <c r="V568" s="565"/>
      <c r="W568" s="565"/>
      <c r="X568" s="565"/>
      <c r="Y568" s="565"/>
      <c r="Z568" s="565"/>
      <c r="AA568" s="565"/>
      <c r="AB568" s="565"/>
      <c r="AC568" s="565"/>
      <c r="AD568" s="565"/>
      <c r="AE568" s="565"/>
      <c r="AF568" s="565"/>
      <c r="AG568" s="565"/>
      <c r="AH568" s="565"/>
      <c r="AI568" s="565"/>
      <c r="AJ568" s="565"/>
      <c r="AK568" s="565"/>
      <c r="AL568" s="565"/>
      <c r="AM568" s="565"/>
      <c r="AN568" s="565"/>
      <c r="AO568" s="565"/>
      <c r="AP568" s="565"/>
      <c r="AQ568" s="565"/>
      <c r="AR568" s="565"/>
      <c r="AS568" s="565"/>
      <c r="AT568" s="565"/>
      <c r="AU568" s="181"/>
      <c r="AV568" s="558"/>
    </row>
    <row r="569" ht="11.25" customHeight="1">
      <c r="A569" s="565"/>
      <c r="B569" s="181"/>
      <c r="C569" s="565"/>
      <c r="D569" s="565"/>
      <c r="E569" s="565"/>
      <c r="F569" s="565"/>
      <c r="G569" s="565"/>
      <c r="H569" s="565"/>
      <c r="I569" s="565"/>
      <c r="J569" s="565"/>
      <c r="K569" s="565"/>
      <c r="L569" s="565"/>
      <c r="M569" s="565"/>
      <c r="N569" s="565"/>
      <c r="O569" s="565"/>
      <c r="P569" s="565"/>
      <c r="Q569" s="565"/>
      <c r="R569" s="565"/>
      <c r="S569" s="565"/>
      <c r="T569" s="565"/>
      <c r="U569" s="565"/>
      <c r="V569" s="565"/>
      <c r="W569" s="565"/>
      <c r="X569" s="565"/>
      <c r="Y569" s="565"/>
      <c r="Z569" s="565"/>
      <c r="AA569" s="565"/>
      <c r="AB569" s="565"/>
      <c r="AC569" s="565"/>
      <c r="AD569" s="565"/>
      <c r="AE569" s="565"/>
      <c r="AF569" s="565"/>
      <c r="AG569" s="565"/>
      <c r="AH569" s="565"/>
      <c r="AI569" s="565"/>
      <c r="AJ569" s="565"/>
      <c r="AK569" s="565"/>
      <c r="AL569" s="565"/>
      <c r="AM569" s="565"/>
      <c r="AN569" s="565"/>
      <c r="AO569" s="565"/>
      <c r="AP569" s="565"/>
      <c r="AQ569" s="565"/>
      <c r="AR569" s="565"/>
      <c r="AS569" s="565"/>
      <c r="AT569" s="565"/>
      <c r="AU569" s="181"/>
      <c r="AV569" s="558"/>
    </row>
    <row r="570" ht="11.25" customHeight="1">
      <c r="A570" s="565"/>
      <c r="B570" s="181"/>
      <c r="C570" s="565"/>
      <c r="D570" s="565"/>
      <c r="E570" s="565"/>
      <c r="F570" s="565"/>
      <c r="G570" s="565"/>
      <c r="H570" s="565"/>
      <c r="I570" s="565"/>
      <c r="J570" s="565"/>
      <c r="K570" s="565"/>
      <c r="L570" s="565"/>
      <c r="M570" s="565"/>
      <c r="N570" s="565"/>
      <c r="O570" s="565"/>
      <c r="P570" s="565"/>
      <c r="Q570" s="565"/>
      <c r="R570" s="565"/>
      <c r="S570" s="565"/>
      <c r="T570" s="565"/>
      <c r="U570" s="565"/>
      <c r="V570" s="565"/>
      <c r="W570" s="565"/>
      <c r="X570" s="565"/>
      <c r="Y570" s="565"/>
      <c r="Z570" s="565"/>
      <c r="AA570" s="565"/>
      <c r="AB570" s="565"/>
      <c r="AC570" s="565"/>
      <c r="AD570" s="565"/>
      <c r="AE570" s="565"/>
      <c r="AF570" s="565"/>
      <c r="AG570" s="565"/>
      <c r="AH570" s="565"/>
      <c r="AI570" s="565"/>
      <c r="AJ570" s="565"/>
      <c r="AK570" s="565"/>
      <c r="AL570" s="565"/>
      <c r="AM570" s="565"/>
      <c r="AN570" s="565"/>
      <c r="AO570" s="565"/>
      <c r="AP570" s="565"/>
      <c r="AQ570" s="565"/>
      <c r="AR570" s="565"/>
      <c r="AS570" s="565"/>
      <c r="AT570" s="565"/>
      <c r="AU570" s="181"/>
      <c r="AV570" s="558"/>
    </row>
    <row r="571" ht="11.25" customHeight="1">
      <c r="A571" s="565"/>
      <c r="B571" s="181"/>
      <c r="C571" s="565"/>
      <c r="D571" s="565"/>
      <c r="E571" s="565"/>
      <c r="F571" s="565"/>
      <c r="G571" s="565"/>
      <c r="H571" s="565"/>
      <c r="I571" s="565"/>
      <c r="J571" s="565"/>
      <c r="K571" s="565"/>
      <c r="L571" s="565"/>
      <c r="M571" s="565"/>
      <c r="N571" s="565"/>
      <c r="O571" s="565"/>
      <c r="P571" s="565"/>
      <c r="Q571" s="565"/>
      <c r="R571" s="565"/>
      <c r="S571" s="565"/>
      <c r="T571" s="565"/>
      <c r="U571" s="565"/>
      <c r="V571" s="565"/>
      <c r="W571" s="565"/>
      <c r="X571" s="565"/>
      <c r="Y571" s="565"/>
      <c r="Z571" s="565"/>
      <c r="AA571" s="565"/>
      <c r="AB571" s="565"/>
      <c r="AC571" s="565"/>
      <c r="AD571" s="565"/>
      <c r="AE571" s="565"/>
      <c r="AF571" s="565"/>
      <c r="AG571" s="565"/>
      <c r="AH571" s="565"/>
      <c r="AI571" s="565"/>
      <c r="AJ571" s="565"/>
      <c r="AK571" s="565"/>
      <c r="AL571" s="565"/>
      <c r="AM571" s="565"/>
      <c r="AN571" s="565"/>
      <c r="AO571" s="565"/>
      <c r="AP571" s="565"/>
      <c r="AQ571" s="565"/>
      <c r="AR571" s="565"/>
      <c r="AS571" s="565"/>
      <c r="AT571" s="565"/>
      <c r="AU571" s="181"/>
      <c r="AV571" s="558"/>
    </row>
    <row r="572" ht="11.25" customHeight="1">
      <c r="A572" s="565"/>
      <c r="B572" s="181"/>
      <c r="C572" s="565"/>
      <c r="D572" s="565"/>
      <c r="E572" s="565"/>
      <c r="F572" s="565"/>
      <c r="G572" s="565"/>
      <c r="H572" s="565"/>
      <c r="I572" s="565"/>
      <c r="J572" s="565"/>
      <c r="K572" s="565"/>
      <c r="L572" s="565"/>
      <c r="M572" s="565"/>
      <c r="N572" s="565"/>
      <c r="O572" s="565"/>
      <c r="P572" s="565"/>
      <c r="Q572" s="565"/>
      <c r="R572" s="565"/>
      <c r="S572" s="565"/>
      <c r="T572" s="565"/>
      <c r="U572" s="565"/>
      <c r="V572" s="565"/>
      <c r="W572" s="565"/>
      <c r="X572" s="565"/>
      <c r="Y572" s="565"/>
      <c r="Z572" s="565"/>
      <c r="AA572" s="565"/>
      <c r="AB572" s="565"/>
      <c r="AC572" s="565"/>
      <c r="AD572" s="565"/>
      <c r="AE572" s="565"/>
      <c r="AF572" s="565"/>
      <c r="AG572" s="565"/>
      <c r="AH572" s="565"/>
      <c r="AI572" s="565"/>
      <c r="AJ572" s="565"/>
      <c r="AK572" s="565"/>
      <c r="AL572" s="565"/>
      <c r="AM572" s="565"/>
      <c r="AN572" s="565"/>
      <c r="AO572" s="565"/>
      <c r="AP572" s="565"/>
      <c r="AQ572" s="565"/>
      <c r="AR572" s="565"/>
      <c r="AS572" s="565"/>
      <c r="AT572" s="565"/>
      <c r="AU572" s="181"/>
      <c r="AV572" s="558"/>
    </row>
    <row r="573" ht="11.25" customHeight="1">
      <c r="A573" s="565"/>
      <c r="B573" s="181"/>
      <c r="C573" s="565"/>
      <c r="D573" s="565"/>
      <c r="E573" s="565"/>
      <c r="F573" s="565"/>
      <c r="G573" s="565"/>
      <c r="H573" s="565"/>
      <c r="I573" s="565"/>
      <c r="J573" s="565"/>
      <c r="K573" s="565"/>
      <c r="L573" s="565"/>
      <c r="M573" s="565"/>
      <c r="N573" s="565"/>
      <c r="O573" s="565"/>
      <c r="P573" s="565"/>
      <c r="Q573" s="565"/>
      <c r="R573" s="565"/>
      <c r="S573" s="565"/>
      <c r="T573" s="565"/>
      <c r="U573" s="565"/>
      <c r="V573" s="565"/>
      <c r="W573" s="565"/>
      <c r="X573" s="565"/>
      <c r="Y573" s="565"/>
      <c r="Z573" s="565"/>
      <c r="AA573" s="565"/>
      <c r="AB573" s="565"/>
      <c r="AC573" s="565"/>
      <c r="AD573" s="565"/>
      <c r="AE573" s="565"/>
      <c r="AF573" s="565"/>
      <c r="AG573" s="565"/>
      <c r="AH573" s="565"/>
      <c r="AI573" s="565"/>
      <c r="AJ573" s="565"/>
      <c r="AK573" s="565"/>
      <c r="AL573" s="565"/>
      <c r="AM573" s="565"/>
      <c r="AN573" s="565"/>
      <c r="AO573" s="565"/>
      <c r="AP573" s="565"/>
      <c r="AQ573" s="565"/>
      <c r="AR573" s="565"/>
      <c r="AS573" s="565"/>
      <c r="AT573" s="565"/>
      <c r="AU573" s="181"/>
      <c r="AV573" s="558"/>
    </row>
    <row r="574" ht="11.25" customHeight="1">
      <c r="A574" s="565"/>
      <c r="B574" s="181"/>
      <c r="C574" s="565"/>
      <c r="D574" s="565"/>
      <c r="E574" s="565"/>
      <c r="F574" s="565"/>
      <c r="G574" s="565"/>
      <c r="H574" s="565"/>
      <c r="I574" s="565"/>
      <c r="J574" s="565"/>
      <c r="K574" s="565"/>
      <c r="L574" s="565"/>
      <c r="M574" s="565"/>
      <c r="N574" s="565"/>
      <c r="O574" s="565"/>
      <c r="P574" s="565"/>
      <c r="Q574" s="565"/>
      <c r="R574" s="565"/>
      <c r="S574" s="565"/>
      <c r="T574" s="565"/>
      <c r="U574" s="565"/>
      <c r="V574" s="565"/>
      <c r="W574" s="565"/>
      <c r="X574" s="565"/>
      <c r="Y574" s="565"/>
      <c r="Z574" s="565"/>
      <c r="AA574" s="565"/>
      <c r="AB574" s="565"/>
      <c r="AC574" s="565"/>
      <c r="AD574" s="565"/>
      <c r="AE574" s="565"/>
      <c r="AF574" s="565"/>
      <c r="AG574" s="565"/>
      <c r="AH574" s="565"/>
      <c r="AI574" s="565"/>
      <c r="AJ574" s="565"/>
      <c r="AK574" s="565"/>
      <c r="AL574" s="565"/>
      <c r="AM574" s="565"/>
      <c r="AN574" s="565"/>
      <c r="AO574" s="565"/>
      <c r="AP574" s="565"/>
      <c r="AQ574" s="565"/>
      <c r="AR574" s="565"/>
      <c r="AS574" s="565"/>
      <c r="AT574" s="565"/>
      <c r="AU574" s="181"/>
      <c r="AV574" s="558"/>
    </row>
    <row r="575" ht="11.25" customHeight="1">
      <c r="A575" s="565"/>
      <c r="B575" s="181"/>
      <c r="C575" s="565"/>
      <c r="D575" s="565"/>
      <c r="E575" s="565"/>
      <c r="F575" s="565"/>
      <c r="G575" s="565"/>
      <c r="H575" s="565"/>
      <c r="I575" s="565"/>
      <c r="J575" s="565"/>
      <c r="K575" s="565"/>
      <c r="L575" s="565"/>
      <c r="M575" s="565"/>
      <c r="N575" s="565"/>
      <c r="O575" s="565"/>
      <c r="P575" s="565"/>
      <c r="Q575" s="565"/>
      <c r="R575" s="565"/>
      <c r="S575" s="565"/>
      <c r="T575" s="565"/>
      <c r="U575" s="565"/>
      <c r="V575" s="565"/>
      <c r="W575" s="565"/>
      <c r="X575" s="565"/>
      <c r="Y575" s="565"/>
      <c r="Z575" s="565"/>
      <c r="AA575" s="565"/>
      <c r="AB575" s="565"/>
      <c r="AC575" s="565"/>
      <c r="AD575" s="565"/>
      <c r="AE575" s="565"/>
      <c r="AF575" s="565"/>
      <c r="AG575" s="565"/>
      <c r="AH575" s="565"/>
      <c r="AI575" s="565"/>
      <c r="AJ575" s="565"/>
      <c r="AK575" s="565"/>
      <c r="AL575" s="565"/>
      <c r="AM575" s="565"/>
      <c r="AN575" s="565"/>
      <c r="AO575" s="565"/>
      <c r="AP575" s="565"/>
      <c r="AQ575" s="565"/>
      <c r="AR575" s="565"/>
      <c r="AS575" s="565"/>
      <c r="AT575" s="565"/>
      <c r="AU575" s="181"/>
      <c r="AV575" s="558"/>
    </row>
    <row r="576" ht="11.25" customHeight="1">
      <c r="A576" s="565"/>
      <c r="B576" s="181"/>
      <c r="C576" s="565"/>
      <c r="D576" s="565"/>
      <c r="E576" s="565"/>
      <c r="F576" s="565"/>
      <c r="G576" s="565"/>
      <c r="H576" s="565"/>
      <c r="I576" s="565"/>
      <c r="J576" s="565"/>
      <c r="K576" s="565"/>
      <c r="L576" s="565"/>
      <c r="M576" s="565"/>
      <c r="N576" s="565"/>
      <c r="O576" s="565"/>
      <c r="P576" s="565"/>
      <c r="Q576" s="565"/>
      <c r="R576" s="565"/>
      <c r="S576" s="565"/>
      <c r="T576" s="565"/>
      <c r="U576" s="565"/>
      <c r="V576" s="565"/>
      <c r="W576" s="565"/>
      <c r="X576" s="565"/>
      <c r="Y576" s="565"/>
      <c r="Z576" s="565"/>
      <c r="AA576" s="565"/>
      <c r="AB576" s="565"/>
      <c r="AC576" s="565"/>
      <c r="AD576" s="565"/>
      <c r="AE576" s="565"/>
      <c r="AF576" s="565"/>
      <c r="AG576" s="565"/>
      <c r="AH576" s="565"/>
      <c r="AI576" s="565"/>
      <c r="AJ576" s="565"/>
      <c r="AK576" s="565"/>
      <c r="AL576" s="565"/>
      <c r="AM576" s="565"/>
      <c r="AN576" s="565"/>
      <c r="AO576" s="565"/>
      <c r="AP576" s="565"/>
      <c r="AQ576" s="565"/>
      <c r="AR576" s="565"/>
      <c r="AS576" s="565"/>
      <c r="AT576" s="565"/>
      <c r="AU576" s="181"/>
      <c r="AV576" s="558"/>
    </row>
    <row r="577" ht="11.25" customHeight="1">
      <c r="A577" s="565"/>
      <c r="B577" s="181"/>
      <c r="C577" s="565"/>
      <c r="D577" s="565"/>
      <c r="E577" s="565"/>
      <c r="F577" s="565"/>
      <c r="G577" s="565"/>
      <c r="H577" s="565"/>
      <c r="I577" s="565"/>
      <c r="J577" s="565"/>
      <c r="K577" s="565"/>
      <c r="L577" s="565"/>
      <c r="M577" s="565"/>
      <c r="N577" s="565"/>
      <c r="O577" s="565"/>
      <c r="P577" s="565"/>
      <c r="Q577" s="565"/>
      <c r="R577" s="565"/>
      <c r="S577" s="565"/>
      <c r="T577" s="565"/>
      <c r="U577" s="565"/>
      <c r="V577" s="565"/>
      <c r="W577" s="565"/>
      <c r="X577" s="565"/>
      <c r="Y577" s="565"/>
      <c r="Z577" s="565"/>
      <c r="AA577" s="565"/>
      <c r="AB577" s="565"/>
      <c r="AC577" s="565"/>
      <c r="AD577" s="565"/>
      <c r="AE577" s="565"/>
      <c r="AF577" s="565"/>
      <c r="AG577" s="565"/>
      <c r="AH577" s="565"/>
      <c r="AI577" s="565"/>
      <c r="AJ577" s="565"/>
      <c r="AK577" s="565"/>
      <c r="AL577" s="565"/>
      <c r="AM577" s="565"/>
      <c r="AN577" s="565"/>
      <c r="AO577" s="565"/>
      <c r="AP577" s="565"/>
      <c r="AQ577" s="565"/>
      <c r="AR577" s="565"/>
      <c r="AS577" s="565"/>
      <c r="AT577" s="565"/>
      <c r="AU577" s="181"/>
      <c r="AV577" s="558"/>
    </row>
    <row r="578" ht="11.25" customHeight="1">
      <c r="A578" s="565"/>
      <c r="B578" s="181"/>
      <c r="C578" s="565"/>
      <c r="D578" s="565"/>
      <c r="E578" s="565"/>
      <c r="F578" s="565"/>
      <c r="G578" s="565"/>
      <c r="H578" s="565"/>
      <c r="I578" s="565"/>
      <c r="J578" s="565"/>
      <c r="K578" s="565"/>
      <c r="L578" s="565"/>
      <c r="M578" s="565"/>
      <c r="N578" s="565"/>
      <c r="O578" s="565"/>
      <c r="P578" s="565"/>
      <c r="Q578" s="565"/>
      <c r="R578" s="565"/>
      <c r="S578" s="565"/>
      <c r="T578" s="565"/>
      <c r="U578" s="565"/>
      <c r="V578" s="565"/>
      <c r="W578" s="565"/>
      <c r="X578" s="565"/>
      <c r="Y578" s="565"/>
      <c r="Z578" s="565"/>
      <c r="AA578" s="565"/>
      <c r="AB578" s="565"/>
      <c r="AC578" s="565"/>
      <c r="AD578" s="565"/>
      <c r="AE578" s="565"/>
      <c r="AF578" s="565"/>
      <c r="AG578" s="565"/>
      <c r="AH578" s="565"/>
      <c r="AI578" s="565"/>
      <c r="AJ578" s="565"/>
      <c r="AK578" s="565"/>
      <c r="AL578" s="565"/>
      <c r="AM578" s="565"/>
      <c r="AN578" s="565"/>
      <c r="AO578" s="565"/>
      <c r="AP578" s="565"/>
      <c r="AQ578" s="565"/>
      <c r="AR578" s="565"/>
      <c r="AS578" s="565"/>
      <c r="AT578" s="565"/>
      <c r="AU578" s="181"/>
      <c r="AV578" s="558"/>
    </row>
    <row r="579" ht="11.25" customHeight="1">
      <c r="A579" s="565"/>
      <c r="B579" s="181"/>
      <c r="C579" s="565"/>
      <c r="D579" s="565"/>
      <c r="E579" s="565"/>
      <c r="F579" s="565"/>
      <c r="G579" s="565"/>
      <c r="H579" s="565"/>
      <c r="I579" s="565"/>
      <c r="J579" s="565"/>
      <c r="K579" s="565"/>
      <c r="L579" s="565"/>
      <c r="M579" s="565"/>
      <c r="N579" s="565"/>
      <c r="O579" s="565"/>
      <c r="P579" s="565"/>
      <c r="Q579" s="565"/>
      <c r="R579" s="565"/>
      <c r="S579" s="565"/>
      <c r="T579" s="565"/>
      <c r="U579" s="565"/>
      <c r="V579" s="565"/>
      <c r="W579" s="565"/>
      <c r="X579" s="565"/>
      <c r="Y579" s="565"/>
      <c r="Z579" s="565"/>
      <c r="AA579" s="565"/>
      <c r="AB579" s="565"/>
      <c r="AC579" s="565"/>
      <c r="AD579" s="565"/>
      <c r="AE579" s="565"/>
      <c r="AF579" s="565"/>
      <c r="AG579" s="565"/>
      <c r="AH579" s="565"/>
      <c r="AI579" s="565"/>
      <c r="AJ579" s="565"/>
      <c r="AK579" s="565"/>
      <c r="AL579" s="565"/>
      <c r="AM579" s="565"/>
      <c r="AN579" s="565"/>
      <c r="AO579" s="565"/>
      <c r="AP579" s="565"/>
      <c r="AQ579" s="565"/>
      <c r="AR579" s="565"/>
      <c r="AS579" s="565"/>
      <c r="AT579" s="565"/>
      <c r="AU579" s="181"/>
      <c r="AV579" s="558"/>
    </row>
    <row r="580" ht="11.25" customHeight="1">
      <c r="A580" s="565"/>
      <c r="B580" s="181"/>
      <c r="C580" s="565"/>
      <c r="D580" s="565"/>
      <c r="E580" s="565"/>
      <c r="F580" s="565"/>
      <c r="G580" s="565"/>
      <c r="H580" s="565"/>
      <c r="I580" s="565"/>
      <c r="J580" s="565"/>
      <c r="K580" s="565"/>
      <c r="L580" s="565"/>
      <c r="M580" s="565"/>
      <c r="N580" s="565"/>
      <c r="O580" s="565"/>
      <c r="P580" s="565"/>
      <c r="Q580" s="565"/>
      <c r="R580" s="565"/>
      <c r="S580" s="565"/>
      <c r="T580" s="565"/>
      <c r="U580" s="565"/>
      <c r="V580" s="565"/>
      <c r="W580" s="565"/>
      <c r="X580" s="565"/>
      <c r="Y580" s="565"/>
      <c r="Z580" s="565"/>
      <c r="AA580" s="565"/>
      <c r="AB580" s="565"/>
      <c r="AC580" s="565"/>
      <c r="AD580" s="565"/>
      <c r="AE580" s="565"/>
      <c r="AF580" s="565"/>
      <c r="AG580" s="565"/>
      <c r="AH580" s="565"/>
      <c r="AI580" s="565"/>
      <c r="AJ580" s="565"/>
      <c r="AK580" s="565"/>
      <c r="AL580" s="565"/>
      <c r="AM580" s="565"/>
      <c r="AN580" s="565"/>
      <c r="AO580" s="565"/>
      <c r="AP580" s="565"/>
      <c r="AQ580" s="565"/>
      <c r="AR580" s="565"/>
      <c r="AS580" s="565"/>
      <c r="AT580" s="565"/>
      <c r="AU580" s="181"/>
      <c r="AV580" s="558"/>
    </row>
    <row r="581" ht="11.25" customHeight="1">
      <c r="A581" s="565"/>
      <c r="B581" s="181"/>
      <c r="C581" s="565"/>
      <c r="D581" s="565"/>
      <c r="E581" s="565"/>
      <c r="F581" s="565"/>
      <c r="G581" s="565"/>
      <c r="H581" s="565"/>
      <c r="I581" s="565"/>
      <c r="J581" s="565"/>
      <c r="K581" s="565"/>
      <c r="L581" s="565"/>
      <c r="M581" s="565"/>
      <c r="N581" s="565"/>
      <c r="O581" s="565"/>
      <c r="P581" s="565"/>
      <c r="Q581" s="565"/>
      <c r="R581" s="565"/>
      <c r="S581" s="565"/>
      <c r="T581" s="565"/>
      <c r="U581" s="565"/>
      <c r="V581" s="565"/>
      <c r="W581" s="565"/>
      <c r="X581" s="565"/>
      <c r="Y581" s="565"/>
      <c r="Z581" s="565"/>
      <c r="AA581" s="565"/>
      <c r="AB581" s="565"/>
      <c r="AC581" s="565"/>
      <c r="AD581" s="565"/>
      <c r="AE581" s="565"/>
      <c r="AF581" s="565"/>
      <c r="AG581" s="565"/>
      <c r="AH581" s="565"/>
      <c r="AI581" s="565"/>
      <c r="AJ581" s="565"/>
      <c r="AK581" s="565"/>
      <c r="AL581" s="565"/>
      <c r="AM581" s="565"/>
      <c r="AN581" s="565"/>
      <c r="AO581" s="565"/>
      <c r="AP581" s="565"/>
      <c r="AQ581" s="565"/>
      <c r="AR581" s="565"/>
      <c r="AS581" s="565"/>
      <c r="AT581" s="565"/>
      <c r="AU581" s="181"/>
      <c r="AV581" s="558"/>
    </row>
    <row r="582" ht="11.25" customHeight="1">
      <c r="A582" s="565"/>
      <c r="B582" s="181"/>
      <c r="C582" s="565"/>
      <c r="D582" s="565"/>
      <c r="E582" s="565"/>
      <c r="F582" s="565"/>
      <c r="G582" s="565"/>
      <c r="H582" s="565"/>
      <c r="I582" s="565"/>
      <c r="J582" s="565"/>
      <c r="K582" s="565"/>
      <c r="L582" s="565"/>
      <c r="M582" s="565"/>
      <c r="N582" s="565"/>
      <c r="O582" s="565"/>
      <c r="P582" s="565"/>
      <c r="Q582" s="565"/>
      <c r="R582" s="565"/>
      <c r="S582" s="565"/>
      <c r="T582" s="565"/>
      <c r="U582" s="565"/>
      <c r="V582" s="565"/>
      <c r="W582" s="565"/>
      <c r="X582" s="565"/>
      <c r="Y582" s="565"/>
      <c r="Z582" s="565"/>
      <c r="AA582" s="565"/>
      <c r="AB582" s="565"/>
      <c r="AC582" s="565"/>
      <c r="AD582" s="565"/>
      <c r="AE582" s="565"/>
      <c r="AF582" s="565"/>
      <c r="AG582" s="565"/>
      <c r="AH582" s="565"/>
      <c r="AI582" s="565"/>
      <c r="AJ582" s="565"/>
      <c r="AK582" s="565"/>
      <c r="AL582" s="565"/>
      <c r="AM582" s="565"/>
      <c r="AN582" s="565"/>
      <c r="AO582" s="565"/>
      <c r="AP582" s="565"/>
      <c r="AQ582" s="565"/>
      <c r="AR582" s="565"/>
      <c r="AS582" s="565"/>
      <c r="AT582" s="565"/>
      <c r="AU582" s="181"/>
      <c r="AV582" s="558"/>
    </row>
    <row r="583" ht="11.25" customHeight="1">
      <c r="A583" s="565"/>
      <c r="B583" s="181"/>
      <c r="C583" s="565"/>
      <c r="D583" s="565"/>
      <c r="E583" s="565"/>
      <c r="F583" s="565"/>
      <c r="G583" s="565"/>
      <c r="H583" s="565"/>
      <c r="I583" s="565"/>
      <c r="J583" s="565"/>
      <c r="K583" s="565"/>
      <c r="L583" s="565"/>
      <c r="M583" s="565"/>
      <c r="N583" s="565"/>
      <c r="O583" s="565"/>
      <c r="P583" s="565"/>
      <c r="Q583" s="565"/>
      <c r="R583" s="565"/>
      <c r="S583" s="565"/>
      <c r="T583" s="565"/>
      <c r="U583" s="565"/>
      <c r="V583" s="565"/>
      <c r="W583" s="565"/>
      <c r="X583" s="565"/>
      <c r="Y583" s="565"/>
      <c r="Z583" s="565"/>
      <c r="AA583" s="565"/>
      <c r="AB583" s="565"/>
      <c r="AC583" s="565"/>
      <c r="AD583" s="565"/>
      <c r="AE583" s="565"/>
      <c r="AF583" s="565"/>
      <c r="AG583" s="565"/>
      <c r="AH583" s="565"/>
      <c r="AI583" s="565"/>
      <c r="AJ583" s="565"/>
      <c r="AK583" s="565"/>
      <c r="AL583" s="565"/>
      <c r="AM583" s="565"/>
      <c r="AN583" s="565"/>
      <c r="AO583" s="565"/>
      <c r="AP583" s="565"/>
      <c r="AQ583" s="565"/>
      <c r="AR583" s="565"/>
      <c r="AS583" s="565"/>
      <c r="AT583" s="565"/>
      <c r="AU583" s="181"/>
      <c r="AV583" s="558"/>
    </row>
    <row r="584" ht="11.25" customHeight="1">
      <c r="A584" s="565"/>
      <c r="B584" s="181"/>
      <c r="C584" s="565"/>
      <c r="D584" s="565"/>
      <c r="E584" s="565"/>
      <c r="F584" s="565"/>
      <c r="G584" s="565"/>
      <c r="H584" s="565"/>
      <c r="I584" s="565"/>
      <c r="J584" s="565"/>
      <c r="K584" s="565"/>
      <c r="L584" s="565"/>
      <c r="M584" s="565"/>
      <c r="N584" s="565"/>
      <c r="O584" s="565"/>
      <c r="P584" s="565"/>
      <c r="Q584" s="565"/>
      <c r="R584" s="565"/>
      <c r="S584" s="565"/>
      <c r="T584" s="565"/>
      <c r="U584" s="565"/>
      <c r="V584" s="565"/>
      <c r="W584" s="565"/>
      <c r="X584" s="565"/>
      <c r="Y584" s="565"/>
      <c r="Z584" s="565"/>
      <c r="AA584" s="565"/>
      <c r="AB584" s="565"/>
      <c r="AC584" s="565"/>
      <c r="AD584" s="565"/>
      <c r="AE584" s="565"/>
      <c r="AF584" s="565"/>
      <c r="AG584" s="565"/>
      <c r="AH584" s="565"/>
      <c r="AI584" s="565"/>
      <c r="AJ584" s="565"/>
      <c r="AK584" s="565"/>
      <c r="AL584" s="565"/>
      <c r="AM584" s="565"/>
      <c r="AN584" s="565"/>
      <c r="AO584" s="565"/>
      <c r="AP584" s="565"/>
      <c r="AQ584" s="565"/>
      <c r="AR584" s="565"/>
      <c r="AS584" s="565"/>
      <c r="AT584" s="565"/>
      <c r="AU584" s="181"/>
      <c r="AV584" s="558"/>
    </row>
    <row r="585" ht="11.25" customHeight="1">
      <c r="A585" s="565"/>
      <c r="B585" s="181"/>
      <c r="C585" s="565"/>
      <c r="D585" s="565"/>
      <c r="E585" s="565"/>
      <c r="F585" s="565"/>
      <c r="G585" s="565"/>
      <c r="H585" s="565"/>
      <c r="I585" s="565"/>
      <c r="J585" s="565"/>
      <c r="K585" s="565"/>
      <c r="L585" s="565"/>
      <c r="M585" s="565"/>
      <c r="N585" s="565"/>
      <c r="O585" s="565"/>
      <c r="P585" s="565"/>
      <c r="Q585" s="565"/>
      <c r="R585" s="565"/>
      <c r="S585" s="565"/>
      <c r="T585" s="565"/>
      <c r="U585" s="565"/>
      <c r="V585" s="565"/>
      <c r="W585" s="565"/>
      <c r="X585" s="565"/>
      <c r="Y585" s="565"/>
      <c r="Z585" s="565"/>
      <c r="AA585" s="565"/>
      <c r="AB585" s="565"/>
      <c r="AC585" s="565"/>
      <c r="AD585" s="565"/>
      <c r="AE585" s="565"/>
      <c r="AF585" s="565"/>
      <c r="AG585" s="565"/>
      <c r="AH585" s="565"/>
      <c r="AI585" s="565"/>
      <c r="AJ585" s="565"/>
      <c r="AK585" s="565"/>
      <c r="AL585" s="565"/>
      <c r="AM585" s="565"/>
      <c r="AN585" s="565"/>
      <c r="AO585" s="565"/>
      <c r="AP585" s="565"/>
      <c r="AQ585" s="565"/>
      <c r="AR585" s="565"/>
      <c r="AS585" s="565"/>
      <c r="AT585" s="565"/>
      <c r="AU585" s="181"/>
      <c r="AV585" s="558"/>
    </row>
    <row r="586" ht="11.25" customHeight="1">
      <c r="A586" s="565"/>
      <c r="B586" s="181"/>
      <c r="C586" s="565"/>
      <c r="D586" s="565"/>
      <c r="E586" s="565"/>
      <c r="F586" s="565"/>
      <c r="G586" s="565"/>
      <c r="H586" s="565"/>
      <c r="I586" s="565"/>
      <c r="J586" s="565"/>
      <c r="K586" s="565"/>
      <c r="L586" s="565"/>
      <c r="M586" s="565"/>
      <c r="N586" s="565"/>
      <c r="O586" s="565"/>
      <c r="P586" s="565"/>
      <c r="Q586" s="565"/>
      <c r="R586" s="565"/>
      <c r="S586" s="565"/>
      <c r="T586" s="565"/>
      <c r="U586" s="565"/>
      <c r="V586" s="565"/>
      <c r="W586" s="565"/>
      <c r="X586" s="565"/>
      <c r="Y586" s="565"/>
      <c r="Z586" s="565"/>
      <c r="AA586" s="565"/>
      <c r="AB586" s="565"/>
      <c r="AC586" s="565"/>
      <c r="AD586" s="565"/>
      <c r="AE586" s="565"/>
      <c r="AF586" s="565"/>
      <c r="AG586" s="565"/>
      <c r="AH586" s="565"/>
      <c r="AI586" s="565"/>
      <c r="AJ586" s="565"/>
      <c r="AK586" s="565"/>
      <c r="AL586" s="565"/>
      <c r="AM586" s="565"/>
      <c r="AN586" s="565"/>
      <c r="AO586" s="565"/>
      <c r="AP586" s="565"/>
      <c r="AQ586" s="565"/>
      <c r="AR586" s="565"/>
      <c r="AS586" s="565"/>
      <c r="AT586" s="565"/>
      <c r="AU586" s="181"/>
      <c r="AV586" s="558"/>
    </row>
    <row r="587" ht="11.25" customHeight="1">
      <c r="A587" s="565"/>
      <c r="B587" s="181"/>
      <c r="C587" s="565"/>
      <c r="D587" s="565"/>
      <c r="E587" s="565"/>
      <c r="F587" s="565"/>
      <c r="G587" s="565"/>
      <c r="H587" s="565"/>
      <c r="I587" s="565"/>
      <c r="J587" s="565"/>
      <c r="K587" s="565"/>
      <c r="L587" s="565"/>
      <c r="M587" s="565"/>
      <c r="N587" s="565"/>
      <c r="O587" s="565"/>
      <c r="P587" s="565"/>
      <c r="Q587" s="565"/>
      <c r="R587" s="565"/>
      <c r="S587" s="565"/>
      <c r="T587" s="565"/>
      <c r="U587" s="565"/>
      <c r="V587" s="565"/>
      <c r="W587" s="565"/>
      <c r="X587" s="565"/>
      <c r="Y587" s="565"/>
      <c r="Z587" s="565"/>
      <c r="AA587" s="565"/>
      <c r="AB587" s="565"/>
      <c r="AC587" s="565"/>
      <c r="AD587" s="565"/>
      <c r="AE587" s="565"/>
      <c r="AF587" s="565"/>
      <c r="AG587" s="565"/>
      <c r="AH587" s="565"/>
      <c r="AI587" s="565"/>
      <c r="AJ587" s="565"/>
      <c r="AK587" s="565"/>
      <c r="AL587" s="565"/>
      <c r="AM587" s="565"/>
      <c r="AN587" s="565"/>
      <c r="AO587" s="565"/>
      <c r="AP587" s="565"/>
      <c r="AQ587" s="565"/>
      <c r="AR587" s="565"/>
      <c r="AS587" s="565"/>
      <c r="AT587" s="565"/>
      <c r="AU587" s="181"/>
      <c r="AV587" s="558"/>
    </row>
    <row r="588" ht="11.25" customHeight="1">
      <c r="A588" s="565"/>
      <c r="B588" s="181"/>
      <c r="C588" s="565"/>
      <c r="D588" s="565"/>
      <c r="E588" s="565"/>
      <c r="F588" s="565"/>
      <c r="G588" s="565"/>
      <c r="H588" s="565"/>
      <c r="I588" s="565"/>
      <c r="J588" s="565"/>
      <c r="K588" s="565"/>
      <c r="L588" s="565"/>
      <c r="M588" s="565"/>
      <c r="N588" s="565"/>
      <c r="O588" s="565"/>
      <c r="P588" s="565"/>
      <c r="Q588" s="565"/>
      <c r="R588" s="565"/>
      <c r="S588" s="565"/>
      <c r="T588" s="565"/>
      <c r="U588" s="565"/>
      <c r="V588" s="565"/>
      <c r="W588" s="565"/>
      <c r="X588" s="565"/>
      <c r="Y588" s="565"/>
      <c r="Z588" s="565"/>
      <c r="AA588" s="565"/>
      <c r="AB588" s="565"/>
      <c r="AC588" s="565"/>
      <c r="AD588" s="565"/>
      <c r="AE588" s="565"/>
      <c r="AF588" s="565"/>
      <c r="AG588" s="565"/>
      <c r="AH588" s="565"/>
      <c r="AI588" s="565"/>
      <c r="AJ588" s="565"/>
      <c r="AK588" s="565"/>
      <c r="AL588" s="565"/>
      <c r="AM588" s="565"/>
      <c r="AN588" s="565"/>
      <c r="AO588" s="565"/>
      <c r="AP588" s="565"/>
      <c r="AQ588" s="565"/>
      <c r="AR588" s="565"/>
      <c r="AS588" s="565"/>
      <c r="AT588" s="565"/>
      <c r="AU588" s="181"/>
      <c r="AV588" s="558"/>
    </row>
    <row r="589" ht="11.25" customHeight="1">
      <c r="A589" s="565"/>
      <c r="B589" s="181"/>
      <c r="C589" s="565"/>
      <c r="D589" s="565"/>
      <c r="E589" s="565"/>
      <c r="F589" s="565"/>
      <c r="G589" s="565"/>
      <c r="H589" s="565"/>
      <c r="I589" s="565"/>
      <c r="J589" s="565"/>
      <c r="K589" s="565"/>
      <c r="L589" s="565"/>
      <c r="M589" s="565"/>
      <c r="N589" s="565"/>
      <c r="O589" s="565"/>
      <c r="P589" s="565"/>
      <c r="Q589" s="565"/>
      <c r="R589" s="565"/>
      <c r="S589" s="565"/>
      <c r="T589" s="565"/>
      <c r="U589" s="565"/>
      <c r="V589" s="565"/>
      <c r="W589" s="565"/>
      <c r="X589" s="565"/>
      <c r="Y589" s="565"/>
      <c r="Z589" s="565"/>
      <c r="AA589" s="565"/>
      <c r="AB589" s="565"/>
      <c r="AC589" s="565"/>
      <c r="AD589" s="565"/>
      <c r="AE589" s="565"/>
      <c r="AF589" s="565"/>
      <c r="AG589" s="565"/>
      <c r="AH589" s="565"/>
      <c r="AI589" s="565"/>
      <c r="AJ589" s="565"/>
      <c r="AK589" s="565"/>
      <c r="AL589" s="565"/>
      <c r="AM589" s="565"/>
      <c r="AN589" s="565"/>
      <c r="AO589" s="565"/>
      <c r="AP589" s="565"/>
      <c r="AQ589" s="565"/>
      <c r="AR589" s="565"/>
      <c r="AS589" s="565"/>
      <c r="AT589" s="565"/>
      <c r="AU589" s="181"/>
      <c r="AV589" s="558"/>
    </row>
    <row r="590" ht="11.25" customHeight="1">
      <c r="A590" s="565"/>
      <c r="B590" s="181"/>
      <c r="C590" s="565"/>
      <c r="D590" s="565"/>
      <c r="E590" s="565"/>
      <c r="F590" s="565"/>
      <c r="G590" s="565"/>
      <c r="H590" s="565"/>
      <c r="I590" s="565"/>
      <c r="J590" s="565"/>
      <c r="K590" s="565"/>
      <c r="L590" s="565"/>
      <c r="M590" s="565"/>
      <c r="N590" s="565"/>
      <c r="O590" s="565"/>
      <c r="P590" s="565"/>
      <c r="Q590" s="565"/>
      <c r="R590" s="565"/>
      <c r="S590" s="565"/>
      <c r="T590" s="565"/>
      <c r="U590" s="565"/>
      <c r="V590" s="565"/>
      <c r="W590" s="565"/>
      <c r="X590" s="565"/>
      <c r="Y590" s="565"/>
      <c r="Z590" s="565"/>
      <c r="AA590" s="565"/>
      <c r="AB590" s="565"/>
      <c r="AC590" s="565"/>
      <c r="AD590" s="565"/>
      <c r="AE590" s="565"/>
      <c r="AF590" s="565"/>
      <c r="AG590" s="565"/>
      <c r="AH590" s="565"/>
      <c r="AI590" s="565"/>
      <c r="AJ590" s="565"/>
      <c r="AK590" s="565"/>
      <c r="AL590" s="565"/>
      <c r="AM590" s="565"/>
      <c r="AN590" s="565"/>
      <c r="AO590" s="565"/>
      <c r="AP590" s="565"/>
      <c r="AQ590" s="565"/>
      <c r="AR590" s="565"/>
      <c r="AS590" s="565"/>
      <c r="AT590" s="565"/>
      <c r="AU590" s="181"/>
      <c r="AV590" s="558"/>
    </row>
    <row r="591" ht="11.25" customHeight="1">
      <c r="A591" s="565"/>
      <c r="B591" s="181"/>
      <c r="C591" s="565"/>
      <c r="D591" s="565"/>
      <c r="E591" s="565"/>
      <c r="F591" s="565"/>
      <c r="G591" s="565"/>
      <c r="H591" s="565"/>
      <c r="I591" s="565"/>
      <c r="J591" s="565"/>
      <c r="K591" s="565"/>
      <c r="L591" s="565"/>
      <c r="M591" s="565"/>
      <c r="N591" s="565"/>
      <c r="O591" s="565"/>
      <c r="P591" s="565"/>
      <c r="Q591" s="565"/>
      <c r="R591" s="565"/>
      <c r="S591" s="565"/>
      <c r="T591" s="565"/>
      <c r="U591" s="565"/>
      <c r="V591" s="565"/>
      <c r="W591" s="565"/>
      <c r="X591" s="565"/>
      <c r="Y591" s="565"/>
      <c r="Z591" s="565"/>
      <c r="AA591" s="565"/>
      <c r="AB591" s="565"/>
      <c r="AC591" s="565"/>
      <c r="AD591" s="565"/>
      <c r="AE591" s="565"/>
      <c r="AF591" s="565"/>
      <c r="AG591" s="565"/>
      <c r="AH591" s="565"/>
      <c r="AI591" s="565"/>
      <c r="AJ591" s="565"/>
      <c r="AK591" s="565"/>
      <c r="AL591" s="565"/>
      <c r="AM591" s="565"/>
      <c r="AN591" s="565"/>
      <c r="AO591" s="565"/>
      <c r="AP591" s="565"/>
      <c r="AQ591" s="565"/>
      <c r="AR591" s="565"/>
      <c r="AS591" s="565"/>
      <c r="AT591" s="565"/>
      <c r="AU591" s="181"/>
      <c r="AV591" s="558"/>
    </row>
    <row r="592" ht="11.25" customHeight="1">
      <c r="A592" s="565"/>
      <c r="B592" s="181"/>
      <c r="C592" s="565"/>
      <c r="D592" s="565"/>
      <c r="E592" s="565"/>
      <c r="F592" s="565"/>
      <c r="G592" s="565"/>
      <c r="H592" s="565"/>
      <c r="I592" s="565"/>
      <c r="J592" s="565"/>
      <c r="K592" s="565"/>
      <c r="L592" s="565"/>
      <c r="M592" s="565"/>
      <c r="N592" s="565"/>
      <c r="O592" s="565"/>
      <c r="P592" s="565"/>
      <c r="Q592" s="565"/>
      <c r="R592" s="565"/>
      <c r="S592" s="565"/>
      <c r="T592" s="565"/>
      <c r="U592" s="565"/>
      <c r="V592" s="565"/>
      <c r="W592" s="565"/>
      <c r="X592" s="565"/>
      <c r="Y592" s="565"/>
      <c r="Z592" s="565"/>
      <c r="AA592" s="565"/>
      <c r="AB592" s="565"/>
      <c r="AC592" s="565"/>
      <c r="AD592" s="565"/>
      <c r="AE592" s="565"/>
      <c r="AF592" s="565"/>
      <c r="AG592" s="565"/>
      <c r="AH592" s="565"/>
      <c r="AI592" s="565"/>
      <c r="AJ592" s="565"/>
      <c r="AK592" s="565"/>
      <c r="AL592" s="565"/>
      <c r="AM592" s="565"/>
      <c r="AN592" s="565"/>
      <c r="AO592" s="565"/>
      <c r="AP592" s="565"/>
      <c r="AQ592" s="565"/>
      <c r="AR592" s="565"/>
      <c r="AS592" s="565"/>
      <c r="AT592" s="565"/>
      <c r="AU592" s="181"/>
      <c r="AV592" s="558"/>
    </row>
    <row r="593" ht="11.25" customHeight="1">
      <c r="A593" s="565"/>
      <c r="B593" s="181"/>
      <c r="C593" s="565"/>
      <c r="D593" s="565"/>
      <c r="E593" s="565"/>
      <c r="F593" s="565"/>
      <c r="G593" s="565"/>
      <c r="H593" s="565"/>
      <c r="I593" s="565"/>
      <c r="J593" s="565"/>
      <c r="K593" s="565"/>
      <c r="L593" s="565"/>
      <c r="M593" s="565"/>
      <c r="N593" s="565"/>
      <c r="O593" s="565"/>
      <c r="P593" s="565"/>
      <c r="Q593" s="565"/>
      <c r="R593" s="565"/>
      <c r="S593" s="565"/>
      <c r="T593" s="565"/>
      <c r="U593" s="565"/>
      <c r="V593" s="565"/>
      <c r="W593" s="565"/>
      <c r="X593" s="565"/>
      <c r="Y593" s="565"/>
      <c r="Z593" s="565"/>
      <c r="AA593" s="565"/>
      <c r="AB593" s="565"/>
      <c r="AC593" s="565"/>
      <c r="AD593" s="565"/>
      <c r="AE593" s="565"/>
      <c r="AF593" s="565"/>
      <c r="AG593" s="565"/>
      <c r="AH593" s="565"/>
      <c r="AI593" s="565"/>
      <c r="AJ593" s="565"/>
      <c r="AK593" s="565"/>
      <c r="AL593" s="565"/>
      <c r="AM593" s="565"/>
      <c r="AN593" s="565"/>
      <c r="AO593" s="565"/>
      <c r="AP593" s="565"/>
      <c r="AQ593" s="565"/>
      <c r="AR593" s="565"/>
      <c r="AS593" s="565"/>
      <c r="AT593" s="565"/>
      <c r="AU593" s="181"/>
      <c r="AV593" s="558"/>
    </row>
    <row r="594" ht="11.25" customHeight="1">
      <c r="A594" s="565"/>
      <c r="B594" s="181"/>
      <c r="C594" s="565"/>
      <c r="D594" s="565"/>
      <c r="E594" s="565"/>
      <c r="F594" s="565"/>
      <c r="G594" s="565"/>
      <c r="H594" s="565"/>
      <c r="I594" s="565"/>
      <c r="J594" s="565"/>
      <c r="K594" s="565"/>
      <c r="L594" s="565"/>
      <c r="M594" s="565"/>
      <c r="N594" s="565"/>
      <c r="O594" s="565"/>
      <c r="P594" s="565"/>
      <c r="Q594" s="565"/>
      <c r="R594" s="565"/>
      <c r="S594" s="565"/>
      <c r="T594" s="565"/>
      <c r="U594" s="565"/>
      <c r="V594" s="565"/>
      <c r="W594" s="565"/>
      <c r="X594" s="565"/>
      <c r="Y594" s="565"/>
      <c r="Z594" s="565"/>
      <c r="AA594" s="565"/>
      <c r="AB594" s="565"/>
      <c r="AC594" s="565"/>
      <c r="AD594" s="565"/>
      <c r="AE594" s="565"/>
      <c r="AF594" s="565"/>
      <c r="AG594" s="565"/>
      <c r="AH594" s="565"/>
      <c r="AI594" s="565"/>
      <c r="AJ594" s="565"/>
      <c r="AK594" s="565"/>
      <c r="AL594" s="565"/>
      <c r="AM594" s="565"/>
      <c r="AN594" s="565"/>
      <c r="AO594" s="565"/>
      <c r="AP594" s="565"/>
      <c r="AQ594" s="565"/>
      <c r="AR594" s="565"/>
      <c r="AS594" s="565"/>
      <c r="AT594" s="565"/>
      <c r="AU594" s="181"/>
      <c r="AV594" s="558"/>
    </row>
    <row r="595" ht="11.25" customHeight="1">
      <c r="A595" s="565"/>
      <c r="B595" s="181"/>
      <c r="C595" s="565"/>
      <c r="D595" s="565"/>
      <c r="E595" s="565"/>
      <c r="F595" s="565"/>
      <c r="G595" s="565"/>
      <c r="H595" s="565"/>
      <c r="I595" s="565"/>
      <c r="J595" s="565"/>
      <c r="K595" s="565"/>
      <c r="L595" s="565"/>
      <c r="M595" s="565"/>
      <c r="N595" s="565"/>
      <c r="O595" s="565"/>
      <c r="P595" s="565"/>
      <c r="Q595" s="565"/>
      <c r="R595" s="565"/>
      <c r="S595" s="565"/>
      <c r="T595" s="565"/>
      <c r="U595" s="565"/>
      <c r="V595" s="565"/>
      <c r="W595" s="565"/>
      <c r="X595" s="565"/>
      <c r="Y595" s="565"/>
      <c r="Z595" s="565"/>
      <c r="AA595" s="565"/>
      <c r="AB595" s="565"/>
      <c r="AC595" s="565"/>
      <c r="AD595" s="565"/>
      <c r="AE595" s="565"/>
      <c r="AF595" s="565"/>
      <c r="AG595" s="565"/>
      <c r="AH595" s="565"/>
      <c r="AI595" s="565"/>
      <c r="AJ595" s="565"/>
      <c r="AK595" s="565"/>
      <c r="AL595" s="565"/>
      <c r="AM595" s="565"/>
      <c r="AN595" s="565"/>
      <c r="AO595" s="565"/>
      <c r="AP595" s="565"/>
      <c r="AQ595" s="565"/>
      <c r="AR595" s="565"/>
      <c r="AS595" s="565"/>
      <c r="AT595" s="565"/>
      <c r="AU595" s="181"/>
      <c r="AV595" s="558"/>
    </row>
    <row r="596" ht="11.25" customHeight="1">
      <c r="A596" s="565"/>
      <c r="B596" s="181"/>
      <c r="C596" s="565"/>
      <c r="D596" s="565"/>
      <c r="E596" s="565"/>
      <c r="F596" s="565"/>
      <c r="G596" s="565"/>
      <c r="H596" s="565"/>
      <c r="I596" s="565"/>
      <c r="J596" s="565"/>
      <c r="K596" s="565"/>
      <c r="L596" s="565"/>
      <c r="M596" s="565"/>
      <c r="N596" s="565"/>
      <c r="O596" s="565"/>
      <c r="P596" s="565"/>
      <c r="Q596" s="565"/>
      <c r="R596" s="565"/>
      <c r="S596" s="565"/>
      <c r="T596" s="565"/>
      <c r="U596" s="565"/>
      <c r="V596" s="565"/>
      <c r="W596" s="565"/>
      <c r="X596" s="565"/>
      <c r="Y596" s="565"/>
      <c r="Z596" s="565"/>
      <c r="AA596" s="565"/>
      <c r="AB596" s="565"/>
      <c r="AC596" s="565"/>
      <c r="AD596" s="565"/>
      <c r="AE596" s="565"/>
      <c r="AF596" s="565"/>
      <c r="AG596" s="565"/>
      <c r="AH596" s="565"/>
      <c r="AI596" s="565"/>
      <c r="AJ596" s="565"/>
      <c r="AK596" s="565"/>
      <c r="AL596" s="565"/>
      <c r="AM596" s="565"/>
      <c r="AN596" s="565"/>
      <c r="AO596" s="565"/>
      <c r="AP596" s="565"/>
      <c r="AQ596" s="565"/>
      <c r="AR596" s="565"/>
      <c r="AS596" s="565"/>
      <c r="AT596" s="565"/>
      <c r="AU596" s="181"/>
      <c r="AV596" s="558"/>
    </row>
    <row r="597" ht="11.25" customHeight="1">
      <c r="A597" s="565"/>
      <c r="B597" s="181"/>
      <c r="C597" s="565"/>
      <c r="D597" s="565"/>
      <c r="E597" s="565"/>
      <c r="F597" s="565"/>
      <c r="G597" s="565"/>
      <c r="H597" s="565"/>
      <c r="I597" s="565"/>
      <c r="J597" s="565"/>
      <c r="K597" s="565"/>
      <c r="L597" s="565"/>
      <c r="M597" s="565"/>
      <c r="N597" s="565"/>
      <c r="O597" s="565"/>
      <c r="P597" s="565"/>
      <c r="Q597" s="565"/>
      <c r="R597" s="565"/>
      <c r="S597" s="565"/>
      <c r="T597" s="565"/>
      <c r="U597" s="565"/>
      <c r="V597" s="565"/>
      <c r="W597" s="565"/>
      <c r="X597" s="565"/>
      <c r="Y597" s="565"/>
      <c r="Z597" s="565"/>
      <c r="AA597" s="565"/>
      <c r="AB597" s="565"/>
      <c r="AC597" s="565"/>
      <c r="AD597" s="565"/>
      <c r="AE597" s="565"/>
      <c r="AF597" s="565"/>
      <c r="AG597" s="565"/>
      <c r="AH597" s="565"/>
      <c r="AI597" s="565"/>
      <c r="AJ597" s="565"/>
      <c r="AK597" s="565"/>
      <c r="AL597" s="565"/>
      <c r="AM597" s="565"/>
      <c r="AN597" s="565"/>
      <c r="AO597" s="565"/>
      <c r="AP597" s="565"/>
      <c r="AQ597" s="565"/>
      <c r="AR597" s="565"/>
      <c r="AS597" s="565"/>
      <c r="AT597" s="565"/>
      <c r="AU597" s="181"/>
      <c r="AV597" s="558"/>
    </row>
    <row r="598" ht="11.25" customHeight="1">
      <c r="A598" s="565"/>
      <c r="B598" s="181"/>
      <c r="C598" s="565"/>
      <c r="D598" s="565"/>
      <c r="E598" s="565"/>
      <c r="F598" s="565"/>
      <c r="G598" s="565"/>
      <c r="H598" s="565"/>
      <c r="I598" s="565"/>
      <c r="J598" s="565"/>
      <c r="K598" s="565"/>
      <c r="L598" s="565"/>
      <c r="M598" s="565"/>
      <c r="N598" s="565"/>
      <c r="O598" s="565"/>
      <c r="P598" s="565"/>
      <c r="Q598" s="565"/>
      <c r="R598" s="565"/>
      <c r="S598" s="565"/>
      <c r="T598" s="565"/>
      <c r="U598" s="565"/>
      <c r="V598" s="565"/>
      <c r="W598" s="565"/>
      <c r="X598" s="565"/>
      <c r="Y598" s="565"/>
      <c r="Z598" s="565"/>
      <c r="AA598" s="565"/>
      <c r="AB598" s="565"/>
      <c r="AC598" s="565"/>
      <c r="AD598" s="565"/>
      <c r="AE598" s="565"/>
      <c r="AF598" s="565"/>
      <c r="AG598" s="565"/>
      <c r="AH598" s="565"/>
      <c r="AI598" s="565"/>
      <c r="AJ598" s="565"/>
      <c r="AK598" s="565"/>
      <c r="AL598" s="565"/>
      <c r="AM598" s="565"/>
      <c r="AN598" s="565"/>
      <c r="AO598" s="565"/>
      <c r="AP598" s="565"/>
      <c r="AQ598" s="565"/>
      <c r="AR598" s="565"/>
      <c r="AS598" s="565"/>
      <c r="AT598" s="565"/>
      <c r="AU598" s="181"/>
      <c r="AV598" s="558"/>
    </row>
    <row r="599" ht="11.25" customHeight="1">
      <c r="A599" s="565"/>
      <c r="B599" s="181"/>
      <c r="C599" s="565"/>
      <c r="D599" s="565"/>
      <c r="E599" s="565"/>
      <c r="F599" s="565"/>
      <c r="G599" s="565"/>
      <c r="H599" s="565"/>
      <c r="I599" s="565"/>
      <c r="J599" s="565"/>
      <c r="K599" s="565"/>
      <c r="L599" s="565"/>
      <c r="M599" s="565"/>
      <c r="N599" s="565"/>
      <c r="O599" s="565"/>
      <c r="P599" s="565"/>
      <c r="Q599" s="565"/>
      <c r="R599" s="565"/>
      <c r="S599" s="565"/>
      <c r="T599" s="565"/>
      <c r="U599" s="565"/>
      <c r="V599" s="565"/>
      <c r="W599" s="565"/>
      <c r="X599" s="565"/>
      <c r="Y599" s="565"/>
      <c r="Z599" s="565"/>
      <c r="AA599" s="565"/>
      <c r="AB599" s="565"/>
      <c r="AC599" s="565"/>
      <c r="AD599" s="565"/>
      <c r="AE599" s="565"/>
      <c r="AF599" s="565"/>
      <c r="AG599" s="565"/>
      <c r="AH599" s="565"/>
      <c r="AI599" s="565"/>
      <c r="AJ599" s="565"/>
      <c r="AK599" s="565"/>
      <c r="AL599" s="565"/>
      <c r="AM599" s="565"/>
      <c r="AN599" s="565"/>
      <c r="AO599" s="565"/>
      <c r="AP599" s="565"/>
      <c r="AQ599" s="565"/>
      <c r="AR599" s="565"/>
      <c r="AS599" s="565"/>
      <c r="AT599" s="565"/>
      <c r="AU599" s="181"/>
      <c r="AV599" s="558"/>
    </row>
    <row r="600" ht="11.25" customHeight="1">
      <c r="A600" s="565"/>
      <c r="B600" s="181"/>
      <c r="C600" s="565"/>
      <c r="D600" s="565"/>
      <c r="E600" s="565"/>
      <c r="F600" s="565"/>
      <c r="G600" s="565"/>
      <c r="H600" s="565"/>
      <c r="I600" s="565"/>
      <c r="J600" s="565"/>
      <c r="K600" s="565"/>
      <c r="L600" s="565"/>
      <c r="M600" s="565"/>
      <c r="N600" s="565"/>
      <c r="O600" s="565"/>
      <c r="P600" s="565"/>
      <c r="Q600" s="565"/>
      <c r="R600" s="565"/>
      <c r="S600" s="565"/>
      <c r="T600" s="565"/>
      <c r="U600" s="565"/>
      <c r="V600" s="565"/>
      <c r="W600" s="565"/>
      <c r="X600" s="565"/>
      <c r="Y600" s="565"/>
      <c r="Z600" s="565"/>
      <c r="AA600" s="565"/>
      <c r="AB600" s="565"/>
      <c r="AC600" s="565"/>
      <c r="AD600" s="565"/>
      <c r="AE600" s="565"/>
      <c r="AF600" s="565"/>
      <c r="AG600" s="565"/>
      <c r="AH600" s="565"/>
      <c r="AI600" s="565"/>
      <c r="AJ600" s="565"/>
      <c r="AK600" s="565"/>
      <c r="AL600" s="565"/>
      <c r="AM600" s="565"/>
      <c r="AN600" s="565"/>
      <c r="AO600" s="565"/>
      <c r="AP600" s="565"/>
      <c r="AQ600" s="565"/>
      <c r="AR600" s="565"/>
      <c r="AS600" s="565"/>
      <c r="AT600" s="565"/>
      <c r="AU600" s="181"/>
      <c r="AV600" s="558"/>
    </row>
    <row r="601" ht="11.25" customHeight="1">
      <c r="A601" s="565"/>
      <c r="B601" s="181"/>
      <c r="C601" s="565"/>
      <c r="D601" s="565"/>
      <c r="E601" s="565"/>
      <c r="F601" s="565"/>
      <c r="G601" s="565"/>
      <c r="H601" s="565"/>
      <c r="I601" s="565"/>
      <c r="J601" s="565"/>
      <c r="K601" s="565"/>
      <c r="L601" s="565"/>
      <c r="M601" s="565"/>
      <c r="N601" s="565"/>
      <c r="O601" s="565"/>
      <c r="P601" s="565"/>
      <c r="Q601" s="565"/>
      <c r="R601" s="565"/>
      <c r="S601" s="565"/>
      <c r="T601" s="565"/>
      <c r="U601" s="565"/>
      <c r="V601" s="565"/>
      <c r="W601" s="565"/>
      <c r="X601" s="565"/>
      <c r="Y601" s="565"/>
      <c r="Z601" s="565"/>
      <c r="AA601" s="565"/>
      <c r="AB601" s="565"/>
      <c r="AC601" s="565"/>
      <c r="AD601" s="565"/>
      <c r="AE601" s="565"/>
      <c r="AF601" s="565"/>
      <c r="AG601" s="565"/>
      <c r="AH601" s="565"/>
      <c r="AI601" s="565"/>
      <c r="AJ601" s="565"/>
      <c r="AK601" s="565"/>
      <c r="AL601" s="565"/>
      <c r="AM601" s="565"/>
      <c r="AN601" s="565"/>
      <c r="AO601" s="565"/>
      <c r="AP601" s="565"/>
      <c r="AQ601" s="565"/>
      <c r="AR601" s="565"/>
      <c r="AS601" s="565"/>
      <c r="AT601" s="565"/>
      <c r="AU601" s="181"/>
      <c r="AV601" s="558"/>
    </row>
    <row r="602" ht="11.25" customHeight="1">
      <c r="A602" s="565"/>
      <c r="B602" s="181"/>
      <c r="C602" s="565"/>
      <c r="D602" s="565"/>
      <c r="E602" s="565"/>
      <c r="F602" s="565"/>
      <c r="G602" s="565"/>
      <c r="H602" s="565"/>
      <c r="I602" s="565"/>
      <c r="J602" s="565"/>
      <c r="K602" s="565"/>
      <c r="L602" s="565"/>
      <c r="M602" s="565"/>
      <c r="N602" s="565"/>
      <c r="O602" s="565"/>
      <c r="P602" s="565"/>
      <c r="Q602" s="565"/>
      <c r="R602" s="565"/>
      <c r="S602" s="565"/>
      <c r="T602" s="565"/>
      <c r="U602" s="565"/>
      <c r="V602" s="565"/>
      <c r="W602" s="565"/>
      <c r="X602" s="565"/>
      <c r="Y602" s="565"/>
      <c r="Z602" s="565"/>
      <c r="AA602" s="565"/>
      <c r="AB602" s="565"/>
      <c r="AC602" s="565"/>
      <c r="AD602" s="565"/>
      <c r="AE602" s="565"/>
      <c r="AF602" s="565"/>
      <c r="AG602" s="565"/>
      <c r="AH602" s="565"/>
      <c r="AI602" s="565"/>
      <c r="AJ602" s="565"/>
      <c r="AK602" s="565"/>
      <c r="AL602" s="565"/>
      <c r="AM602" s="565"/>
      <c r="AN602" s="565"/>
      <c r="AO602" s="565"/>
      <c r="AP602" s="565"/>
      <c r="AQ602" s="565"/>
      <c r="AR602" s="565"/>
      <c r="AS602" s="565"/>
      <c r="AT602" s="565"/>
      <c r="AU602" s="181"/>
      <c r="AV602" s="558"/>
    </row>
    <row r="603" ht="11.25" customHeight="1">
      <c r="A603" s="565"/>
      <c r="B603" s="181"/>
      <c r="C603" s="565"/>
      <c r="D603" s="565"/>
      <c r="E603" s="565"/>
      <c r="F603" s="565"/>
      <c r="G603" s="565"/>
      <c r="H603" s="565"/>
      <c r="I603" s="565"/>
      <c r="J603" s="565"/>
      <c r="K603" s="565"/>
      <c r="L603" s="565"/>
      <c r="M603" s="565"/>
      <c r="N603" s="565"/>
      <c r="O603" s="565"/>
      <c r="P603" s="565"/>
      <c r="Q603" s="565"/>
      <c r="R603" s="565"/>
      <c r="S603" s="565"/>
      <c r="T603" s="565"/>
      <c r="U603" s="565"/>
      <c r="V603" s="565"/>
      <c r="W603" s="565"/>
      <c r="X603" s="565"/>
      <c r="Y603" s="565"/>
      <c r="Z603" s="565"/>
      <c r="AA603" s="565"/>
      <c r="AB603" s="565"/>
      <c r="AC603" s="565"/>
      <c r="AD603" s="565"/>
      <c r="AE603" s="565"/>
      <c r="AF603" s="565"/>
      <c r="AG603" s="565"/>
      <c r="AH603" s="565"/>
      <c r="AI603" s="565"/>
      <c r="AJ603" s="565"/>
      <c r="AK603" s="565"/>
      <c r="AL603" s="565"/>
      <c r="AM603" s="565"/>
      <c r="AN603" s="565"/>
      <c r="AO603" s="565"/>
      <c r="AP603" s="565"/>
      <c r="AQ603" s="565"/>
      <c r="AR603" s="565"/>
      <c r="AS603" s="565"/>
      <c r="AT603" s="565"/>
      <c r="AU603" s="181"/>
      <c r="AV603" s="558"/>
    </row>
    <row r="604" ht="11.25" customHeight="1">
      <c r="A604" s="565"/>
      <c r="B604" s="181"/>
      <c r="C604" s="565"/>
      <c r="D604" s="565"/>
      <c r="E604" s="565"/>
      <c r="F604" s="565"/>
      <c r="G604" s="565"/>
      <c r="H604" s="565"/>
      <c r="I604" s="565"/>
      <c r="J604" s="565"/>
      <c r="K604" s="565"/>
      <c r="L604" s="565"/>
      <c r="M604" s="565"/>
      <c r="N604" s="565"/>
      <c r="O604" s="565"/>
      <c r="P604" s="565"/>
      <c r="Q604" s="565"/>
      <c r="R604" s="565"/>
      <c r="S604" s="565"/>
      <c r="T604" s="565"/>
      <c r="U604" s="565"/>
      <c r="V604" s="565"/>
      <c r="W604" s="565"/>
      <c r="X604" s="565"/>
      <c r="Y604" s="565"/>
      <c r="Z604" s="565"/>
      <c r="AA604" s="565"/>
      <c r="AB604" s="565"/>
      <c r="AC604" s="565"/>
      <c r="AD604" s="565"/>
      <c r="AE604" s="565"/>
      <c r="AF604" s="565"/>
      <c r="AG604" s="565"/>
      <c r="AH604" s="565"/>
      <c r="AI604" s="565"/>
      <c r="AJ604" s="565"/>
      <c r="AK604" s="565"/>
      <c r="AL604" s="565"/>
      <c r="AM604" s="565"/>
      <c r="AN604" s="565"/>
      <c r="AO604" s="565"/>
      <c r="AP604" s="565"/>
      <c r="AQ604" s="565"/>
      <c r="AR604" s="565"/>
      <c r="AS604" s="565"/>
      <c r="AT604" s="565"/>
      <c r="AU604" s="181"/>
      <c r="AV604" s="558"/>
    </row>
    <row r="605" ht="11.25" customHeight="1">
      <c r="A605" s="565"/>
      <c r="B605" s="181"/>
      <c r="C605" s="565"/>
      <c r="D605" s="565"/>
      <c r="E605" s="565"/>
      <c r="F605" s="565"/>
      <c r="G605" s="565"/>
      <c r="H605" s="565"/>
      <c r="I605" s="565"/>
      <c r="J605" s="565"/>
      <c r="K605" s="565"/>
      <c r="L605" s="565"/>
      <c r="M605" s="565"/>
      <c r="N605" s="565"/>
      <c r="O605" s="565"/>
      <c r="P605" s="565"/>
      <c r="Q605" s="565"/>
      <c r="R605" s="565"/>
      <c r="S605" s="565"/>
      <c r="T605" s="565"/>
      <c r="U605" s="565"/>
      <c r="V605" s="565"/>
      <c r="W605" s="565"/>
      <c r="X605" s="565"/>
      <c r="Y605" s="565"/>
      <c r="Z605" s="565"/>
      <c r="AA605" s="565"/>
      <c r="AB605" s="565"/>
      <c r="AC605" s="565"/>
      <c r="AD605" s="565"/>
      <c r="AE605" s="565"/>
      <c r="AF605" s="565"/>
      <c r="AG605" s="565"/>
      <c r="AH605" s="565"/>
      <c r="AI605" s="565"/>
      <c r="AJ605" s="565"/>
      <c r="AK605" s="565"/>
      <c r="AL605" s="565"/>
      <c r="AM605" s="565"/>
      <c r="AN605" s="565"/>
      <c r="AO605" s="565"/>
      <c r="AP605" s="565"/>
      <c r="AQ605" s="565"/>
      <c r="AR605" s="565"/>
      <c r="AS605" s="565"/>
      <c r="AT605" s="565"/>
      <c r="AU605" s="181"/>
      <c r="AV605" s="558"/>
    </row>
    <row r="606" ht="11.25" customHeight="1">
      <c r="A606" s="565"/>
      <c r="B606" s="181"/>
      <c r="C606" s="565"/>
      <c r="D606" s="565"/>
      <c r="E606" s="565"/>
      <c r="F606" s="565"/>
      <c r="G606" s="565"/>
      <c r="H606" s="565"/>
      <c r="I606" s="565"/>
      <c r="J606" s="565"/>
      <c r="K606" s="565"/>
      <c r="L606" s="565"/>
      <c r="M606" s="565"/>
      <c r="N606" s="565"/>
      <c r="O606" s="565"/>
      <c r="P606" s="565"/>
      <c r="Q606" s="565"/>
      <c r="R606" s="565"/>
      <c r="S606" s="565"/>
      <c r="T606" s="565"/>
      <c r="U606" s="565"/>
      <c r="V606" s="565"/>
      <c r="W606" s="565"/>
      <c r="X606" s="565"/>
      <c r="Y606" s="565"/>
      <c r="Z606" s="565"/>
      <c r="AA606" s="565"/>
      <c r="AB606" s="565"/>
      <c r="AC606" s="565"/>
      <c r="AD606" s="565"/>
      <c r="AE606" s="565"/>
      <c r="AF606" s="565"/>
      <c r="AG606" s="565"/>
      <c r="AH606" s="565"/>
      <c r="AI606" s="565"/>
      <c r="AJ606" s="565"/>
      <c r="AK606" s="565"/>
      <c r="AL606" s="565"/>
      <c r="AM606" s="565"/>
      <c r="AN606" s="565"/>
      <c r="AO606" s="565"/>
      <c r="AP606" s="565"/>
      <c r="AQ606" s="565"/>
      <c r="AR606" s="565"/>
      <c r="AS606" s="565"/>
      <c r="AT606" s="565"/>
      <c r="AU606" s="181"/>
      <c r="AV606" s="558"/>
    </row>
    <row r="607" ht="11.25" customHeight="1">
      <c r="A607" s="565"/>
      <c r="B607" s="181"/>
      <c r="C607" s="565"/>
      <c r="D607" s="565"/>
      <c r="E607" s="565"/>
      <c r="F607" s="565"/>
      <c r="G607" s="565"/>
      <c r="H607" s="565"/>
      <c r="I607" s="565"/>
      <c r="J607" s="565"/>
      <c r="K607" s="565"/>
      <c r="L607" s="565"/>
      <c r="M607" s="565"/>
      <c r="N607" s="565"/>
      <c r="O607" s="565"/>
      <c r="P607" s="565"/>
      <c r="Q607" s="565"/>
      <c r="R607" s="565"/>
      <c r="S607" s="565"/>
      <c r="T607" s="565"/>
      <c r="U607" s="565"/>
      <c r="V607" s="565"/>
      <c r="W607" s="565"/>
      <c r="X607" s="565"/>
      <c r="Y607" s="565"/>
      <c r="Z607" s="565"/>
      <c r="AA607" s="565"/>
      <c r="AB607" s="565"/>
      <c r="AC607" s="565"/>
      <c r="AD607" s="565"/>
      <c r="AE607" s="565"/>
      <c r="AF607" s="565"/>
      <c r="AG607" s="565"/>
      <c r="AH607" s="565"/>
      <c r="AI607" s="565"/>
      <c r="AJ607" s="565"/>
      <c r="AK607" s="565"/>
      <c r="AL607" s="565"/>
      <c r="AM607" s="565"/>
      <c r="AN607" s="565"/>
      <c r="AO607" s="565"/>
      <c r="AP607" s="565"/>
      <c r="AQ607" s="565"/>
      <c r="AR607" s="565"/>
      <c r="AS607" s="565"/>
      <c r="AT607" s="565"/>
      <c r="AU607" s="181"/>
      <c r="AV607" s="558"/>
    </row>
    <row r="608" ht="11.25" customHeight="1">
      <c r="A608" s="565"/>
      <c r="B608" s="181"/>
      <c r="C608" s="565"/>
      <c r="D608" s="565"/>
      <c r="E608" s="565"/>
      <c r="F608" s="565"/>
      <c r="G608" s="565"/>
      <c r="H608" s="565"/>
      <c r="I608" s="565"/>
      <c r="J608" s="565"/>
      <c r="K608" s="565"/>
      <c r="L608" s="565"/>
      <c r="M608" s="565"/>
      <c r="N608" s="565"/>
      <c r="O608" s="565"/>
      <c r="P608" s="565"/>
      <c r="Q608" s="565"/>
      <c r="R608" s="565"/>
      <c r="S608" s="565"/>
      <c r="T608" s="565"/>
      <c r="U608" s="565"/>
      <c r="V608" s="565"/>
      <c r="W608" s="565"/>
      <c r="X608" s="565"/>
      <c r="Y608" s="565"/>
      <c r="Z608" s="565"/>
      <c r="AA608" s="565"/>
      <c r="AB608" s="565"/>
      <c r="AC608" s="565"/>
      <c r="AD608" s="565"/>
      <c r="AE608" s="565"/>
      <c r="AF608" s="565"/>
      <c r="AG608" s="565"/>
      <c r="AH608" s="565"/>
      <c r="AI608" s="565"/>
      <c r="AJ608" s="565"/>
      <c r="AK608" s="565"/>
      <c r="AL608" s="565"/>
      <c r="AM608" s="565"/>
      <c r="AN608" s="565"/>
      <c r="AO608" s="565"/>
      <c r="AP608" s="565"/>
      <c r="AQ608" s="565"/>
      <c r="AR608" s="565"/>
      <c r="AS608" s="565"/>
      <c r="AT608" s="565"/>
      <c r="AU608" s="181"/>
      <c r="AV608" s="558"/>
    </row>
    <row r="609" ht="11.25" customHeight="1">
      <c r="A609" s="565"/>
      <c r="B609" s="181"/>
      <c r="C609" s="565"/>
      <c r="D609" s="565"/>
      <c r="E609" s="565"/>
      <c r="F609" s="565"/>
      <c r="G609" s="565"/>
      <c r="H609" s="565"/>
      <c r="I609" s="565"/>
      <c r="J609" s="565"/>
      <c r="K609" s="565"/>
      <c r="L609" s="565"/>
      <c r="M609" s="565"/>
      <c r="N609" s="565"/>
      <c r="O609" s="565"/>
      <c r="P609" s="565"/>
      <c r="Q609" s="565"/>
      <c r="R609" s="565"/>
      <c r="S609" s="565"/>
      <c r="T609" s="565"/>
      <c r="U609" s="565"/>
      <c r="V609" s="565"/>
      <c r="W609" s="565"/>
      <c r="X609" s="565"/>
      <c r="Y609" s="565"/>
      <c r="Z609" s="565"/>
      <c r="AA609" s="565"/>
      <c r="AB609" s="565"/>
      <c r="AC609" s="565"/>
      <c r="AD609" s="565"/>
      <c r="AE609" s="565"/>
      <c r="AF609" s="565"/>
      <c r="AG609" s="565"/>
      <c r="AH609" s="565"/>
      <c r="AI609" s="565"/>
      <c r="AJ609" s="565"/>
      <c r="AK609" s="565"/>
      <c r="AL609" s="565"/>
      <c r="AM609" s="565"/>
      <c r="AN609" s="565"/>
      <c r="AO609" s="565"/>
      <c r="AP609" s="565"/>
      <c r="AQ609" s="565"/>
      <c r="AR609" s="565"/>
      <c r="AS609" s="565"/>
      <c r="AT609" s="565"/>
      <c r="AU609" s="181"/>
      <c r="AV609" s="558"/>
    </row>
    <row r="610" ht="11.25" customHeight="1">
      <c r="A610" s="565"/>
      <c r="B610" s="181"/>
      <c r="C610" s="565"/>
      <c r="D610" s="565"/>
      <c r="E610" s="565"/>
      <c r="F610" s="565"/>
      <c r="G610" s="565"/>
      <c r="H610" s="565"/>
      <c r="I610" s="565"/>
      <c r="J610" s="565"/>
      <c r="K610" s="565"/>
      <c r="L610" s="565"/>
      <c r="M610" s="565"/>
      <c r="N610" s="565"/>
      <c r="O610" s="565"/>
      <c r="P610" s="565"/>
      <c r="Q610" s="565"/>
      <c r="R610" s="565"/>
      <c r="S610" s="565"/>
      <c r="T610" s="565"/>
      <c r="U610" s="565"/>
      <c r="V610" s="565"/>
      <c r="W610" s="565"/>
      <c r="X610" s="565"/>
      <c r="Y610" s="565"/>
      <c r="Z610" s="565"/>
      <c r="AA610" s="565"/>
      <c r="AB610" s="565"/>
      <c r="AC610" s="565"/>
      <c r="AD610" s="565"/>
      <c r="AE610" s="565"/>
      <c r="AF610" s="565"/>
      <c r="AG610" s="565"/>
      <c r="AH610" s="565"/>
      <c r="AI610" s="565"/>
      <c r="AJ610" s="565"/>
      <c r="AK610" s="565"/>
      <c r="AL610" s="565"/>
      <c r="AM610" s="565"/>
      <c r="AN610" s="565"/>
      <c r="AO610" s="565"/>
      <c r="AP610" s="565"/>
      <c r="AQ610" s="565"/>
      <c r="AR610" s="565"/>
      <c r="AS610" s="565"/>
      <c r="AT610" s="565"/>
      <c r="AU610" s="181"/>
      <c r="AV610" s="558"/>
    </row>
    <row r="611" ht="11.25" customHeight="1">
      <c r="A611" s="565"/>
      <c r="B611" s="181"/>
      <c r="C611" s="565"/>
      <c r="D611" s="565"/>
      <c r="E611" s="565"/>
      <c r="F611" s="565"/>
      <c r="G611" s="565"/>
      <c r="H611" s="565"/>
      <c r="I611" s="565"/>
      <c r="J611" s="565"/>
      <c r="K611" s="565"/>
      <c r="L611" s="565"/>
      <c r="M611" s="565"/>
      <c r="N611" s="565"/>
      <c r="O611" s="565"/>
      <c r="P611" s="565"/>
      <c r="Q611" s="565"/>
      <c r="R611" s="565"/>
      <c r="S611" s="565"/>
      <c r="T611" s="565"/>
      <c r="U611" s="565"/>
      <c r="V611" s="565"/>
      <c r="W611" s="565"/>
      <c r="X611" s="565"/>
      <c r="Y611" s="565"/>
      <c r="Z611" s="565"/>
      <c r="AA611" s="565"/>
      <c r="AB611" s="565"/>
      <c r="AC611" s="565"/>
      <c r="AD611" s="565"/>
      <c r="AE611" s="565"/>
      <c r="AF611" s="565"/>
      <c r="AG611" s="565"/>
      <c r="AH611" s="565"/>
      <c r="AI611" s="565"/>
      <c r="AJ611" s="565"/>
      <c r="AK611" s="565"/>
      <c r="AL611" s="565"/>
      <c r="AM611" s="565"/>
      <c r="AN611" s="565"/>
      <c r="AO611" s="565"/>
      <c r="AP611" s="565"/>
      <c r="AQ611" s="565"/>
      <c r="AR611" s="565"/>
      <c r="AS611" s="565"/>
      <c r="AT611" s="565"/>
      <c r="AU611" s="181"/>
      <c r="AV611" s="558"/>
    </row>
    <row r="612" ht="11.25" customHeight="1">
      <c r="A612" s="565"/>
      <c r="B612" s="181"/>
      <c r="C612" s="565"/>
      <c r="D612" s="565"/>
      <c r="E612" s="565"/>
      <c r="F612" s="565"/>
      <c r="G612" s="565"/>
      <c r="H612" s="565"/>
      <c r="I612" s="565"/>
      <c r="J612" s="565"/>
      <c r="K612" s="565"/>
      <c r="L612" s="565"/>
      <c r="M612" s="565"/>
      <c r="N612" s="565"/>
      <c r="O612" s="565"/>
      <c r="P612" s="565"/>
      <c r="Q612" s="565"/>
      <c r="R612" s="565"/>
      <c r="S612" s="565"/>
      <c r="T612" s="565"/>
      <c r="U612" s="565"/>
      <c r="V612" s="565"/>
      <c r="W612" s="565"/>
      <c r="X612" s="565"/>
      <c r="Y612" s="565"/>
      <c r="Z612" s="565"/>
      <c r="AA612" s="565"/>
      <c r="AB612" s="565"/>
      <c r="AC612" s="565"/>
      <c r="AD612" s="565"/>
      <c r="AE612" s="565"/>
      <c r="AF612" s="565"/>
      <c r="AG612" s="565"/>
      <c r="AH612" s="565"/>
      <c r="AI612" s="565"/>
      <c r="AJ612" s="565"/>
      <c r="AK612" s="565"/>
      <c r="AL612" s="565"/>
      <c r="AM612" s="565"/>
      <c r="AN612" s="565"/>
      <c r="AO612" s="565"/>
      <c r="AP612" s="565"/>
      <c r="AQ612" s="565"/>
      <c r="AR612" s="565"/>
      <c r="AS612" s="565"/>
      <c r="AT612" s="565"/>
      <c r="AU612" s="181"/>
      <c r="AV612" s="558"/>
    </row>
    <row r="613" ht="11.25" customHeight="1">
      <c r="A613" s="565"/>
      <c r="B613" s="181"/>
      <c r="C613" s="565"/>
      <c r="D613" s="565"/>
      <c r="E613" s="565"/>
      <c r="F613" s="565"/>
      <c r="G613" s="565"/>
      <c r="H613" s="565"/>
      <c r="I613" s="565"/>
      <c r="J613" s="565"/>
      <c r="K613" s="565"/>
      <c r="L613" s="565"/>
      <c r="M613" s="565"/>
      <c r="N613" s="565"/>
      <c r="O613" s="565"/>
      <c r="P613" s="565"/>
      <c r="Q613" s="565"/>
      <c r="R613" s="565"/>
      <c r="S613" s="565"/>
      <c r="T613" s="565"/>
      <c r="U613" s="565"/>
      <c r="V613" s="565"/>
      <c r="W613" s="565"/>
      <c r="X613" s="565"/>
      <c r="Y613" s="565"/>
      <c r="Z613" s="565"/>
      <c r="AA613" s="565"/>
      <c r="AB613" s="565"/>
      <c r="AC613" s="565"/>
      <c r="AD613" s="565"/>
      <c r="AE613" s="565"/>
      <c r="AF613" s="565"/>
      <c r="AG613" s="565"/>
      <c r="AH613" s="565"/>
      <c r="AI613" s="565"/>
      <c r="AJ613" s="565"/>
      <c r="AK613" s="565"/>
      <c r="AL613" s="565"/>
      <c r="AM613" s="565"/>
      <c r="AN613" s="565"/>
      <c r="AO613" s="565"/>
      <c r="AP613" s="565"/>
      <c r="AQ613" s="565"/>
      <c r="AR613" s="565"/>
      <c r="AS613" s="565"/>
      <c r="AT613" s="565"/>
      <c r="AU613" s="181"/>
      <c r="AV613" s="558"/>
    </row>
    <row r="614" ht="11.25" customHeight="1">
      <c r="A614" s="565"/>
      <c r="B614" s="181"/>
      <c r="C614" s="565"/>
      <c r="D614" s="565"/>
      <c r="E614" s="565"/>
      <c r="F614" s="565"/>
      <c r="G614" s="565"/>
      <c r="H614" s="565"/>
      <c r="I614" s="565"/>
      <c r="J614" s="565"/>
      <c r="K614" s="565"/>
      <c r="L614" s="565"/>
      <c r="M614" s="565"/>
      <c r="N614" s="565"/>
      <c r="O614" s="565"/>
      <c r="P614" s="565"/>
      <c r="Q614" s="565"/>
      <c r="R614" s="565"/>
      <c r="S614" s="565"/>
      <c r="T614" s="565"/>
      <c r="U614" s="565"/>
      <c r="V614" s="565"/>
      <c r="W614" s="565"/>
      <c r="X614" s="565"/>
      <c r="Y614" s="565"/>
      <c r="Z614" s="565"/>
      <c r="AA614" s="565"/>
      <c r="AB614" s="565"/>
      <c r="AC614" s="565"/>
      <c r="AD614" s="565"/>
      <c r="AE614" s="565"/>
      <c r="AF614" s="565"/>
      <c r="AG614" s="565"/>
      <c r="AH614" s="565"/>
      <c r="AI614" s="565"/>
      <c r="AJ614" s="565"/>
      <c r="AK614" s="565"/>
      <c r="AL614" s="565"/>
      <c r="AM614" s="565"/>
      <c r="AN614" s="565"/>
      <c r="AO614" s="565"/>
      <c r="AP614" s="565"/>
      <c r="AQ614" s="565"/>
      <c r="AR614" s="565"/>
      <c r="AS614" s="565"/>
      <c r="AT614" s="565"/>
      <c r="AU614" s="181"/>
      <c r="AV614" s="558"/>
    </row>
    <row r="615" ht="11.25" customHeight="1">
      <c r="A615" s="565"/>
      <c r="B615" s="181"/>
      <c r="C615" s="565"/>
      <c r="D615" s="565"/>
      <c r="E615" s="565"/>
      <c r="F615" s="565"/>
      <c r="G615" s="565"/>
      <c r="H615" s="565"/>
      <c r="I615" s="565"/>
      <c r="J615" s="565"/>
      <c r="K615" s="565"/>
      <c r="L615" s="565"/>
      <c r="M615" s="565"/>
      <c r="N615" s="565"/>
      <c r="O615" s="565"/>
      <c r="P615" s="565"/>
      <c r="Q615" s="565"/>
      <c r="R615" s="565"/>
      <c r="S615" s="565"/>
      <c r="T615" s="565"/>
      <c r="U615" s="565"/>
      <c r="V615" s="565"/>
      <c r="W615" s="565"/>
      <c r="X615" s="565"/>
      <c r="Y615" s="565"/>
      <c r="Z615" s="565"/>
      <c r="AA615" s="565"/>
      <c r="AB615" s="565"/>
      <c r="AC615" s="565"/>
      <c r="AD615" s="565"/>
      <c r="AE615" s="565"/>
      <c r="AF615" s="565"/>
      <c r="AG615" s="565"/>
      <c r="AH615" s="565"/>
      <c r="AI615" s="565"/>
      <c r="AJ615" s="565"/>
      <c r="AK615" s="565"/>
      <c r="AL615" s="565"/>
      <c r="AM615" s="565"/>
      <c r="AN615" s="565"/>
      <c r="AO615" s="565"/>
      <c r="AP615" s="565"/>
      <c r="AQ615" s="565"/>
      <c r="AR615" s="565"/>
      <c r="AS615" s="565"/>
      <c r="AT615" s="565"/>
      <c r="AU615" s="181"/>
      <c r="AV615" s="558"/>
    </row>
    <row r="616" ht="11.25" customHeight="1">
      <c r="A616" s="565"/>
      <c r="B616" s="181"/>
      <c r="C616" s="565"/>
      <c r="D616" s="565"/>
      <c r="E616" s="565"/>
      <c r="F616" s="565"/>
      <c r="G616" s="565"/>
      <c r="H616" s="565"/>
      <c r="I616" s="565"/>
      <c r="J616" s="565"/>
      <c r="K616" s="565"/>
      <c r="L616" s="565"/>
      <c r="M616" s="565"/>
      <c r="N616" s="565"/>
      <c r="O616" s="565"/>
      <c r="P616" s="565"/>
      <c r="Q616" s="565"/>
      <c r="R616" s="565"/>
      <c r="S616" s="565"/>
      <c r="T616" s="565"/>
      <c r="U616" s="565"/>
      <c r="V616" s="565"/>
      <c r="W616" s="565"/>
      <c r="X616" s="565"/>
      <c r="Y616" s="565"/>
      <c r="Z616" s="565"/>
      <c r="AA616" s="565"/>
      <c r="AB616" s="565"/>
      <c r="AC616" s="565"/>
      <c r="AD616" s="565"/>
      <c r="AE616" s="565"/>
      <c r="AF616" s="565"/>
      <c r="AG616" s="565"/>
      <c r="AH616" s="565"/>
      <c r="AI616" s="565"/>
      <c r="AJ616" s="565"/>
      <c r="AK616" s="565"/>
      <c r="AL616" s="565"/>
      <c r="AM616" s="565"/>
      <c r="AN616" s="565"/>
      <c r="AO616" s="565"/>
      <c r="AP616" s="565"/>
      <c r="AQ616" s="565"/>
      <c r="AR616" s="565"/>
      <c r="AS616" s="565"/>
      <c r="AT616" s="565"/>
      <c r="AU616" s="181"/>
      <c r="AV616" s="558"/>
    </row>
    <row r="617" ht="11.25" customHeight="1">
      <c r="A617" s="565"/>
      <c r="B617" s="181"/>
      <c r="C617" s="565"/>
      <c r="D617" s="565"/>
      <c r="E617" s="565"/>
      <c r="F617" s="565"/>
      <c r="G617" s="565"/>
      <c r="H617" s="565"/>
      <c r="I617" s="565"/>
      <c r="J617" s="565"/>
      <c r="K617" s="565"/>
      <c r="L617" s="565"/>
      <c r="M617" s="565"/>
      <c r="N617" s="565"/>
      <c r="O617" s="565"/>
      <c r="P617" s="565"/>
      <c r="Q617" s="565"/>
      <c r="R617" s="565"/>
      <c r="S617" s="565"/>
      <c r="T617" s="565"/>
      <c r="U617" s="565"/>
      <c r="V617" s="565"/>
      <c r="W617" s="565"/>
      <c r="X617" s="565"/>
      <c r="Y617" s="565"/>
      <c r="Z617" s="565"/>
      <c r="AA617" s="565"/>
      <c r="AB617" s="565"/>
      <c r="AC617" s="565"/>
      <c r="AD617" s="565"/>
      <c r="AE617" s="565"/>
      <c r="AF617" s="565"/>
      <c r="AG617" s="565"/>
      <c r="AH617" s="565"/>
      <c r="AI617" s="565"/>
      <c r="AJ617" s="565"/>
      <c r="AK617" s="565"/>
      <c r="AL617" s="565"/>
      <c r="AM617" s="565"/>
      <c r="AN617" s="565"/>
      <c r="AO617" s="565"/>
      <c r="AP617" s="565"/>
      <c r="AQ617" s="565"/>
      <c r="AR617" s="565"/>
      <c r="AS617" s="565"/>
      <c r="AT617" s="565"/>
      <c r="AU617" s="181"/>
      <c r="AV617" s="558"/>
    </row>
    <row r="618" ht="11.25" customHeight="1">
      <c r="A618" s="565"/>
      <c r="B618" s="181"/>
      <c r="C618" s="565"/>
      <c r="D618" s="565"/>
      <c r="E618" s="565"/>
      <c r="F618" s="565"/>
      <c r="G618" s="565"/>
      <c r="H618" s="565"/>
      <c r="I618" s="565"/>
      <c r="J618" s="565"/>
      <c r="K618" s="565"/>
      <c r="L618" s="565"/>
      <c r="M618" s="565"/>
      <c r="N618" s="565"/>
      <c r="O618" s="565"/>
      <c r="P618" s="565"/>
      <c r="Q618" s="565"/>
      <c r="R618" s="565"/>
      <c r="S618" s="565"/>
      <c r="T618" s="565"/>
      <c r="U618" s="565"/>
      <c r="V618" s="565"/>
      <c r="W618" s="565"/>
      <c r="X618" s="565"/>
      <c r="Y618" s="565"/>
      <c r="Z618" s="565"/>
      <c r="AA618" s="565"/>
      <c r="AB618" s="565"/>
      <c r="AC618" s="565"/>
      <c r="AD618" s="565"/>
      <c r="AE618" s="565"/>
      <c r="AF618" s="565"/>
      <c r="AG618" s="565"/>
      <c r="AH618" s="565"/>
      <c r="AI618" s="565"/>
      <c r="AJ618" s="565"/>
      <c r="AK618" s="565"/>
      <c r="AL618" s="565"/>
      <c r="AM618" s="565"/>
      <c r="AN618" s="565"/>
      <c r="AO618" s="565"/>
      <c r="AP618" s="565"/>
      <c r="AQ618" s="565"/>
      <c r="AR618" s="565"/>
      <c r="AS618" s="565"/>
      <c r="AT618" s="565"/>
      <c r="AU618" s="181"/>
      <c r="AV618" s="558"/>
    </row>
    <row r="619" ht="11.25" customHeight="1">
      <c r="A619" s="565"/>
      <c r="B619" s="181"/>
      <c r="C619" s="565"/>
      <c r="D619" s="565"/>
      <c r="E619" s="565"/>
      <c r="F619" s="565"/>
      <c r="G619" s="565"/>
      <c r="H619" s="565"/>
      <c r="I619" s="565"/>
      <c r="J619" s="565"/>
      <c r="K619" s="565"/>
      <c r="L619" s="565"/>
      <c r="M619" s="565"/>
      <c r="N619" s="565"/>
      <c r="O619" s="565"/>
      <c r="P619" s="565"/>
      <c r="Q619" s="565"/>
      <c r="R619" s="565"/>
      <c r="S619" s="565"/>
      <c r="T619" s="565"/>
      <c r="U619" s="565"/>
      <c r="V619" s="565"/>
      <c r="W619" s="565"/>
      <c r="X619" s="565"/>
      <c r="Y619" s="565"/>
      <c r="Z619" s="565"/>
      <c r="AA619" s="565"/>
      <c r="AB619" s="565"/>
      <c r="AC619" s="565"/>
      <c r="AD619" s="565"/>
      <c r="AE619" s="565"/>
      <c r="AF619" s="565"/>
      <c r="AG619" s="565"/>
      <c r="AH619" s="565"/>
      <c r="AI619" s="565"/>
      <c r="AJ619" s="565"/>
      <c r="AK619" s="565"/>
      <c r="AL619" s="565"/>
      <c r="AM619" s="565"/>
      <c r="AN619" s="565"/>
      <c r="AO619" s="565"/>
      <c r="AP619" s="565"/>
      <c r="AQ619" s="565"/>
      <c r="AR619" s="565"/>
      <c r="AS619" s="565"/>
      <c r="AT619" s="565"/>
      <c r="AU619" s="181"/>
      <c r="AV619" s="558"/>
    </row>
    <row r="620" ht="11.25" customHeight="1">
      <c r="A620" s="565"/>
      <c r="B620" s="181"/>
      <c r="C620" s="565"/>
      <c r="D620" s="565"/>
      <c r="E620" s="565"/>
      <c r="F620" s="565"/>
      <c r="G620" s="565"/>
      <c r="H620" s="565"/>
      <c r="I620" s="565"/>
      <c r="J620" s="565"/>
      <c r="K620" s="565"/>
      <c r="L620" s="565"/>
      <c r="M620" s="565"/>
      <c r="N620" s="565"/>
      <c r="O620" s="565"/>
      <c r="P620" s="565"/>
      <c r="Q620" s="565"/>
      <c r="R620" s="565"/>
      <c r="S620" s="565"/>
      <c r="T620" s="565"/>
      <c r="U620" s="565"/>
      <c r="V620" s="565"/>
      <c r="W620" s="565"/>
      <c r="X620" s="565"/>
      <c r="Y620" s="565"/>
      <c r="Z620" s="565"/>
      <c r="AA620" s="565"/>
      <c r="AB620" s="565"/>
      <c r="AC620" s="565"/>
      <c r="AD620" s="565"/>
      <c r="AE620" s="565"/>
      <c r="AF620" s="565"/>
      <c r="AG620" s="565"/>
      <c r="AH620" s="565"/>
      <c r="AI620" s="565"/>
      <c r="AJ620" s="565"/>
      <c r="AK620" s="565"/>
      <c r="AL620" s="565"/>
      <c r="AM620" s="565"/>
      <c r="AN620" s="565"/>
      <c r="AO620" s="565"/>
      <c r="AP620" s="565"/>
      <c r="AQ620" s="565"/>
      <c r="AR620" s="565"/>
      <c r="AS620" s="565"/>
      <c r="AT620" s="565"/>
      <c r="AU620" s="181"/>
      <c r="AV620" s="558"/>
    </row>
    <row r="621" ht="11.25" customHeight="1">
      <c r="A621" s="565"/>
      <c r="B621" s="181"/>
      <c r="C621" s="565"/>
      <c r="D621" s="565"/>
      <c r="E621" s="565"/>
      <c r="F621" s="565"/>
      <c r="G621" s="565"/>
      <c r="H621" s="565"/>
      <c r="I621" s="565"/>
      <c r="J621" s="565"/>
      <c r="K621" s="565"/>
      <c r="L621" s="565"/>
      <c r="M621" s="565"/>
      <c r="N621" s="565"/>
      <c r="O621" s="565"/>
      <c r="P621" s="565"/>
      <c r="Q621" s="565"/>
      <c r="R621" s="565"/>
      <c r="S621" s="565"/>
      <c r="T621" s="565"/>
      <c r="U621" s="565"/>
      <c r="V621" s="565"/>
      <c r="W621" s="565"/>
      <c r="X621" s="565"/>
      <c r="Y621" s="565"/>
      <c r="Z621" s="565"/>
      <c r="AA621" s="565"/>
      <c r="AB621" s="565"/>
      <c r="AC621" s="565"/>
      <c r="AD621" s="565"/>
      <c r="AE621" s="565"/>
      <c r="AF621" s="565"/>
      <c r="AG621" s="565"/>
      <c r="AH621" s="565"/>
      <c r="AI621" s="565"/>
      <c r="AJ621" s="565"/>
      <c r="AK621" s="565"/>
      <c r="AL621" s="565"/>
      <c r="AM621" s="565"/>
      <c r="AN621" s="565"/>
      <c r="AO621" s="565"/>
      <c r="AP621" s="565"/>
      <c r="AQ621" s="565"/>
      <c r="AR621" s="565"/>
      <c r="AS621" s="565"/>
      <c r="AT621" s="565"/>
      <c r="AU621" s="181"/>
      <c r="AV621" s="558"/>
    </row>
    <row r="622" ht="11.25" customHeight="1">
      <c r="A622" s="565"/>
      <c r="B622" s="181"/>
      <c r="C622" s="565"/>
      <c r="D622" s="565"/>
      <c r="E622" s="565"/>
      <c r="F622" s="565"/>
      <c r="G622" s="565"/>
      <c r="H622" s="565"/>
      <c r="I622" s="565"/>
      <c r="J622" s="565"/>
      <c r="K622" s="565"/>
      <c r="L622" s="565"/>
      <c r="M622" s="565"/>
      <c r="N622" s="565"/>
      <c r="O622" s="565"/>
      <c r="P622" s="565"/>
      <c r="Q622" s="565"/>
      <c r="R622" s="565"/>
      <c r="S622" s="565"/>
      <c r="T622" s="565"/>
      <c r="U622" s="565"/>
      <c r="V622" s="565"/>
      <c r="W622" s="565"/>
      <c r="X622" s="565"/>
      <c r="Y622" s="565"/>
      <c r="Z622" s="565"/>
      <c r="AA622" s="565"/>
      <c r="AB622" s="565"/>
      <c r="AC622" s="565"/>
      <c r="AD622" s="565"/>
      <c r="AE622" s="565"/>
      <c r="AF622" s="565"/>
      <c r="AG622" s="565"/>
      <c r="AH622" s="565"/>
      <c r="AI622" s="565"/>
      <c r="AJ622" s="565"/>
      <c r="AK622" s="565"/>
      <c r="AL622" s="565"/>
      <c r="AM622" s="565"/>
      <c r="AN622" s="565"/>
      <c r="AO622" s="565"/>
      <c r="AP622" s="565"/>
      <c r="AQ622" s="565"/>
      <c r="AR622" s="565"/>
      <c r="AS622" s="565"/>
      <c r="AT622" s="565"/>
      <c r="AU622" s="181"/>
      <c r="AV622" s="558"/>
    </row>
    <row r="623" ht="11.25" customHeight="1">
      <c r="A623" s="565"/>
      <c r="B623" s="181"/>
      <c r="C623" s="565"/>
      <c r="D623" s="565"/>
      <c r="E623" s="565"/>
      <c r="F623" s="565"/>
      <c r="G623" s="565"/>
      <c r="H623" s="565"/>
      <c r="I623" s="565"/>
      <c r="J623" s="565"/>
      <c r="K623" s="565"/>
      <c r="L623" s="565"/>
      <c r="M623" s="565"/>
      <c r="N623" s="565"/>
      <c r="O623" s="565"/>
      <c r="P623" s="565"/>
      <c r="Q623" s="565"/>
      <c r="R623" s="565"/>
      <c r="S623" s="565"/>
      <c r="T623" s="565"/>
      <c r="U623" s="565"/>
      <c r="V623" s="565"/>
      <c r="W623" s="565"/>
      <c r="X623" s="565"/>
      <c r="Y623" s="565"/>
      <c r="Z623" s="565"/>
      <c r="AA623" s="565"/>
      <c r="AB623" s="565"/>
      <c r="AC623" s="565"/>
      <c r="AD623" s="565"/>
      <c r="AE623" s="565"/>
      <c r="AF623" s="565"/>
      <c r="AG623" s="565"/>
      <c r="AH623" s="565"/>
      <c r="AI623" s="565"/>
      <c r="AJ623" s="565"/>
      <c r="AK623" s="565"/>
      <c r="AL623" s="565"/>
      <c r="AM623" s="565"/>
      <c r="AN623" s="565"/>
      <c r="AO623" s="565"/>
      <c r="AP623" s="565"/>
      <c r="AQ623" s="565"/>
      <c r="AR623" s="565"/>
      <c r="AS623" s="565"/>
      <c r="AT623" s="565"/>
      <c r="AU623" s="181"/>
      <c r="AV623" s="558"/>
    </row>
    <row r="624" ht="11.25" customHeight="1">
      <c r="A624" s="565"/>
      <c r="B624" s="181"/>
      <c r="C624" s="565"/>
      <c r="D624" s="565"/>
      <c r="E624" s="565"/>
      <c r="F624" s="565"/>
      <c r="G624" s="565"/>
      <c r="H624" s="565"/>
      <c r="I624" s="565"/>
      <c r="J624" s="565"/>
      <c r="K624" s="565"/>
      <c r="L624" s="565"/>
      <c r="M624" s="565"/>
      <c r="N624" s="565"/>
      <c r="O624" s="565"/>
      <c r="P624" s="565"/>
      <c r="Q624" s="565"/>
      <c r="R624" s="565"/>
      <c r="S624" s="565"/>
      <c r="T624" s="565"/>
      <c r="U624" s="565"/>
      <c r="V624" s="565"/>
      <c r="W624" s="565"/>
      <c r="X624" s="565"/>
      <c r="Y624" s="565"/>
      <c r="Z624" s="565"/>
      <c r="AA624" s="565"/>
      <c r="AB624" s="565"/>
      <c r="AC624" s="565"/>
      <c r="AD624" s="565"/>
      <c r="AE624" s="565"/>
      <c r="AF624" s="565"/>
      <c r="AG624" s="565"/>
      <c r="AH624" s="565"/>
      <c r="AI624" s="565"/>
      <c r="AJ624" s="565"/>
      <c r="AK624" s="565"/>
      <c r="AL624" s="565"/>
      <c r="AM624" s="565"/>
      <c r="AN624" s="565"/>
      <c r="AO624" s="565"/>
      <c r="AP624" s="565"/>
      <c r="AQ624" s="565"/>
      <c r="AR624" s="565"/>
      <c r="AS624" s="565"/>
      <c r="AT624" s="565"/>
      <c r="AU624" s="181"/>
      <c r="AV624" s="558"/>
    </row>
    <row r="625" ht="11.25" customHeight="1">
      <c r="A625" s="565"/>
      <c r="B625" s="181"/>
      <c r="C625" s="565"/>
      <c r="D625" s="565"/>
      <c r="E625" s="565"/>
      <c r="F625" s="565"/>
      <c r="G625" s="565"/>
      <c r="H625" s="565"/>
      <c r="I625" s="565"/>
      <c r="J625" s="565"/>
      <c r="K625" s="565"/>
      <c r="L625" s="565"/>
      <c r="M625" s="565"/>
      <c r="N625" s="565"/>
      <c r="O625" s="565"/>
      <c r="P625" s="565"/>
      <c r="Q625" s="565"/>
      <c r="R625" s="565"/>
      <c r="S625" s="565"/>
      <c r="T625" s="565"/>
      <c r="U625" s="565"/>
      <c r="V625" s="565"/>
      <c r="W625" s="565"/>
      <c r="X625" s="565"/>
      <c r="Y625" s="565"/>
      <c r="Z625" s="565"/>
      <c r="AA625" s="565"/>
      <c r="AB625" s="565"/>
      <c r="AC625" s="565"/>
      <c r="AD625" s="565"/>
      <c r="AE625" s="565"/>
      <c r="AF625" s="565"/>
      <c r="AG625" s="565"/>
      <c r="AH625" s="565"/>
      <c r="AI625" s="565"/>
      <c r="AJ625" s="565"/>
      <c r="AK625" s="565"/>
      <c r="AL625" s="565"/>
      <c r="AM625" s="565"/>
      <c r="AN625" s="565"/>
      <c r="AO625" s="565"/>
      <c r="AP625" s="565"/>
      <c r="AQ625" s="565"/>
      <c r="AR625" s="565"/>
      <c r="AS625" s="565"/>
      <c r="AT625" s="565"/>
      <c r="AU625" s="181"/>
      <c r="AV625" s="558"/>
    </row>
    <row r="626" ht="11.25" customHeight="1">
      <c r="A626" s="565"/>
      <c r="B626" s="181"/>
      <c r="C626" s="565"/>
      <c r="D626" s="565"/>
      <c r="E626" s="565"/>
      <c r="F626" s="565"/>
      <c r="G626" s="565"/>
      <c r="H626" s="565"/>
      <c r="I626" s="565"/>
      <c r="J626" s="565"/>
      <c r="K626" s="565"/>
      <c r="L626" s="565"/>
      <c r="M626" s="565"/>
      <c r="N626" s="565"/>
      <c r="O626" s="565"/>
      <c r="P626" s="565"/>
      <c r="Q626" s="565"/>
      <c r="R626" s="565"/>
      <c r="S626" s="565"/>
      <c r="T626" s="565"/>
      <c r="U626" s="565"/>
      <c r="V626" s="565"/>
      <c r="W626" s="565"/>
      <c r="X626" s="565"/>
      <c r="Y626" s="565"/>
      <c r="Z626" s="565"/>
      <c r="AA626" s="565"/>
      <c r="AB626" s="565"/>
      <c r="AC626" s="565"/>
      <c r="AD626" s="565"/>
      <c r="AE626" s="565"/>
      <c r="AF626" s="565"/>
      <c r="AG626" s="565"/>
      <c r="AH626" s="565"/>
      <c r="AI626" s="565"/>
      <c r="AJ626" s="565"/>
      <c r="AK626" s="565"/>
      <c r="AL626" s="565"/>
      <c r="AM626" s="565"/>
      <c r="AN626" s="565"/>
      <c r="AO626" s="565"/>
      <c r="AP626" s="565"/>
      <c r="AQ626" s="565"/>
      <c r="AR626" s="565"/>
      <c r="AS626" s="565"/>
      <c r="AT626" s="565"/>
      <c r="AU626" s="181"/>
      <c r="AV626" s="558"/>
    </row>
    <row r="627" ht="11.25" customHeight="1">
      <c r="A627" s="565"/>
      <c r="B627" s="181"/>
      <c r="C627" s="565"/>
      <c r="D627" s="565"/>
      <c r="E627" s="565"/>
      <c r="F627" s="565"/>
      <c r="G627" s="565"/>
      <c r="H627" s="565"/>
      <c r="I627" s="565"/>
      <c r="J627" s="565"/>
      <c r="K627" s="565"/>
      <c r="L627" s="565"/>
      <c r="M627" s="565"/>
      <c r="N627" s="565"/>
      <c r="O627" s="565"/>
      <c r="P627" s="565"/>
      <c r="Q627" s="565"/>
      <c r="R627" s="565"/>
      <c r="S627" s="565"/>
      <c r="T627" s="565"/>
      <c r="U627" s="565"/>
      <c r="V627" s="565"/>
      <c r="W627" s="565"/>
      <c r="X627" s="565"/>
      <c r="Y627" s="565"/>
      <c r="Z627" s="565"/>
      <c r="AA627" s="565"/>
      <c r="AB627" s="565"/>
      <c r="AC627" s="565"/>
      <c r="AD627" s="565"/>
      <c r="AE627" s="565"/>
      <c r="AF627" s="565"/>
      <c r="AG627" s="565"/>
      <c r="AH627" s="565"/>
      <c r="AI627" s="565"/>
      <c r="AJ627" s="565"/>
      <c r="AK627" s="565"/>
      <c r="AL627" s="565"/>
      <c r="AM627" s="565"/>
      <c r="AN627" s="565"/>
      <c r="AO627" s="565"/>
      <c r="AP627" s="565"/>
      <c r="AQ627" s="565"/>
      <c r="AR627" s="565"/>
      <c r="AS627" s="565"/>
      <c r="AT627" s="565"/>
      <c r="AU627" s="181"/>
      <c r="AV627" s="558"/>
    </row>
    <row r="628" ht="11.25" customHeight="1">
      <c r="A628" s="565"/>
      <c r="B628" s="181"/>
      <c r="C628" s="565"/>
      <c r="D628" s="565"/>
      <c r="E628" s="565"/>
      <c r="F628" s="565"/>
      <c r="G628" s="565"/>
      <c r="H628" s="565"/>
      <c r="I628" s="565"/>
      <c r="J628" s="565"/>
      <c r="K628" s="565"/>
      <c r="L628" s="565"/>
      <c r="M628" s="565"/>
      <c r="N628" s="565"/>
      <c r="O628" s="565"/>
      <c r="P628" s="565"/>
      <c r="Q628" s="565"/>
      <c r="R628" s="565"/>
      <c r="S628" s="565"/>
      <c r="T628" s="565"/>
      <c r="U628" s="565"/>
      <c r="V628" s="565"/>
      <c r="W628" s="565"/>
      <c r="X628" s="565"/>
      <c r="Y628" s="565"/>
      <c r="Z628" s="565"/>
      <c r="AA628" s="565"/>
      <c r="AB628" s="565"/>
      <c r="AC628" s="565"/>
      <c r="AD628" s="565"/>
      <c r="AE628" s="565"/>
      <c r="AF628" s="565"/>
      <c r="AG628" s="565"/>
      <c r="AH628" s="565"/>
      <c r="AI628" s="565"/>
      <c r="AJ628" s="565"/>
      <c r="AK628" s="565"/>
      <c r="AL628" s="565"/>
      <c r="AM628" s="565"/>
      <c r="AN628" s="565"/>
      <c r="AO628" s="565"/>
      <c r="AP628" s="565"/>
      <c r="AQ628" s="565"/>
      <c r="AR628" s="565"/>
      <c r="AS628" s="565"/>
      <c r="AT628" s="565"/>
      <c r="AU628" s="181"/>
      <c r="AV628" s="558"/>
    </row>
    <row r="629" ht="11.25" customHeight="1">
      <c r="A629" s="565"/>
      <c r="B629" s="181"/>
      <c r="C629" s="565"/>
      <c r="D629" s="565"/>
      <c r="E629" s="565"/>
      <c r="F629" s="565"/>
      <c r="G629" s="565"/>
      <c r="H629" s="565"/>
      <c r="I629" s="565"/>
      <c r="J629" s="565"/>
      <c r="K629" s="565"/>
      <c r="L629" s="565"/>
      <c r="M629" s="565"/>
      <c r="N629" s="565"/>
      <c r="O629" s="565"/>
      <c r="P629" s="565"/>
      <c r="Q629" s="565"/>
      <c r="R629" s="565"/>
      <c r="S629" s="565"/>
      <c r="T629" s="565"/>
      <c r="U629" s="565"/>
      <c r="V629" s="565"/>
      <c r="W629" s="565"/>
      <c r="X629" s="565"/>
      <c r="Y629" s="565"/>
      <c r="Z629" s="565"/>
      <c r="AA629" s="565"/>
      <c r="AB629" s="565"/>
      <c r="AC629" s="565"/>
      <c r="AD629" s="565"/>
      <c r="AE629" s="565"/>
      <c r="AF629" s="565"/>
      <c r="AG629" s="565"/>
      <c r="AH629" s="565"/>
      <c r="AI629" s="565"/>
      <c r="AJ629" s="565"/>
      <c r="AK629" s="565"/>
      <c r="AL629" s="565"/>
      <c r="AM629" s="565"/>
      <c r="AN629" s="565"/>
      <c r="AO629" s="565"/>
      <c r="AP629" s="565"/>
      <c r="AQ629" s="565"/>
      <c r="AR629" s="565"/>
      <c r="AS629" s="565"/>
      <c r="AT629" s="565"/>
      <c r="AU629" s="181"/>
      <c r="AV629" s="558"/>
    </row>
    <row r="630" ht="11.25" customHeight="1">
      <c r="A630" s="565"/>
      <c r="B630" s="181"/>
      <c r="C630" s="565"/>
      <c r="D630" s="565"/>
      <c r="E630" s="565"/>
      <c r="F630" s="565"/>
      <c r="G630" s="565"/>
      <c r="H630" s="565"/>
      <c r="I630" s="565"/>
      <c r="J630" s="565"/>
      <c r="K630" s="565"/>
      <c r="L630" s="565"/>
      <c r="M630" s="565"/>
      <c r="N630" s="565"/>
      <c r="O630" s="565"/>
      <c r="P630" s="565"/>
      <c r="Q630" s="565"/>
      <c r="R630" s="565"/>
      <c r="S630" s="565"/>
      <c r="T630" s="565"/>
      <c r="U630" s="565"/>
      <c r="V630" s="565"/>
      <c r="W630" s="565"/>
      <c r="X630" s="565"/>
      <c r="Y630" s="565"/>
      <c r="Z630" s="565"/>
      <c r="AA630" s="565"/>
      <c r="AB630" s="565"/>
      <c r="AC630" s="565"/>
      <c r="AD630" s="565"/>
      <c r="AE630" s="565"/>
      <c r="AF630" s="565"/>
      <c r="AG630" s="565"/>
      <c r="AH630" s="565"/>
      <c r="AI630" s="565"/>
      <c r="AJ630" s="565"/>
      <c r="AK630" s="565"/>
      <c r="AL630" s="565"/>
      <c r="AM630" s="565"/>
      <c r="AN630" s="565"/>
      <c r="AO630" s="565"/>
      <c r="AP630" s="565"/>
      <c r="AQ630" s="565"/>
      <c r="AR630" s="565"/>
      <c r="AS630" s="565"/>
      <c r="AT630" s="565"/>
      <c r="AU630" s="181"/>
      <c r="AV630" s="558"/>
    </row>
    <row r="631" ht="11.25" customHeight="1">
      <c r="A631" s="565"/>
      <c r="B631" s="181"/>
      <c r="C631" s="565"/>
      <c r="D631" s="565"/>
      <c r="E631" s="565"/>
      <c r="F631" s="565"/>
      <c r="G631" s="565"/>
      <c r="H631" s="565"/>
      <c r="I631" s="565"/>
      <c r="J631" s="565"/>
      <c r="K631" s="565"/>
      <c r="L631" s="565"/>
      <c r="M631" s="565"/>
      <c r="N631" s="565"/>
      <c r="O631" s="565"/>
      <c r="P631" s="565"/>
      <c r="Q631" s="565"/>
      <c r="R631" s="565"/>
      <c r="S631" s="565"/>
      <c r="T631" s="565"/>
      <c r="U631" s="565"/>
      <c r="V631" s="565"/>
      <c r="W631" s="565"/>
      <c r="X631" s="565"/>
      <c r="Y631" s="565"/>
      <c r="Z631" s="565"/>
      <c r="AA631" s="565"/>
      <c r="AB631" s="565"/>
      <c r="AC631" s="565"/>
      <c r="AD631" s="565"/>
      <c r="AE631" s="565"/>
      <c r="AF631" s="565"/>
      <c r="AG631" s="565"/>
      <c r="AH631" s="565"/>
      <c r="AI631" s="565"/>
      <c r="AJ631" s="565"/>
      <c r="AK631" s="565"/>
      <c r="AL631" s="565"/>
      <c r="AM631" s="565"/>
      <c r="AN631" s="565"/>
      <c r="AO631" s="565"/>
      <c r="AP631" s="565"/>
      <c r="AQ631" s="565"/>
      <c r="AR631" s="565"/>
      <c r="AS631" s="565"/>
      <c r="AT631" s="565"/>
      <c r="AU631" s="181"/>
      <c r="AV631" s="558"/>
    </row>
    <row r="632" ht="11.25" customHeight="1">
      <c r="A632" s="565"/>
      <c r="B632" s="181"/>
      <c r="C632" s="565"/>
      <c r="D632" s="565"/>
      <c r="E632" s="565"/>
      <c r="F632" s="565"/>
      <c r="G632" s="565"/>
      <c r="H632" s="565"/>
      <c r="I632" s="565"/>
      <c r="J632" s="565"/>
      <c r="K632" s="565"/>
      <c r="L632" s="565"/>
      <c r="M632" s="565"/>
      <c r="N632" s="565"/>
      <c r="O632" s="565"/>
      <c r="P632" s="565"/>
      <c r="Q632" s="565"/>
      <c r="R632" s="565"/>
      <c r="S632" s="565"/>
      <c r="T632" s="565"/>
      <c r="U632" s="565"/>
      <c r="V632" s="565"/>
      <c r="W632" s="565"/>
      <c r="X632" s="565"/>
      <c r="Y632" s="565"/>
      <c r="Z632" s="565"/>
      <c r="AA632" s="565"/>
      <c r="AB632" s="565"/>
      <c r="AC632" s="565"/>
      <c r="AD632" s="565"/>
      <c r="AE632" s="565"/>
      <c r="AF632" s="565"/>
      <c r="AG632" s="565"/>
      <c r="AH632" s="565"/>
      <c r="AI632" s="565"/>
      <c r="AJ632" s="565"/>
      <c r="AK632" s="565"/>
      <c r="AL632" s="565"/>
      <c r="AM632" s="565"/>
      <c r="AN632" s="565"/>
      <c r="AO632" s="565"/>
      <c r="AP632" s="565"/>
      <c r="AQ632" s="565"/>
      <c r="AR632" s="565"/>
      <c r="AS632" s="565"/>
      <c r="AT632" s="565"/>
      <c r="AU632" s="181"/>
      <c r="AV632" s="558"/>
    </row>
    <row r="633" ht="11.25" customHeight="1">
      <c r="A633" s="565"/>
      <c r="B633" s="181"/>
      <c r="C633" s="565"/>
      <c r="D633" s="565"/>
      <c r="E633" s="565"/>
      <c r="F633" s="565"/>
      <c r="G633" s="565"/>
      <c r="H633" s="565"/>
      <c r="I633" s="565"/>
      <c r="J633" s="565"/>
      <c r="K633" s="565"/>
      <c r="L633" s="565"/>
      <c r="M633" s="565"/>
      <c r="N633" s="565"/>
      <c r="O633" s="565"/>
      <c r="P633" s="565"/>
      <c r="Q633" s="565"/>
      <c r="R633" s="565"/>
      <c r="S633" s="565"/>
      <c r="T633" s="565"/>
      <c r="U633" s="565"/>
      <c r="V633" s="565"/>
      <c r="W633" s="565"/>
      <c r="X633" s="565"/>
      <c r="Y633" s="565"/>
      <c r="Z633" s="565"/>
      <c r="AA633" s="565"/>
      <c r="AB633" s="565"/>
      <c r="AC633" s="565"/>
      <c r="AD633" s="565"/>
      <c r="AE633" s="565"/>
      <c r="AF633" s="565"/>
      <c r="AG633" s="565"/>
      <c r="AH633" s="565"/>
      <c r="AI633" s="565"/>
      <c r="AJ633" s="565"/>
      <c r="AK633" s="565"/>
      <c r="AL633" s="565"/>
      <c r="AM633" s="565"/>
      <c r="AN633" s="565"/>
      <c r="AO633" s="565"/>
      <c r="AP633" s="565"/>
      <c r="AQ633" s="565"/>
      <c r="AR633" s="565"/>
      <c r="AS633" s="565"/>
      <c r="AT633" s="565"/>
      <c r="AU633" s="181"/>
      <c r="AV633" s="558"/>
    </row>
    <row r="634" ht="11.25" customHeight="1">
      <c r="A634" s="565"/>
      <c r="B634" s="181"/>
      <c r="C634" s="565"/>
      <c r="D634" s="565"/>
      <c r="E634" s="565"/>
      <c r="F634" s="565"/>
      <c r="G634" s="565"/>
      <c r="H634" s="565"/>
      <c r="I634" s="565"/>
      <c r="J634" s="565"/>
      <c r="K634" s="565"/>
      <c r="L634" s="565"/>
      <c r="M634" s="565"/>
      <c r="N634" s="565"/>
      <c r="O634" s="565"/>
      <c r="P634" s="565"/>
      <c r="Q634" s="565"/>
      <c r="R634" s="565"/>
      <c r="S634" s="565"/>
      <c r="T634" s="565"/>
      <c r="U634" s="565"/>
      <c r="V634" s="565"/>
      <c r="W634" s="565"/>
      <c r="X634" s="565"/>
      <c r="Y634" s="565"/>
      <c r="Z634" s="565"/>
      <c r="AA634" s="565"/>
      <c r="AB634" s="565"/>
      <c r="AC634" s="565"/>
      <c r="AD634" s="565"/>
      <c r="AE634" s="565"/>
      <c r="AF634" s="565"/>
      <c r="AG634" s="565"/>
      <c r="AH634" s="565"/>
      <c r="AI634" s="565"/>
      <c r="AJ634" s="565"/>
      <c r="AK634" s="565"/>
      <c r="AL634" s="565"/>
      <c r="AM634" s="565"/>
      <c r="AN634" s="565"/>
      <c r="AO634" s="565"/>
      <c r="AP634" s="565"/>
      <c r="AQ634" s="565"/>
      <c r="AR634" s="565"/>
      <c r="AS634" s="565"/>
      <c r="AT634" s="565"/>
      <c r="AU634" s="181"/>
      <c r="AV634" s="558"/>
    </row>
    <row r="635" ht="11.25" customHeight="1">
      <c r="A635" s="565"/>
      <c r="B635" s="181"/>
      <c r="C635" s="565"/>
      <c r="D635" s="565"/>
      <c r="E635" s="565"/>
      <c r="F635" s="565"/>
      <c r="G635" s="565"/>
      <c r="H635" s="565"/>
      <c r="I635" s="565"/>
      <c r="J635" s="565"/>
      <c r="K635" s="565"/>
      <c r="L635" s="565"/>
      <c r="M635" s="565"/>
      <c r="N635" s="565"/>
      <c r="O635" s="565"/>
      <c r="P635" s="565"/>
      <c r="Q635" s="565"/>
      <c r="R635" s="565"/>
      <c r="S635" s="565"/>
      <c r="T635" s="565"/>
      <c r="U635" s="565"/>
      <c r="V635" s="565"/>
      <c r="W635" s="565"/>
      <c r="X635" s="565"/>
      <c r="Y635" s="565"/>
      <c r="Z635" s="565"/>
      <c r="AA635" s="565"/>
      <c r="AB635" s="565"/>
      <c r="AC635" s="565"/>
      <c r="AD635" s="565"/>
      <c r="AE635" s="565"/>
      <c r="AF635" s="565"/>
      <c r="AG635" s="565"/>
      <c r="AH635" s="565"/>
      <c r="AI635" s="565"/>
      <c r="AJ635" s="565"/>
      <c r="AK635" s="565"/>
      <c r="AL635" s="565"/>
      <c r="AM635" s="565"/>
      <c r="AN635" s="565"/>
      <c r="AO635" s="565"/>
      <c r="AP635" s="565"/>
      <c r="AQ635" s="565"/>
      <c r="AR635" s="565"/>
      <c r="AS635" s="565"/>
      <c r="AT635" s="565"/>
      <c r="AU635" s="181"/>
      <c r="AV635" s="558"/>
    </row>
    <row r="636" ht="11.25" customHeight="1">
      <c r="A636" s="565"/>
      <c r="B636" s="181"/>
      <c r="C636" s="565"/>
      <c r="D636" s="565"/>
      <c r="E636" s="565"/>
      <c r="F636" s="565"/>
      <c r="G636" s="565"/>
      <c r="H636" s="565"/>
      <c r="I636" s="565"/>
      <c r="J636" s="565"/>
      <c r="K636" s="565"/>
      <c r="L636" s="565"/>
      <c r="M636" s="565"/>
      <c r="N636" s="565"/>
      <c r="O636" s="565"/>
      <c r="P636" s="565"/>
      <c r="Q636" s="565"/>
      <c r="R636" s="565"/>
      <c r="S636" s="565"/>
      <c r="T636" s="565"/>
      <c r="U636" s="565"/>
      <c r="V636" s="565"/>
      <c r="W636" s="565"/>
      <c r="X636" s="565"/>
      <c r="Y636" s="565"/>
      <c r="Z636" s="565"/>
      <c r="AA636" s="565"/>
      <c r="AB636" s="565"/>
      <c r="AC636" s="565"/>
      <c r="AD636" s="565"/>
      <c r="AE636" s="565"/>
      <c r="AF636" s="565"/>
      <c r="AG636" s="565"/>
      <c r="AH636" s="565"/>
      <c r="AI636" s="565"/>
      <c r="AJ636" s="565"/>
      <c r="AK636" s="565"/>
      <c r="AL636" s="565"/>
      <c r="AM636" s="565"/>
      <c r="AN636" s="565"/>
      <c r="AO636" s="565"/>
      <c r="AP636" s="565"/>
      <c r="AQ636" s="565"/>
      <c r="AR636" s="565"/>
      <c r="AS636" s="565"/>
      <c r="AT636" s="565"/>
      <c r="AU636" s="181"/>
      <c r="AV636" s="558"/>
    </row>
    <row r="637" ht="11.25" customHeight="1">
      <c r="A637" s="565"/>
      <c r="B637" s="181"/>
      <c r="C637" s="565"/>
      <c r="D637" s="565"/>
      <c r="E637" s="565"/>
      <c r="F637" s="565"/>
      <c r="G637" s="565"/>
      <c r="H637" s="565"/>
      <c r="I637" s="565"/>
      <c r="J637" s="565"/>
      <c r="K637" s="565"/>
      <c r="L637" s="565"/>
      <c r="M637" s="565"/>
      <c r="N637" s="565"/>
      <c r="O637" s="565"/>
      <c r="P637" s="565"/>
      <c r="Q637" s="565"/>
      <c r="R637" s="565"/>
      <c r="S637" s="565"/>
      <c r="T637" s="565"/>
      <c r="U637" s="565"/>
      <c r="V637" s="565"/>
      <c r="W637" s="565"/>
      <c r="X637" s="565"/>
      <c r="Y637" s="565"/>
      <c r="Z637" s="565"/>
      <c r="AA637" s="565"/>
      <c r="AB637" s="565"/>
      <c r="AC637" s="565"/>
      <c r="AD637" s="565"/>
      <c r="AE637" s="565"/>
      <c r="AF637" s="565"/>
      <c r="AG637" s="565"/>
      <c r="AH637" s="565"/>
      <c r="AI637" s="565"/>
      <c r="AJ637" s="565"/>
      <c r="AK637" s="565"/>
      <c r="AL637" s="565"/>
      <c r="AM637" s="565"/>
      <c r="AN637" s="565"/>
      <c r="AO637" s="565"/>
      <c r="AP637" s="565"/>
      <c r="AQ637" s="565"/>
      <c r="AR637" s="565"/>
      <c r="AS637" s="565"/>
      <c r="AT637" s="565"/>
      <c r="AU637" s="181"/>
      <c r="AV637" s="558"/>
    </row>
    <row r="638" ht="11.25" customHeight="1">
      <c r="A638" s="565"/>
      <c r="B638" s="181"/>
      <c r="C638" s="565"/>
      <c r="D638" s="565"/>
      <c r="E638" s="565"/>
      <c r="F638" s="565"/>
      <c r="G638" s="565"/>
      <c r="H638" s="565"/>
      <c r="I638" s="565"/>
      <c r="J638" s="565"/>
      <c r="K638" s="565"/>
      <c r="L638" s="565"/>
      <c r="M638" s="565"/>
      <c r="N638" s="565"/>
      <c r="O638" s="565"/>
      <c r="P638" s="565"/>
      <c r="Q638" s="565"/>
      <c r="R638" s="565"/>
      <c r="S638" s="565"/>
      <c r="T638" s="565"/>
      <c r="U638" s="565"/>
      <c r="V638" s="565"/>
      <c r="W638" s="565"/>
      <c r="X638" s="565"/>
      <c r="Y638" s="565"/>
      <c r="Z638" s="565"/>
      <c r="AA638" s="565"/>
      <c r="AB638" s="565"/>
      <c r="AC638" s="565"/>
      <c r="AD638" s="565"/>
      <c r="AE638" s="565"/>
      <c r="AF638" s="565"/>
      <c r="AG638" s="565"/>
      <c r="AH638" s="565"/>
      <c r="AI638" s="565"/>
      <c r="AJ638" s="565"/>
      <c r="AK638" s="565"/>
      <c r="AL638" s="565"/>
      <c r="AM638" s="565"/>
      <c r="AN638" s="565"/>
      <c r="AO638" s="565"/>
      <c r="AP638" s="565"/>
      <c r="AQ638" s="565"/>
      <c r="AR638" s="565"/>
      <c r="AS638" s="565"/>
      <c r="AT638" s="565"/>
      <c r="AU638" s="181"/>
      <c r="AV638" s="558"/>
    </row>
    <row r="639" ht="11.25" customHeight="1">
      <c r="A639" s="565"/>
      <c r="B639" s="181"/>
      <c r="C639" s="565"/>
      <c r="D639" s="565"/>
      <c r="E639" s="565"/>
      <c r="F639" s="565"/>
      <c r="G639" s="565"/>
      <c r="H639" s="565"/>
      <c r="I639" s="565"/>
      <c r="J639" s="565"/>
      <c r="K639" s="565"/>
      <c r="L639" s="565"/>
      <c r="M639" s="565"/>
      <c r="N639" s="565"/>
      <c r="O639" s="565"/>
      <c r="P639" s="565"/>
      <c r="Q639" s="565"/>
      <c r="R639" s="565"/>
      <c r="S639" s="565"/>
      <c r="T639" s="565"/>
      <c r="U639" s="565"/>
      <c r="V639" s="565"/>
      <c r="W639" s="565"/>
      <c r="X639" s="565"/>
      <c r="Y639" s="565"/>
      <c r="Z639" s="565"/>
      <c r="AA639" s="565"/>
      <c r="AB639" s="565"/>
      <c r="AC639" s="565"/>
      <c r="AD639" s="565"/>
      <c r="AE639" s="565"/>
      <c r="AF639" s="565"/>
      <c r="AG639" s="565"/>
      <c r="AH639" s="565"/>
      <c r="AI639" s="565"/>
      <c r="AJ639" s="565"/>
      <c r="AK639" s="565"/>
      <c r="AL639" s="565"/>
      <c r="AM639" s="565"/>
      <c r="AN639" s="565"/>
      <c r="AO639" s="565"/>
      <c r="AP639" s="565"/>
      <c r="AQ639" s="565"/>
      <c r="AR639" s="565"/>
      <c r="AS639" s="565"/>
      <c r="AT639" s="565"/>
      <c r="AU639" s="181"/>
      <c r="AV639" s="558"/>
    </row>
    <row r="640" ht="11.25" customHeight="1">
      <c r="A640" s="565"/>
      <c r="B640" s="181"/>
      <c r="C640" s="565"/>
      <c r="D640" s="565"/>
      <c r="E640" s="565"/>
      <c r="F640" s="565"/>
      <c r="G640" s="565"/>
      <c r="H640" s="565"/>
      <c r="I640" s="565"/>
      <c r="J640" s="565"/>
      <c r="K640" s="565"/>
      <c r="L640" s="565"/>
      <c r="M640" s="565"/>
      <c r="N640" s="565"/>
      <c r="O640" s="565"/>
      <c r="P640" s="565"/>
      <c r="Q640" s="565"/>
      <c r="R640" s="565"/>
      <c r="S640" s="565"/>
      <c r="T640" s="565"/>
      <c r="U640" s="565"/>
      <c r="V640" s="565"/>
      <c r="W640" s="565"/>
      <c r="X640" s="565"/>
      <c r="Y640" s="565"/>
      <c r="Z640" s="565"/>
      <c r="AA640" s="565"/>
      <c r="AB640" s="565"/>
      <c r="AC640" s="565"/>
      <c r="AD640" s="565"/>
      <c r="AE640" s="565"/>
      <c r="AF640" s="565"/>
      <c r="AG640" s="565"/>
      <c r="AH640" s="565"/>
      <c r="AI640" s="565"/>
      <c r="AJ640" s="565"/>
      <c r="AK640" s="565"/>
      <c r="AL640" s="565"/>
      <c r="AM640" s="565"/>
      <c r="AN640" s="565"/>
      <c r="AO640" s="565"/>
      <c r="AP640" s="565"/>
      <c r="AQ640" s="565"/>
      <c r="AR640" s="565"/>
      <c r="AS640" s="565"/>
      <c r="AT640" s="565"/>
      <c r="AU640" s="181"/>
      <c r="AV640" s="558"/>
    </row>
    <row r="641" ht="11.25" customHeight="1">
      <c r="A641" s="565"/>
      <c r="B641" s="181"/>
      <c r="C641" s="565"/>
      <c r="D641" s="565"/>
      <c r="E641" s="565"/>
      <c r="F641" s="565"/>
      <c r="G641" s="565"/>
      <c r="H641" s="565"/>
      <c r="I641" s="565"/>
      <c r="J641" s="565"/>
      <c r="K641" s="565"/>
      <c r="L641" s="565"/>
      <c r="M641" s="565"/>
      <c r="N641" s="565"/>
      <c r="O641" s="565"/>
      <c r="P641" s="565"/>
      <c r="Q641" s="565"/>
      <c r="R641" s="565"/>
      <c r="S641" s="565"/>
      <c r="T641" s="565"/>
      <c r="U641" s="565"/>
      <c r="V641" s="565"/>
      <c r="W641" s="565"/>
      <c r="X641" s="565"/>
      <c r="Y641" s="565"/>
      <c r="Z641" s="565"/>
      <c r="AA641" s="565"/>
      <c r="AB641" s="565"/>
      <c r="AC641" s="565"/>
      <c r="AD641" s="565"/>
      <c r="AE641" s="565"/>
      <c r="AF641" s="565"/>
      <c r="AG641" s="565"/>
      <c r="AH641" s="565"/>
      <c r="AI641" s="565"/>
      <c r="AJ641" s="565"/>
      <c r="AK641" s="565"/>
      <c r="AL641" s="565"/>
      <c r="AM641" s="565"/>
      <c r="AN641" s="565"/>
      <c r="AO641" s="565"/>
      <c r="AP641" s="565"/>
      <c r="AQ641" s="565"/>
      <c r="AR641" s="565"/>
      <c r="AS641" s="565"/>
      <c r="AT641" s="565"/>
      <c r="AU641" s="181"/>
      <c r="AV641" s="558"/>
    </row>
    <row r="642" ht="11.25" customHeight="1">
      <c r="A642" s="565"/>
      <c r="B642" s="181"/>
      <c r="C642" s="565"/>
      <c r="D642" s="565"/>
      <c r="E642" s="565"/>
      <c r="F642" s="565"/>
      <c r="G642" s="565"/>
      <c r="H642" s="565"/>
      <c r="I642" s="565"/>
      <c r="J642" s="565"/>
      <c r="K642" s="565"/>
      <c r="L642" s="565"/>
      <c r="M642" s="565"/>
      <c r="N642" s="565"/>
      <c r="O642" s="565"/>
      <c r="P642" s="565"/>
      <c r="Q642" s="565"/>
      <c r="R642" s="565"/>
      <c r="S642" s="565"/>
      <c r="T642" s="565"/>
      <c r="U642" s="565"/>
      <c r="V642" s="565"/>
      <c r="W642" s="565"/>
      <c r="X642" s="565"/>
      <c r="Y642" s="565"/>
      <c r="Z642" s="565"/>
      <c r="AA642" s="565"/>
      <c r="AB642" s="565"/>
      <c r="AC642" s="565"/>
      <c r="AD642" s="565"/>
      <c r="AE642" s="565"/>
      <c r="AF642" s="565"/>
      <c r="AG642" s="565"/>
      <c r="AH642" s="565"/>
      <c r="AI642" s="565"/>
      <c r="AJ642" s="565"/>
      <c r="AK642" s="565"/>
      <c r="AL642" s="565"/>
      <c r="AM642" s="565"/>
      <c r="AN642" s="565"/>
      <c r="AO642" s="565"/>
      <c r="AP642" s="565"/>
      <c r="AQ642" s="565"/>
      <c r="AR642" s="565"/>
      <c r="AS642" s="565"/>
      <c r="AT642" s="565"/>
      <c r="AU642" s="181"/>
      <c r="AV642" s="558"/>
    </row>
    <row r="643" ht="11.25" customHeight="1">
      <c r="A643" s="565"/>
      <c r="B643" s="181"/>
      <c r="C643" s="565"/>
      <c r="D643" s="565"/>
      <c r="E643" s="565"/>
      <c r="F643" s="565"/>
      <c r="G643" s="565"/>
      <c r="H643" s="565"/>
      <c r="I643" s="565"/>
      <c r="J643" s="565"/>
      <c r="K643" s="565"/>
      <c r="L643" s="565"/>
      <c r="M643" s="565"/>
      <c r="N643" s="565"/>
      <c r="O643" s="565"/>
      <c r="P643" s="565"/>
      <c r="Q643" s="565"/>
      <c r="R643" s="565"/>
      <c r="S643" s="565"/>
      <c r="T643" s="565"/>
      <c r="U643" s="565"/>
      <c r="V643" s="565"/>
      <c r="W643" s="565"/>
      <c r="X643" s="565"/>
      <c r="Y643" s="565"/>
      <c r="Z643" s="565"/>
      <c r="AA643" s="565"/>
      <c r="AB643" s="565"/>
      <c r="AC643" s="565"/>
      <c r="AD643" s="565"/>
      <c r="AE643" s="565"/>
      <c r="AF643" s="565"/>
      <c r="AG643" s="565"/>
      <c r="AH643" s="565"/>
      <c r="AI643" s="565"/>
      <c r="AJ643" s="565"/>
      <c r="AK643" s="565"/>
      <c r="AL643" s="565"/>
      <c r="AM643" s="565"/>
      <c r="AN643" s="565"/>
      <c r="AO643" s="565"/>
      <c r="AP643" s="565"/>
      <c r="AQ643" s="565"/>
      <c r="AR643" s="565"/>
      <c r="AS643" s="565"/>
      <c r="AT643" s="565"/>
      <c r="AU643" s="181"/>
      <c r="AV643" s="558"/>
    </row>
    <row r="644" ht="11.25" customHeight="1">
      <c r="A644" s="565"/>
      <c r="B644" s="181"/>
      <c r="C644" s="565"/>
      <c r="D644" s="565"/>
      <c r="E644" s="565"/>
      <c r="F644" s="565"/>
      <c r="G644" s="565"/>
      <c r="H644" s="565"/>
      <c r="I644" s="565"/>
      <c r="J644" s="565"/>
      <c r="K644" s="565"/>
      <c r="L644" s="565"/>
      <c r="M644" s="565"/>
      <c r="N644" s="565"/>
      <c r="O644" s="565"/>
      <c r="P644" s="565"/>
      <c r="Q644" s="565"/>
      <c r="R644" s="565"/>
      <c r="S644" s="565"/>
      <c r="T644" s="565"/>
      <c r="U644" s="565"/>
      <c r="V644" s="565"/>
      <c r="W644" s="565"/>
      <c r="X644" s="565"/>
      <c r="Y644" s="565"/>
      <c r="Z644" s="565"/>
      <c r="AA644" s="565"/>
      <c r="AB644" s="565"/>
      <c r="AC644" s="565"/>
      <c r="AD644" s="565"/>
      <c r="AE644" s="565"/>
      <c r="AF644" s="565"/>
      <c r="AG644" s="565"/>
      <c r="AH644" s="565"/>
      <c r="AI644" s="565"/>
      <c r="AJ644" s="565"/>
      <c r="AK644" s="565"/>
      <c r="AL644" s="565"/>
      <c r="AM644" s="565"/>
      <c r="AN644" s="565"/>
      <c r="AO644" s="565"/>
      <c r="AP644" s="565"/>
      <c r="AQ644" s="565"/>
      <c r="AR644" s="565"/>
      <c r="AS644" s="565"/>
      <c r="AT644" s="565"/>
      <c r="AU644" s="181"/>
      <c r="AV644" s="558"/>
    </row>
    <row r="645" ht="11.25" customHeight="1">
      <c r="A645" s="565"/>
      <c r="B645" s="181"/>
      <c r="C645" s="565"/>
      <c r="D645" s="565"/>
      <c r="E645" s="565"/>
      <c r="F645" s="565"/>
      <c r="G645" s="565"/>
      <c r="H645" s="565"/>
      <c r="I645" s="565"/>
      <c r="J645" s="565"/>
      <c r="K645" s="565"/>
      <c r="L645" s="565"/>
      <c r="M645" s="565"/>
      <c r="N645" s="565"/>
      <c r="O645" s="565"/>
      <c r="P645" s="565"/>
      <c r="Q645" s="565"/>
      <c r="R645" s="565"/>
      <c r="S645" s="565"/>
      <c r="T645" s="565"/>
      <c r="U645" s="565"/>
      <c r="V645" s="565"/>
      <c r="W645" s="565"/>
      <c r="X645" s="565"/>
      <c r="Y645" s="565"/>
      <c r="Z645" s="565"/>
      <c r="AA645" s="565"/>
      <c r="AB645" s="565"/>
      <c r="AC645" s="565"/>
      <c r="AD645" s="565"/>
      <c r="AE645" s="565"/>
      <c r="AF645" s="565"/>
      <c r="AG645" s="565"/>
      <c r="AH645" s="565"/>
      <c r="AI645" s="565"/>
      <c r="AJ645" s="565"/>
      <c r="AK645" s="565"/>
      <c r="AL645" s="565"/>
      <c r="AM645" s="565"/>
      <c r="AN645" s="565"/>
      <c r="AO645" s="565"/>
      <c r="AP645" s="565"/>
      <c r="AQ645" s="565"/>
      <c r="AR645" s="565"/>
      <c r="AS645" s="565"/>
      <c r="AT645" s="565"/>
      <c r="AU645" s="181"/>
      <c r="AV645" s="558"/>
    </row>
    <row r="646" ht="11.25" customHeight="1">
      <c r="A646" s="565"/>
      <c r="B646" s="181"/>
      <c r="C646" s="565"/>
      <c r="D646" s="565"/>
      <c r="E646" s="565"/>
      <c r="F646" s="565"/>
      <c r="G646" s="565"/>
      <c r="H646" s="565"/>
      <c r="I646" s="565"/>
      <c r="J646" s="565"/>
      <c r="K646" s="565"/>
      <c r="L646" s="565"/>
      <c r="M646" s="565"/>
      <c r="N646" s="565"/>
      <c r="O646" s="565"/>
      <c r="P646" s="565"/>
      <c r="Q646" s="565"/>
      <c r="R646" s="565"/>
      <c r="S646" s="565"/>
      <c r="T646" s="565"/>
      <c r="U646" s="565"/>
      <c r="V646" s="565"/>
      <c r="W646" s="565"/>
      <c r="X646" s="565"/>
      <c r="Y646" s="565"/>
      <c r="Z646" s="565"/>
      <c r="AA646" s="565"/>
      <c r="AB646" s="565"/>
      <c r="AC646" s="565"/>
      <c r="AD646" s="565"/>
      <c r="AE646" s="565"/>
      <c r="AF646" s="565"/>
      <c r="AG646" s="565"/>
      <c r="AH646" s="565"/>
      <c r="AI646" s="565"/>
      <c r="AJ646" s="565"/>
      <c r="AK646" s="565"/>
      <c r="AL646" s="565"/>
      <c r="AM646" s="565"/>
      <c r="AN646" s="565"/>
      <c r="AO646" s="565"/>
      <c r="AP646" s="565"/>
      <c r="AQ646" s="565"/>
      <c r="AR646" s="565"/>
      <c r="AS646" s="565"/>
      <c r="AT646" s="565"/>
      <c r="AU646" s="181"/>
      <c r="AV646" s="558"/>
    </row>
    <row r="647" ht="11.25" customHeight="1">
      <c r="A647" s="565"/>
      <c r="B647" s="181"/>
      <c r="C647" s="565"/>
      <c r="D647" s="565"/>
      <c r="E647" s="565"/>
      <c r="F647" s="565"/>
      <c r="G647" s="565"/>
      <c r="H647" s="565"/>
      <c r="I647" s="565"/>
      <c r="J647" s="565"/>
      <c r="K647" s="565"/>
      <c r="L647" s="565"/>
      <c r="M647" s="565"/>
      <c r="N647" s="565"/>
      <c r="O647" s="565"/>
      <c r="P647" s="565"/>
      <c r="Q647" s="565"/>
      <c r="R647" s="565"/>
      <c r="S647" s="565"/>
      <c r="T647" s="565"/>
      <c r="U647" s="565"/>
      <c r="V647" s="565"/>
      <c r="W647" s="565"/>
      <c r="X647" s="565"/>
      <c r="Y647" s="565"/>
      <c r="Z647" s="565"/>
      <c r="AA647" s="565"/>
      <c r="AB647" s="565"/>
      <c r="AC647" s="565"/>
      <c r="AD647" s="565"/>
      <c r="AE647" s="565"/>
      <c r="AF647" s="565"/>
      <c r="AG647" s="565"/>
      <c r="AH647" s="565"/>
      <c r="AI647" s="565"/>
      <c r="AJ647" s="565"/>
      <c r="AK647" s="565"/>
      <c r="AL647" s="565"/>
      <c r="AM647" s="565"/>
      <c r="AN647" s="565"/>
      <c r="AO647" s="565"/>
      <c r="AP647" s="565"/>
      <c r="AQ647" s="565"/>
      <c r="AR647" s="565"/>
      <c r="AS647" s="565"/>
      <c r="AT647" s="565"/>
      <c r="AU647" s="181"/>
      <c r="AV647" s="558"/>
    </row>
    <row r="648" ht="11.25" customHeight="1">
      <c r="A648" s="565"/>
      <c r="B648" s="181"/>
      <c r="C648" s="565"/>
      <c r="D648" s="565"/>
      <c r="E648" s="565"/>
      <c r="F648" s="565"/>
      <c r="G648" s="565"/>
      <c r="H648" s="565"/>
      <c r="I648" s="565"/>
      <c r="J648" s="565"/>
      <c r="K648" s="565"/>
      <c r="L648" s="565"/>
      <c r="M648" s="565"/>
      <c r="N648" s="565"/>
      <c r="O648" s="565"/>
      <c r="P648" s="565"/>
      <c r="Q648" s="565"/>
      <c r="R648" s="565"/>
      <c r="S648" s="565"/>
      <c r="T648" s="565"/>
      <c r="U648" s="565"/>
      <c r="V648" s="565"/>
      <c r="W648" s="565"/>
      <c r="X648" s="565"/>
      <c r="Y648" s="565"/>
      <c r="Z648" s="565"/>
      <c r="AA648" s="565"/>
      <c r="AB648" s="565"/>
      <c r="AC648" s="565"/>
      <c r="AD648" s="565"/>
      <c r="AE648" s="565"/>
      <c r="AF648" s="565"/>
      <c r="AG648" s="565"/>
      <c r="AH648" s="565"/>
      <c r="AI648" s="565"/>
      <c r="AJ648" s="565"/>
      <c r="AK648" s="565"/>
      <c r="AL648" s="565"/>
      <c r="AM648" s="565"/>
      <c r="AN648" s="565"/>
      <c r="AO648" s="565"/>
      <c r="AP648" s="565"/>
      <c r="AQ648" s="565"/>
      <c r="AR648" s="565"/>
      <c r="AS648" s="565"/>
      <c r="AT648" s="565"/>
      <c r="AU648" s="181"/>
      <c r="AV648" s="558"/>
    </row>
    <row r="649" ht="11.25" customHeight="1">
      <c r="A649" s="565"/>
      <c r="B649" s="181"/>
      <c r="C649" s="565"/>
      <c r="D649" s="565"/>
      <c r="E649" s="565"/>
      <c r="F649" s="565"/>
      <c r="G649" s="565"/>
      <c r="H649" s="565"/>
      <c r="I649" s="565"/>
      <c r="J649" s="565"/>
      <c r="K649" s="565"/>
      <c r="L649" s="565"/>
      <c r="M649" s="565"/>
      <c r="N649" s="565"/>
      <c r="O649" s="565"/>
      <c r="P649" s="565"/>
      <c r="Q649" s="565"/>
      <c r="R649" s="565"/>
      <c r="S649" s="565"/>
      <c r="T649" s="565"/>
      <c r="U649" s="565"/>
      <c r="V649" s="565"/>
      <c r="W649" s="565"/>
      <c r="X649" s="565"/>
      <c r="Y649" s="565"/>
      <c r="Z649" s="565"/>
      <c r="AA649" s="565"/>
      <c r="AB649" s="565"/>
      <c r="AC649" s="565"/>
      <c r="AD649" s="565"/>
      <c r="AE649" s="565"/>
      <c r="AF649" s="565"/>
      <c r="AG649" s="565"/>
      <c r="AH649" s="565"/>
      <c r="AI649" s="565"/>
      <c r="AJ649" s="565"/>
      <c r="AK649" s="565"/>
      <c r="AL649" s="565"/>
      <c r="AM649" s="565"/>
      <c r="AN649" s="565"/>
      <c r="AO649" s="565"/>
      <c r="AP649" s="565"/>
      <c r="AQ649" s="565"/>
      <c r="AR649" s="565"/>
      <c r="AS649" s="565"/>
      <c r="AT649" s="565"/>
      <c r="AU649" s="181"/>
      <c r="AV649" s="558"/>
    </row>
    <row r="650" ht="11.25" customHeight="1">
      <c r="A650" s="565"/>
      <c r="B650" s="181"/>
      <c r="C650" s="565"/>
      <c r="D650" s="565"/>
      <c r="E650" s="565"/>
      <c r="F650" s="565"/>
      <c r="G650" s="565"/>
      <c r="H650" s="565"/>
      <c r="I650" s="565"/>
      <c r="J650" s="565"/>
      <c r="K650" s="565"/>
      <c r="L650" s="565"/>
      <c r="M650" s="565"/>
      <c r="N650" s="565"/>
      <c r="O650" s="565"/>
      <c r="P650" s="565"/>
      <c r="Q650" s="565"/>
      <c r="R650" s="565"/>
      <c r="S650" s="565"/>
      <c r="T650" s="565"/>
      <c r="U650" s="565"/>
      <c r="V650" s="565"/>
      <c r="W650" s="565"/>
      <c r="X650" s="565"/>
      <c r="Y650" s="565"/>
      <c r="Z650" s="565"/>
      <c r="AA650" s="565"/>
      <c r="AB650" s="565"/>
      <c r="AC650" s="565"/>
      <c r="AD650" s="565"/>
      <c r="AE650" s="565"/>
      <c r="AF650" s="565"/>
      <c r="AG650" s="565"/>
      <c r="AH650" s="565"/>
      <c r="AI650" s="565"/>
      <c r="AJ650" s="565"/>
      <c r="AK650" s="565"/>
      <c r="AL650" s="565"/>
      <c r="AM650" s="565"/>
      <c r="AN650" s="565"/>
      <c r="AO650" s="565"/>
      <c r="AP650" s="565"/>
      <c r="AQ650" s="565"/>
      <c r="AR650" s="565"/>
      <c r="AS650" s="565"/>
      <c r="AT650" s="565"/>
      <c r="AU650" s="181"/>
      <c r="AV650" s="558"/>
    </row>
    <row r="651" ht="11.25" customHeight="1">
      <c r="A651" s="565"/>
      <c r="B651" s="181"/>
      <c r="C651" s="565"/>
      <c r="D651" s="565"/>
      <c r="E651" s="565"/>
      <c r="F651" s="565"/>
      <c r="G651" s="565"/>
      <c r="H651" s="565"/>
      <c r="I651" s="565"/>
      <c r="J651" s="565"/>
      <c r="K651" s="565"/>
      <c r="L651" s="565"/>
      <c r="M651" s="565"/>
      <c r="N651" s="565"/>
      <c r="O651" s="565"/>
      <c r="P651" s="565"/>
      <c r="Q651" s="565"/>
      <c r="R651" s="565"/>
      <c r="S651" s="565"/>
      <c r="T651" s="565"/>
      <c r="U651" s="565"/>
      <c r="V651" s="565"/>
      <c r="W651" s="565"/>
      <c r="X651" s="565"/>
      <c r="Y651" s="565"/>
      <c r="Z651" s="565"/>
      <c r="AA651" s="565"/>
      <c r="AB651" s="565"/>
      <c r="AC651" s="565"/>
      <c r="AD651" s="565"/>
      <c r="AE651" s="565"/>
      <c r="AF651" s="565"/>
      <c r="AG651" s="565"/>
      <c r="AH651" s="565"/>
      <c r="AI651" s="565"/>
      <c r="AJ651" s="565"/>
      <c r="AK651" s="565"/>
      <c r="AL651" s="565"/>
      <c r="AM651" s="565"/>
      <c r="AN651" s="565"/>
      <c r="AO651" s="565"/>
      <c r="AP651" s="565"/>
      <c r="AQ651" s="565"/>
      <c r="AR651" s="565"/>
      <c r="AS651" s="565"/>
      <c r="AT651" s="565"/>
      <c r="AU651" s="181"/>
      <c r="AV651" s="558"/>
    </row>
    <row r="652" ht="11.25" customHeight="1">
      <c r="A652" s="565"/>
      <c r="B652" s="181"/>
      <c r="C652" s="565"/>
      <c r="D652" s="565"/>
      <c r="E652" s="565"/>
      <c r="F652" s="565"/>
      <c r="G652" s="565"/>
      <c r="H652" s="565"/>
      <c r="I652" s="565"/>
      <c r="J652" s="565"/>
      <c r="K652" s="565"/>
      <c r="L652" s="565"/>
      <c r="M652" s="565"/>
      <c r="N652" s="565"/>
      <c r="O652" s="565"/>
      <c r="P652" s="565"/>
      <c r="Q652" s="565"/>
      <c r="R652" s="565"/>
      <c r="S652" s="565"/>
      <c r="T652" s="565"/>
      <c r="U652" s="565"/>
      <c r="V652" s="565"/>
      <c r="W652" s="565"/>
      <c r="X652" s="565"/>
      <c r="Y652" s="565"/>
      <c r="Z652" s="565"/>
      <c r="AA652" s="565"/>
      <c r="AB652" s="565"/>
      <c r="AC652" s="565"/>
      <c r="AD652" s="565"/>
      <c r="AE652" s="565"/>
      <c r="AF652" s="565"/>
      <c r="AG652" s="565"/>
      <c r="AH652" s="565"/>
      <c r="AI652" s="565"/>
      <c r="AJ652" s="565"/>
      <c r="AK652" s="565"/>
      <c r="AL652" s="565"/>
      <c r="AM652" s="565"/>
      <c r="AN652" s="565"/>
      <c r="AO652" s="565"/>
      <c r="AP652" s="565"/>
      <c r="AQ652" s="565"/>
      <c r="AR652" s="565"/>
      <c r="AS652" s="565"/>
      <c r="AT652" s="565"/>
      <c r="AU652" s="181"/>
      <c r="AV652" s="558"/>
    </row>
    <row r="653" ht="11.25" customHeight="1">
      <c r="A653" s="565"/>
      <c r="B653" s="181"/>
      <c r="C653" s="565"/>
      <c r="D653" s="565"/>
      <c r="E653" s="565"/>
      <c r="F653" s="565"/>
      <c r="G653" s="565"/>
      <c r="H653" s="565"/>
      <c r="I653" s="565"/>
      <c r="J653" s="565"/>
      <c r="K653" s="565"/>
      <c r="L653" s="565"/>
      <c r="M653" s="565"/>
      <c r="N653" s="565"/>
      <c r="O653" s="565"/>
      <c r="P653" s="565"/>
      <c r="Q653" s="565"/>
      <c r="R653" s="565"/>
      <c r="S653" s="565"/>
      <c r="T653" s="565"/>
      <c r="U653" s="565"/>
      <c r="V653" s="565"/>
      <c r="W653" s="565"/>
      <c r="X653" s="565"/>
      <c r="Y653" s="565"/>
      <c r="Z653" s="565"/>
      <c r="AA653" s="565"/>
      <c r="AB653" s="565"/>
      <c r="AC653" s="565"/>
      <c r="AD653" s="565"/>
      <c r="AE653" s="565"/>
      <c r="AF653" s="565"/>
      <c r="AG653" s="565"/>
      <c r="AH653" s="565"/>
      <c r="AI653" s="565"/>
      <c r="AJ653" s="565"/>
      <c r="AK653" s="565"/>
      <c r="AL653" s="565"/>
      <c r="AM653" s="565"/>
      <c r="AN653" s="565"/>
      <c r="AO653" s="565"/>
      <c r="AP653" s="565"/>
      <c r="AQ653" s="565"/>
      <c r="AR653" s="565"/>
      <c r="AS653" s="565"/>
      <c r="AT653" s="565"/>
      <c r="AU653" s="181"/>
      <c r="AV653" s="558"/>
    </row>
    <row r="654" ht="11.25" customHeight="1">
      <c r="A654" s="565"/>
      <c r="B654" s="181"/>
      <c r="C654" s="565"/>
      <c r="D654" s="565"/>
      <c r="E654" s="565"/>
      <c r="F654" s="565"/>
      <c r="G654" s="565"/>
      <c r="H654" s="565"/>
      <c r="I654" s="565"/>
      <c r="J654" s="565"/>
      <c r="K654" s="565"/>
      <c r="L654" s="565"/>
      <c r="M654" s="565"/>
      <c r="N654" s="565"/>
      <c r="O654" s="565"/>
      <c r="P654" s="565"/>
      <c r="Q654" s="565"/>
      <c r="R654" s="565"/>
      <c r="S654" s="565"/>
      <c r="T654" s="565"/>
      <c r="U654" s="565"/>
      <c r="V654" s="565"/>
      <c r="W654" s="565"/>
      <c r="X654" s="565"/>
      <c r="Y654" s="565"/>
      <c r="Z654" s="565"/>
      <c r="AA654" s="565"/>
      <c r="AB654" s="565"/>
      <c r="AC654" s="565"/>
      <c r="AD654" s="565"/>
      <c r="AE654" s="565"/>
      <c r="AF654" s="565"/>
      <c r="AG654" s="565"/>
      <c r="AH654" s="565"/>
      <c r="AI654" s="565"/>
      <c r="AJ654" s="565"/>
      <c r="AK654" s="565"/>
      <c r="AL654" s="565"/>
      <c r="AM654" s="565"/>
      <c r="AN654" s="565"/>
      <c r="AO654" s="565"/>
      <c r="AP654" s="565"/>
      <c r="AQ654" s="565"/>
      <c r="AR654" s="565"/>
      <c r="AS654" s="565"/>
      <c r="AT654" s="565"/>
      <c r="AU654" s="181"/>
      <c r="AV654" s="558"/>
    </row>
    <row r="655" ht="11.25" customHeight="1">
      <c r="A655" s="565"/>
      <c r="B655" s="181"/>
      <c r="C655" s="565"/>
      <c r="D655" s="565"/>
      <c r="E655" s="565"/>
      <c r="F655" s="565"/>
      <c r="G655" s="565"/>
      <c r="H655" s="565"/>
      <c r="I655" s="565"/>
      <c r="J655" s="565"/>
      <c r="K655" s="565"/>
      <c r="L655" s="565"/>
      <c r="M655" s="565"/>
      <c r="N655" s="565"/>
      <c r="O655" s="565"/>
      <c r="P655" s="565"/>
      <c r="Q655" s="565"/>
      <c r="R655" s="565"/>
      <c r="S655" s="565"/>
      <c r="T655" s="565"/>
      <c r="U655" s="565"/>
      <c r="V655" s="565"/>
      <c r="W655" s="565"/>
      <c r="X655" s="565"/>
      <c r="Y655" s="565"/>
      <c r="Z655" s="565"/>
      <c r="AA655" s="565"/>
      <c r="AB655" s="565"/>
      <c r="AC655" s="565"/>
      <c r="AD655" s="565"/>
      <c r="AE655" s="565"/>
      <c r="AF655" s="565"/>
      <c r="AG655" s="565"/>
      <c r="AH655" s="565"/>
      <c r="AI655" s="565"/>
      <c r="AJ655" s="565"/>
      <c r="AK655" s="565"/>
      <c r="AL655" s="565"/>
      <c r="AM655" s="565"/>
      <c r="AN655" s="565"/>
      <c r="AO655" s="565"/>
      <c r="AP655" s="565"/>
      <c r="AQ655" s="565"/>
      <c r="AR655" s="565"/>
      <c r="AS655" s="565"/>
      <c r="AT655" s="565"/>
      <c r="AU655" s="181"/>
      <c r="AV655" s="558"/>
    </row>
    <row r="656" ht="11.25" customHeight="1">
      <c r="A656" s="565"/>
      <c r="B656" s="181"/>
      <c r="C656" s="565"/>
      <c r="D656" s="565"/>
      <c r="E656" s="565"/>
      <c r="F656" s="565"/>
      <c r="G656" s="565"/>
      <c r="H656" s="565"/>
      <c r="I656" s="565"/>
      <c r="J656" s="565"/>
      <c r="K656" s="565"/>
      <c r="L656" s="565"/>
      <c r="M656" s="565"/>
      <c r="N656" s="565"/>
      <c r="O656" s="565"/>
      <c r="P656" s="565"/>
      <c r="Q656" s="565"/>
      <c r="R656" s="565"/>
      <c r="S656" s="565"/>
      <c r="T656" s="565"/>
      <c r="U656" s="565"/>
      <c r="V656" s="565"/>
      <c r="W656" s="565"/>
      <c r="X656" s="565"/>
      <c r="Y656" s="565"/>
      <c r="Z656" s="565"/>
      <c r="AA656" s="565"/>
      <c r="AB656" s="565"/>
      <c r="AC656" s="565"/>
      <c r="AD656" s="565"/>
      <c r="AE656" s="565"/>
      <c r="AF656" s="565"/>
      <c r="AG656" s="565"/>
      <c r="AH656" s="565"/>
      <c r="AI656" s="565"/>
      <c r="AJ656" s="565"/>
      <c r="AK656" s="565"/>
      <c r="AL656" s="565"/>
      <c r="AM656" s="565"/>
      <c r="AN656" s="565"/>
      <c r="AO656" s="565"/>
      <c r="AP656" s="565"/>
      <c r="AQ656" s="565"/>
      <c r="AR656" s="565"/>
      <c r="AS656" s="565"/>
      <c r="AT656" s="565"/>
      <c r="AU656" s="181"/>
      <c r="AV656" s="558"/>
    </row>
    <row r="657" ht="11.25" customHeight="1">
      <c r="A657" s="565"/>
      <c r="B657" s="181"/>
      <c r="C657" s="565"/>
      <c r="D657" s="565"/>
      <c r="E657" s="565"/>
      <c r="F657" s="565"/>
      <c r="G657" s="565"/>
      <c r="H657" s="565"/>
      <c r="I657" s="565"/>
      <c r="J657" s="565"/>
      <c r="K657" s="565"/>
      <c r="L657" s="565"/>
      <c r="M657" s="565"/>
      <c r="N657" s="565"/>
      <c r="O657" s="565"/>
      <c r="P657" s="565"/>
      <c r="Q657" s="565"/>
      <c r="R657" s="565"/>
      <c r="S657" s="565"/>
      <c r="T657" s="565"/>
      <c r="U657" s="565"/>
      <c r="V657" s="565"/>
      <c r="W657" s="565"/>
      <c r="X657" s="565"/>
      <c r="Y657" s="565"/>
      <c r="Z657" s="565"/>
      <c r="AA657" s="565"/>
      <c r="AB657" s="565"/>
      <c r="AC657" s="565"/>
      <c r="AD657" s="565"/>
      <c r="AE657" s="565"/>
      <c r="AF657" s="565"/>
      <c r="AG657" s="565"/>
      <c r="AH657" s="565"/>
      <c r="AI657" s="565"/>
      <c r="AJ657" s="565"/>
      <c r="AK657" s="565"/>
      <c r="AL657" s="565"/>
      <c r="AM657" s="565"/>
      <c r="AN657" s="565"/>
      <c r="AO657" s="565"/>
      <c r="AP657" s="565"/>
      <c r="AQ657" s="565"/>
      <c r="AR657" s="565"/>
      <c r="AS657" s="565"/>
      <c r="AT657" s="565"/>
      <c r="AU657" s="181"/>
      <c r="AV657" s="558"/>
    </row>
    <row r="658" ht="11.25" customHeight="1">
      <c r="A658" s="565"/>
      <c r="B658" s="181"/>
      <c r="C658" s="565"/>
      <c r="D658" s="565"/>
      <c r="E658" s="565"/>
      <c r="F658" s="565"/>
      <c r="G658" s="565"/>
      <c r="H658" s="565"/>
      <c r="I658" s="565"/>
      <c r="J658" s="565"/>
      <c r="K658" s="565"/>
      <c r="L658" s="565"/>
      <c r="M658" s="565"/>
      <c r="N658" s="565"/>
      <c r="O658" s="565"/>
      <c r="P658" s="565"/>
      <c r="Q658" s="565"/>
      <c r="R658" s="565"/>
      <c r="S658" s="565"/>
      <c r="T658" s="565"/>
      <c r="U658" s="565"/>
      <c r="V658" s="565"/>
      <c r="W658" s="565"/>
      <c r="X658" s="565"/>
      <c r="Y658" s="565"/>
      <c r="Z658" s="565"/>
      <c r="AA658" s="565"/>
      <c r="AB658" s="565"/>
      <c r="AC658" s="565"/>
      <c r="AD658" s="565"/>
      <c r="AE658" s="565"/>
      <c r="AF658" s="565"/>
      <c r="AG658" s="565"/>
      <c r="AH658" s="565"/>
      <c r="AI658" s="565"/>
      <c r="AJ658" s="565"/>
      <c r="AK658" s="565"/>
      <c r="AL658" s="565"/>
      <c r="AM658" s="565"/>
      <c r="AN658" s="565"/>
      <c r="AO658" s="565"/>
      <c r="AP658" s="565"/>
      <c r="AQ658" s="565"/>
      <c r="AR658" s="565"/>
      <c r="AS658" s="565"/>
      <c r="AT658" s="565"/>
      <c r="AU658" s="181"/>
      <c r="AV658" s="558"/>
    </row>
    <row r="659" ht="11.25" customHeight="1">
      <c r="A659" s="565"/>
      <c r="B659" s="181"/>
      <c r="C659" s="565"/>
      <c r="D659" s="565"/>
      <c r="E659" s="565"/>
      <c r="F659" s="565"/>
      <c r="G659" s="565"/>
      <c r="H659" s="565"/>
      <c r="I659" s="565"/>
      <c r="J659" s="565"/>
      <c r="K659" s="565"/>
      <c r="L659" s="565"/>
      <c r="M659" s="565"/>
      <c r="N659" s="565"/>
      <c r="O659" s="565"/>
      <c r="P659" s="565"/>
      <c r="Q659" s="565"/>
      <c r="R659" s="565"/>
      <c r="S659" s="565"/>
      <c r="T659" s="565"/>
      <c r="U659" s="565"/>
      <c r="V659" s="565"/>
      <c r="W659" s="565"/>
      <c r="X659" s="565"/>
      <c r="Y659" s="565"/>
      <c r="Z659" s="565"/>
      <c r="AA659" s="565"/>
      <c r="AB659" s="565"/>
      <c r="AC659" s="565"/>
      <c r="AD659" s="565"/>
      <c r="AE659" s="565"/>
      <c r="AF659" s="565"/>
      <c r="AG659" s="565"/>
      <c r="AH659" s="565"/>
      <c r="AI659" s="565"/>
      <c r="AJ659" s="565"/>
      <c r="AK659" s="565"/>
      <c r="AL659" s="565"/>
      <c r="AM659" s="565"/>
      <c r="AN659" s="565"/>
      <c r="AO659" s="565"/>
      <c r="AP659" s="565"/>
      <c r="AQ659" s="565"/>
      <c r="AR659" s="565"/>
      <c r="AS659" s="565"/>
      <c r="AT659" s="565"/>
      <c r="AU659" s="181"/>
      <c r="AV659" s="558"/>
    </row>
    <row r="660" ht="11.25" customHeight="1">
      <c r="A660" s="565"/>
      <c r="B660" s="181"/>
      <c r="C660" s="565"/>
      <c r="D660" s="565"/>
      <c r="E660" s="565"/>
      <c r="F660" s="565"/>
      <c r="G660" s="565"/>
      <c r="H660" s="565"/>
      <c r="I660" s="565"/>
      <c r="J660" s="565"/>
      <c r="K660" s="565"/>
      <c r="L660" s="565"/>
      <c r="M660" s="565"/>
      <c r="N660" s="565"/>
      <c r="O660" s="565"/>
      <c r="P660" s="565"/>
      <c r="Q660" s="565"/>
      <c r="R660" s="565"/>
      <c r="S660" s="565"/>
      <c r="T660" s="565"/>
      <c r="U660" s="565"/>
      <c r="V660" s="565"/>
      <c r="W660" s="565"/>
      <c r="X660" s="565"/>
      <c r="Y660" s="565"/>
      <c r="Z660" s="565"/>
      <c r="AA660" s="565"/>
      <c r="AB660" s="565"/>
      <c r="AC660" s="565"/>
      <c r="AD660" s="565"/>
      <c r="AE660" s="565"/>
      <c r="AF660" s="565"/>
      <c r="AG660" s="565"/>
      <c r="AH660" s="565"/>
      <c r="AI660" s="565"/>
      <c r="AJ660" s="565"/>
      <c r="AK660" s="565"/>
      <c r="AL660" s="565"/>
      <c r="AM660" s="565"/>
      <c r="AN660" s="565"/>
      <c r="AO660" s="565"/>
      <c r="AP660" s="565"/>
      <c r="AQ660" s="565"/>
      <c r="AR660" s="565"/>
      <c r="AS660" s="565"/>
      <c r="AT660" s="565"/>
      <c r="AU660" s="181"/>
      <c r="AV660" s="558"/>
    </row>
    <row r="661" ht="11.25" customHeight="1">
      <c r="A661" s="565"/>
      <c r="B661" s="181"/>
      <c r="C661" s="565"/>
      <c r="D661" s="565"/>
      <c r="E661" s="565"/>
      <c r="F661" s="565"/>
      <c r="G661" s="565"/>
      <c r="H661" s="565"/>
      <c r="I661" s="565"/>
      <c r="J661" s="565"/>
      <c r="K661" s="565"/>
      <c r="L661" s="565"/>
      <c r="M661" s="565"/>
      <c r="N661" s="565"/>
      <c r="O661" s="565"/>
      <c r="P661" s="565"/>
      <c r="Q661" s="565"/>
      <c r="R661" s="565"/>
      <c r="S661" s="565"/>
      <c r="T661" s="565"/>
      <c r="U661" s="565"/>
      <c r="V661" s="565"/>
      <c r="W661" s="565"/>
      <c r="X661" s="565"/>
      <c r="Y661" s="565"/>
      <c r="Z661" s="565"/>
      <c r="AA661" s="565"/>
      <c r="AB661" s="565"/>
      <c r="AC661" s="565"/>
      <c r="AD661" s="565"/>
      <c r="AE661" s="565"/>
      <c r="AF661" s="565"/>
      <c r="AG661" s="565"/>
      <c r="AH661" s="565"/>
      <c r="AI661" s="565"/>
      <c r="AJ661" s="565"/>
      <c r="AK661" s="565"/>
      <c r="AL661" s="565"/>
      <c r="AM661" s="565"/>
      <c r="AN661" s="565"/>
      <c r="AO661" s="565"/>
      <c r="AP661" s="565"/>
      <c r="AQ661" s="565"/>
      <c r="AR661" s="565"/>
      <c r="AS661" s="565"/>
      <c r="AT661" s="565"/>
      <c r="AU661" s="181"/>
      <c r="AV661" s="558"/>
    </row>
    <row r="662" ht="11.25" customHeight="1">
      <c r="A662" s="565"/>
      <c r="B662" s="181"/>
      <c r="C662" s="565"/>
      <c r="D662" s="565"/>
      <c r="E662" s="565"/>
      <c r="F662" s="565"/>
      <c r="G662" s="565"/>
      <c r="H662" s="565"/>
      <c r="I662" s="565"/>
      <c r="J662" s="565"/>
      <c r="K662" s="565"/>
      <c r="L662" s="565"/>
      <c r="M662" s="565"/>
      <c r="N662" s="565"/>
      <c r="O662" s="565"/>
      <c r="P662" s="565"/>
      <c r="Q662" s="565"/>
      <c r="R662" s="565"/>
      <c r="S662" s="565"/>
      <c r="T662" s="565"/>
      <c r="U662" s="565"/>
      <c r="V662" s="565"/>
      <c r="W662" s="565"/>
      <c r="X662" s="565"/>
      <c r="Y662" s="565"/>
      <c r="Z662" s="565"/>
      <c r="AA662" s="565"/>
      <c r="AB662" s="565"/>
      <c r="AC662" s="565"/>
      <c r="AD662" s="565"/>
      <c r="AE662" s="565"/>
      <c r="AF662" s="565"/>
      <c r="AG662" s="565"/>
      <c r="AH662" s="565"/>
      <c r="AI662" s="565"/>
      <c r="AJ662" s="565"/>
      <c r="AK662" s="565"/>
      <c r="AL662" s="565"/>
      <c r="AM662" s="565"/>
      <c r="AN662" s="565"/>
      <c r="AO662" s="565"/>
      <c r="AP662" s="565"/>
      <c r="AQ662" s="565"/>
      <c r="AR662" s="565"/>
      <c r="AS662" s="565"/>
      <c r="AT662" s="565"/>
      <c r="AU662" s="181"/>
      <c r="AV662" s="558"/>
    </row>
    <row r="663" ht="11.25" customHeight="1">
      <c r="A663" s="565"/>
      <c r="B663" s="181"/>
      <c r="C663" s="565"/>
      <c r="D663" s="565"/>
      <c r="E663" s="565"/>
      <c r="F663" s="565"/>
      <c r="G663" s="565"/>
      <c r="H663" s="565"/>
      <c r="I663" s="565"/>
      <c r="J663" s="565"/>
      <c r="K663" s="565"/>
      <c r="L663" s="565"/>
      <c r="M663" s="565"/>
      <c r="N663" s="565"/>
      <c r="O663" s="565"/>
      <c r="P663" s="565"/>
      <c r="Q663" s="565"/>
      <c r="R663" s="565"/>
      <c r="S663" s="565"/>
      <c r="T663" s="565"/>
      <c r="U663" s="565"/>
      <c r="V663" s="565"/>
      <c r="W663" s="565"/>
      <c r="X663" s="565"/>
      <c r="Y663" s="565"/>
      <c r="Z663" s="565"/>
      <c r="AA663" s="565"/>
      <c r="AB663" s="565"/>
      <c r="AC663" s="565"/>
      <c r="AD663" s="565"/>
      <c r="AE663" s="565"/>
      <c r="AF663" s="565"/>
      <c r="AG663" s="565"/>
      <c r="AH663" s="565"/>
      <c r="AI663" s="565"/>
      <c r="AJ663" s="565"/>
      <c r="AK663" s="565"/>
      <c r="AL663" s="565"/>
      <c r="AM663" s="565"/>
      <c r="AN663" s="565"/>
      <c r="AO663" s="565"/>
      <c r="AP663" s="565"/>
      <c r="AQ663" s="565"/>
      <c r="AR663" s="565"/>
      <c r="AS663" s="565"/>
      <c r="AT663" s="565"/>
      <c r="AU663" s="181"/>
      <c r="AV663" s="558"/>
    </row>
    <row r="664" ht="11.25" customHeight="1">
      <c r="A664" s="565"/>
      <c r="B664" s="181"/>
      <c r="C664" s="565"/>
      <c r="D664" s="565"/>
      <c r="E664" s="565"/>
      <c r="F664" s="565"/>
      <c r="G664" s="565"/>
      <c r="H664" s="565"/>
      <c r="I664" s="565"/>
      <c r="J664" s="565"/>
      <c r="K664" s="565"/>
      <c r="L664" s="565"/>
      <c r="M664" s="565"/>
      <c r="N664" s="565"/>
      <c r="O664" s="565"/>
      <c r="P664" s="565"/>
      <c r="Q664" s="565"/>
      <c r="R664" s="565"/>
      <c r="S664" s="565"/>
      <c r="T664" s="565"/>
      <c r="U664" s="565"/>
      <c r="V664" s="565"/>
      <c r="W664" s="565"/>
      <c r="X664" s="565"/>
      <c r="Y664" s="565"/>
      <c r="Z664" s="565"/>
      <c r="AA664" s="565"/>
      <c r="AB664" s="565"/>
      <c r="AC664" s="565"/>
      <c r="AD664" s="565"/>
      <c r="AE664" s="565"/>
      <c r="AF664" s="565"/>
      <c r="AG664" s="565"/>
      <c r="AH664" s="565"/>
      <c r="AI664" s="565"/>
      <c r="AJ664" s="565"/>
      <c r="AK664" s="565"/>
      <c r="AL664" s="565"/>
      <c r="AM664" s="565"/>
      <c r="AN664" s="565"/>
      <c r="AO664" s="565"/>
      <c r="AP664" s="565"/>
      <c r="AQ664" s="565"/>
      <c r="AR664" s="565"/>
      <c r="AS664" s="565"/>
      <c r="AT664" s="565"/>
      <c r="AU664" s="181"/>
      <c r="AV664" s="558"/>
    </row>
    <row r="665" ht="11.25" customHeight="1">
      <c r="A665" s="565"/>
      <c r="B665" s="181"/>
      <c r="C665" s="565"/>
      <c r="D665" s="565"/>
      <c r="E665" s="565"/>
      <c r="F665" s="565"/>
      <c r="G665" s="565"/>
      <c r="H665" s="565"/>
      <c r="I665" s="565"/>
      <c r="J665" s="565"/>
      <c r="K665" s="565"/>
      <c r="L665" s="565"/>
      <c r="M665" s="565"/>
      <c r="N665" s="565"/>
      <c r="O665" s="565"/>
      <c r="P665" s="565"/>
      <c r="Q665" s="565"/>
      <c r="R665" s="565"/>
      <c r="S665" s="565"/>
      <c r="T665" s="565"/>
      <c r="U665" s="565"/>
      <c r="V665" s="565"/>
      <c r="W665" s="565"/>
      <c r="X665" s="565"/>
      <c r="Y665" s="565"/>
      <c r="Z665" s="565"/>
      <c r="AA665" s="565"/>
      <c r="AB665" s="565"/>
      <c r="AC665" s="565"/>
      <c r="AD665" s="565"/>
      <c r="AE665" s="565"/>
      <c r="AF665" s="565"/>
      <c r="AG665" s="565"/>
      <c r="AH665" s="565"/>
      <c r="AI665" s="565"/>
      <c r="AJ665" s="565"/>
      <c r="AK665" s="565"/>
      <c r="AL665" s="565"/>
      <c r="AM665" s="565"/>
      <c r="AN665" s="565"/>
      <c r="AO665" s="565"/>
      <c r="AP665" s="565"/>
      <c r="AQ665" s="565"/>
      <c r="AR665" s="565"/>
      <c r="AS665" s="565"/>
      <c r="AT665" s="565"/>
      <c r="AU665" s="181"/>
      <c r="AV665" s="558"/>
    </row>
    <row r="666" ht="11.25" customHeight="1">
      <c r="A666" s="565"/>
      <c r="B666" s="181"/>
      <c r="C666" s="565"/>
      <c r="D666" s="565"/>
      <c r="E666" s="565"/>
      <c r="F666" s="565"/>
      <c r="G666" s="565"/>
      <c r="H666" s="565"/>
      <c r="I666" s="565"/>
      <c r="J666" s="565"/>
      <c r="K666" s="565"/>
      <c r="L666" s="565"/>
      <c r="M666" s="565"/>
      <c r="N666" s="565"/>
      <c r="O666" s="565"/>
      <c r="P666" s="565"/>
      <c r="Q666" s="565"/>
      <c r="R666" s="565"/>
      <c r="S666" s="565"/>
      <c r="T666" s="565"/>
      <c r="U666" s="565"/>
      <c r="V666" s="565"/>
      <c r="W666" s="565"/>
      <c r="X666" s="565"/>
      <c r="Y666" s="565"/>
      <c r="Z666" s="565"/>
      <c r="AA666" s="565"/>
      <c r="AB666" s="565"/>
      <c r="AC666" s="565"/>
      <c r="AD666" s="565"/>
      <c r="AE666" s="565"/>
      <c r="AF666" s="565"/>
      <c r="AG666" s="565"/>
      <c r="AH666" s="565"/>
      <c r="AI666" s="565"/>
      <c r="AJ666" s="565"/>
      <c r="AK666" s="565"/>
      <c r="AL666" s="565"/>
      <c r="AM666" s="565"/>
      <c r="AN666" s="565"/>
      <c r="AO666" s="565"/>
      <c r="AP666" s="565"/>
      <c r="AQ666" s="565"/>
      <c r="AR666" s="565"/>
      <c r="AS666" s="565"/>
      <c r="AT666" s="565"/>
      <c r="AU666" s="181"/>
      <c r="AV666" s="558"/>
    </row>
    <row r="667" ht="11.25" customHeight="1">
      <c r="A667" s="565"/>
      <c r="B667" s="181"/>
      <c r="C667" s="565"/>
      <c r="D667" s="565"/>
      <c r="E667" s="565"/>
      <c r="F667" s="565"/>
      <c r="G667" s="565"/>
      <c r="H667" s="565"/>
      <c r="I667" s="565"/>
      <c r="J667" s="565"/>
      <c r="K667" s="565"/>
      <c r="L667" s="565"/>
      <c r="M667" s="565"/>
      <c r="N667" s="565"/>
      <c r="O667" s="565"/>
      <c r="P667" s="565"/>
      <c r="Q667" s="565"/>
      <c r="R667" s="565"/>
      <c r="S667" s="565"/>
      <c r="T667" s="565"/>
      <c r="U667" s="565"/>
      <c r="V667" s="565"/>
      <c r="W667" s="565"/>
      <c r="X667" s="565"/>
      <c r="Y667" s="565"/>
      <c r="Z667" s="565"/>
      <c r="AA667" s="565"/>
      <c r="AB667" s="565"/>
      <c r="AC667" s="565"/>
      <c r="AD667" s="565"/>
      <c r="AE667" s="565"/>
      <c r="AF667" s="565"/>
      <c r="AG667" s="565"/>
      <c r="AH667" s="565"/>
      <c r="AI667" s="565"/>
      <c r="AJ667" s="565"/>
      <c r="AK667" s="565"/>
      <c r="AL667" s="565"/>
      <c r="AM667" s="565"/>
      <c r="AN667" s="565"/>
      <c r="AO667" s="565"/>
      <c r="AP667" s="565"/>
      <c r="AQ667" s="565"/>
      <c r="AR667" s="565"/>
      <c r="AS667" s="565"/>
      <c r="AT667" s="565"/>
      <c r="AU667" s="181"/>
      <c r="AV667" s="558"/>
    </row>
    <row r="668" ht="11.25" customHeight="1">
      <c r="A668" s="565"/>
      <c r="B668" s="181"/>
      <c r="C668" s="565"/>
      <c r="D668" s="565"/>
      <c r="E668" s="565"/>
      <c r="F668" s="565"/>
      <c r="G668" s="565"/>
      <c r="H668" s="565"/>
      <c r="I668" s="565"/>
      <c r="J668" s="565"/>
      <c r="K668" s="565"/>
      <c r="L668" s="565"/>
      <c r="M668" s="565"/>
      <c r="N668" s="565"/>
      <c r="O668" s="565"/>
      <c r="P668" s="565"/>
      <c r="Q668" s="565"/>
      <c r="R668" s="565"/>
      <c r="S668" s="565"/>
      <c r="T668" s="565"/>
      <c r="U668" s="565"/>
      <c r="V668" s="565"/>
      <c r="W668" s="565"/>
      <c r="X668" s="565"/>
      <c r="Y668" s="565"/>
      <c r="Z668" s="565"/>
      <c r="AA668" s="565"/>
      <c r="AB668" s="565"/>
      <c r="AC668" s="565"/>
      <c r="AD668" s="565"/>
      <c r="AE668" s="565"/>
      <c r="AF668" s="565"/>
      <c r="AG668" s="565"/>
      <c r="AH668" s="565"/>
      <c r="AI668" s="565"/>
      <c r="AJ668" s="565"/>
      <c r="AK668" s="565"/>
      <c r="AL668" s="565"/>
      <c r="AM668" s="565"/>
      <c r="AN668" s="565"/>
      <c r="AO668" s="565"/>
      <c r="AP668" s="565"/>
      <c r="AQ668" s="565"/>
      <c r="AR668" s="565"/>
      <c r="AS668" s="565"/>
      <c r="AT668" s="565"/>
      <c r="AU668" s="181"/>
      <c r="AV668" s="558"/>
    </row>
    <row r="669" ht="11.25" customHeight="1">
      <c r="A669" s="565"/>
      <c r="B669" s="181"/>
      <c r="C669" s="565"/>
      <c r="D669" s="565"/>
      <c r="E669" s="565"/>
      <c r="F669" s="565"/>
      <c r="G669" s="565"/>
      <c r="H669" s="565"/>
      <c r="I669" s="565"/>
      <c r="J669" s="565"/>
      <c r="K669" s="565"/>
      <c r="L669" s="565"/>
      <c r="M669" s="565"/>
      <c r="N669" s="565"/>
      <c r="O669" s="565"/>
      <c r="P669" s="565"/>
      <c r="Q669" s="565"/>
      <c r="R669" s="565"/>
      <c r="S669" s="565"/>
      <c r="T669" s="565"/>
      <c r="U669" s="565"/>
      <c r="V669" s="565"/>
      <c r="W669" s="565"/>
      <c r="X669" s="565"/>
      <c r="Y669" s="565"/>
      <c r="Z669" s="565"/>
      <c r="AA669" s="565"/>
      <c r="AB669" s="565"/>
      <c r="AC669" s="565"/>
      <c r="AD669" s="565"/>
      <c r="AE669" s="565"/>
      <c r="AF669" s="565"/>
      <c r="AG669" s="565"/>
      <c r="AH669" s="565"/>
      <c r="AI669" s="565"/>
      <c r="AJ669" s="565"/>
      <c r="AK669" s="565"/>
      <c r="AL669" s="565"/>
      <c r="AM669" s="565"/>
      <c r="AN669" s="565"/>
      <c r="AO669" s="565"/>
      <c r="AP669" s="565"/>
      <c r="AQ669" s="565"/>
      <c r="AR669" s="565"/>
      <c r="AS669" s="565"/>
      <c r="AT669" s="565"/>
      <c r="AU669" s="181"/>
      <c r="AV669" s="558"/>
    </row>
    <row r="670" ht="11.25" customHeight="1">
      <c r="A670" s="565"/>
      <c r="B670" s="181"/>
      <c r="C670" s="565"/>
      <c r="D670" s="565"/>
      <c r="E670" s="565"/>
      <c r="F670" s="565"/>
      <c r="G670" s="565"/>
      <c r="H670" s="565"/>
      <c r="I670" s="565"/>
      <c r="J670" s="565"/>
      <c r="K670" s="565"/>
      <c r="L670" s="565"/>
      <c r="M670" s="565"/>
      <c r="N670" s="565"/>
      <c r="O670" s="565"/>
      <c r="P670" s="565"/>
      <c r="Q670" s="565"/>
      <c r="R670" s="565"/>
      <c r="S670" s="565"/>
      <c r="T670" s="565"/>
      <c r="U670" s="565"/>
      <c r="V670" s="565"/>
      <c r="W670" s="565"/>
      <c r="X670" s="565"/>
      <c r="Y670" s="565"/>
      <c r="Z670" s="565"/>
      <c r="AA670" s="565"/>
      <c r="AB670" s="565"/>
      <c r="AC670" s="565"/>
      <c r="AD670" s="565"/>
      <c r="AE670" s="565"/>
      <c r="AF670" s="565"/>
      <c r="AG670" s="565"/>
      <c r="AH670" s="565"/>
      <c r="AI670" s="565"/>
      <c r="AJ670" s="565"/>
      <c r="AK670" s="565"/>
      <c r="AL670" s="565"/>
      <c r="AM670" s="565"/>
      <c r="AN670" s="565"/>
      <c r="AO670" s="565"/>
      <c r="AP670" s="565"/>
      <c r="AQ670" s="565"/>
      <c r="AR670" s="565"/>
      <c r="AS670" s="565"/>
      <c r="AT670" s="565"/>
      <c r="AU670" s="181"/>
      <c r="AV670" s="558"/>
    </row>
    <row r="671" ht="11.25" customHeight="1">
      <c r="A671" s="565"/>
      <c r="B671" s="181"/>
      <c r="C671" s="565"/>
      <c r="D671" s="565"/>
      <c r="E671" s="565"/>
      <c r="F671" s="565"/>
      <c r="G671" s="565"/>
      <c r="H671" s="565"/>
      <c r="I671" s="565"/>
      <c r="J671" s="565"/>
      <c r="K671" s="565"/>
      <c r="L671" s="565"/>
      <c r="M671" s="565"/>
      <c r="N671" s="565"/>
      <c r="O671" s="565"/>
      <c r="P671" s="565"/>
      <c r="Q671" s="565"/>
      <c r="R671" s="565"/>
      <c r="S671" s="565"/>
      <c r="T671" s="565"/>
      <c r="U671" s="565"/>
      <c r="V671" s="565"/>
      <c r="W671" s="565"/>
      <c r="X671" s="565"/>
      <c r="Y671" s="565"/>
      <c r="Z671" s="565"/>
      <c r="AA671" s="565"/>
      <c r="AB671" s="565"/>
      <c r="AC671" s="565"/>
      <c r="AD671" s="565"/>
      <c r="AE671" s="565"/>
      <c r="AF671" s="565"/>
      <c r="AG671" s="565"/>
      <c r="AH671" s="565"/>
      <c r="AI671" s="565"/>
      <c r="AJ671" s="565"/>
      <c r="AK671" s="565"/>
      <c r="AL671" s="565"/>
      <c r="AM671" s="565"/>
      <c r="AN671" s="565"/>
      <c r="AO671" s="565"/>
      <c r="AP671" s="565"/>
      <c r="AQ671" s="565"/>
      <c r="AR671" s="565"/>
      <c r="AS671" s="565"/>
      <c r="AT671" s="565"/>
      <c r="AU671" s="181"/>
      <c r="AV671" s="558"/>
    </row>
    <row r="672" ht="11.25" customHeight="1">
      <c r="A672" s="565"/>
      <c r="B672" s="181"/>
      <c r="C672" s="565"/>
      <c r="D672" s="565"/>
      <c r="E672" s="565"/>
      <c r="F672" s="565"/>
      <c r="G672" s="565"/>
      <c r="H672" s="565"/>
      <c r="I672" s="565"/>
      <c r="J672" s="565"/>
      <c r="K672" s="565"/>
      <c r="L672" s="565"/>
      <c r="M672" s="565"/>
      <c r="N672" s="565"/>
      <c r="O672" s="565"/>
      <c r="P672" s="565"/>
      <c r="Q672" s="565"/>
      <c r="R672" s="565"/>
      <c r="S672" s="565"/>
      <c r="T672" s="565"/>
      <c r="U672" s="565"/>
      <c r="V672" s="565"/>
      <c r="W672" s="565"/>
      <c r="X672" s="565"/>
      <c r="Y672" s="565"/>
      <c r="Z672" s="565"/>
      <c r="AA672" s="565"/>
      <c r="AB672" s="565"/>
      <c r="AC672" s="565"/>
      <c r="AD672" s="565"/>
      <c r="AE672" s="565"/>
      <c r="AF672" s="565"/>
      <c r="AG672" s="565"/>
      <c r="AH672" s="565"/>
      <c r="AI672" s="565"/>
      <c r="AJ672" s="565"/>
      <c r="AK672" s="565"/>
      <c r="AL672" s="565"/>
      <c r="AM672" s="565"/>
      <c r="AN672" s="565"/>
      <c r="AO672" s="565"/>
      <c r="AP672" s="565"/>
      <c r="AQ672" s="565"/>
      <c r="AR672" s="565"/>
      <c r="AS672" s="565"/>
      <c r="AT672" s="565"/>
      <c r="AU672" s="181"/>
      <c r="AV672" s="558"/>
    </row>
    <row r="673" ht="11.25" customHeight="1">
      <c r="A673" s="565"/>
      <c r="B673" s="181"/>
      <c r="C673" s="565"/>
      <c r="D673" s="565"/>
      <c r="E673" s="565"/>
      <c r="F673" s="565"/>
      <c r="G673" s="565"/>
      <c r="H673" s="565"/>
      <c r="I673" s="565"/>
      <c r="J673" s="565"/>
      <c r="K673" s="565"/>
      <c r="L673" s="565"/>
      <c r="M673" s="565"/>
      <c r="N673" s="565"/>
      <c r="O673" s="565"/>
      <c r="P673" s="565"/>
      <c r="Q673" s="565"/>
      <c r="R673" s="565"/>
      <c r="S673" s="565"/>
      <c r="T673" s="565"/>
      <c r="U673" s="565"/>
      <c r="V673" s="565"/>
      <c r="W673" s="565"/>
      <c r="X673" s="565"/>
      <c r="Y673" s="565"/>
      <c r="Z673" s="565"/>
      <c r="AA673" s="565"/>
      <c r="AB673" s="565"/>
      <c r="AC673" s="565"/>
      <c r="AD673" s="565"/>
      <c r="AE673" s="565"/>
      <c r="AF673" s="565"/>
      <c r="AG673" s="565"/>
      <c r="AH673" s="565"/>
      <c r="AI673" s="565"/>
      <c r="AJ673" s="565"/>
      <c r="AK673" s="565"/>
      <c r="AL673" s="565"/>
      <c r="AM673" s="565"/>
      <c r="AN673" s="565"/>
      <c r="AO673" s="565"/>
      <c r="AP673" s="565"/>
      <c r="AQ673" s="565"/>
      <c r="AR673" s="565"/>
      <c r="AS673" s="565"/>
      <c r="AT673" s="565"/>
      <c r="AU673" s="181"/>
      <c r="AV673" s="558"/>
    </row>
    <row r="674" ht="11.25" customHeight="1">
      <c r="A674" s="565"/>
      <c r="B674" s="181"/>
      <c r="C674" s="565"/>
      <c r="D674" s="565"/>
      <c r="E674" s="565"/>
      <c r="F674" s="565"/>
      <c r="G674" s="565"/>
      <c r="H674" s="565"/>
      <c r="I674" s="565"/>
      <c r="J674" s="565"/>
      <c r="K674" s="565"/>
      <c r="L674" s="565"/>
      <c r="M674" s="565"/>
      <c r="N674" s="565"/>
      <c r="O674" s="565"/>
      <c r="P674" s="565"/>
      <c r="Q674" s="565"/>
      <c r="R674" s="565"/>
      <c r="S674" s="565"/>
      <c r="T674" s="565"/>
      <c r="U674" s="565"/>
      <c r="V674" s="565"/>
      <c r="W674" s="565"/>
      <c r="X674" s="565"/>
      <c r="Y674" s="565"/>
      <c r="Z674" s="565"/>
      <c r="AA674" s="565"/>
      <c r="AB674" s="565"/>
      <c r="AC674" s="565"/>
      <c r="AD674" s="565"/>
      <c r="AE674" s="565"/>
      <c r="AF674" s="565"/>
      <c r="AG674" s="565"/>
      <c r="AH674" s="565"/>
      <c r="AI674" s="565"/>
      <c r="AJ674" s="565"/>
      <c r="AK674" s="565"/>
      <c r="AL674" s="565"/>
      <c r="AM674" s="565"/>
      <c r="AN674" s="565"/>
      <c r="AO674" s="565"/>
      <c r="AP674" s="565"/>
      <c r="AQ674" s="565"/>
      <c r="AR674" s="565"/>
      <c r="AS674" s="565"/>
      <c r="AT674" s="565"/>
      <c r="AU674" s="181"/>
      <c r="AV674" s="558"/>
    </row>
    <row r="675" ht="11.25" customHeight="1">
      <c r="A675" s="565"/>
      <c r="B675" s="181"/>
      <c r="C675" s="565"/>
      <c r="D675" s="565"/>
      <c r="E675" s="565"/>
      <c r="F675" s="565"/>
      <c r="G675" s="565"/>
      <c r="H675" s="565"/>
      <c r="I675" s="565"/>
      <c r="J675" s="565"/>
      <c r="K675" s="565"/>
      <c r="L675" s="565"/>
      <c r="M675" s="565"/>
      <c r="N675" s="565"/>
      <c r="O675" s="565"/>
      <c r="P675" s="565"/>
      <c r="Q675" s="565"/>
      <c r="R675" s="565"/>
      <c r="S675" s="565"/>
      <c r="T675" s="565"/>
      <c r="U675" s="565"/>
      <c r="V675" s="565"/>
      <c r="W675" s="565"/>
      <c r="X675" s="565"/>
      <c r="Y675" s="565"/>
      <c r="Z675" s="565"/>
      <c r="AA675" s="565"/>
      <c r="AB675" s="565"/>
      <c r="AC675" s="565"/>
      <c r="AD675" s="565"/>
      <c r="AE675" s="565"/>
      <c r="AF675" s="565"/>
      <c r="AG675" s="565"/>
      <c r="AH675" s="565"/>
      <c r="AI675" s="565"/>
      <c r="AJ675" s="565"/>
      <c r="AK675" s="565"/>
      <c r="AL675" s="565"/>
      <c r="AM675" s="565"/>
      <c r="AN675" s="565"/>
      <c r="AO675" s="565"/>
      <c r="AP675" s="565"/>
      <c r="AQ675" s="565"/>
      <c r="AR675" s="565"/>
      <c r="AS675" s="565"/>
      <c r="AT675" s="565"/>
      <c r="AU675" s="181"/>
      <c r="AV675" s="558"/>
    </row>
    <row r="676" ht="11.25" customHeight="1">
      <c r="A676" s="565"/>
      <c r="B676" s="181"/>
      <c r="C676" s="565"/>
      <c r="D676" s="565"/>
      <c r="E676" s="565"/>
      <c r="F676" s="565"/>
      <c r="G676" s="565"/>
      <c r="H676" s="565"/>
      <c r="I676" s="565"/>
      <c r="J676" s="565"/>
      <c r="K676" s="565"/>
      <c r="L676" s="565"/>
      <c r="M676" s="565"/>
      <c r="N676" s="565"/>
      <c r="O676" s="565"/>
      <c r="P676" s="565"/>
      <c r="Q676" s="565"/>
      <c r="R676" s="565"/>
      <c r="S676" s="565"/>
      <c r="T676" s="565"/>
      <c r="U676" s="565"/>
      <c r="V676" s="565"/>
      <c r="W676" s="565"/>
      <c r="X676" s="565"/>
      <c r="Y676" s="565"/>
      <c r="Z676" s="565"/>
      <c r="AA676" s="565"/>
      <c r="AB676" s="565"/>
      <c r="AC676" s="565"/>
      <c r="AD676" s="565"/>
      <c r="AE676" s="565"/>
      <c r="AF676" s="565"/>
      <c r="AG676" s="565"/>
      <c r="AH676" s="565"/>
      <c r="AI676" s="565"/>
      <c r="AJ676" s="565"/>
      <c r="AK676" s="565"/>
      <c r="AL676" s="565"/>
      <c r="AM676" s="565"/>
      <c r="AN676" s="565"/>
      <c r="AO676" s="565"/>
      <c r="AP676" s="565"/>
      <c r="AQ676" s="565"/>
      <c r="AR676" s="565"/>
      <c r="AS676" s="565"/>
      <c r="AT676" s="565"/>
      <c r="AU676" s="181"/>
      <c r="AV676" s="558"/>
    </row>
    <row r="677" ht="11.25" customHeight="1">
      <c r="A677" s="565"/>
      <c r="B677" s="181"/>
      <c r="C677" s="565"/>
      <c r="D677" s="565"/>
      <c r="E677" s="565"/>
      <c r="F677" s="565"/>
      <c r="G677" s="565"/>
      <c r="H677" s="565"/>
      <c r="I677" s="565"/>
      <c r="J677" s="565"/>
      <c r="K677" s="565"/>
      <c r="L677" s="565"/>
      <c r="M677" s="565"/>
      <c r="N677" s="565"/>
      <c r="O677" s="565"/>
      <c r="P677" s="565"/>
      <c r="Q677" s="565"/>
      <c r="R677" s="565"/>
      <c r="S677" s="565"/>
      <c r="T677" s="565"/>
      <c r="U677" s="565"/>
      <c r="V677" s="565"/>
      <c r="W677" s="565"/>
      <c r="X677" s="565"/>
      <c r="Y677" s="565"/>
      <c r="Z677" s="565"/>
      <c r="AA677" s="565"/>
      <c r="AB677" s="565"/>
      <c r="AC677" s="565"/>
      <c r="AD677" s="565"/>
      <c r="AE677" s="565"/>
      <c r="AF677" s="565"/>
      <c r="AG677" s="565"/>
      <c r="AH677" s="565"/>
      <c r="AI677" s="565"/>
      <c r="AJ677" s="565"/>
      <c r="AK677" s="565"/>
      <c r="AL677" s="565"/>
      <c r="AM677" s="565"/>
      <c r="AN677" s="565"/>
      <c r="AO677" s="565"/>
      <c r="AP677" s="565"/>
      <c r="AQ677" s="565"/>
      <c r="AR677" s="565"/>
      <c r="AS677" s="565"/>
      <c r="AT677" s="565"/>
      <c r="AU677" s="181"/>
      <c r="AV677" s="558"/>
    </row>
    <row r="678" ht="11.25" customHeight="1">
      <c r="A678" s="565"/>
      <c r="B678" s="181"/>
      <c r="C678" s="565"/>
      <c r="D678" s="565"/>
      <c r="E678" s="565"/>
      <c r="F678" s="565"/>
      <c r="G678" s="565"/>
      <c r="H678" s="565"/>
      <c r="I678" s="565"/>
      <c r="J678" s="565"/>
      <c r="K678" s="565"/>
      <c r="L678" s="565"/>
      <c r="M678" s="565"/>
      <c r="N678" s="565"/>
      <c r="O678" s="565"/>
      <c r="P678" s="565"/>
      <c r="Q678" s="565"/>
      <c r="R678" s="565"/>
      <c r="S678" s="565"/>
      <c r="T678" s="565"/>
      <c r="U678" s="565"/>
      <c r="V678" s="565"/>
      <c r="W678" s="565"/>
      <c r="X678" s="565"/>
      <c r="Y678" s="565"/>
      <c r="Z678" s="565"/>
      <c r="AA678" s="565"/>
      <c r="AB678" s="565"/>
      <c r="AC678" s="565"/>
      <c r="AD678" s="565"/>
      <c r="AE678" s="565"/>
      <c r="AF678" s="565"/>
      <c r="AG678" s="565"/>
      <c r="AH678" s="565"/>
      <c r="AI678" s="565"/>
      <c r="AJ678" s="565"/>
      <c r="AK678" s="565"/>
      <c r="AL678" s="565"/>
      <c r="AM678" s="565"/>
      <c r="AN678" s="565"/>
      <c r="AO678" s="565"/>
      <c r="AP678" s="565"/>
      <c r="AQ678" s="565"/>
      <c r="AR678" s="565"/>
      <c r="AS678" s="565"/>
      <c r="AT678" s="565"/>
      <c r="AU678" s="181"/>
      <c r="AV678" s="558"/>
    </row>
    <row r="679" ht="11.25" customHeight="1">
      <c r="A679" s="565"/>
      <c r="B679" s="181"/>
      <c r="C679" s="565"/>
      <c r="D679" s="565"/>
      <c r="E679" s="565"/>
      <c r="F679" s="565"/>
      <c r="G679" s="565"/>
      <c r="H679" s="565"/>
      <c r="I679" s="565"/>
      <c r="J679" s="565"/>
      <c r="K679" s="565"/>
      <c r="L679" s="565"/>
      <c r="M679" s="565"/>
      <c r="N679" s="565"/>
      <c r="O679" s="565"/>
      <c r="P679" s="565"/>
      <c r="Q679" s="565"/>
      <c r="R679" s="565"/>
      <c r="S679" s="565"/>
      <c r="T679" s="565"/>
      <c r="U679" s="565"/>
      <c r="V679" s="565"/>
      <c r="W679" s="565"/>
      <c r="X679" s="565"/>
      <c r="Y679" s="565"/>
      <c r="Z679" s="565"/>
      <c r="AA679" s="565"/>
      <c r="AB679" s="565"/>
      <c r="AC679" s="565"/>
      <c r="AD679" s="565"/>
      <c r="AE679" s="565"/>
      <c r="AF679" s="565"/>
      <c r="AG679" s="565"/>
      <c r="AH679" s="565"/>
      <c r="AI679" s="565"/>
      <c r="AJ679" s="565"/>
      <c r="AK679" s="565"/>
      <c r="AL679" s="565"/>
      <c r="AM679" s="565"/>
      <c r="AN679" s="565"/>
      <c r="AO679" s="565"/>
      <c r="AP679" s="565"/>
      <c r="AQ679" s="565"/>
      <c r="AR679" s="565"/>
      <c r="AS679" s="565"/>
      <c r="AT679" s="565"/>
      <c r="AU679" s="181"/>
      <c r="AV679" s="558"/>
    </row>
    <row r="680" ht="11.25" customHeight="1">
      <c r="A680" s="565"/>
      <c r="B680" s="181"/>
      <c r="C680" s="565"/>
      <c r="D680" s="565"/>
      <c r="E680" s="565"/>
      <c r="F680" s="565"/>
      <c r="G680" s="565"/>
      <c r="H680" s="565"/>
      <c r="I680" s="565"/>
      <c r="J680" s="565"/>
      <c r="K680" s="565"/>
      <c r="L680" s="565"/>
      <c r="M680" s="565"/>
      <c r="N680" s="565"/>
      <c r="O680" s="565"/>
      <c r="P680" s="565"/>
      <c r="Q680" s="565"/>
      <c r="R680" s="565"/>
      <c r="S680" s="565"/>
      <c r="T680" s="565"/>
      <c r="U680" s="565"/>
      <c r="V680" s="565"/>
      <c r="W680" s="565"/>
      <c r="X680" s="565"/>
      <c r="Y680" s="565"/>
      <c r="Z680" s="565"/>
      <c r="AA680" s="565"/>
      <c r="AB680" s="565"/>
      <c r="AC680" s="565"/>
      <c r="AD680" s="565"/>
      <c r="AE680" s="565"/>
      <c r="AF680" s="565"/>
      <c r="AG680" s="565"/>
      <c r="AH680" s="565"/>
      <c r="AI680" s="565"/>
      <c r="AJ680" s="565"/>
      <c r="AK680" s="565"/>
      <c r="AL680" s="565"/>
      <c r="AM680" s="565"/>
      <c r="AN680" s="565"/>
      <c r="AO680" s="565"/>
      <c r="AP680" s="565"/>
      <c r="AQ680" s="565"/>
      <c r="AR680" s="565"/>
      <c r="AS680" s="565"/>
      <c r="AT680" s="565"/>
      <c r="AU680" s="181"/>
      <c r="AV680" s="558"/>
    </row>
    <row r="681" ht="11.25" customHeight="1">
      <c r="A681" s="565"/>
      <c r="B681" s="181"/>
      <c r="C681" s="565"/>
      <c r="D681" s="565"/>
      <c r="E681" s="565"/>
      <c r="F681" s="565"/>
      <c r="G681" s="565"/>
      <c r="H681" s="565"/>
      <c r="I681" s="565"/>
      <c r="J681" s="565"/>
      <c r="K681" s="565"/>
      <c r="L681" s="565"/>
      <c r="M681" s="565"/>
      <c r="N681" s="565"/>
      <c r="O681" s="565"/>
      <c r="P681" s="565"/>
      <c r="Q681" s="565"/>
      <c r="R681" s="565"/>
      <c r="S681" s="565"/>
      <c r="T681" s="565"/>
      <c r="U681" s="565"/>
      <c r="V681" s="565"/>
      <c r="W681" s="565"/>
      <c r="X681" s="565"/>
      <c r="Y681" s="565"/>
      <c r="Z681" s="565"/>
      <c r="AA681" s="565"/>
      <c r="AB681" s="565"/>
      <c r="AC681" s="565"/>
      <c r="AD681" s="565"/>
      <c r="AE681" s="565"/>
      <c r="AF681" s="565"/>
      <c r="AG681" s="565"/>
      <c r="AH681" s="565"/>
      <c r="AI681" s="565"/>
      <c r="AJ681" s="565"/>
      <c r="AK681" s="565"/>
      <c r="AL681" s="565"/>
      <c r="AM681" s="565"/>
      <c r="AN681" s="565"/>
      <c r="AO681" s="565"/>
      <c r="AP681" s="565"/>
      <c r="AQ681" s="565"/>
      <c r="AR681" s="565"/>
      <c r="AS681" s="565"/>
      <c r="AT681" s="565"/>
      <c r="AU681" s="181"/>
      <c r="AV681" s="558"/>
    </row>
    <row r="682" ht="11.25" customHeight="1">
      <c r="A682" s="565"/>
      <c r="B682" s="181"/>
      <c r="C682" s="565"/>
      <c r="D682" s="565"/>
      <c r="E682" s="565"/>
      <c r="F682" s="565"/>
      <c r="G682" s="565"/>
      <c r="H682" s="565"/>
      <c r="I682" s="565"/>
      <c r="J682" s="565"/>
      <c r="K682" s="565"/>
      <c r="L682" s="565"/>
      <c r="M682" s="565"/>
      <c r="N682" s="565"/>
      <c r="O682" s="565"/>
      <c r="P682" s="565"/>
      <c r="Q682" s="565"/>
      <c r="R682" s="565"/>
      <c r="S682" s="565"/>
      <c r="T682" s="565"/>
      <c r="U682" s="565"/>
      <c r="V682" s="565"/>
      <c r="W682" s="565"/>
      <c r="X682" s="565"/>
      <c r="Y682" s="565"/>
      <c r="Z682" s="565"/>
      <c r="AA682" s="565"/>
      <c r="AB682" s="565"/>
      <c r="AC682" s="565"/>
      <c r="AD682" s="565"/>
      <c r="AE682" s="565"/>
      <c r="AF682" s="565"/>
      <c r="AG682" s="565"/>
      <c r="AH682" s="565"/>
      <c r="AI682" s="565"/>
      <c r="AJ682" s="565"/>
      <c r="AK682" s="565"/>
      <c r="AL682" s="565"/>
      <c r="AM682" s="565"/>
      <c r="AN682" s="565"/>
      <c r="AO682" s="565"/>
      <c r="AP682" s="565"/>
      <c r="AQ682" s="565"/>
      <c r="AR682" s="565"/>
      <c r="AS682" s="565"/>
      <c r="AT682" s="565"/>
      <c r="AU682" s="181"/>
      <c r="AV682" s="558"/>
    </row>
    <row r="683" ht="11.25" customHeight="1">
      <c r="A683" s="565"/>
      <c r="B683" s="181"/>
      <c r="C683" s="565"/>
      <c r="D683" s="565"/>
      <c r="E683" s="565"/>
      <c r="F683" s="565"/>
      <c r="G683" s="565"/>
      <c r="H683" s="565"/>
      <c r="I683" s="565"/>
      <c r="J683" s="565"/>
      <c r="K683" s="565"/>
      <c r="L683" s="565"/>
      <c r="M683" s="565"/>
      <c r="N683" s="565"/>
      <c r="O683" s="565"/>
      <c r="P683" s="565"/>
      <c r="Q683" s="565"/>
      <c r="R683" s="565"/>
      <c r="S683" s="565"/>
      <c r="T683" s="565"/>
      <c r="U683" s="565"/>
      <c r="V683" s="565"/>
      <c r="W683" s="565"/>
      <c r="X683" s="565"/>
      <c r="Y683" s="565"/>
      <c r="Z683" s="565"/>
      <c r="AA683" s="565"/>
      <c r="AB683" s="565"/>
      <c r="AC683" s="565"/>
      <c r="AD683" s="565"/>
      <c r="AE683" s="565"/>
      <c r="AF683" s="565"/>
      <c r="AG683" s="565"/>
      <c r="AH683" s="565"/>
      <c r="AI683" s="565"/>
      <c r="AJ683" s="565"/>
      <c r="AK683" s="565"/>
      <c r="AL683" s="565"/>
      <c r="AM683" s="565"/>
      <c r="AN683" s="565"/>
      <c r="AO683" s="565"/>
      <c r="AP683" s="565"/>
      <c r="AQ683" s="565"/>
      <c r="AR683" s="565"/>
      <c r="AS683" s="565"/>
      <c r="AT683" s="565"/>
      <c r="AU683" s="181"/>
      <c r="AV683" s="558"/>
    </row>
    <row r="684" ht="11.25" customHeight="1">
      <c r="A684" s="565"/>
      <c r="B684" s="181"/>
      <c r="C684" s="565"/>
      <c r="D684" s="565"/>
      <c r="E684" s="565"/>
      <c r="F684" s="565"/>
      <c r="G684" s="565"/>
      <c r="H684" s="565"/>
      <c r="I684" s="565"/>
      <c r="J684" s="565"/>
      <c r="K684" s="565"/>
      <c r="L684" s="565"/>
      <c r="M684" s="565"/>
      <c r="N684" s="565"/>
      <c r="O684" s="565"/>
      <c r="P684" s="565"/>
      <c r="Q684" s="565"/>
      <c r="R684" s="565"/>
      <c r="S684" s="565"/>
      <c r="T684" s="565"/>
      <c r="U684" s="565"/>
      <c r="V684" s="565"/>
      <c r="W684" s="565"/>
      <c r="X684" s="565"/>
      <c r="Y684" s="565"/>
      <c r="Z684" s="565"/>
      <c r="AA684" s="565"/>
      <c r="AB684" s="565"/>
      <c r="AC684" s="565"/>
      <c r="AD684" s="565"/>
      <c r="AE684" s="565"/>
      <c r="AF684" s="565"/>
      <c r="AG684" s="565"/>
      <c r="AH684" s="565"/>
      <c r="AI684" s="565"/>
      <c r="AJ684" s="565"/>
      <c r="AK684" s="565"/>
      <c r="AL684" s="565"/>
      <c r="AM684" s="565"/>
      <c r="AN684" s="565"/>
      <c r="AO684" s="565"/>
      <c r="AP684" s="565"/>
      <c r="AQ684" s="565"/>
      <c r="AR684" s="565"/>
      <c r="AS684" s="565"/>
      <c r="AT684" s="565"/>
      <c r="AU684" s="181"/>
      <c r="AV684" s="558"/>
    </row>
    <row r="685" ht="11.25" customHeight="1">
      <c r="A685" s="565"/>
      <c r="B685" s="181"/>
      <c r="C685" s="565"/>
      <c r="D685" s="565"/>
      <c r="E685" s="565"/>
      <c r="F685" s="565"/>
      <c r="G685" s="565"/>
      <c r="H685" s="565"/>
      <c r="I685" s="565"/>
      <c r="J685" s="565"/>
      <c r="K685" s="565"/>
      <c r="L685" s="565"/>
      <c r="M685" s="565"/>
      <c r="N685" s="565"/>
      <c r="O685" s="565"/>
      <c r="P685" s="565"/>
      <c r="Q685" s="565"/>
      <c r="R685" s="565"/>
      <c r="S685" s="565"/>
      <c r="T685" s="565"/>
      <c r="U685" s="565"/>
      <c r="V685" s="565"/>
      <c r="W685" s="565"/>
      <c r="X685" s="565"/>
      <c r="Y685" s="565"/>
      <c r="Z685" s="565"/>
      <c r="AA685" s="565"/>
      <c r="AB685" s="565"/>
      <c r="AC685" s="565"/>
      <c r="AD685" s="565"/>
      <c r="AE685" s="565"/>
      <c r="AF685" s="565"/>
      <c r="AG685" s="565"/>
      <c r="AH685" s="565"/>
      <c r="AI685" s="565"/>
      <c r="AJ685" s="565"/>
      <c r="AK685" s="565"/>
      <c r="AL685" s="565"/>
      <c r="AM685" s="565"/>
      <c r="AN685" s="565"/>
      <c r="AO685" s="565"/>
      <c r="AP685" s="565"/>
      <c r="AQ685" s="565"/>
      <c r="AR685" s="565"/>
      <c r="AS685" s="565"/>
      <c r="AT685" s="565"/>
      <c r="AU685" s="181"/>
      <c r="AV685" s="558"/>
    </row>
    <row r="686" ht="11.25" customHeight="1">
      <c r="A686" s="565"/>
      <c r="B686" s="181"/>
      <c r="C686" s="565"/>
      <c r="D686" s="565"/>
      <c r="E686" s="565"/>
      <c r="F686" s="565"/>
      <c r="G686" s="565"/>
      <c r="H686" s="565"/>
      <c r="I686" s="565"/>
      <c r="J686" s="565"/>
      <c r="K686" s="565"/>
      <c r="L686" s="565"/>
      <c r="M686" s="565"/>
      <c r="N686" s="565"/>
      <c r="O686" s="565"/>
      <c r="P686" s="565"/>
      <c r="Q686" s="565"/>
      <c r="R686" s="565"/>
      <c r="S686" s="565"/>
      <c r="T686" s="565"/>
      <c r="U686" s="565"/>
      <c r="V686" s="565"/>
      <c r="W686" s="565"/>
      <c r="X686" s="565"/>
      <c r="Y686" s="565"/>
      <c r="Z686" s="565"/>
      <c r="AA686" s="565"/>
      <c r="AB686" s="565"/>
      <c r="AC686" s="565"/>
      <c r="AD686" s="565"/>
      <c r="AE686" s="565"/>
      <c r="AF686" s="565"/>
      <c r="AG686" s="565"/>
      <c r="AH686" s="565"/>
      <c r="AI686" s="565"/>
      <c r="AJ686" s="565"/>
      <c r="AK686" s="565"/>
      <c r="AL686" s="565"/>
      <c r="AM686" s="565"/>
      <c r="AN686" s="565"/>
      <c r="AO686" s="565"/>
      <c r="AP686" s="565"/>
      <c r="AQ686" s="565"/>
      <c r="AR686" s="565"/>
      <c r="AS686" s="565"/>
      <c r="AT686" s="565"/>
      <c r="AU686" s="181"/>
      <c r="AV686" s="558"/>
    </row>
    <row r="687" ht="11.25" customHeight="1">
      <c r="A687" s="565"/>
      <c r="B687" s="181"/>
      <c r="C687" s="565"/>
      <c r="D687" s="565"/>
      <c r="E687" s="565"/>
      <c r="F687" s="565"/>
      <c r="G687" s="565"/>
      <c r="H687" s="565"/>
      <c r="I687" s="565"/>
      <c r="J687" s="565"/>
      <c r="K687" s="565"/>
      <c r="L687" s="565"/>
      <c r="M687" s="565"/>
      <c r="N687" s="565"/>
      <c r="O687" s="565"/>
      <c r="P687" s="565"/>
      <c r="Q687" s="565"/>
      <c r="R687" s="565"/>
      <c r="S687" s="565"/>
      <c r="T687" s="565"/>
      <c r="U687" s="565"/>
      <c r="V687" s="565"/>
      <c r="W687" s="565"/>
      <c r="X687" s="565"/>
      <c r="Y687" s="565"/>
      <c r="Z687" s="565"/>
      <c r="AA687" s="565"/>
      <c r="AB687" s="565"/>
      <c r="AC687" s="565"/>
      <c r="AD687" s="565"/>
      <c r="AE687" s="565"/>
      <c r="AF687" s="565"/>
      <c r="AG687" s="565"/>
      <c r="AH687" s="565"/>
      <c r="AI687" s="565"/>
      <c r="AJ687" s="565"/>
      <c r="AK687" s="565"/>
      <c r="AL687" s="565"/>
      <c r="AM687" s="565"/>
      <c r="AN687" s="565"/>
      <c r="AO687" s="565"/>
      <c r="AP687" s="565"/>
      <c r="AQ687" s="565"/>
      <c r="AR687" s="565"/>
      <c r="AS687" s="565"/>
      <c r="AT687" s="565"/>
      <c r="AU687" s="181"/>
      <c r="AV687" s="558"/>
    </row>
    <row r="688" ht="11.25" customHeight="1">
      <c r="A688" s="565"/>
      <c r="B688" s="181"/>
      <c r="C688" s="565"/>
      <c r="D688" s="565"/>
      <c r="E688" s="565"/>
      <c r="F688" s="565"/>
      <c r="G688" s="565"/>
      <c r="H688" s="565"/>
      <c r="I688" s="565"/>
      <c r="J688" s="565"/>
      <c r="K688" s="565"/>
      <c r="L688" s="565"/>
      <c r="M688" s="565"/>
      <c r="N688" s="565"/>
      <c r="O688" s="565"/>
      <c r="P688" s="565"/>
      <c r="Q688" s="565"/>
      <c r="R688" s="565"/>
      <c r="S688" s="565"/>
      <c r="T688" s="565"/>
      <c r="U688" s="565"/>
      <c r="V688" s="565"/>
      <c r="W688" s="565"/>
      <c r="X688" s="565"/>
      <c r="Y688" s="565"/>
      <c r="Z688" s="565"/>
      <c r="AA688" s="565"/>
      <c r="AB688" s="565"/>
      <c r="AC688" s="565"/>
      <c r="AD688" s="565"/>
      <c r="AE688" s="565"/>
      <c r="AF688" s="565"/>
      <c r="AG688" s="565"/>
      <c r="AH688" s="565"/>
      <c r="AI688" s="565"/>
      <c r="AJ688" s="565"/>
      <c r="AK688" s="565"/>
      <c r="AL688" s="565"/>
      <c r="AM688" s="565"/>
      <c r="AN688" s="565"/>
      <c r="AO688" s="565"/>
      <c r="AP688" s="565"/>
      <c r="AQ688" s="565"/>
      <c r="AR688" s="565"/>
      <c r="AS688" s="565"/>
      <c r="AT688" s="565"/>
      <c r="AU688" s="181"/>
      <c r="AV688" s="558"/>
    </row>
    <row r="689" ht="11.25" customHeight="1">
      <c r="A689" s="565"/>
      <c r="B689" s="181"/>
      <c r="C689" s="565"/>
      <c r="D689" s="565"/>
      <c r="E689" s="565"/>
      <c r="F689" s="565"/>
      <c r="G689" s="565"/>
      <c r="H689" s="565"/>
      <c r="I689" s="565"/>
      <c r="J689" s="565"/>
      <c r="K689" s="565"/>
      <c r="L689" s="565"/>
      <c r="M689" s="565"/>
      <c r="N689" s="565"/>
      <c r="O689" s="565"/>
      <c r="P689" s="565"/>
      <c r="Q689" s="565"/>
      <c r="R689" s="565"/>
      <c r="S689" s="565"/>
      <c r="T689" s="565"/>
      <c r="U689" s="565"/>
      <c r="V689" s="565"/>
      <c r="W689" s="565"/>
      <c r="X689" s="565"/>
      <c r="Y689" s="565"/>
      <c r="Z689" s="565"/>
      <c r="AA689" s="565"/>
      <c r="AB689" s="565"/>
      <c r="AC689" s="565"/>
      <c r="AD689" s="565"/>
      <c r="AE689" s="565"/>
      <c r="AF689" s="565"/>
      <c r="AG689" s="565"/>
      <c r="AH689" s="565"/>
      <c r="AI689" s="565"/>
      <c r="AJ689" s="565"/>
      <c r="AK689" s="565"/>
      <c r="AL689" s="565"/>
      <c r="AM689" s="565"/>
      <c r="AN689" s="565"/>
      <c r="AO689" s="565"/>
      <c r="AP689" s="565"/>
      <c r="AQ689" s="565"/>
      <c r="AR689" s="565"/>
      <c r="AS689" s="565"/>
      <c r="AT689" s="565"/>
      <c r="AU689" s="181"/>
      <c r="AV689" s="558"/>
    </row>
    <row r="690" ht="11.25" customHeight="1">
      <c r="A690" s="565"/>
      <c r="B690" s="181"/>
      <c r="C690" s="565"/>
      <c r="D690" s="565"/>
      <c r="E690" s="565"/>
      <c r="F690" s="565"/>
      <c r="G690" s="565"/>
      <c r="H690" s="565"/>
      <c r="I690" s="565"/>
      <c r="J690" s="565"/>
      <c r="K690" s="565"/>
      <c r="L690" s="565"/>
      <c r="M690" s="565"/>
      <c r="N690" s="565"/>
      <c r="O690" s="565"/>
      <c r="P690" s="565"/>
      <c r="Q690" s="565"/>
      <c r="R690" s="565"/>
      <c r="S690" s="565"/>
      <c r="T690" s="565"/>
      <c r="U690" s="565"/>
      <c r="V690" s="565"/>
      <c r="W690" s="565"/>
      <c r="X690" s="565"/>
      <c r="Y690" s="565"/>
      <c r="Z690" s="565"/>
      <c r="AA690" s="565"/>
      <c r="AB690" s="565"/>
      <c r="AC690" s="565"/>
      <c r="AD690" s="565"/>
      <c r="AE690" s="565"/>
      <c r="AF690" s="565"/>
      <c r="AG690" s="565"/>
      <c r="AH690" s="565"/>
      <c r="AI690" s="565"/>
      <c r="AJ690" s="565"/>
      <c r="AK690" s="565"/>
      <c r="AL690" s="565"/>
      <c r="AM690" s="565"/>
      <c r="AN690" s="565"/>
      <c r="AO690" s="565"/>
      <c r="AP690" s="565"/>
      <c r="AQ690" s="565"/>
      <c r="AR690" s="565"/>
      <c r="AS690" s="565"/>
      <c r="AT690" s="565"/>
      <c r="AU690" s="181"/>
      <c r="AV690" s="558"/>
    </row>
    <row r="691" ht="11.25" customHeight="1">
      <c r="A691" s="565"/>
      <c r="B691" s="181"/>
      <c r="C691" s="565"/>
      <c r="D691" s="565"/>
      <c r="E691" s="565"/>
      <c r="F691" s="565"/>
      <c r="G691" s="565"/>
      <c r="H691" s="565"/>
      <c r="I691" s="565"/>
      <c r="J691" s="565"/>
      <c r="K691" s="565"/>
      <c r="L691" s="565"/>
      <c r="M691" s="565"/>
      <c r="N691" s="565"/>
      <c r="O691" s="565"/>
      <c r="P691" s="565"/>
      <c r="Q691" s="565"/>
      <c r="R691" s="565"/>
      <c r="S691" s="565"/>
      <c r="T691" s="565"/>
      <c r="U691" s="565"/>
      <c r="V691" s="565"/>
      <c r="W691" s="565"/>
      <c r="X691" s="565"/>
      <c r="Y691" s="565"/>
      <c r="Z691" s="565"/>
      <c r="AA691" s="565"/>
      <c r="AB691" s="565"/>
      <c r="AC691" s="565"/>
      <c r="AD691" s="565"/>
      <c r="AE691" s="565"/>
      <c r="AF691" s="565"/>
      <c r="AG691" s="565"/>
      <c r="AH691" s="565"/>
      <c r="AI691" s="565"/>
      <c r="AJ691" s="565"/>
      <c r="AK691" s="565"/>
      <c r="AL691" s="565"/>
      <c r="AM691" s="565"/>
      <c r="AN691" s="565"/>
      <c r="AO691" s="565"/>
      <c r="AP691" s="565"/>
      <c r="AQ691" s="565"/>
      <c r="AR691" s="565"/>
      <c r="AS691" s="565"/>
      <c r="AT691" s="565"/>
      <c r="AU691" s="181"/>
      <c r="AV691" s="558"/>
    </row>
    <row r="692" ht="11.25" customHeight="1">
      <c r="A692" s="565"/>
      <c r="B692" s="181"/>
      <c r="C692" s="565"/>
      <c r="D692" s="565"/>
      <c r="E692" s="565"/>
      <c r="F692" s="565"/>
      <c r="G692" s="565"/>
      <c r="H692" s="565"/>
      <c r="I692" s="565"/>
      <c r="J692" s="565"/>
      <c r="K692" s="565"/>
      <c r="L692" s="565"/>
      <c r="M692" s="565"/>
      <c r="N692" s="565"/>
      <c r="O692" s="565"/>
      <c r="P692" s="565"/>
      <c r="Q692" s="565"/>
      <c r="R692" s="565"/>
      <c r="S692" s="565"/>
      <c r="T692" s="565"/>
      <c r="U692" s="565"/>
      <c r="V692" s="565"/>
      <c r="W692" s="565"/>
      <c r="X692" s="565"/>
      <c r="Y692" s="565"/>
      <c r="Z692" s="565"/>
      <c r="AA692" s="565"/>
      <c r="AB692" s="565"/>
      <c r="AC692" s="565"/>
      <c r="AD692" s="565"/>
      <c r="AE692" s="565"/>
      <c r="AF692" s="565"/>
      <c r="AG692" s="565"/>
      <c r="AH692" s="565"/>
      <c r="AI692" s="565"/>
      <c r="AJ692" s="565"/>
      <c r="AK692" s="565"/>
      <c r="AL692" s="565"/>
      <c r="AM692" s="565"/>
      <c r="AN692" s="565"/>
      <c r="AO692" s="565"/>
      <c r="AP692" s="565"/>
      <c r="AQ692" s="565"/>
      <c r="AR692" s="565"/>
      <c r="AS692" s="565"/>
      <c r="AT692" s="565"/>
      <c r="AU692" s="181"/>
      <c r="AV692" s="558"/>
    </row>
    <row r="693" ht="11.25" customHeight="1">
      <c r="A693" s="565"/>
      <c r="B693" s="181"/>
      <c r="C693" s="565"/>
      <c r="D693" s="565"/>
      <c r="E693" s="565"/>
      <c r="F693" s="565"/>
      <c r="G693" s="565"/>
      <c r="H693" s="565"/>
      <c r="I693" s="565"/>
      <c r="J693" s="565"/>
      <c r="K693" s="565"/>
      <c r="L693" s="565"/>
      <c r="M693" s="565"/>
      <c r="N693" s="565"/>
      <c r="O693" s="565"/>
      <c r="P693" s="565"/>
      <c r="Q693" s="565"/>
      <c r="R693" s="565"/>
      <c r="S693" s="565"/>
      <c r="T693" s="565"/>
      <c r="U693" s="565"/>
      <c r="V693" s="565"/>
      <c r="W693" s="565"/>
      <c r="X693" s="565"/>
      <c r="Y693" s="565"/>
      <c r="Z693" s="565"/>
      <c r="AA693" s="565"/>
      <c r="AB693" s="565"/>
      <c r="AC693" s="565"/>
      <c r="AD693" s="565"/>
      <c r="AE693" s="565"/>
      <c r="AF693" s="565"/>
      <c r="AG693" s="565"/>
      <c r="AH693" s="565"/>
      <c r="AI693" s="565"/>
      <c r="AJ693" s="565"/>
      <c r="AK693" s="565"/>
      <c r="AL693" s="565"/>
      <c r="AM693" s="565"/>
      <c r="AN693" s="565"/>
      <c r="AO693" s="565"/>
      <c r="AP693" s="565"/>
      <c r="AQ693" s="565"/>
      <c r="AR693" s="565"/>
      <c r="AS693" s="565"/>
      <c r="AT693" s="565"/>
      <c r="AU693" s="181"/>
      <c r="AV693" s="558"/>
    </row>
    <row r="694" ht="11.25" customHeight="1">
      <c r="A694" s="565"/>
      <c r="B694" s="181"/>
      <c r="C694" s="565"/>
      <c r="D694" s="565"/>
      <c r="E694" s="565"/>
      <c r="F694" s="565"/>
      <c r="G694" s="565"/>
      <c r="H694" s="565"/>
      <c r="I694" s="565"/>
      <c r="J694" s="565"/>
      <c r="K694" s="565"/>
      <c r="L694" s="565"/>
      <c r="M694" s="565"/>
      <c r="N694" s="565"/>
      <c r="O694" s="565"/>
      <c r="P694" s="565"/>
      <c r="Q694" s="565"/>
      <c r="R694" s="565"/>
      <c r="S694" s="565"/>
      <c r="T694" s="565"/>
      <c r="U694" s="565"/>
      <c r="V694" s="565"/>
      <c r="W694" s="565"/>
      <c r="X694" s="565"/>
      <c r="Y694" s="565"/>
      <c r="Z694" s="565"/>
      <c r="AA694" s="565"/>
      <c r="AB694" s="565"/>
      <c r="AC694" s="565"/>
      <c r="AD694" s="565"/>
      <c r="AE694" s="565"/>
      <c r="AF694" s="565"/>
      <c r="AG694" s="565"/>
      <c r="AH694" s="565"/>
      <c r="AI694" s="565"/>
      <c r="AJ694" s="565"/>
      <c r="AK694" s="565"/>
      <c r="AL694" s="565"/>
      <c r="AM694" s="565"/>
      <c r="AN694" s="565"/>
      <c r="AO694" s="565"/>
      <c r="AP694" s="565"/>
      <c r="AQ694" s="565"/>
      <c r="AR694" s="565"/>
      <c r="AS694" s="565"/>
      <c r="AT694" s="565"/>
      <c r="AU694" s="181"/>
      <c r="AV694" s="558"/>
    </row>
    <row r="695" ht="11.25" customHeight="1">
      <c r="A695" s="565"/>
      <c r="B695" s="181"/>
      <c r="C695" s="565"/>
      <c r="D695" s="565"/>
      <c r="E695" s="565"/>
      <c r="F695" s="565"/>
      <c r="G695" s="565"/>
      <c r="H695" s="565"/>
      <c r="I695" s="565"/>
      <c r="J695" s="565"/>
      <c r="K695" s="565"/>
      <c r="L695" s="565"/>
      <c r="M695" s="565"/>
      <c r="N695" s="565"/>
      <c r="O695" s="565"/>
      <c r="P695" s="565"/>
      <c r="Q695" s="565"/>
      <c r="R695" s="565"/>
      <c r="S695" s="565"/>
      <c r="T695" s="565"/>
      <c r="U695" s="565"/>
      <c r="V695" s="565"/>
      <c r="W695" s="565"/>
      <c r="X695" s="565"/>
      <c r="Y695" s="565"/>
      <c r="Z695" s="565"/>
      <c r="AA695" s="565"/>
      <c r="AB695" s="565"/>
      <c r="AC695" s="565"/>
      <c r="AD695" s="565"/>
      <c r="AE695" s="565"/>
      <c r="AF695" s="565"/>
      <c r="AG695" s="565"/>
      <c r="AH695" s="565"/>
      <c r="AI695" s="565"/>
      <c r="AJ695" s="565"/>
      <c r="AK695" s="565"/>
      <c r="AL695" s="565"/>
      <c r="AM695" s="565"/>
      <c r="AN695" s="565"/>
      <c r="AO695" s="565"/>
      <c r="AP695" s="565"/>
      <c r="AQ695" s="565"/>
      <c r="AR695" s="565"/>
      <c r="AS695" s="565"/>
      <c r="AT695" s="565"/>
      <c r="AU695" s="181"/>
      <c r="AV695" s="558"/>
    </row>
    <row r="696" ht="11.25" customHeight="1">
      <c r="A696" s="565"/>
      <c r="B696" s="181"/>
      <c r="C696" s="565"/>
      <c r="D696" s="565"/>
      <c r="E696" s="565"/>
      <c r="F696" s="565"/>
      <c r="G696" s="565"/>
      <c r="H696" s="565"/>
      <c r="I696" s="565"/>
      <c r="J696" s="565"/>
      <c r="K696" s="565"/>
      <c r="L696" s="565"/>
      <c r="M696" s="565"/>
      <c r="N696" s="565"/>
      <c r="O696" s="565"/>
      <c r="P696" s="565"/>
      <c r="Q696" s="565"/>
      <c r="R696" s="565"/>
      <c r="S696" s="565"/>
      <c r="T696" s="565"/>
      <c r="U696" s="565"/>
      <c r="V696" s="565"/>
      <c r="W696" s="565"/>
      <c r="X696" s="565"/>
      <c r="Y696" s="565"/>
      <c r="Z696" s="565"/>
      <c r="AA696" s="565"/>
      <c r="AB696" s="565"/>
      <c r="AC696" s="565"/>
      <c r="AD696" s="565"/>
      <c r="AE696" s="565"/>
      <c r="AF696" s="565"/>
      <c r="AG696" s="565"/>
      <c r="AH696" s="565"/>
      <c r="AI696" s="565"/>
      <c r="AJ696" s="565"/>
      <c r="AK696" s="565"/>
      <c r="AL696" s="565"/>
      <c r="AM696" s="565"/>
      <c r="AN696" s="565"/>
      <c r="AO696" s="565"/>
      <c r="AP696" s="565"/>
      <c r="AQ696" s="565"/>
      <c r="AR696" s="565"/>
      <c r="AS696" s="565"/>
      <c r="AT696" s="565"/>
      <c r="AU696" s="181"/>
      <c r="AV696" s="558"/>
    </row>
    <row r="697" ht="11.25" customHeight="1">
      <c r="A697" s="565"/>
      <c r="B697" s="181"/>
      <c r="C697" s="565"/>
      <c r="D697" s="565"/>
      <c r="E697" s="565"/>
      <c r="F697" s="565"/>
      <c r="G697" s="565"/>
      <c r="H697" s="565"/>
      <c r="I697" s="565"/>
      <c r="J697" s="565"/>
      <c r="K697" s="565"/>
      <c r="L697" s="565"/>
      <c r="M697" s="565"/>
      <c r="N697" s="565"/>
      <c r="O697" s="565"/>
      <c r="P697" s="565"/>
      <c r="Q697" s="565"/>
      <c r="R697" s="565"/>
      <c r="S697" s="565"/>
      <c r="T697" s="565"/>
      <c r="U697" s="565"/>
      <c r="V697" s="565"/>
      <c r="W697" s="565"/>
      <c r="X697" s="565"/>
      <c r="Y697" s="565"/>
      <c r="Z697" s="565"/>
      <c r="AA697" s="565"/>
      <c r="AB697" s="565"/>
      <c r="AC697" s="565"/>
      <c r="AD697" s="565"/>
      <c r="AE697" s="565"/>
      <c r="AF697" s="565"/>
      <c r="AG697" s="565"/>
      <c r="AH697" s="565"/>
      <c r="AI697" s="565"/>
      <c r="AJ697" s="565"/>
      <c r="AK697" s="565"/>
      <c r="AL697" s="565"/>
      <c r="AM697" s="565"/>
      <c r="AN697" s="565"/>
      <c r="AO697" s="565"/>
      <c r="AP697" s="565"/>
      <c r="AQ697" s="565"/>
      <c r="AR697" s="565"/>
      <c r="AS697" s="565"/>
      <c r="AT697" s="565"/>
      <c r="AU697" s="181"/>
      <c r="AV697" s="558"/>
    </row>
    <row r="698" ht="11.25" customHeight="1">
      <c r="A698" s="565"/>
      <c r="B698" s="181"/>
      <c r="C698" s="565"/>
      <c r="D698" s="565"/>
      <c r="E698" s="565"/>
      <c r="F698" s="565"/>
      <c r="G698" s="565"/>
      <c r="H698" s="565"/>
      <c r="I698" s="565"/>
      <c r="J698" s="565"/>
      <c r="K698" s="565"/>
      <c r="L698" s="565"/>
      <c r="M698" s="565"/>
      <c r="N698" s="565"/>
      <c r="O698" s="565"/>
      <c r="P698" s="565"/>
      <c r="Q698" s="565"/>
      <c r="R698" s="565"/>
      <c r="S698" s="565"/>
      <c r="T698" s="565"/>
      <c r="U698" s="565"/>
      <c r="V698" s="565"/>
      <c r="W698" s="565"/>
      <c r="X698" s="565"/>
      <c r="Y698" s="565"/>
      <c r="Z698" s="565"/>
      <c r="AA698" s="565"/>
      <c r="AB698" s="565"/>
      <c r="AC698" s="565"/>
      <c r="AD698" s="565"/>
      <c r="AE698" s="565"/>
      <c r="AF698" s="565"/>
      <c r="AG698" s="565"/>
      <c r="AH698" s="565"/>
      <c r="AI698" s="565"/>
      <c r="AJ698" s="565"/>
      <c r="AK698" s="565"/>
      <c r="AL698" s="565"/>
      <c r="AM698" s="565"/>
      <c r="AN698" s="565"/>
      <c r="AO698" s="565"/>
      <c r="AP698" s="565"/>
      <c r="AQ698" s="565"/>
      <c r="AR698" s="565"/>
      <c r="AS698" s="565"/>
      <c r="AT698" s="565"/>
      <c r="AU698" s="181"/>
      <c r="AV698" s="558"/>
    </row>
    <row r="699" ht="11.25" customHeight="1">
      <c r="A699" s="565"/>
      <c r="B699" s="181"/>
      <c r="C699" s="565"/>
      <c r="D699" s="565"/>
      <c r="E699" s="565"/>
      <c r="F699" s="565"/>
      <c r="G699" s="565"/>
      <c r="H699" s="565"/>
      <c r="I699" s="565"/>
      <c r="J699" s="565"/>
      <c r="K699" s="565"/>
      <c r="L699" s="565"/>
      <c r="M699" s="565"/>
      <c r="N699" s="565"/>
      <c r="O699" s="565"/>
      <c r="P699" s="565"/>
      <c r="Q699" s="565"/>
      <c r="R699" s="565"/>
      <c r="S699" s="565"/>
      <c r="T699" s="565"/>
      <c r="U699" s="565"/>
      <c r="V699" s="565"/>
      <c r="W699" s="565"/>
      <c r="X699" s="565"/>
      <c r="Y699" s="565"/>
      <c r="Z699" s="565"/>
      <c r="AA699" s="565"/>
      <c r="AB699" s="565"/>
      <c r="AC699" s="565"/>
      <c r="AD699" s="565"/>
      <c r="AE699" s="565"/>
      <c r="AF699" s="565"/>
      <c r="AG699" s="565"/>
      <c r="AH699" s="565"/>
      <c r="AI699" s="565"/>
      <c r="AJ699" s="565"/>
      <c r="AK699" s="565"/>
      <c r="AL699" s="565"/>
      <c r="AM699" s="565"/>
      <c r="AN699" s="565"/>
      <c r="AO699" s="565"/>
      <c r="AP699" s="565"/>
      <c r="AQ699" s="565"/>
      <c r="AR699" s="565"/>
      <c r="AS699" s="565"/>
      <c r="AT699" s="565"/>
      <c r="AU699" s="181"/>
      <c r="AV699" s="558"/>
    </row>
    <row r="700" ht="11.25" customHeight="1">
      <c r="A700" s="565"/>
      <c r="B700" s="181"/>
      <c r="C700" s="565"/>
      <c r="D700" s="565"/>
      <c r="E700" s="565"/>
      <c r="F700" s="565"/>
      <c r="G700" s="565"/>
      <c r="H700" s="565"/>
      <c r="I700" s="565"/>
      <c r="J700" s="565"/>
      <c r="K700" s="565"/>
      <c r="L700" s="565"/>
      <c r="M700" s="565"/>
      <c r="N700" s="565"/>
      <c r="O700" s="565"/>
      <c r="P700" s="565"/>
      <c r="Q700" s="565"/>
      <c r="R700" s="565"/>
      <c r="S700" s="565"/>
      <c r="T700" s="565"/>
      <c r="U700" s="565"/>
      <c r="V700" s="565"/>
      <c r="W700" s="565"/>
      <c r="X700" s="565"/>
      <c r="Y700" s="565"/>
      <c r="Z700" s="565"/>
      <c r="AA700" s="565"/>
      <c r="AB700" s="565"/>
      <c r="AC700" s="565"/>
      <c r="AD700" s="565"/>
      <c r="AE700" s="565"/>
      <c r="AF700" s="565"/>
      <c r="AG700" s="565"/>
      <c r="AH700" s="565"/>
      <c r="AI700" s="565"/>
      <c r="AJ700" s="565"/>
      <c r="AK700" s="565"/>
      <c r="AL700" s="565"/>
      <c r="AM700" s="565"/>
      <c r="AN700" s="565"/>
      <c r="AO700" s="565"/>
      <c r="AP700" s="565"/>
      <c r="AQ700" s="565"/>
      <c r="AR700" s="565"/>
      <c r="AS700" s="565"/>
      <c r="AT700" s="565"/>
      <c r="AU700" s="181"/>
      <c r="AV700" s="558"/>
    </row>
    <row r="701" ht="11.25" customHeight="1">
      <c r="A701" s="565"/>
      <c r="B701" s="181"/>
      <c r="C701" s="565"/>
      <c r="D701" s="565"/>
      <c r="E701" s="565"/>
      <c r="F701" s="565"/>
      <c r="G701" s="565"/>
      <c r="H701" s="565"/>
      <c r="I701" s="565"/>
      <c r="J701" s="565"/>
      <c r="K701" s="565"/>
      <c r="L701" s="565"/>
      <c r="M701" s="565"/>
      <c r="N701" s="565"/>
      <c r="O701" s="565"/>
      <c r="P701" s="565"/>
      <c r="Q701" s="565"/>
      <c r="R701" s="565"/>
      <c r="S701" s="565"/>
      <c r="T701" s="565"/>
      <c r="U701" s="565"/>
      <c r="V701" s="565"/>
      <c r="W701" s="565"/>
      <c r="X701" s="565"/>
      <c r="Y701" s="565"/>
      <c r="Z701" s="565"/>
      <c r="AA701" s="565"/>
      <c r="AB701" s="565"/>
      <c r="AC701" s="565"/>
      <c r="AD701" s="565"/>
      <c r="AE701" s="565"/>
      <c r="AF701" s="565"/>
      <c r="AG701" s="565"/>
      <c r="AH701" s="565"/>
      <c r="AI701" s="565"/>
      <c r="AJ701" s="565"/>
      <c r="AK701" s="565"/>
      <c r="AL701" s="565"/>
      <c r="AM701" s="565"/>
      <c r="AN701" s="565"/>
      <c r="AO701" s="565"/>
      <c r="AP701" s="565"/>
      <c r="AQ701" s="565"/>
      <c r="AR701" s="565"/>
      <c r="AS701" s="565"/>
      <c r="AT701" s="565"/>
      <c r="AU701" s="181"/>
      <c r="AV701" s="558"/>
    </row>
    <row r="702" ht="11.25" customHeight="1">
      <c r="A702" s="565"/>
      <c r="B702" s="181"/>
      <c r="C702" s="565"/>
      <c r="D702" s="565"/>
      <c r="E702" s="565"/>
      <c r="F702" s="565"/>
      <c r="G702" s="565"/>
      <c r="H702" s="565"/>
      <c r="I702" s="565"/>
      <c r="J702" s="565"/>
      <c r="K702" s="565"/>
      <c r="L702" s="565"/>
      <c r="M702" s="565"/>
      <c r="N702" s="565"/>
      <c r="O702" s="565"/>
      <c r="P702" s="565"/>
      <c r="Q702" s="565"/>
      <c r="R702" s="565"/>
      <c r="S702" s="565"/>
      <c r="T702" s="565"/>
      <c r="U702" s="565"/>
      <c r="V702" s="565"/>
      <c r="W702" s="565"/>
      <c r="X702" s="565"/>
      <c r="Y702" s="565"/>
      <c r="Z702" s="565"/>
      <c r="AA702" s="565"/>
      <c r="AB702" s="565"/>
      <c r="AC702" s="565"/>
      <c r="AD702" s="565"/>
      <c r="AE702" s="565"/>
      <c r="AF702" s="565"/>
      <c r="AG702" s="565"/>
      <c r="AH702" s="565"/>
      <c r="AI702" s="565"/>
      <c r="AJ702" s="565"/>
      <c r="AK702" s="565"/>
      <c r="AL702" s="565"/>
      <c r="AM702" s="565"/>
      <c r="AN702" s="565"/>
      <c r="AO702" s="565"/>
      <c r="AP702" s="565"/>
      <c r="AQ702" s="565"/>
      <c r="AR702" s="565"/>
      <c r="AS702" s="565"/>
      <c r="AT702" s="565"/>
      <c r="AU702" s="181"/>
      <c r="AV702" s="558"/>
    </row>
    <row r="703" ht="11.25" customHeight="1">
      <c r="A703" s="565"/>
      <c r="B703" s="181"/>
      <c r="C703" s="565"/>
      <c r="D703" s="565"/>
      <c r="E703" s="565"/>
      <c r="F703" s="565"/>
      <c r="G703" s="565"/>
      <c r="H703" s="565"/>
      <c r="I703" s="565"/>
      <c r="J703" s="565"/>
      <c r="K703" s="565"/>
      <c r="L703" s="565"/>
      <c r="M703" s="565"/>
      <c r="N703" s="565"/>
      <c r="O703" s="565"/>
      <c r="P703" s="565"/>
      <c r="Q703" s="565"/>
      <c r="R703" s="565"/>
      <c r="S703" s="565"/>
      <c r="T703" s="565"/>
      <c r="U703" s="565"/>
      <c r="V703" s="565"/>
      <c r="W703" s="565"/>
      <c r="X703" s="565"/>
      <c r="Y703" s="565"/>
      <c r="Z703" s="565"/>
      <c r="AA703" s="565"/>
      <c r="AB703" s="565"/>
      <c r="AC703" s="565"/>
      <c r="AD703" s="565"/>
      <c r="AE703" s="565"/>
      <c r="AF703" s="565"/>
      <c r="AG703" s="565"/>
      <c r="AH703" s="565"/>
      <c r="AI703" s="565"/>
      <c r="AJ703" s="565"/>
      <c r="AK703" s="565"/>
      <c r="AL703" s="565"/>
      <c r="AM703" s="565"/>
      <c r="AN703" s="565"/>
      <c r="AO703" s="565"/>
      <c r="AP703" s="565"/>
      <c r="AQ703" s="565"/>
      <c r="AR703" s="565"/>
      <c r="AS703" s="565"/>
      <c r="AT703" s="565"/>
      <c r="AU703" s="181"/>
      <c r="AV703" s="558"/>
    </row>
    <row r="704" ht="11.25" customHeight="1">
      <c r="A704" s="565"/>
      <c r="B704" s="181"/>
      <c r="C704" s="565"/>
      <c r="D704" s="565"/>
      <c r="E704" s="565"/>
      <c r="F704" s="565"/>
      <c r="G704" s="565"/>
      <c r="H704" s="565"/>
      <c r="I704" s="565"/>
      <c r="J704" s="565"/>
      <c r="K704" s="565"/>
      <c r="L704" s="565"/>
      <c r="M704" s="565"/>
      <c r="N704" s="565"/>
      <c r="O704" s="565"/>
      <c r="P704" s="565"/>
      <c r="Q704" s="565"/>
      <c r="R704" s="565"/>
      <c r="S704" s="565"/>
      <c r="T704" s="565"/>
      <c r="U704" s="565"/>
      <c r="V704" s="565"/>
      <c r="W704" s="565"/>
      <c r="X704" s="565"/>
      <c r="Y704" s="565"/>
      <c r="Z704" s="565"/>
      <c r="AA704" s="565"/>
      <c r="AB704" s="565"/>
      <c r="AC704" s="565"/>
      <c r="AD704" s="565"/>
      <c r="AE704" s="565"/>
      <c r="AF704" s="565"/>
      <c r="AG704" s="565"/>
      <c r="AH704" s="565"/>
      <c r="AI704" s="565"/>
      <c r="AJ704" s="565"/>
      <c r="AK704" s="565"/>
      <c r="AL704" s="565"/>
      <c r="AM704" s="565"/>
      <c r="AN704" s="565"/>
      <c r="AO704" s="565"/>
      <c r="AP704" s="565"/>
      <c r="AQ704" s="565"/>
      <c r="AR704" s="565"/>
      <c r="AS704" s="565"/>
      <c r="AT704" s="565"/>
      <c r="AU704" s="181"/>
      <c r="AV704" s="558"/>
    </row>
    <row r="705" ht="11.25" customHeight="1">
      <c r="A705" s="565"/>
      <c r="B705" s="181"/>
      <c r="C705" s="565"/>
      <c r="D705" s="565"/>
      <c r="E705" s="565"/>
      <c r="F705" s="565"/>
      <c r="G705" s="565"/>
      <c r="H705" s="565"/>
      <c r="I705" s="565"/>
      <c r="J705" s="565"/>
      <c r="K705" s="565"/>
      <c r="L705" s="565"/>
      <c r="M705" s="565"/>
      <c r="N705" s="565"/>
      <c r="O705" s="565"/>
      <c r="P705" s="565"/>
      <c r="Q705" s="565"/>
      <c r="R705" s="565"/>
      <c r="S705" s="565"/>
      <c r="T705" s="565"/>
      <c r="U705" s="565"/>
      <c r="V705" s="565"/>
      <c r="W705" s="565"/>
      <c r="X705" s="565"/>
      <c r="Y705" s="565"/>
      <c r="Z705" s="565"/>
      <c r="AA705" s="565"/>
      <c r="AB705" s="565"/>
      <c r="AC705" s="565"/>
      <c r="AD705" s="565"/>
      <c r="AE705" s="565"/>
      <c r="AF705" s="565"/>
      <c r="AG705" s="565"/>
      <c r="AH705" s="565"/>
      <c r="AI705" s="565"/>
      <c r="AJ705" s="565"/>
      <c r="AK705" s="565"/>
      <c r="AL705" s="565"/>
      <c r="AM705" s="565"/>
      <c r="AN705" s="565"/>
      <c r="AO705" s="565"/>
      <c r="AP705" s="565"/>
      <c r="AQ705" s="565"/>
      <c r="AR705" s="565"/>
      <c r="AS705" s="565"/>
      <c r="AT705" s="565"/>
      <c r="AU705" s="181"/>
      <c r="AV705" s="558"/>
    </row>
    <row r="706" ht="11.25" customHeight="1">
      <c r="A706" s="565"/>
      <c r="B706" s="181"/>
      <c r="C706" s="565"/>
      <c r="D706" s="565"/>
      <c r="E706" s="565"/>
      <c r="F706" s="565"/>
      <c r="G706" s="565"/>
      <c r="H706" s="565"/>
      <c r="I706" s="565"/>
      <c r="J706" s="565"/>
      <c r="K706" s="565"/>
      <c r="L706" s="565"/>
      <c r="M706" s="565"/>
      <c r="N706" s="565"/>
      <c r="O706" s="565"/>
      <c r="P706" s="565"/>
      <c r="Q706" s="565"/>
      <c r="R706" s="565"/>
      <c r="S706" s="565"/>
      <c r="T706" s="565"/>
      <c r="U706" s="565"/>
      <c r="V706" s="565"/>
      <c r="W706" s="565"/>
      <c r="X706" s="565"/>
      <c r="Y706" s="565"/>
      <c r="Z706" s="565"/>
      <c r="AA706" s="565"/>
      <c r="AB706" s="565"/>
      <c r="AC706" s="565"/>
      <c r="AD706" s="565"/>
      <c r="AE706" s="565"/>
      <c r="AF706" s="565"/>
      <c r="AG706" s="565"/>
      <c r="AH706" s="565"/>
      <c r="AI706" s="565"/>
      <c r="AJ706" s="565"/>
      <c r="AK706" s="565"/>
      <c r="AL706" s="565"/>
      <c r="AM706" s="565"/>
      <c r="AN706" s="565"/>
      <c r="AO706" s="565"/>
      <c r="AP706" s="565"/>
      <c r="AQ706" s="565"/>
      <c r="AR706" s="565"/>
      <c r="AS706" s="565"/>
      <c r="AT706" s="565"/>
      <c r="AU706" s="181"/>
      <c r="AV706" s="558"/>
    </row>
    <row r="707" ht="11.25" customHeight="1">
      <c r="A707" s="565"/>
      <c r="B707" s="181"/>
      <c r="C707" s="565"/>
      <c r="D707" s="565"/>
      <c r="E707" s="565"/>
      <c r="F707" s="565"/>
      <c r="G707" s="565"/>
      <c r="H707" s="565"/>
      <c r="I707" s="565"/>
      <c r="J707" s="565"/>
      <c r="K707" s="565"/>
      <c r="L707" s="565"/>
      <c r="M707" s="565"/>
      <c r="N707" s="565"/>
      <c r="O707" s="565"/>
      <c r="P707" s="565"/>
      <c r="Q707" s="565"/>
      <c r="R707" s="565"/>
      <c r="S707" s="565"/>
      <c r="T707" s="565"/>
      <c r="U707" s="565"/>
      <c r="V707" s="565"/>
      <c r="W707" s="565"/>
      <c r="X707" s="565"/>
      <c r="Y707" s="565"/>
      <c r="Z707" s="565"/>
      <c r="AA707" s="565"/>
      <c r="AB707" s="565"/>
      <c r="AC707" s="565"/>
      <c r="AD707" s="565"/>
      <c r="AE707" s="565"/>
      <c r="AF707" s="565"/>
      <c r="AG707" s="565"/>
      <c r="AH707" s="565"/>
      <c r="AI707" s="565"/>
      <c r="AJ707" s="565"/>
      <c r="AK707" s="565"/>
      <c r="AL707" s="565"/>
      <c r="AM707" s="565"/>
      <c r="AN707" s="565"/>
      <c r="AO707" s="565"/>
      <c r="AP707" s="565"/>
      <c r="AQ707" s="565"/>
      <c r="AR707" s="565"/>
      <c r="AS707" s="565"/>
      <c r="AT707" s="565"/>
      <c r="AU707" s="181"/>
      <c r="AV707" s="558"/>
    </row>
    <row r="708" ht="11.25" customHeight="1">
      <c r="A708" s="565"/>
      <c r="B708" s="181"/>
      <c r="C708" s="565"/>
      <c r="D708" s="565"/>
      <c r="E708" s="565"/>
      <c r="F708" s="565"/>
      <c r="G708" s="565"/>
      <c r="H708" s="565"/>
      <c r="I708" s="565"/>
      <c r="J708" s="565"/>
      <c r="K708" s="565"/>
      <c r="L708" s="565"/>
      <c r="M708" s="565"/>
      <c r="N708" s="565"/>
      <c r="O708" s="565"/>
      <c r="P708" s="565"/>
      <c r="Q708" s="565"/>
      <c r="R708" s="565"/>
      <c r="S708" s="565"/>
      <c r="T708" s="565"/>
      <c r="U708" s="565"/>
      <c r="V708" s="565"/>
      <c r="W708" s="565"/>
      <c r="X708" s="565"/>
      <c r="Y708" s="565"/>
      <c r="Z708" s="565"/>
      <c r="AA708" s="565"/>
      <c r="AB708" s="565"/>
      <c r="AC708" s="565"/>
      <c r="AD708" s="565"/>
      <c r="AE708" s="565"/>
      <c r="AF708" s="565"/>
      <c r="AG708" s="565"/>
      <c r="AH708" s="565"/>
      <c r="AI708" s="565"/>
      <c r="AJ708" s="565"/>
      <c r="AK708" s="565"/>
      <c r="AL708" s="565"/>
      <c r="AM708" s="565"/>
      <c r="AN708" s="565"/>
      <c r="AO708" s="565"/>
      <c r="AP708" s="565"/>
      <c r="AQ708" s="565"/>
      <c r="AR708" s="565"/>
      <c r="AS708" s="565"/>
      <c r="AT708" s="565"/>
      <c r="AU708" s="181"/>
      <c r="AV708" s="558"/>
    </row>
    <row r="709" ht="11.25" customHeight="1">
      <c r="A709" s="565"/>
      <c r="B709" s="181"/>
      <c r="C709" s="565"/>
      <c r="D709" s="565"/>
      <c r="E709" s="565"/>
      <c r="F709" s="565"/>
      <c r="G709" s="565"/>
      <c r="H709" s="565"/>
      <c r="I709" s="565"/>
      <c r="J709" s="565"/>
      <c r="K709" s="565"/>
      <c r="L709" s="565"/>
      <c r="M709" s="565"/>
      <c r="N709" s="565"/>
      <c r="O709" s="565"/>
      <c r="P709" s="565"/>
      <c r="Q709" s="565"/>
      <c r="R709" s="565"/>
      <c r="S709" s="565"/>
      <c r="T709" s="565"/>
      <c r="U709" s="565"/>
      <c r="V709" s="565"/>
      <c r="W709" s="565"/>
      <c r="X709" s="565"/>
      <c r="Y709" s="565"/>
      <c r="Z709" s="565"/>
      <c r="AA709" s="565"/>
      <c r="AB709" s="565"/>
      <c r="AC709" s="565"/>
      <c r="AD709" s="565"/>
      <c r="AE709" s="565"/>
      <c r="AF709" s="565"/>
      <c r="AG709" s="565"/>
      <c r="AH709" s="565"/>
      <c r="AI709" s="565"/>
      <c r="AJ709" s="565"/>
      <c r="AK709" s="565"/>
      <c r="AL709" s="565"/>
      <c r="AM709" s="565"/>
      <c r="AN709" s="565"/>
      <c r="AO709" s="565"/>
      <c r="AP709" s="565"/>
      <c r="AQ709" s="565"/>
      <c r="AR709" s="565"/>
      <c r="AS709" s="565"/>
      <c r="AT709" s="565"/>
      <c r="AU709" s="181"/>
      <c r="AV709" s="558"/>
    </row>
    <row r="710" ht="11.25" customHeight="1">
      <c r="A710" s="565"/>
      <c r="B710" s="181"/>
      <c r="C710" s="565"/>
      <c r="D710" s="565"/>
      <c r="E710" s="565"/>
      <c r="F710" s="565"/>
      <c r="G710" s="565"/>
      <c r="H710" s="565"/>
      <c r="I710" s="565"/>
      <c r="J710" s="565"/>
      <c r="K710" s="565"/>
      <c r="L710" s="565"/>
      <c r="M710" s="565"/>
      <c r="N710" s="565"/>
      <c r="O710" s="565"/>
      <c r="P710" s="565"/>
      <c r="Q710" s="565"/>
      <c r="R710" s="565"/>
      <c r="S710" s="565"/>
      <c r="T710" s="565"/>
      <c r="U710" s="565"/>
      <c r="V710" s="565"/>
      <c r="W710" s="565"/>
      <c r="X710" s="565"/>
      <c r="Y710" s="565"/>
      <c r="Z710" s="565"/>
      <c r="AA710" s="565"/>
      <c r="AB710" s="565"/>
      <c r="AC710" s="565"/>
      <c r="AD710" s="565"/>
      <c r="AE710" s="565"/>
      <c r="AF710" s="565"/>
      <c r="AG710" s="565"/>
      <c r="AH710" s="565"/>
      <c r="AI710" s="565"/>
      <c r="AJ710" s="565"/>
      <c r="AK710" s="565"/>
      <c r="AL710" s="565"/>
      <c r="AM710" s="565"/>
      <c r="AN710" s="565"/>
      <c r="AO710" s="565"/>
      <c r="AP710" s="565"/>
      <c r="AQ710" s="565"/>
      <c r="AR710" s="565"/>
      <c r="AS710" s="565"/>
      <c r="AT710" s="565"/>
      <c r="AU710" s="181"/>
      <c r="AV710" s="558"/>
    </row>
    <row r="711" ht="11.25" customHeight="1">
      <c r="A711" s="565"/>
      <c r="B711" s="181"/>
      <c r="C711" s="565"/>
      <c r="D711" s="565"/>
      <c r="E711" s="565"/>
      <c r="F711" s="565"/>
      <c r="G711" s="565"/>
      <c r="H711" s="565"/>
      <c r="I711" s="565"/>
      <c r="J711" s="565"/>
      <c r="K711" s="565"/>
      <c r="L711" s="565"/>
      <c r="M711" s="565"/>
      <c r="N711" s="565"/>
      <c r="O711" s="565"/>
      <c r="P711" s="565"/>
      <c r="Q711" s="565"/>
      <c r="R711" s="565"/>
      <c r="S711" s="565"/>
      <c r="T711" s="565"/>
      <c r="U711" s="565"/>
      <c r="V711" s="565"/>
      <c r="W711" s="565"/>
      <c r="X711" s="565"/>
      <c r="Y711" s="565"/>
      <c r="Z711" s="565"/>
      <c r="AA711" s="565"/>
      <c r="AB711" s="565"/>
      <c r="AC711" s="565"/>
      <c r="AD711" s="565"/>
      <c r="AE711" s="565"/>
      <c r="AF711" s="565"/>
      <c r="AG711" s="565"/>
      <c r="AH711" s="565"/>
      <c r="AI711" s="565"/>
      <c r="AJ711" s="565"/>
      <c r="AK711" s="565"/>
      <c r="AL711" s="565"/>
      <c r="AM711" s="565"/>
      <c r="AN711" s="565"/>
      <c r="AO711" s="565"/>
      <c r="AP711" s="565"/>
      <c r="AQ711" s="565"/>
      <c r="AR711" s="565"/>
      <c r="AS711" s="565"/>
      <c r="AT711" s="565"/>
      <c r="AU711" s="181"/>
      <c r="AV711" s="558"/>
    </row>
    <row r="712" ht="11.25" customHeight="1">
      <c r="A712" s="565"/>
      <c r="B712" s="181"/>
      <c r="C712" s="565"/>
      <c r="D712" s="565"/>
      <c r="E712" s="565"/>
      <c r="F712" s="565"/>
      <c r="G712" s="565"/>
      <c r="H712" s="565"/>
      <c r="I712" s="565"/>
      <c r="J712" s="565"/>
      <c r="K712" s="565"/>
      <c r="L712" s="565"/>
      <c r="M712" s="565"/>
      <c r="N712" s="565"/>
      <c r="O712" s="565"/>
      <c r="P712" s="565"/>
      <c r="Q712" s="565"/>
      <c r="R712" s="565"/>
      <c r="S712" s="565"/>
      <c r="T712" s="565"/>
      <c r="U712" s="565"/>
      <c r="V712" s="565"/>
      <c r="W712" s="565"/>
      <c r="X712" s="565"/>
      <c r="Y712" s="565"/>
      <c r="Z712" s="565"/>
      <c r="AA712" s="565"/>
      <c r="AB712" s="565"/>
      <c r="AC712" s="565"/>
      <c r="AD712" s="565"/>
      <c r="AE712" s="565"/>
      <c r="AF712" s="565"/>
      <c r="AG712" s="565"/>
      <c r="AH712" s="565"/>
      <c r="AI712" s="565"/>
      <c r="AJ712" s="565"/>
      <c r="AK712" s="565"/>
      <c r="AL712" s="565"/>
      <c r="AM712" s="565"/>
      <c r="AN712" s="565"/>
      <c r="AO712" s="565"/>
      <c r="AP712" s="565"/>
      <c r="AQ712" s="565"/>
      <c r="AR712" s="565"/>
      <c r="AS712" s="565"/>
      <c r="AT712" s="565"/>
      <c r="AU712" s="181"/>
      <c r="AV712" s="558"/>
    </row>
    <row r="713" ht="11.25" customHeight="1">
      <c r="A713" s="565"/>
      <c r="B713" s="181"/>
      <c r="C713" s="565"/>
      <c r="D713" s="565"/>
      <c r="E713" s="565"/>
      <c r="F713" s="565"/>
      <c r="G713" s="565"/>
      <c r="H713" s="565"/>
      <c r="I713" s="565"/>
      <c r="J713" s="565"/>
      <c r="K713" s="565"/>
      <c r="L713" s="565"/>
      <c r="M713" s="565"/>
      <c r="N713" s="565"/>
      <c r="O713" s="565"/>
      <c r="P713" s="565"/>
      <c r="Q713" s="565"/>
      <c r="R713" s="565"/>
      <c r="S713" s="565"/>
      <c r="T713" s="565"/>
      <c r="U713" s="565"/>
      <c r="V713" s="565"/>
      <c r="W713" s="565"/>
      <c r="X713" s="565"/>
      <c r="Y713" s="565"/>
      <c r="Z713" s="565"/>
      <c r="AA713" s="565"/>
      <c r="AB713" s="565"/>
      <c r="AC713" s="565"/>
      <c r="AD713" s="565"/>
      <c r="AE713" s="565"/>
      <c r="AF713" s="565"/>
      <c r="AG713" s="565"/>
      <c r="AH713" s="565"/>
      <c r="AI713" s="565"/>
      <c r="AJ713" s="565"/>
      <c r="AK713" s="565"/>
      <c r="AL713" s="565"/>
      <c r="AM713" s="565"/>
      <c r="AN713" s="565"/>
      <c r="AO713" s="565"/>
      <c r="AP713" s="565"/>
      <c r="AQ713" s="565"/>
      <c r="AR713" s="565"/>
      <c r="AS713" s="565"/>
      <c r="AT713" s="565"/>
      <c r="AU713" s="181"/>
      <c r="AV713" s="558"/>
    </row>
    <row r="714" ht="11.25" customHeight="1">
      <c r="A714" s="565"/>
      <c r="B714" s="181"/>
      <c r="C714" s="565"/>
      <c r="D714" s="565"/>
      <c r="E714" s="565"/>
      <c r="F714" s="565"/>
      <c r="G714" s="565"/>
      <c r="H714" s="565"/>
      <c r="I714" s="565"/>
      <c r="J714" s="565"/>
      <c r="K714" s="565"/>
      <c r="L714" s="565"/>
      <c r="M714" s="565"/>
      <c r="N714" s="565"/>
      <c r="O714" s="565"/>
      <c r="P714" s="565"/>
      <c r="Q714" s="565"/>
      <c r="R714" s="565"/>
      <c r="S714" s="565"/>
      <c r="T714" s="565"/>
      <c r="U714" s="565"/>
      <c r="V714" s="565"/>
      <c r="W714" s="565"/>
      <c r="X714" s="565"/>
      <c r="Y714" s="565"/>
      <c r="Z714" s="565"/>
      <c r="AA714" s="565"/>
      <c r="AB714" s="565"/>
      <c r="AC714" s="565"/>
      <c r="AD714" s="565"/>
      <c r="AE714" s="565"/>
      <c r="AF714" s="565"/>
      <c r="AG714" s="565"/>
      <c r="AH714" s="565"/>
      <c r="AI714" s="565"/>
      <c r="AJ714" s="565"/>
      <c r="AK714" s="565"/>
      <c r="AL714" s="565"/>
      <c r="AM714" s="565"/>
      <c r="AN714" s="565"/>
      <c r="AO714" s="565"/>
      <c r="AP714" s="565"/>
      <c r="AQ714" s="565"/>
      <c r="AR714" s="565"/>
      <c r="AS714" s="565"/>
      <c r="AT714" s="565"/>
      <c r="AU714" s="181"/>
      <c r="AV714" s="558"/>
    </row>
    <row r="715" ht="11.25" customHeight="1">
      <c r="A715" s="565"/>
      <c r="B715" s="181"/>
      <c r="C715" s="565"/>
      <c r="D715" s="565"/>
      <c r="E715" s="565"/>
      <c r="F715" s="565"/>
      <c r="G715" s="565"/>
      <c r="H715" s="565"/>
      <c r="I715" s="565"/>
      <c r="J715" s="565"/>
      <c r="K715" s="565"/>
      <c r="L715" s="565"/>
      <c r="M715" s="565"/>
      <c r="N715" s="565"/>
      <c r="O715" s="565"/>
      <c r="P715" s="565"/>
      <c r="Q715" s="565"/>
      <c r="R715" s="565"/>
      <c r="S715" s="565"/>
      <c r="T715" s="565"/>
      <c r="U715" s="565"/>
      <c r="V715" s="565"/>
      <c r="W715" s="565"/>
      <c r="X715" s="565"/>
      <c r="Y715" s="565"/>
      <c r="Z715" s="565"/>
      <c r="AA715" s="565"/>
      <c r="AB715" s="565"/>
      <c r="AC715" s="565"/>
      <c r="AD715" s="565"/>
      <c r="AE715" s="565"/>
      <c r="AF715" s="565"/>
      <c r="AG715" s="565"/>
      <c r="AH715" s="565"/>
      <c r="AI715" s="565"/>
      <c r="AJ715" s="565"/>
      <c r="AK715" s="565"/>
      <c r="AL715" s="565"/>
      <c r="AM715" s="565"/>
      <c r="AN715" s="565"/>
      <c r="AO715" s="565"/>
      <c r="AP715" s="565"/>
      <c r="AQ715" s="565"/>
      <c r="AR715" s="565"/>
      <c r="AS715" s="565"/>
      <c r="AT715" s="565"/>
      <c r="AU715" s="181"/>
      <c r="AV715" s="558"/>
    </row>
    <row r="716" ht="11.25" customHeight="1">
      <c r="A716" s="565"/>
      <c r="B716" s="181"/>
      <c r="C716" s="565"/>
      <c r="D716" s="565"/>
      <c r="E716" s="565"/>
      <c r="F716" s="565"/>
      <c r="G716" s="565"/>
      <c r="H716" s="565"/>
      <c r="I716" s="565"/>
      <c r="J716" s="565"/>
      <c r="K716" s="565"/>
      <c r="L716" s="565"/>
      <c r="M716" s="565"/>
      <c r="N716" s="565"/>
      <c r="O716" s="565"/>
      <c r="P716" s="565"/>
      <c r="Q716" s="565"/>
      <c r="R716" s="565"/>
      <c r="S716" s="565"/>
      <c r="T716" s="565"/>
      <c r="U716" s="565"/>
      <c r="V716" s="565"/>
      <c r="W716" s="565"/>
      <c r="X716" s="565"/>
      <c r="Y716" s="565"/>
      <c r="Z716" s="565"/>
      <c r="AA716" s="565"/>
      <c r="AB716" s="565"/>
      <c r="AC716" s="565"/>
      <c r="AD716" s="565"/>
      <c r="AE716" s="565"/>
      <c r="AF716" s="565"/>
      <c r="AG716" s="565"/>
      <c r="AH716" s="565"/>
      <c r="AI716" s="565"/>
      <c r="AJ716" s="565"/>
      <c r="AK716" s="565"/>
      <c r="AL716" s="565"/>
      <c r="AM716" s="565"/>
      <c r="AN716" s="565"/>
      <c r="AO716" s="565"/>
      <c r="AP716" s="565"/>
      <c r="AQ716" s="565"/>
      <c r="AR716" s="565"/>
      <c r="AS716" s="565"/>
      <c r="AT716" s="565"/>
      <c r="AU716" s="181"/>
      <c r="AV716" s="558"/>
    </row>
    <row r="717" ht="11.25" customHeight="1">
      <c r="A717" s="565"/>
      <c r="B717" s="181"/>
      <c r="C717" s="565"/>
      <c r="D717" s="565"/>
      <c r="E717" s="565"/>
      <c r="F717" s="565"/>
      <c r="G717" s="565"/>
      <c r="H717" s="565"/>
      <c r="I717" s="565"/>
      <c r="J717" s="565"/>
      <c r="K717" s="565"/>
      <c r="L717" s="565"/>
      <c r="M717" s="565"/>
      <c r="N717" s="565"/>
      <c r="O717" s="565"/>
      <c r="P717" s="565"/>
      <c r="Q717" s="565"/>
      <c r="R717" s="565"/>
      <c r="S717" s="565"/>
      <c r="T717" s="565"/>
      <c r="U717" s="565"/>
      <c r="V717" s="565"/>
      <c r="W717" s="565"/>
      <c r="X717" s="565"/>
      <c r="Y717" s="565"/>
      <c r="Z717" s="565"/>
      <c r="AA717" s="565"/>
      <c r="AB717" s="565"/>
      <c r="AC717" s="565"/>
      <c r="AD717" s="565"/>
      <c r="AE717" s="565"/>
      <c r="AF717" s="565"/>
      <c r="AG717" s="565"/>
      <c r="AH717" s="565"/>
      <c r="AI717" s="565"/>
      <c r="AJ717" s="565"/>
      <c r="AK717" s="565"/>
      <c r="AL717" s="565"/>
      <c r="AM717" s="565"/>
      <c r="AN717" s="565"/>
      <c r="AO717" s="565"/>
      <c r="AP717" s="565"/>
      <c r="AQ717" s="565"/>
      <c r="AR717" s="565"/>
      <c r="AS717" s="565"/>
      <c r="AT717" s="565"/>
      <c r="AU717" s="181"/>
      <c r="AV717" s="558"/>
    </row>
    <row r="718" ht="11.25" customHeight="1">
      <c r="A718" s="565"/>
      <c r="B718" s="181"/>
      <c r="C718" s="565"/>
      <c r="D718" s="565"/>
      <c r="E718" s="565"/>
      <c r="F718" s="565"/>
      <c r="G718" s="565"/>
      <c r="H718" s="565"/>
      <c r="I718" s="565"/>
      <c r="J718" s="565"/>
      <c r="K718" s="565"/>
      <c r="L718" s="565"/>
      <c r="M718" s="565"/>
      <c r="N718" s="565"/>
      <c r="O718" s="565"/>
      <c r="P718" s="565"/>
      <c r="Q718" s="565"/>
      <c r="R718" s="565"/>
      <c r="S718" s="565"/>
      <c r="T718" s="565"/>
      <c r="U718" s="565"/>
      <c r="V718" s="565"/>
      <c r="W718" s="565"/>
      <c r="X718" s="565"/>
      <c r="Y718" s="565"/>
      <c r="Z718" s="565"/>
      <c r="AA718" s="565"/>
      <c r="AB718" s="565"/>
      <c r="AC718" s="565"/>
      <c r="AD718" s="565"/>
      <c r="AE718" s="565"/>
      <c r="AF718" s="565"/>
      <c r="AG718" s="565"/>
      <c r="AH718" s="565"/>
      <c r="AI718" s="565"/>
      <c r="AJ718" s="565"/>
      <c r="AK718" s="565"/>
      <c r="AL718" s="565"/>
      <c r="AM718" s="565"/>
      <c r="AN718" s="565"/>
      <c r="AO718" s="565"/>
      <c r="AP718" s="565"/>
      <c r="AQ718" s="565"/>
      <c r="AR718" s="565"/>
      <c r="AS718" s="565"/>
      <c r="AT718" s="565"/>
      <c r="AU718" s="181"/>
      <c r="AV718" s="558"/>
    </row>
    <row r="719" ht="11.25" customHeight="1">
      <c r="A719" s="565"/>
      <c r="B719" s="181"/>
      <c r="C719" s="565"/>
      <c r="D719" s="565"/>
      <c r="E719" s="565"/>
      <c r="F719" s="565"/>
      <c r="G719" s="565"/>
      <c r="H719" s="565"/>
      <c r="I719" s="565"/>
      <c r="J719" s="565"/>
      <c r="K719" s="565"/>
      <c r="L719" s="565"/>
      <c r="M719" s="565"/>
      <c r="N719" s="565"/>
      <c r="O719" s="565"/>
      <c r="P719" s="565"/>
      <c r="Q719" s="565"/>
      <c r="R719" s="565"/>
      <c r="S719" s="565"/>
      <c r="T719" s="565"/>
      <c r="U719" s="565"/>
      <c r="V719" s="565"/>
      <c r="W719" s="565"/>
      <c r="X719" s="565"/>
      <c r="Y719" s="565"/>
      <c r="Z719" s="565"/>
      <c r="AA719" s="565"/>
      <c r="AB719" s="565"/>
      <c r="AC719" s="565"/>
      <c r="AD719" s="565"/>
      <c r="AE719" s="565"/>
      <c r="AF719" s="565"/>
      <c r="AG719" s="565"/>
      <c r="AH719" s="565"/>
      <c r="AI719" s="565"/>
      <c r="AJ719" s="565"/>
      <c r="AK719" s="565"/>
      <c r="AL719" s="565"/>
      <c r="AM719" s="565"/>
      <c r="AN719" s="565"/>
      <c r="AO719" s="565"/>
      <c r="AP719" s="565"/>
      <c r="AQ719" s="565"/>
      <c r="AR719" s="565"/>
      <c r="AS719" s="565"/>
      <c r="AT719" s="565"/>
      <c r="AU719" s="181"/>
      <c r="AV719" s="558"/>
    </row>
    <row r="720" ht="11.25" customHeight="1">
      <c r="A720" s="565"/>
      <c r="B720" s="181"/>
      <c r="C720" s="565"/>
      <c r="D720" s="565"/>
      <c r="E720" s="565"/>
      <c r="F720" s="565"/>
      <c r="G720" s="565"/>
      <c r="H720" s="565"/>
      <c r="I720" s="565"/>
      <c r="J720" s="565"/>
      <c r="K720" s="565"/>
      <c r="L720" s="565"/>
      <c r="M720" s="565"/>
      <c r="N720" s="565"/>
      <c r="O720" s="565"/>
      <c r="P720" s="565"/>
      <c r="Q720" s="565"/>
      <c r="R720" s="565"/>
      <c r="S720" s="565"/>
      <c r="T720" s="565"/>
      <c r="U720" s="565"/>
      <c r="V720" s="565"/>
      <c r="W720" s="565"/>
      <c r="X720" s="565"/>
      <c r="Y720" s="565"/>
      <c r="Z720" s="565"/>
      <c r="AA720" s="565"/>
      <c r="AB720" s="565"/>
      <c r="AC720" s="565"/>
      <c r="AD720" s="565"/>
      <c r="AE720" s="565"/>
      <c r="AF720" s="565"/>
      <c r="AG720" s="565"/>
      <c r="AH720" s="565"/>
      <c r="AI720" s="565"/>
      <c r="AJ720" s="565"/>
      <c r="AK720" s="565"/>
      <c r="AL720" s="565"/>
      <c r="AM720" s="565"/>
      <c r="AN720" s="565"/>
      <c r="AO720" s="565"/>
      <c r="AP720" s="565"/>
      <c r="AQ720" s="565"/>
      <c r="AR720" s="565"/>
      <c r="AS720" s="565"/>
      <c r="AT720" s="565"/>
      <c r="AU720" s="181"/>
      <c r="AV720" s="558"/>
    </row>
    <row r="721" ht="11.25" customHeight="1">
      <c r="A721" s="565"/>
      <c r="B721" s="181"/>
      <c r="C721" s="565"/>
      <c r="D721" s="565"/>
      <c r="E721" s="565"/>
      <c r="F721" s="565"/>
      <c r="G721" s="565"/>
      <c r="H721" s="565"/>
      <c r="I721" s="565"/>
      <c r="J721" s="565"/>
      <c r="K721" s="565"/>
      <c r="L721" s="565"/>
      <c r="M721" s="565"/>
      <c r="N721" s="565"/>
      <c r="O721" s="565"/>
      <c r="P721" s="565"/>
      <c r="Q721" s="565"/>
      <c r="R721" s="565"/>
      <c r="S721" s="565"/>
      <c r="T721" s="565"/>
      <c r="U721" s="565"/>
      <c r="V721" s="565"/>
      <c r="W721" s="565"/>
      <c r="X721" s="565"/>
      <c r="Y721" s="565"/>
      <c r="Z721" s="565"/>
      <c r="AA721" s="565"/>
      <c r="AB721" s="565"/>
      <c r="AC721" s="565"/>
      <c r="AD721" s="565"/>
      <c r="AE721" s="565"/>
      <c r="AF721" s="565"/>
      <c r="AG721" s="565"/>
      <c r="AH721" s="565"/>
      <c r="AI721" s="565"/>
      <c r="AJ721" s="565"/>
      <c r="AK721" s="565"/>
      <c r="AL721" s="565"/>
      <c r="AM721" s="565"/>
      <c r="AN721" s="565"/>
      <c r="AO721" s="565"/>
      <c r="AP721" s="565"/>
      <c r="AQ721" s="565"/>
      <c r="AR721" s="565"/>
      <c r="AS721" s="565"/>
      <c r="AT721" s="565"/>
      <c r="AU721" s="181"/>
      <c r="AV721" s="558"/>
    </row>
    <row r="722" ht="11.25" customHeight="1">
      <c r="A722" s="565"/>
      <c r="B722" s="181"/>
      <c r="C722" s="565"/>
      <c r="D722" s="565"/>
      <c r="E722" s="565"/>
      <c r="F722" s="565"/>
      <c r="G722" s="565"/>
      <c r="H722" s="565"/>
      <c r="I722" s="565"/>
      <c r="J722" s="565"/>
      <c r="K722" s="565"/>
      <c r="L722" s="565"/>
      <c r="M722" s="565"/>
      <c r="N722" s="565"/>
      <c r="O722" s="565"/>
      <c r="P722" s="565"/>
      <c r="Q722" s="565"/>
      <c r="R722" s="565"/>
      <c r="S722" s="565"/>
      <c r="T722" s="565"/>
      <c r="U722" s="565"/>
      <c r="V722" s="565"/>
      <c r="W722" s="565"/>
      <c r="X722" s="565"/>
      <c r="Y722" s="565"/>
      <c r="Z722" s="565"/>
      <c r="AA722" s="565"/>
      <c r="AB722" s="565"/>
      <c r="AC722" s="565"/>
      <c r="AD722" s="565"/>
      <c r="AE722" s="565"/>
      <c r="AF722" s="565"/>
      <c r="AG722" s="565"/>
      <c r="AH722" s="565"/>
      <c r="AI722" s="565"/>
      <c r="AJ722" s="565"/>
      <c r="AK722" s="565"/>
      <c r="AL722" s="565"/>
      <c r="AM722" s="565"/>
      <c r="AN722" s="565"/>
      <c r="AO722" s="565"/>
      <c r="AP722" s="565"/>
      <c r="AQ722" s="565"/>
      <c r="AR722" s="565"/>
      <c r="AS722" s="565"/>
      <c r="AT722" s="565"/>
      <c r="AU722" s="181"/>
      <c r="AV722" s="558"/>
    </row>
    <row r="723" ht="11.25" customHeight="1">
      <c r="A723" s="565"/>
      <c r="B723" s="181"/>
      <c r="C723" s="565"/>
      <c r="D723" s="565"/>
      <c r="E723" s="565"/>
      <c r="F723" s="565"/>
      <c r="G723" s="565"/>
      <c r="H723" s="565"/>
      <c r="I723" s="565"/>
      <c r="J723" s="565"/>
      <c r="K723" s="565"/>
      <c r="L723" s="565"/>
      <c r="M723" s="565"/>
      <c r="N723" s="565"/>
      <c r="O723" s="565"/>
      <c r="P723" s="565"/>
      <c r="Q723" s="565"/>
      <c r="R723" s="565"/>
      <c r="S723" s="565"/>
      <c r="T723" s="565"/>
      <c r="U723" s="565"/>
      <c r="V723" s="565"/>
      <c r="W723" s="565"/>
      <c r="X723" s="565"/>
      <c r="Y723" s="565"/>
      <c r="Z723" s="565"/>
      <c r="AA723" s="565"/>
      <c r="AB723" s="565"/>
      <c r="AC723" s="565"/>
      <c r="AD723" s="565"/>
      <c r="AE723" s="565"/>
      <c r="AF723" s="565"/>
      <c r="AG723" s="565"/>
      <c r="AH723" s="565"/>
      <c r="AI723" s="565"/>
      <c r="AJ723" s="565"/>
      <c r="AK723" s="565"/>
      <c r="AL723" s="565"/>
      <c r="AM723" s="565"/>
      <c r="AN723" s="565"/>
      <c r="AO723" s="565"/>
      <c r="AP723" s="565"/>
      <c r="AQ723" s="565"/>
      <c r="AR723" s="565"/>
      <c r="AS723" s="565"/>
      <c r="AT723" s="565"/>
      <c r="AU723" s="181"/>
      <c r="AV723" s="558"/>
    </row>
    <row r="724" ht="11.25" customHeight="1">
      <c r="A724" s="565"/>
      <c r="B724" s="181"/>
      <c r="C724" s="565"/>
      <c r="D724" s="565"/>
      <c r="E724" s="565"/>
      <c r="F724" s="565"/>
      <c r="G724" s="565"/>
      <c r="H724" s="565"/>
      <c r="I724" s="565"/>
      <c r="J724" s="565"/>
      <c r="K724" s="565"/>
      <c r="L724" s="565"/>
      <c r="M724" s="565"/>
      <c r="N724" s="565"/>
      <c r="O724" s="565"/>
      <c r="P724" s="565"/>
      <c r="Q724" s="565"/>
      <c r="R724" s="565"/>
      <c r="S724" s="565"/>
      <c r="T724" s="565"/>
      <c r="U724" s="565"/>
      <c r="V724" s="565"/>
      <c r="W724" s="565"/>
      <c r="X724" s="565"/>
      <c r="Y724" s="565"/>
      <c r="Z724" s="565"/>
      <c r="AA724" s="565"/>
      <c r="AB724" s="565"/>
      <c r="AC724" s="565"/>
      <c r="AD724" s="565"/>
      <c r="AE724" s="565"/>
      <c r="AF724" s="565"/>
      <c r="AG724" s="565"/>
      <c r="AH724" s="565"/>
      <c r="AI724" s="565"/>
      <c r="AJ724" s="565"/>
      <c r="AK724" s="565"/>
      <c r="AL724" s="565"/>
      <c r="AM724" s="565"/>
      <c r="AN724" s="565"/>
      <c r="AO724" s="565"/>
      <c r="AP724" s="565"/>
      <c r="AQ724" s="565"/>
      <c r="AR724" s="565"/>
      <c r="AS724" s="565"/>
      <c r="AT724" s="565"/>
      <c r="AU724" s="181"/>
      <c r="AV724" s="558"/>
    </row>
    <row r="725" ht="11.25" customHeight="1">
      <c r="A725" s="565"/>
      <c r="B725" s="181"/>
      <c r="C725" s="565"/>
      <c r="D725" s="565"/>
      <c r="E725" s="565"/>
      <c r="F725" s="565"/>
      <c r="G725" s="565"/>
      <c r="H725" s="565"/>
      <c r="I725" s="565"/>
      <c r="J725" s="565"/>
      <c r="K725" s="565"/>
      <c r="L725" s="565"/>
      <c r="M725" s="565"/>
      <c r="N725" s="565"/>
      <c r="O725" s="565"/>
      <c r="P725" s="565"/>
      <c r="Q725" s="565"/>
      <c r="R725" s="565"/>
      <c r="S725" s="565"/>
      <c r="T725" s="565"/>
      <c r="U725" s="565"/>
      <c r="V725" s="565"/>
      <c r="W725" s="565"/>
      <c r="X725" s="565"/>
      <c r="Y725" s="565"/>
      <c r="Z725" s="565"/>
      <c r="AA725" s="565"/>
      <c r="AB725" s="565"/>
      <c r="AC725" s="565"/>
      <c r="AD725" s="565"/>
      <c r="AE725" s="565"/>
      <c r="AF725" s="565"/>
      <c r="AG725" s="565"/>
      <c r="AH725" s="565"/>
      <c r="AI725" s="565"/>
      <c r="AJ725" s="565"/>
      <c r="AK725" s="565"/>
      <c r="AL725" s="565"/>
      <c r="AM725" s="565"/>
      <c r="AN725" s="565"/>
      <c r="AO725" s="565"/>
      <c r="AP725" s="565"/>
      <c r="AQ725" s="565"/>
      <c r="AR725" s="565"/>
      <c r="AS725" s="565"/>
      <c r="AT725" s="565"/>
      <c r="AU725" s="181"/>
      <c r="AV725" s="558"/>
    </row>
    <row r="726" ht="11.25" customHeight="1">
      <c r="A726" s="565"/>
      <c r="B726" s="181"/>
      <c r="C726" s="565"/>
      <c r="D726" s="565"/>
      <c r="E726" s="565"/>
      <c r="F726" s="565"/>
      <c r="G726" s="565"/>
      <c r="H726" s="565"/>
      <c r="I726" s="565"/>
      <c r="J726" s="565"/>
      <c r="K726" s="565"/>
      <c r="L726" s="565"/>
      <c r="M726" s="565"/>
      <c r="N726" s="565"/>
      <c r="O726" s="565"/>
      <c r="P726" s="565"/>
      <c r="Q726" s="565"/>
      <c r="R726" s="565"/>
      <c r="S726" s="565"/>
      <c r="T726" s="565"/>
      <c r="U726" s="565"/>
      <c r="V726" s="565"/>
      <c r="W726" s="565"/>
      <c r="X726" s="565"/>
      <c r="Y726" s="565"/>
      <c r="Z726" s="565"/>
      <c r="AA726" s="565"/>
      <c r="AB726" s="565"/>
      <c r="AC726" s="565"/>
      <c r="AD726" s="565"/>
      <c r="AE726" s="565"/>
      <c r="AF726" s="565"/>
      <c r="AG726" s="565"/>
      <c r="AH726" s="565"/>
      <c r="AI726" s="565"/>
      <c r="AJ726" s="565"/>
      <c r="AK726" s="565"/>
      <c r="AL726" s="565"/>
      <c r="AM726" s="565"/>
      <c r="AN726" s="565"/>
      <c r="AO726" s="565"/>
      <c r="AP726" s="565"/>
      <c r="AQ726" s="565"/>
      <c r="AR726" s="565"/>
      <c r="AS726" s="565"/>
      <c r="AT726" s="565"/>
      <c r="AU726" s="181"/>
      <c r="AV726" s="558"/>
    </row>
    <row r="727" ht="11.25" customHeight="1">
      <c r="A727" s="565"/>
      <c r="B727" s="181"/>
      <c r="C727" s="565"/>
      <c r="D727" s="565"/>
      <c r="E727" s="565"/>
      <c r="F727" s="565"/>
      <c r="G727" s="565"/>
      <c r="H727" s="565"/>
      <c r="I727" s="565"/>
      <c r="J727" s="565"/>
      <c r="K727" s="565"/>
      <c r="L727" s="565"/>
      <c r="M727" s="565"/>
      <c r="N727" s="565"/>
      <c r="O727" s="565"/>
      <c r="P727" s="565"/>
      <c r="Q727" s="565"/>
      <c r="R727" s="565"/>
      <c r="S727" s="565"/>
      <c r="T727" s="565"/>
      <c r="U727" s="565"/>
      <c r="V727" s="565"/>
      <c r="W727" s="565"/>
      <c r="X727" s="565"/>
      <c r="Y727" s="565"/>
      <c r="Z727" s="565"/>
      <c r="AA727" s="565"/>
      <c r="AB727" s="565"/>
      <c r="AC727" s="565"/>
      <c r="AD727" s="565"/>
      <c r="AE727" s="565"/>
      <c r="AF727" s="565"/>
      <c r="AG727" s="565"/>
      <c r="AH727" s="565"/>
      <c r="AI727" s="565"/>
      <c r="AJ727" s="565"/>
      <c r="AK727" s="565"/>
      <c r="AL727" s="565"/>
      <c r="AM727" s="565"/>
      <c r="AN727" s="565"/>
      <c r="AO727" s="565"/>
      <c r="AP727" s="565"/>
      <c r="AQ727" s="565"/>
      <c r="AR727" s="565"/>
      <c r="AS727" s="565"/>
      <c r="AT727" s="565"/>
      <c r="AU727" s="181"/>
      <c r="AV727" s="558"/>
    </row>
    <row r="728" ht="11.25" customHeight="1">
      <c r="A728" s="565"/>
      <c r="B728" s="181"/>
      <c r="C728" s="565"/>
      <c r="D728" s="565"/>
      <c r="E728" s="565"/>
      <c r="F728" s="565"/>
      <c r="G728" s="565"/>
      <c r="H728" s="565"/>
      <c r="I728" s="565"/>
      <c r="J728" s="565"/>
      <c r="K728" s="565"/>
      <c r="L728" s="565"/>
      <c r="M728" s="565"/>
      <c r="N728" s="565"/>
      <c r="O728" s="565"/>
      <c r="P728" s="565"/>
      <c r="Q728" s="565"/>
      <c r="R728" s="565"/>
      <c r="S728" s="565"/>
      <c r="T728" s="565"/>
      <c r="U728" s="565"/>
      <c r="V728" s="565"/>
      <c r="W728" s="565"/>
      <c r="X728" s="565"/>
      <c r="Y728" s="565"/>
      <c r="Z728" s="565"/>
      <c r="AA728" s="565"/>
      <c r="AB728" s="565"/>
      <c r="AC728" s="565"/>
      <c r="AD728" s="565"/>
      <c r="AE728" s="565"/>
      <c r="AF728" s="565"/>
      <c r="AG728" s="565"/>
      <c r="AH728" s="565"/>
      <c r="AI728" s="565"/>
      <c r="AJ728" s="565"/>
      <c r="AK728" s="565"/>
      <c r="AL728" s="565"/>
      <c r="AM728" s="565"/>
      <c r="AN728" s="565"/>
      <c r="AO728" s="565"/>
      <c r="AP728" s="565"/>
      <c r="AQ728" s="565"/>
      <c r="AR728" s="565"/>
      <c r="AS728" s="565"/>
      <c r="AT728" s="565"/>
      <c r="AU728" s="181"/>
      <c r="AV728" s="558"/>
    </row>
    <row r="729" ht="11.25" customHeight="1">
      <c r="A729" s="565"/>
      <c r="B729" s="181"/>
      <c r="C729" s="565"/>
      <c r="D729" s="565"/>
      <c r="E729" s="565"/>
      <c r="F729" s="565"/>
      <c r="G729" s="565"/>
      <c r="H729" s="565"/>
      <c r="I729" s="565"/>
      <c r="J729" s="565"/>
      <c r="K729" s="565"/>
      <c r="L729" s="565"/>
      <c r="M729" s="565"/>
      <c r="N729" s="565"/>
      <c r="O729" s="565"/>
      <c r="P729" s="565"/>
      <c r="Q729" s="565"/>
      <c r="R729" s="565"/>
      <c r="S729" s="565"/>
      <c r="T729" s="565"/>
      <c r="U729" s="565"/>
      <c r="V729" s="565"/>
      <c r="W729" s="565"/>
      <c r="X729" s="565"/>
      <c r="Y729" s="565"/>
      <c r="Z729" s="565"/>
      <c r="AA729" s="565"/>
      <c r="AB729" s="565"/>
      <c r="AC729" s="565"/>
      <c r="AD729" s="565"/>
      <c r="AE729" s="565"/>
      <c r="AF729" s="565"/>
      <c r="AG729" s="565"/>
      <c r="AH729" s="565"/>
      <c r="AI729" s="565"/>
      <c r="AJ729" s="565"/>
      <c r="AK729" s="565"/>
      <c r="AL729" s="565"/>
      <c r="AM729" s="565"/>
      <c r="AN729" s="565"/>
      <c r="AO729" s="565"/>
      <c r="AP729" s="565"/>
      <c r="AQ729" s="565"/>
      <c r="AR729" s="565"/>
      <c r="AS729" s="565"/>
      <c r="AT729" s="565"/>
      <c r="AU729" s="181"/>
      <c r="AV729" s="558"/>
    </row>
    <row r="730" ht="11.25" customHeight="1">
      <c r="A730" s="565"/>
      <c r="B730" s="181"/>
      <c r="C730" s="565"/>
      <c r="D730" s="565"/>
      <c r="E730" s="565"/>
      <c r="F730" s="565"/>
      <c r="G730" s="565"/>
      <c r="H730" s="565"/>
      <c r="I730" s="565"/>
      <c r="J730" s="565"/>
      <c r="K730" s="565"/>
      <c r="L730" s="565"/>
      <c r="M730" s="565"/>
      <c r="N730" s="565"/>
      <c r="O730" s="565"/>
      <c r="P730" s="565"/>
      <c r="Q730" s="565"/>
      <c r="R730" s="565"/>
      <c r="S730" s="565"/>
      <c r="T730" s="565"/>
      <c r="U730" s="565"/>
      <c r="V730" s="565"/>
      <c r="W730" s="565"/>
      <c r="X730" s="565"/>
      <c r="Y730" s="565"/>
      <c r="Z730" s="565"/>
      <c r="AA730" s="565"/>
      <c r="AB730" s="565"/>
      <c r="AC730" s="565"/>
      <c r="AD730" s="565"/>
      <c r="AE730" s="565"/>
      <c r="AF730" s="565"/>
      <c r="AG730" s="565"/>
      <c r="AH730" s="565"/>
      <c r="AI730" s="565"/>
      <c r="AJ730" s="565"/>
      <c r="AK730" s="565"/>
      <c r="AL730" s="565"/>
      <c r="AM730" s="565"/>
      <c r="AN730" s="565"/>
      <c r="AO730" s="565"/>
      <c r="AP730" s="565"/>
      <c r="AQ730" s="565"/>
      <c r="AR730" s="565"/>
      <c r="AS730" s="565"/>
      <c r="AT730" s="565"/>
      <c r="AU730" s="181"/>
      <c r="AV730" s="558"/>
    </row>
    <row r="731" ht="11.25" customHeight="1">
      <c r="A731" s="565"/>
      <c r="B731" s="181"/>
      <c r="C731" s="565"/>
      <c r="D731" s="565"/>
      <c r="E731" s="565"/>
      <c r="F731" s="565"/>
      <c r="G731" s="565"/>
      <c r="H731" s="565"/>
      <c r="I731" s="565"/>
      <c r="J731" s="565"/>
      <c r="K731" s="565"/>
      <c r="L731" s="565"/>
      <c r="M731" s="565"/>
      <c r="N731" s="565"/>
      <c r="O731" s="565"/>
      <c r="P731" s="565"/>
      <c r="Q731" s="565"/>
      <c r="R731" s="565"/>
      <c r="S731" s="565"/>
      <c r="T731" s="565"/>
      <c r="U731" s="565"/>
      <c r="V731" s="565"/>
      <c r="W731" s="565"/>
      <c r="X731" s="565"/>
      <c r="Y731" s="565"/>
      <c r="Z731" s="565"/>
      <c r="AA731" s="565"/>
      <c r="AB731" s="565"/>
      <c r="AC731" s="565"/>
      <c r="AD731" s="565"/>
      <c r="AE731" s="565"/>
      <c r="AF731" s="565"/>
      <c r="AG731" s="565"/>
      <c r="AH731" s="565"/>
      <c r="AI731" s="565"/>
      <c r="AJ731" s="565"/>
      <c r="AK731" s="565"/>
      <c r="AL731" s="565"/>
      <c r="AM731" s="565"/>
      <c r="AN731" s="565"/>
      <c r="AO731" s="565"/>
      <c r="AP731" s="565"/>
      <c r="AQ731" s="565"/>
      <c r="AR731" s="565"/>
      <c r="AS731" s="565"/>
      <c r="AT731" s="565"/>
      <c r="AU731" s="181"/>
      <c r="AV731" s="558"/>
    </row>
    <row r="732" ht="11.25" customHeight="1">
      <c r="A732" s="565"/>
      <c r="B732" s="181"/>
      <c r="C732" s="565"/>
      <c r="D732" s="565"/>
      <c r="E732" s="565"/>
      <c r="F732" s="565"/>
      <c r="G732" s="565"/>
      <c r="H732" s="565"/>
      <c r="I732" s="565"/>
      <c r="J732" s="565"/>
      <c r="K732" s="565"/>
      <c r="L732" s="565"/>
      <c r="M732" s="565"/>
      <c r="N732" s="565"/>
      <c r="O732" s="565"/>
      <c r="P732" s="565"/>
      <c r="Q732" s="565"/>
      <c r="R732" s="565"/>
      <c r="S732" s="565"/>
      <c r="T732" s="565"/>
      <c r="U732" s="565"/>
      <c r="V732" s="565"/>
      <c r="W732" s="565"/>
      <c r="X732" s="565"/>
      <c r="Y732" s="565"/>
      <c r="Z732" s="565"/>
      <c r="AA732" s="565"/>
      <c r="AB732" s="565"/>
      <c r="AC732" s="565"/>
      <c r="AD732" s="565"/>
      <c r="AE732" s="565"/>
      <c r="AF732" s="565"/>
      <c r="AG732" s="565"/>
      <c r="AH732" s="565"/>
      <c r="AI732" s="565"/>
      <c r="AJ732" s="565"/>
      <c r="AK732" s="565"/>
      <c r="AL732" s="565"/>
      <c r="AM732" s="565"/>
      <c r="AN732" s="565"/>
      <c r="AO732" s="565"/>
      <c r="AP732" s="565"/>
      <c r="AQ732" s="565"/>
      <c r="AR732" s="565"/>
      <c r="AS732" s="565"/>
      <c r="AT732" s="565"/>
      <c r="AU732" s="181"/>
      <c r="AV732" s="558"/>
    </row>
    <row r="733" ht="11.25" customHeight="1">
      <c r="A733" s="565"/>
      <c r="B733" s="181"/>
      <c r="C733" s="565"/>
      <c r="D733" s="565"/>
      <c r="E733" s="565"/>
      <c r="F733" s="565"/>
      <c r="G733" s="565"/>
      <c r="H733" s="565"/>
      <c r="I733" s="565"/>
      <c r="J733" s="565"/>
      <c r="K733" s="565"/>
      <c r="L733" s="565"/>
      <c r="M733" s="565"/>
      <c r="N733" s="565"/>
      <c r="O733" s="565"/>
      <c r="P733" s="565"/>
      <c r="Q733" s="565"/>
      <c r="R733" s="565"/>
      <c r="S733" s="565"/>
      <c r="T733" s="565"/>
      <c r="U733" s="565"/>
      <c r="V733" s="565"/>
      <c r="W733" s="565"/>
      <c r="X733" s="565"/>
      <c r="Y733" s="565"/>
      <c r="Z733" s="565"/>
      <c r="AA733" s="565"/>
      <c r="AB733" s="565"/>
      <c r="AC733" s="565"/>
      <c r="AD733" s="565"/>
      <c r="AE733" s="565"/>
      <c r="AF733" s="565"/>
      <c r="AG733" s="565"/>
      <c r="AH733" s="565"/>
      <c r="AI733" s="565"/>
      <c r="AJ733" s="565"/>
      <c r="AK733" s="565"/>
      <c r="AL733" s="565"/>
      <c r="AM733" s="565"/>
      <c r="AN733" s="565"/>
      <c r="AO733" s="565"/>
      <c r="AP733" s="565"/>
      <c r="AQ733" s="565"/>
      <c r="AR733" s="565"/>
      <c r="AS733" s="565"/>
      <c r="AT733" s="565"/>
      <c r="AU733" s="181"/>
      <c r="AV733" s="558"/>
    </row>
    <row r="734" ht="11.25" customHeight="1">
      <c r="A734" s="565"/>
      <c r="B734" s="181"/>
      <c r="C734" s="565"/>
      <c r="D734" s="565"/>
      <c r="E734" s="565"/>
      <c r="F734" s="565"/>
      <c r="G734" s="565"/>
      <c r="H734" s="565"/>
      <c r="I734" s="565"/>
      <c r="J734" s="565"/>
      <c r="K734" s="565"/>
      <c r="L734" s="565"/>
      <c r="M734" s="565"/>
      <c r="N734" s="565"/>
      <c r="O734" s="565"/>
      <c r="P734" s="565"/>
      <c r="Q734" s="565"/>
      <c r="R734" s="565"/>
      <c r="S734" s="565"/>
      <c r="T734" s="565"/>
      <c r="U734" s="565"/>
      <c r="V734" s="565"/>
      <c r="W734" s="565"/>
      <c r="X734" s="565"/>
      <c r="Y734" s="565"/>
      <c r="Z734" s="565"/>
      <c r="AA734" s="565"/>
      <c r="AB734" s="565"/>
      <c r="AC734" s="565"/>
      <c r="AD734" s="565"/>
      <c r="AE734" s="565"/>
      <c r="AF734" s="565"/>
      <c r="AG734" s="565"/>
      <c r="AH734" s="565"/>
      <c r="AI734" s="565"/>
      <c r="AJ734" s="565"/>
      <c r="AK734" s="565"/>
      <c r="AL734" s="565"/>
      <c r="AM734" s="565"/>
      <c r="AN734" s="565"/>
      <c r="AO734" s="565"/>
      <c r="AP734" s="565"/>
      <c r="AQ734" s="565"/>
      <c r="AR734" s="565"/>
      <c r="AS734" s="565"/>
      <c r="AT734" s="565"/>
      <c r="AU734" s="181"/>
      <c r="AV734" s="558"/>
    </row>
    <row r="735" ht="11.25" customHeight="1">
      <c r="A735" s="565"/>
      <c r="B735" s="181"/>
      <c r="C735" s="565"/>
      <c r="D735" s="565"/>
      <c r="E735" s="565"/>
      <c r="F735" s="565"/>
      <c r="G735" s="565"/>
      <c r="H735" s="565"/>
      <c r="I735" s="565"/>
      <c r="J735" s="565"/>
      <c r="K735" s="565"/>
      <c r="L735" s="565"/>
      <c r="M735" s="565"/>
      <c r="N735" s="565"/>
      <c r="O735" s="565"/>
      <c r="P735" s="565"/>
      <c r="Q735" s="565"/>
      <c r="R735" s="565"/>
      <c r="S735" s="565"/>
      <c r="T735" s="565"/>
      <c r="U735" s="565"/>
      <c r="V735" s="565"/>
      <c r="W735" s="565"/>
      <c r="X735" s="565"/>
      <c r="Y735" s="565"/>
      <c r="Z735" s="565"/>
      <c r="AA735" s="565"/>
      <c r="AB735" s="565"/>
      <c r="AC735" s="565"/>
      <c r="AD735" s="565"/>
      <c r="AE735" s="565"/>
      <c r="AF735" s="565"/>
      <c r="AG735" s="565"/>
      <c r="AH735" s="565"/>
      <c r="AI735" s="565"/>
      <c r="AJ735" s="565"/>
      <c r="AK735" s="565"/>
      <c r="AL735" s="565"/>
      <c r="AM735" s="565"/>
      <c r="AN735" s="565"/>
      <c r="AO735" s="565"/>
      <c r="AP735" s="565"/>
      <c r="AQ735" s="565"/>
      <c r="AR735" s="565"/>
      <c r="AS735" s="565"/>
      <c r="AT735" s="565"/>
      <c r="AU735" s="181"/>
      <c r="AV735" s="558"/>
    </row>
    <row r="736" ht="11.25" customHeight="1">
      <c r="A736" s="565"/>
      <c r="B736" s="181"/>
      <c r="C736" s="565"/>
      <c r="D736" s="565"/>
      <c r="E736" s="565"/>
      <c r="F736" s="565"/>
      <c r="G736" s="565"/>
      <c r="H736" s="565"/>
      <c r="I736" s="565"/>
      <c r="J736" s="565"/>
      <c r="K736" s="565"/>
      <c r="L736" s="565"/>
      <c r="M736" s="565"/>
      <c r="N736" s="565"/>
      <c r="O736" s="565"/>
      <c r="P736" s="565"/>
      <c r="Q736" s="565"/>
      <c r="R736" s="565"/>
      <c r="S736" s="565"/>
      <c r="T736" s="565"/>
      <c r="U736" s="565"/>
      <c r="V736" s="565"/>
      <c r="W736" s="565"/>
      <c r="X736" s="565"/>
      <c r="Y736" s="565"/>
      <c r="Z736" s="565"/>
      <c r="AA736" s="565"/>
      <c r="AB736" s="565"/>
      <c r="AC736" s="565"/>
      <c r="AD736" s="565"/>
      <c r="AE736" s="565"/>
      <c r="AF736" s="565"/>
      <c r="AG736" s="565"/>
      <c r="AH736" s="565"/>
      <c r="AI736" s="565"/>
      <c r="AJ736" s="565"/>
      <c r="AK736" s="565"/>
      <c r="AL736" s="565"/>
      <c r="AM736" s="565"/>
      <c r="AN736" s="565"/>
      <c r="AO736" s="565"/>
      <c r="AP736" s="565"/>
      <c r="AQ736" s="565"/>
      <c r="AR736" s="565"/>
      <c r="AS736" s="565"/>
      <c r="AT736" s="565"/>
      <c r="AU736" s="181"/>
      <c r="AV736" s="558"/>
    </row>
    <row r="737" ht="11.25" customHeight="1">
      <c r="A737" s="565"/>
      <c r="B737" s="181"/>
      <c r="C737" s="565"/>
      <c r="D737" s="565"/>
      <c r="E737" s="565"/>
      <c r="F737" s="565"/>
      <c r="G737" s="565"/>
      <c r="H737" s="565"/>
      <c r="I737" s="565"/>
      <c r="J737" s="565"/>
      <c r="K737" s="565"/>
      <c r="L737" s="565"/>
      <c r="M737" s="565"/>
      <c r="N737" s="565"/>
      <c r="O737" s="565"/>
      <c r="P737" s="565"/>
      <c r="Q737" s="565"/>
      <c r="R737" s="565"/>
      <c r="S737" s="565"/>
      <c r="T737" s="565"/>
      <c r="U737" s="565"/>
      <c r="V737" s="565"/>
      <c r="W737" s="565"/>
      <c r="X737" s="565"/>
      <c r="Y737" s="565"/>
      <c r="Z737" s="565"/>
      <c r="AA737" s="565"/>
      <c r="AB737" s="565"/>
      <c r="AC737" s="565"/>
      <c r="AD737" s="565"/>
      <c r="AE737" s="565"/>
      <c r="AF737" s="565"/>
      <c r="AG737" s="565"/>
      <c r="AH737" s="565"/>
      <c r="AI737" s="565"/>
      <c r="AJ737" s="565"/>
      <c r="AK737" s="565"/>
      <c r="AL737" s="565"/>
      <c r="AM737" s="565"/>
      <c r="AN737" s="565"/>
      <c r="AO737" s="565"/>
      <c r="AP737" s="565"/>
      <c r="AQ737" s="565"/>
      <c r="AR737" s="565"/>
      <c r="AS737" s="565"/>
      <c r="AT737" s="565"/>
      <c r="AU737" s="181"/>
      <c r="AV737" s="558"/>
    </row>
    <row r="738" ht="11.25" customHeight="1">
      <c r="A738" s="565"/>
      <c r="B738" s="181"/>
      <c r="C738" s="565"/>
      <c r="D738" s="565"/>
      <c r="E738" s="565"/>
      <c r="F738" s="565"/>
      <c r="G738" s="565"/>
      <c r="H738" s="565"/>
      <c r="I738" s="565"/>
      <c r="J738" s="565"/>
      <c r="K738" s="565"/>
      <c r="L738" s="565"/>
      <c r="M738" s="565"/>
      <c r="N738" s="565"/>
      <c r="O738" s="565"/>
      <c r="P738" s="565"/>
      <c r="Q738" s="565"/>
      <c r="R738" s="565"/>
      <c r="S738" s="565"/>
      <c r="T738" s="565"/>
      <c r="U738" s="565"/>
      <c r="V738" s="565"/>
      <c r="W738" s="565"/>
      <c r="X738" s="565"/>
      <c r="Y738" s="565"/>
      <c r="Z738" s="565"/>
      <c r="AA738" s="565"/>
      <c r="AB738" s="565"/>
      <c r="AC738" s="565"/>
      <c r="AD738" s="565"/>
      <c r="AE738" s="565"/>
      <c r="AF738" s="565"/>
      <c r="AG738" s="565"/>
      <c r="AH738" s="565"/>
      <c r="AI738" s="565"/>
      <c r="AJ738" s="565"/>
      <c r="AK738" s="565"/>
      <c r="AL738" s="565"/>
      <c r="AM738" s="565"/>
      <c r="AN738" s="565"/>
      <c r="AO738" s="565"/>
      <c r="AP738" s="565"/>
      <c r="AQ738" s="565"/>
      <c r="AR738" s="565"/>
      <c r="AS738" s="565"/>
      <c r="AT738" s="565"/>
      <c r="AU738" s="181"/>
      <c r="AV738" s="558"/>
    </row>
    <row r="739" ht="11.25" customHeight="1">
      <c r="A739" s="565"/>
      <c r="B739" s="181"/>
      <c r="C739" s="565"/>
      <c r="D739" s="565"/>
      <c r="E739" s="565"/>
      <c r="F739" s="565"/>
      <c r="G739" s="565"/>
      <c r="H739" s="565"/>
      <c r="I739" s="565"/>
      <c r="J739" s="565"/>
      <c r="K739" s="565"/>
      <c r="L739" s="565"/>
      <c r="M739" s="565"/>
      <c r="N739" s="565"/>
      <c r="O739" s="565"/>
      <c r="P739" s="565"/>
      <c r="Q739" s="565"/>
      <c r="R739" s="565"/>
      <c r="S739" s="565"/>
      <c r="T739" s="565"/>
      <c r="U739" s="565"/>
      <c r="V739" s="565"/>
      <c r="W739" s="565"/>
      <c r="X739" s="565"/>
      <c r="Y739" s="565"/>
      <c r="Z739" s="565"/>
      <c r="AA739" s="565"/>
      <c r="AB739" s="565"/>
      <c r="AC739" s="565"/>
      <c r="AD739" s="565"/>
      <c r="AE739" s="565"/>
      <c r="AF739" s="565"/>
      <c r="AG739" s="565"/>
      <c r="AH739" s="565"/>
      <c r="AI739" s="565"/>
      <c r="AJ739" s="565"/>
      <c r="AK739" s="565"/>
      <c r="AL739" s="565"/>
      <c r="AM739" s="565"/>
      <c r="AN739" s="565"/>
      <c r="AO739" s="565"/>
      <c r="AP739" s="565"/>
      <c r="AQ739" s="565"/>
      <c r="AR739" s="565"/>
      <c r="AS739" s="565"/>
      <c r="AT739" s="565"/>
      <c r="AU739" s="181"/>
      <c r="AV739" s="558"/>
    </row>
    <row r="740" ht="11.25" customHeight="1">
      <c r="A740" s="565"/>
      <c r="B740" s="181"/>
      <c r="C740" s="565"/>
      <c r="D740" s="565"/>
      <c r="E740" s="565"/>
      <c r="F740" s="565"/>
      <c r="G740" s="565"/>
      <c r="H740" s="565"/>
      <c r="I740" s="565"/>
      <c r="J740" s="565"/>
      <c r="K740" s="565"/>
      <c r="L740" s="565"/>
      <c r="M740" s="565"/>
      <c r="N740" s="565"/>
      <c r="O740" s="565"/>
      <c r="P740" s="565"/>
      <c r="Q740" s="565"/>
      <c r="R740" s="565"/>
      <c r="S740" s="565"/>
      <c r="T740" s="565"/>
      <c r="U740" s="565"/>
      <c r="V740" s="565"/>
      <c r="W740" s="565"/>
      <c r="X740" s="565"/>
      <c r="Y740" s="565"/>
      <c r="Z740" s="565"/>
      <c r="AA740" s="565"/>
      <c r="AB740" s="565"/>
      <c r="AC740" s="565"/>
      <c r="AD740" s="565"/>
      <c r="AE740" s="565"/>
      <c r="AF740" s="565"/>
      <c r="AG740" s="565"/>
      <c r="AH740" s="565"/>
      <c r="AI740" s="565"/>
      <c r="AJ740" s="565"/>
      <c r="AK740" s="565"/>
      <c r="AL740" s="565"/>
      <c r="AM740" s="565"/>
      <c r="AN740" s="565"/>
      <c r="AO740" s="565"/>
      <c r="AP740" s="565"/>
      <c r="AQ740" s="565"/>
      <c r="AR740" s="565"/>
      <c r="AS740" s="565"/>
      <c r="AT740" s="565"/>
      <c r="AU740" s="181"/>
      <c r="AV740" s="558"/>
    </row>
    <row r="741" ht="11.25" customHeight="1">
      <c r="A741" s="565"/>
      <c r="B741" s="181"/>
      <c r="C741" s="565"/>
      <c r="D741" s="565"/>
      <c r="E741" s="565"/>
      <c r="F741" s="565"/>
      <c r="G741" s="565"/>
      <c r="H741" s="565"/>
      <c r="I741" s="565"/>
      <c r="J741" s="565"/>
      <c r="K741" s="565"/>
      <c r="L741" s="565"/>
      <c r="M741" s="565"/>
      <c r="N741" s="565"/>
      <c r="O741" s="565"/>
      <c r="P741" s="565"/>
      <c r="Q741" s="565"/>
      <c r="R741" s="565"/>
      <c r="S741" s="565"/>
      <c r="T741" s="565"/>
      <c r="U741" s="565"/>
      <c r="V741" s="565"/>
      <c r="W741" s="565"/>
      <c r="X741" s="565"/>
      <c r="Y741" s="565"/>
      <c r="Z741" s="565"/>
      <c r="AA741" s="565"/>
      <c r="AB741" s="565"/>
      <c r="AC741" s="565"/>
      <c r="AD741" s="565"/>
      <c r="AE741" s="565"/>
      <c r="AF741" s="565"/>
      <c r="AG741" s="565"/>
      <c r="AH741" s="565"/>
      <c r="AI741" s="565"/>
      <c r="AJ741" s="565"/>
      <c r="AK741" s="565"/>
      <c r="AL741" s="565"/>
      <c r="AM741" s="565"/>
      <c r="AN741" s="565"/>
      <c r="AO741" s="565"/>
      <c r="AP741" s="565"/>
      <c r="AQ741" s="565"/>
      <c r="AR741" s="565"/>
      <c r="AS741" s="565"/>
      <c r="AT741" s="565"/>
      <c r="AU741" s="181"/>
      <c r="AV741" s="558"/>
    </row>
    <row r="742" ht="11.25" customHeight="1">
      <c r="A742" s="565"/>
      <c r="B742" s="181"/>
      <c r="C742" s="565"/>
      <c r="D742" s="565"/>
      <c r="E742" s="565"/>
      <c r="F742" s="565"/>
      <c r="G742" s="565"/>
      <c r="H742" s="565"/>
      <c r="I742" s="565"/>
      <c r="J742" s="565"/>
      <c r="K742" s="565"/>
      <c r="L742" s="565"/>
      <c r="M742" s="565"/>
      <c r="N742" s="565"/>
      <c r="O742" s="565"/>
      <c r="P742" s="565"/>
      <c r="Q742" s="565"/>
      <c r="R742" s="565"/>
      <c r="S742" s="565"/>
      <c r="T742" s="565"/>
      <c r="U742" s="565"/>
      <c r="V742" s="565"/>
      <c r="W742" s="565"/>
      <c r="X742" s="565"/>
      <c r="Y742" s="565"/>
      <c r="Z742" s="565"/>
      <c r="AA742" s="565"/>
      <c r="AB742" s="565"/>
      <c r="AC742" s="565"/>
      <c r="AD742" s="565"/>
      <c r="AE742" s="565"/>
      <c r="AF742" s="565"/>
      <c r="AG742" s="565"/>
      <c r="AH742" s="565"/>
      <c r="AI742" s="565"/>
      <c r="AJ742" s="565"/>
      <c r="AK742" s="565"/>
      <c r="AL742" s="565"/>
      <c r="AM742" s="565"/>
      <c r="AN742" s="565"/>
      <c r="AO742" s="565"/>
      <c r="AP742" s="565"/>
      <c r="AQ742" s="565"/>
      <c r="AR742" s="565"/>
      <c r="AS742" s="565"/>
      <c r="AT742" s="565"/>
      <c r="AU742" s="181"/>
      <c r="AV742" s="558"/>
    </row>
    <row r="743" ht="11.25" customHeight="1">
      <c r="A743" s="565"/>
      <c r="B743" s="181"/>
      <c r="C743" s="565"/>
      <c r="D743" s="565"/>
      <c r="E743" s="565"/>
      <c r="F743" s="565"/>
      <c r="G743" s="565"/>
      <c r="H743" s="565"/>
      <c r="I743" s="565"/>
      <c r="J743" s="565"/>
      <c r="K743" s="565"/>
      <c r="L743" s="565"/>
      <c r="M743" s="565"/>
      <c r="N743" s="565"/>
      <c r="O743" s="565"/>
      <c r="P743" s="565"/>
      <c r="Q743" s="565"/>
      <c r="R743" s="565"/>
      <c r="S743" s="565"/>
      <c r="T743" s="565"/>
      <c r="U743" s="565"/>
      <c r="V743" s="565"/>
      <c r="W743" s="565"/>
      <c r="X743" s="565"/>
      <c r="Y743" s="565"/>
      <c r="Z743" s="565"/>
      <c r="AA743" s="565"/>
      <c r="AB743" s="565"/>
      <c r="AC743" s="565"/>
      <c r="AD743" s="565"/>
      <c r="AE743" s="565"/>
      <c r="AF743" s="565"/>
      <c r="AG743" s="565"/>
      <c r="AH743" s="565"/>
      <c r="AI743" s="565"/>
      <c r="AJ743" s="565"/>
      <c r="AK743" s="565"/>
      <c r="AL743" s="565"/>
      <c r="AM743" s="565"/>
      <c r="AN743" s="565"/>
      <c r="AO743" s="565"/>
      <c r="AP743" s="565"/>
      <c r="AQ743" s="565"/>
      <c r="AR743" s="565"/>
      <c r="AS743" s="565"/>
      <c r="AT743" s="565"/>
      <c r="AU743" s="181"/>
      <c r="AV743" s="558"/>
    </row>
    <row r="744" ht="11.25" customHeight="1">
      <c r="A744" s="565"/>
      <c r="B744" s="181"/>
      <c r="C744" s="565"/>
      <c r="D744" s="565"/>
      <c r="E744" s="565"/>
      <c r="F744" s="565"/>
      <c r="G744" s="565"/>
      <c r="H744" s="565"/>
      <c r="I744" s="565"/>
      <c r="J744" s="565"/>
      <c r="K744" s="565"/>
      <c r="L744" s="565"/>
      <c r="M744" s="565"/>
      <c r="N744" s="565"/>
      <c r="O744" s="565"/>
      <c r="P744" s="565"/>
      <c r="Q744" s="565"/>
      <c r="R744" s="565"/>
      <c r="S744" s="565"/>
      <c r="T744" s="565"/>
      <c r="U744" s="565"/>
      <c r="V744" s="565"/>
      <c r="W744" s="565"/>
      <c r="X744" s="565"/>
      <c r="Y744" s="565"/>
      <c r="Z744" s="565"/>
      <c r="AA744" s="565"/>
      <c r="AB744" s="565"/>
      <c r="AC744" s="565"/>
      <c r="AD744" s="565"/>
      <c r="AE744" s="565"/>
      <c r="AF744" s="565"/>
      <c r="AG744" s="565"/>
      <c r="AH744" s="565"/>
      <c r="AI744" s="565"/>
      <c r="AJ744" s="565"/>
      <c r="AK744" s="565"/>
      <c r="AL744" s="565"/>
      <c r="AM744" s="565"/>
      <c r="AN744" s="565"/>
      <c r="AO744" s="565"/>
      <c r="AP744" s="565"/>
      <c r="AQ744" s="565"/>
      <c r="AR744" s="565"/>
      <c r="AS744" s="565"/>
      <c r="AT744" s="565"/>
      <c r="AU744" s="181"/>
      <c r="AV744" s="558"/>
    </row>
    <row r="745" ht="11.25" customHeight="1">
      <c r="A745" s="565"/>
      <c r="B745" s="181"/>
      <c r="C745" s="565"/>
      <c r="D745" s="565"/>
      <c r="E745" s="565"/>
      <c r="F745" s="565"/>
      <c r="G745" s="565"/>
      <c r="H745" s="565"/>
      <c r="I745" s="565"/>
      <c r="J745" s="565"/>
      <c r="K745" s="565"/>
      <c r="L745" s="565"/>
      <c r="M745" s="565"/>
      <c r="N745" s="565"/>
      <c r="O745" s="565"/>
      <c r="P745" s="565"/>
      <c r="Q745" s="565"/>
      <c r="R745" s="565"/>
      <c r="S745" s="565"/>
      <c r="T745" s="565"/>
      <c r="U745" s="565"/>
      <c r="V745" s="565"/>
      <c r="W745" s="565"/>
      <c r="X745" s="565"/>
      <c r="Y745" s="565"/>
      <c r="Z745" s="565"/>
      <c r="AA745" s="565"/>
      <c r="AB745" s="565"/>
      <c r="AC745" s="565"/>
      <c r="AD745" s="565"/>
      <c r="AE745" s="565"/>
      <c r="AF745" s="565"/>
      <c r="AG745" s="565"/>
      <c r="AH745" s="565"/>
      <c r="AI745" s="565"/>
      <c r="AJ745" s="565"/>
      <c r="AK745" s="565"/>
      <c r="AL745" s="565"/>
      <c r="AM745" s="565"/>
      <c r="AN745" s="565"/>
      <c r="AO745" s="565"/>
      <c r="AP745" s="565"/>
      <c r="AQ745" s="565"/>
      <c r="AR745" s="565"/>
      <c r="AS745" s="565"/>
      <c r="AT745" s="565"/>
      <c r="AU745" s="181"/>
      <c r="AV745" s="558"/>
    </row>
    <row r="746" ht="11.25" customHeight="1">
      <c r="A746" s="565"/>
      <c r="B746" s="181"/>
      <c r="C746" s="565"/>
      <c r="D746" s="565"/>
      <c r="E746" s="565"/>
      <c r="F746" s="565"/>
      <c r="G746" s="565"/>
      <c r="H746" s="565"/>
      <c r="I746" s="565"/>
      <c r="J746" s="565"/>
      <c r="K746" s="565"/>
      <c r="L746" s="565"/>
      <c r="M746" s="565"/>
      <c r="N746" s="565"/>
      <c r="O746" s="565"/>
      <c r="P746" s="565"/>
      <c r="Q746" s="565"/>
      <c r="R746" s="565"/>
      <c r="S746" s="565"/>
      <c r="T746" s="565"/>
      <c r="U746" s="565"/>
      <c r="V746" s="565"/>
      <c r="W746" s="565"/>
      <c r="X746" s="565"/>
      <c r="Y746" s="565"/>
      <c r="Z746" s="565"/>
      <c r="AA746" s="565"/>
      <c r="AB746" s="565"/>
      <c r="AC746" s="565"/>
      <c r="AD746" s="565"/>
      <c r="AE746" s="565"/>
      <c r="AF746" s="565"/>
      <c r="AG746" s="565"/>
      <c r="AH746" s="565"/>
      <c r="AI746" s="565"/>
      <c r="AJ746" s="565"/>
      <c r="AK746" s="565"/>
      <c r="AL746" s="565"/>
      <c r="AM746" s="565"/>
      <c r="AN746" s="565"/>
      <c r="AO746" s="565"/>
      <c r="AP746" s="565"/>
      <c r="AQ746" s="565"/>
      <c r="AR746" s="565"/>
      <c r="AS746" s="565"/>
      <c r="AT746" s="565"/>
      <c r="AU746" s="181"/>
      <c r="AV746" s="558"/>
    </row>
    <row r="747" ht="11.25" customHeight="1">
      <c r="A747" s="565"/>
      <c r="B747" s="181"/>
      <c r="C747" s="565"/>
      <c r="D747" s="565"/>
      <c r="E747" s="565"/>
      <c r="F747" s="565"/>
      <c r="G747" s="565"/>
      <c r="H747" s="565"/>
      <c r="I747" s="565"/>
      <c r="J747" s="565"/>
      <c r="K747" s="565"/>
      <c r="L747" s="565"/>
      <c r="M747" s="565"/>
      <c r="N747" s="565"/>
      <c r="O747" s="565"/>
      <c r="P747" s="565"/>
      <c r="Q747" s="565"/>
      <c r="R747" s="565"/>
      <c r="S747" s="565"/>
      <c r="T747" s="565"/>
      <c r="U747" s="565"/>
      <c r="V747" s="565"/>
      <c r="W747" s="565"/>
      <c r="X747" s="565"/>
      <c r="Y747" s="565"/>
      <c r="Z747" s="565"/>
      <c r="AA747" s="565"/>
      <c r="AB747" s="565"/>
      <c r="AC747" s="565"/>
      <c r="AD747" s="565"/>
      <c r="AE747" s="565"/>
      <c r="AF747" s="565"/>
      <c r="AG747" s="565"/>
      <c r="AH747" s="565"/>
      <c r="AI747" s="565"/>
      <c r="AJ747" s="565"/>
      <c r="AK747" s="565"/>
      <c r="AL747" s="565"/>
      <c r="AM747" s="565"/>
      <c r="AN747" s="565"/>
      <c r="AO747" s="565"/>
      <c r="AP747" s="565"/>
      <c r="AQ747" s="565"/>
      <c r="AR747" s="565"/>
      <c r="AS747" s="565"/>
      <c r="AT747" s="565"/>
      <c r="AU747" s="181"/>
      <c r="AV747" s="558"/>
    </row>
    <row r="748" ht="11.25" customHeight="1">
      <c r="A748" s="565"/>
      <c r="B748" s="181"/>
      <c r="C748" s="565"/>
      <c r="D748" s="565"/>
      <c r="E748" s="565"/>
      <c r="F748" s="565"/>
      <c r="G748" s="565"/>
      <c r="H748" s="565"/>
      <c r="I748" s="565"/>
      <c r="J748" s="565"/>
      <c r="K748" s="565"/>
      <c r="L748" s="565"/>
      <c r="M748" s="565"/>
      <c r="N748" s="565"/>
      <c r="O748" s="565"/>
      <c r="P748" s="565"/>
      <c r="Q748" s="565"/>
      <c r="R748" s="565"/>
      <c r="S748" s="565"/>
      <c r="T748" s="565"/>
      <c r="U748" s="565"/>
      <c r="V748" s="565"/>
      <c r="W748" s="565"/>
      <c r="X748" s="565"/>
      <c r="Y748" s="565"/>
      <c r="Z748" s="565"/>
      <c r="AA748" s="565"/>
      <c r="AB748" s="565"/>
      <c r="AC748" s="565"/>
      <c r="AD748" s="565"/>
      <c r="AE748" s="565"/>
      <c r="AF748" s="565"/>
      <c r="AG748" s="565"/>
      <c r="AH748" s="565"/>
      <c r="AI748" s="565"/>
      <c r="AJ748" s="565"/>
      <c r="AK748" s="565"/>
      <c r="AL748" s="565"/>
      <c r="AM748" s="565"/>
      <c r="AN748" s="565"/>
      <c r="AO748" s="565"/>
      <c r="AP748" s="565"/>
      <c r="AQ748" s="565"/>
      <c r="AR748" s="565"/>
      <c r="AS748" s="565"/>
      <c r="AT748" s="565"/>
      <c r="AU748" s="181"/>
      <c r="AV748" s="558"/>
    </row>
    <row r="749" ht="11.25" customHeight="1">
      <c r="A749" s="565"/>
      <c r="B749" s="181"/>
      <c r="C749" s="565"/>
      <c r="D749" s="565"/>
      <c r="E749" s="565"/>
      <c r="F749" s="565"/>
      <c r="G749" s="565"/>
      <c r="H749" s="565"/>
      <c r="I749" s="565"/>
      <c r="J749" s="565"/>
      <c r="K749" s="565"/>
      <c r="L749" s="565"/>
      <c r="M749" s="565"/>
      <c r="N749" s="565"/>
      <c r="O749" s="565"/>
      <c r="P749" s="565"/>
      <c r="Q749" s="565"/>
      <c r="R749" s="565"/>
      <c r="S749" s="565"/>
      <c r="T749" s="565"/>
      <c r="U749" s="565"/>
      <c r="V749" s="565"/>
      <c r="W749" s="565"/>
      <c r="X749" s="565"/>
      <c r="Y749" s="565"/>
      <c r="Z749" s="565"/>
      <c r="AA749" s="565"/>
      <c r="AB749" s="565"/>
      <c r="AC749" s="565"/>
      <c r="AD749" s="565"/>
      <c r="AE749" s="565"/>
      <c r="AF749" s="565"/>
      <c r="AG749" s="565"/>
      <c r="AH749" s="565"/>
      <c r="AI749" s="565"/>
      <c r="AJ749" s="565"/>
      <c r="AK749" s="565"/>
      <c r="AL749" s="565"/>
      <c r="AM749" s="565"/>
      <c r="AN749" s="565"/>
      <c r="AO749" s="565"/>
      <c r="AP749" s="565"/>
      <c r="AQ749" s="565"/>
      <c r="AR749" s="565"/>
      <c r="AS749" s="565"/>
      <c r="AT749" s="565"/>
      <c r="AU749" s="181"/>
      <c r="AV749" s="558"/>
    </row>
    <row r="750" ht="11.25" customHeight="1">
      <c r="A750" s="565"/>
      <c r="B750" s="181"/>
      <c r="C750" s="565"/>
      <c r="D750" s="565"/>
      <c r="E750" s="565"/>
      <c r="F750" s="565"/>
      <c r="G750" s="565"/>
      <c r="H750" s="565"/>
      <c r="I750" s="565"/>
      <c r="J750" s="565"/>
      <c r="K750" s="565"/>
      <c r="L750" s="565"/>
      <c r="M750" s="565"/>
      <c r="N750" s="565"/>
      <c r="O750" s="565"/>
      <c r="P750" s="565"/>
      <c r="Q750" s="565"/>
      <c r="R750" s="565"/>
      <c r="S750" s="565"/>
      <c r="T750" s="565"/>
      <c r="U750" s="565"/>
      <c r="V750" s="565"/>
      <c r="W750" s="565"/>
      <c r="X750" s="565"/>
      <c r="Y750" s="565"/>
      <c r="Z750" s="565"/>
      <c r="AA750" s="565"/>
      <c r="AB750" s="565"/>
      <c r="AC750" s="565"/>
      <c r="AD750" s="565"/>
      <c r="AE750" s="565"/>
      <c r="AF750" s="565"/>
      <c r="AG750" s="565"/>
      <c r="AH750" s="565"/>
      <c r="AI750" s="565"/>
      <c r="AJ750" s="565"/>
      <c r="AK750" s="565"/>
      <c r="AL750" s="565"/>
      <c r="AM750" s="565"/>
      <c r="AN750" s="565"/>
      <c r="AO750" s="565"/>
      <c r="AP750" s="565"/>
      <c r="AQ750" s="565"/>
      <c r="AR750" s="565"/>
      <c r="AS750" s="565"/>
      <c r="AT750" s="565"/>
      <c r="AU750" s="181"/>
      <c r="AV750" s="558"/>
    </row>
    <row r="751" ht="11.25" customHeight="1">
      <c r="A751" s="565"/>
      <c r="B751" s="181"/>
      <c r="C751" s="565"/>
      <c r="D751" s="565"/>
      <c r="E751" s="565"/>
      <c r="F751" s="565"/>
      <c r="G751" s="565"/>
      <c r="H751" s="565"/>
      <c r="I751" s="565"/>
      <c r="J751" s="565"/>
      <c r="K751" s="565"/>
      <c r="L751" s="565"/>
      <c r="M751" s="565"/>
      <c r="N751" s="565"/>
      <c r="O751" s="565"/>
      <c r="P751" s="565"/>
      <c r="Q751" s="565"/>
      <c r="R751" s="565"/>
      <c r="S751" s="565"/>
      <c r="T751" s="565"/>
      <c r="U751" s="565"/>
      <c r="V751" s="565"/>
      <c r="W751" s="565"/>
      <c r="X751" s="565"/>
      <c r="Y751" s="565"/>
      <c r="Z751" s="565"/>
      <c r="AA751" s="565"/>
      <c r="AB751" s="565"/>
      <c r="AC751" s="565"/>
      <c r="AD751" s="565"/>
      <c r="AE751" s="565"/>
      <c r="AF751" s="565"/>
      <c r="AG751" s="565"/>
      <c r="AH751" s="565"/>
      <c r="AI751" s="565"/>
      <c r="AJ751" s="565"/>
      <c r="AK751" s="565"/>
      <c r="AL751" s="565"/>
      <c r="AM751" s="565"/>
      <c r="AN751" s="565"/>
      <c r="AO751" s="565"/>
      <c r="AP751" s="565"/>
      <c r="AQ751" s="565"/>
      <c r="AR751" s="565"/>
      <c r="AS751" s="565"/>
      <c r="AT751" s="565"/>
      <c r="AU751" s="181"/>
      <c r="AV751" s="558"/>
    </row>
    <row r="752" ht="11.25" customHeight="1">
      <c r="A752" s="565"/>
      <c r="B752" s="181"/>
      <c r="C752" s="565"/>
      <c r="D752" s="565"/>
      <c r="E752" s="565"/>
      <c r="F752" s="565"/>
      <c r="G752" s="565"/>
      <c r="H752" s="565"/>
      <c r="I752" s="565"/>
      <c r="J752" s="565"/>
      <c r="K752" s="565"/>
      <c r="L752" s="565"/>
      <c r="M752" s="565"/>
      <c r="N752" s="565"/>
      <c r="O752" s="565"/>
      <c r="P752" s="565"/>
      <c r="Q752" s="565"/>
      <c r="R752" s="565"/>
      <c r="S752" s="565"/>
      <c r="T752" s="565"/>
      <c r="U752" s="565"/>
      <c r="V752" s="565"/>
      <c r="W752" s="565"/>
      <c r="X752" s="565"/>
      <c r="Y752" s="565"/>
      <c r="Z752" s="565"/>
      <c r="AA752" s="565"/>
      <c r="AB752" s="565"/>
      <c r="AC752" s="565"/>
      <c r="AD752" s="565"/>
      <c r="AE752" s="565"/>
      <c r="AF752" s="565"/>
      <c r="AG752" s="565"/>
      <c r="AH752" s="565"/>
      <c r="AI752" s="565"/>
      <c r="AJ752" s="565"/>
      <c r="AK752" s="565"/>
      <c r="AL752" s="565"/>
      <c r="AM752" s="565"/>
      <c r="AN752" s="565"/>
      <c r="AO752" s="565"/>
      <c r="AP752" s="565"/>
      <c r="AQ752" s="565"/>
      <c r="AR752" s="565"/>
      <c r="AS752" s="565"/>
      <c r="AT752" s="565"/>
      <c r="AU752" s="181"/>
      <c r="AV752" s="558"/>
    </row>
    <row r="753" ht="11.25" customHeight="1">
      <c r="A753" s="565"/>
      <c r="B753" s="181"/>
      <c r="C753" s="565"/>
      <c r="D753" s="565"/>
      <c r="E753" s="565"/>
      <c r="F753" s="565"/>
      <c r="G753" s="565"/>
      <c r="H753" s="565"/>
      <c r="I753" s="565"/>
      <c r="J753" s="565"/>
      <c r="K753" s="565"/>
      <c r="L753" s="565"/>
      <c r="M753" s="565"/>
      <c r="N753" s="565"/>
      <c r="O753" s="565"/>
      <c r="P753" s="565"/>
      <c r="Q753" s="565"/>
      <c r="R753" s="565"/>
      <c r="S753" s="565"/>
      <c r="T753" s="565"/>
      <c r="U753" s="565"/>
      <c r="V753" s="565"/>
      <c r="W753" s="565"/>
      <c r="X753" s="565"/>
      <c r="Y753" s="565"/>
      <c r="Z753" s="565"/>
      <c r="AA753" s="565"/>
      <c r="AB753" s="565"/>
      <c r="AC753" s="565"/>
      <c r="AD753" s="565"/>
      <c r="AE753" s="565"/>
      <c r="AF753" s="565"/>
      <c r="AG753" s="565"/>
      <c r="AH753" s="565"/>
      <c r="AI753" s="565"/>
      <c r="AJ753" s="565"/>
      <c r="AK753" s="565"/>
      <c r="AL753" s="565"/>
      <c r="AM753" s="565"/>
      <c r="AN753" s="565"/>
      <c r="AO753" s="565"/>
      <c r="AP753" s="565"/>
      <c r="AQ753" s="565"/>
      <c r="AR753" s="565"/>
      <c r="AS753" s="565"/>
      <c r="AT753" s="565"/>
      <c r="AU753" s="181"/>
      <c r="AV753" s="558"/>
    </row>
    <row r="754" ht="11.25" customHeight="1">
      <c r="A754" s="565"/>
      <c r="B754" s="181"/>
      <c r="C754" s="565"/>
      <c r="D754" s="565"/>
      <c r="E754" s="565"/>
      <c r="F754" s="565"/>
      <c r="G754" s="565"/>
      <c r="H754" s="565"/>
      <c r="I754" s="565"/>
      <c r="J754" s="565"/>
      <c r="K754" s="565"/>
      <c r="L754" s="565"/>
      <c r="M754" s="565"/>
      <c r="N754" s="565"/>
      <c r="O754" s="565"/>
      <c r="P754" s="565"/>
      <c r="Q754" s="565"/>
      <c r="R754" s="565"/>
      <c r="S754" s="565"/>
      <c r="T754" s="565"/>
      <c r="U754" s="565"/>
      <c r="V754" s="565"/>
      <c r="W754" s="565"/>
      <c r="X754" s="565"/>
      <c r="Y754" s="565"/>
      <c r="Z754" s="565"/>
      <c r="AA754" s="565"/>
      <c r="AB754" s="565"/>
      <c r="AC754" s="565"/>
      <c r="AD754" s="565"/>
      <c r="AE754" s="565"/>
      <c r="AF754" s="565"/>
      <c r="AG754" s="565"/>
      <c r="AH754" s="565"/>
      <c r="AI754" s="565"/>
      <c r="AJ754" s="565"/>
      <c r="AK754" s="565"/>
      <c r="AL754" s="565"/>
      <c r="AM754" s="565"/>
      <c r="AN754" s="565"/>
      <c r="AO754" s="565"/>
      <c r="AP754" s="565"/>
      <c r="AQ754" s="565"/>
      <c r="AR754" s="565"/>
      <c r="AS754" s="565"/>
      <c r="AT754" s="565"/>
      <c r="AU754" s="181"/>
      <c r="AV754" s="558"/>
    </row>
    <row r="755" ht="11.25" customHeight="1">
      <c r="A755" s="565"/>
      <c r="B755" s="181"/>
      <c r="C755" s="565"/>
      <c r="D755" s="565"/>
      <c r="E755" s="565"/>
      <c r="F755" s="565"/>
      <c r="G755" s="565"/>
      <c r="H755" s="565"/>
      <c r="I755" s="565"/>
      <c r="J755" s="565"/>
      <c r="K755" s="565"/>
      <c r="L755" s="565"/>
      <c r="M755" s="565"/>
      <c r="N755" s="565"/>
      <c r="O755" s="565"/>
      <c r="P755" s="565"/>
      <c r="Q755" s="565"/>
      <c r="R755" s="565"/>
      <c r="S755" s="565"/>
      <c r="T755" s="565"/>
      <c r="U755" s="565"/>
      <c r="V755" s="565"/>
      <c r="W755" s="565"/>
      <c r="X755" s="565"/>
      <c r="Y755" s="565"/>
      <c r="Z755" s="565"/>
      <c r="AA755" s="565"/>
      <c r="AB755" s="565"/>
      <c r="AC755" s="565"/>
      <c r="AD755" s="565"/>
      <c r="AE755" s="565"/>
      <c r="AF755" s="565"/>
      <c r="AG755" s="565"/>
      <c r="AH755" s="565"/>
      <c r="AI755" s="565"/>
      <c r="AJ755" s="565"/>
      <c r="AK755" s="565"/>
      <c r="AL755" s="565"/>
      <c r="AM755" s="565"/>
      <c r="AN755" s="565"/>
      <c r="AO755" s="565"/>
      <c r="AP755" s="565"/>
      <c r="AQ755" s="565"/>
      <c r="AR755" s="565"/>
      <c r="AS755" s="565"/>
      <c r="AT755" s="565"/>
      <c r="AU755" s="181"/>
      <c r="AV755" s="558"/>
    </row>
    <row r="756" ht="11.25" customHeight="1">
      <c r="A756" s="565"/>
      <c r="B756" s="181"/>
      <c r="C756" s="565"/>
      <c r="D756" s="565"/>
      <c r="E756" s="565"/>
      <c r="F756" s="565"/>
      <c r="G756" s="565"/>
      <c r="H756" s="565"/>
      <c r="I756" s="565"/>
      <c r="J756" s="565"/>
      <c r="K756" s="565"/>
      <c r="L756" s="565"/>
      <c r="M756" s="565"/>
      <c r="N756" s="565"/>
      <c r="O756" s="565"/>
      <c r="P756" s="565"/>
      <c r="Q756" s="565"/>
      <c r="R756" s="565"/>
      <c r="S756" s="565"/>
      <c r="T756" s="565"/>
      <c r="U756" s="565"/>
      <c r="V756" s="565"/>
      <c r="W756" s="565"/>
      <c r="X756" s="565"/>
      <c r="Y756" s="565"/>
      <c r="Z756" s="565"/>
      <c r="AA756" s="565"/>
      <c r="AB756" s="565"/>
      <c r="AC756" s="565"/>
      <c r="AD756" s="565"/>
      <c r="AE756" s="565"/>
      <c r="AF756" s="565"/>
      <c r="AG756" s="565"/>
      <c r="AH756" s="565"/>
      <c r="AI756" s="565"/>
      <c r="AJ756" s="565"/>
      <c r="AK756" s="565"/>
      <c r="AL756" s="565"/>
      <c r="AM756" s="565"/>
      <c r="AN756" s="565"/>
      <c r="AO756" s="565"/>
      <c r="AP756" s="565"/>
      <c r="AQ756" s="565"/>
      <c r="AR756" s="565"/>
      <c r="AS756" s="565"/>
      <c r="AT756" s="565"/>
      <c r="AU756" s="181"/>
      <c r="AV756" s="558"/>
    </row>
    <row r="757" ht="11.25" customHeight="1">
      <c r="A757" s="565"/>
      <c r="B757" s="181"/>
      <c r="C757" s="565"/>
      <c r="D757" s="565"/>
      <c r="E757" s="565"/>
      <c r="F757" s="565"/>
      <c r="G757" s="565"/>
      <c r="H757" s="565"/>
      <c r="I757" s="565"/>
      <c r="J757" s="565"/>
      <c r="K757" s="565"/>
      <c r="L757" s="565"/>
      <c r="M757" s="565"/>
      <c r="N757" s="565"/>
      <c r="O757" s="565"/>
      <c r="P757" s="565"/>
      <c r="Q757" s="565"/>
      <c r="R757" s="565"/>
      <c r="S757" s="565"/>
      <c r="T757" s="565"/>
      <c r="U757" s="565"/>
      <c r="V757" s="565"/>
      <c r="W757" s="565"/>
      <c r="X757" s="565"/>
      <c r="Y757" s="565"/>
      <c r="Z757" s="565"/>
      <c r="AA757" s="565"/>
      <c r="AB757" s="565"/>
      <c r="AC757" s="565"/>
      <c r="AD757" s="565"/>
      <c r="AE757" s="565"/>
      <c r="AF757" s="565"/>
      <c r="AG757" s="565"/>
      <c r="AH757" s="565"/>
      <c r="AI757" s="565"/>
      <c r="AJ757" s="565"/>
      <c r="AK757" s="565"/>
      <c r="AL757" s="565"/>
      <c r="AM757" s="565"/>
      <c r="AN757" s="565"/>
      <c r="AO757" s="565"/>
      <c r="AP757" s="565"/>
      <c r="AQ757" s="565"/>
      <c r="AR757" s="565"/>
      <c r="AS757" s="565"/>
      <c r="AT757" s="565"/>
      <c r="AU757" s="181"/>
      <c r="AV757" s="558"/>
    </row>
    <row r="758" ht="11.25" customHeight="1">
      <c r="A758" s="565"/>
      <c r="B758" s="181"/>
      <c r="C758" s="565"/>
      <c r="D758" s="565"/>
      <c r="E758" s="565"/>
      <c r="F758" s="565"/>
      <c r="G758" s="565"/>
      <c r="H758" s="565"/>
      <c r="I758" s="565"/>
      <c r="J758" s="565"/>
      <c r="K758" s="565"/>
      <c r="L758" s="565"/>
      <c r="M758" s="565"/>
      <c r="N758" s="565"/>
      <c r="O758" s="565"/>
      <c r="P758" s="565"/>
      <c r="Q758" s="565"/>
      <c r="R758" s="565"/>
      <c r="S758" s="565"/>
      <c r="T758" s="565"/>
      <c r="U758" s="565"/>
      <c r="V758" s="565"/>
      <c r="W758" s="565"/>
      <c r="X758" s="565"/>
      <c r="Y758" s="565"/>
      <c r="Z758" s="565"/>
      <c r="AA758" s="565"/>
      <c r="AB758" s="565"/>
      <c r="AC758" s="565"/>
      <c r="AD758" s="565"/>
      <c r="AE758" s="565"/>
      <c r="AF758" s="565"/>
      <c r="AG758" s="565"/>
      <c r="AH758" s="565"/>
      <c r="AI758" s="565"/>
      <c r="AJ758" s="565"/>
      <c r="AK758" s="565"/>
      <c r="AL758" s="565"/>
      <c r="AM758" s="565"/>
      <c r="AN758" s="565"/>
      <c r="AO758" s="565"/>
      <c r="AP758" s="565"/>
      <c r="AQ758" s="565"/>
      <c r="AR758" s="565"/>
      <c r="AS758" s="565"/>
      <c r="AT758" s="565"/>
      <c r="AU758" s="181"/>
      <c r="AV758" s="558"/>
    </row>
    <row r="759" ht="11.25" customHeight="1">
      <c r="A759" s="565"/>
      <c r="B759" s="181"/>
      <c r="C759" s="565"/>
      <c r="D759" s="565"/>
      <c r="E759" s="565"/>
      <c r="F759" s="565"/>
      <c r="G759" s="565"/>
      <c r="H759" s="565"/>
      <c r="I759" s="565"/>
      <c r="J759" s="565"/>
      <c r="K759" s="565"/>
      <c r="L759" s="565"/>
      <c r="M759" s="565"/>
      <c r="N759" s="565"/>
      <c r="O759" s="565"/>
      <c r="P759" s="565"/>
      <c r="Q759" s="565"/>
      <c r="R759" s="565"/>
      <c r="S759" s="565"/>
      <c r="T759" s="565"/>
      <c r="U759" s="565"/>
      <c r="V759" s="565"/>
      <c r="W759" s="565"/>
      <c r="X759" s="565"/>
      <c r="Y759" s="565"/>
      <c r="Z759" s="565"/>
      <c r="AA759" s="565"/>
      <c r="AB759" s="565"/>
      <c r="AC759" s="565"/>
      <c r="AD759" s="565"/>
      <c r="AE759" s="565"/>
      <c r="AF759" s="565"/>
      <c r="AG759" s="565"/>
      <c r="AH759" s="565"/>
      <c r="AI759" s="565"/>
      <c r="AJ759" s="565"/>
      <c r="AK759" s="565"/>
      <c r="AL759" s="565"/>
      <c r="AM759" s="565"/>
      <c r="AN759" s="565"/>
      <c r="AO759" s="565"/>
      <c r="AP759" s="565"/>
      <c r="AQ759" s="565"/>
      <c r="AR759" s="565"/>
      <c r="AS759" s="565"/>
      <c r="AT759" s="565"/>
      <c r="AU759" s="181"/>
      <c r="AV759" s="558"/>
    </row>
    <row r="760" ht="11.25" customHeight="1">
      <c r="A760" s="565"/>
      <c r="B760" s="181"/>
      <c r="C760" s="565"/>
      <c r="D760" s="565"/>
      <c r="E760" s="565"/>
      <c r="F760" s="565"/>
      <c r="G760" s="565"/>
      <c r="H760" s="565"/>
      <c r="I760" s="565"/>
      <c r="J760" s="565"/>
      <c r="K760" s="565"/>
      <c r="L760" s="565"/>
      <c r="M760" s="565"/>
      <c r="N760" s="565"/>
      <c r="O760" s="565"/>
      <c r="P760" s="565"/>
      <c r="Q760" s="565"/>
      <c r="R760" s="565"/>
      <c r="S760" s="565"/>
      <c r="T760" s="565"/>
      <c r="U760" s="565"/>
      <c r="V760" s="565"/>
      <c r="W760" s="565"/>
      <c r="X760" s="565"/>
      <c r="Y760" s="565"/>
      <c r="Z760" s="565"/>
      <c r="AA760" s="565"/>
      <c r="AB760" s="565"/>
      <c r="AC760" s="565"/>
      <c r="AD760" s="565"/>
      <c r="AE760" s="565"/>
      <c r="AF760" s="565"/>
      <c r="AG760" s="565"/>
      <c r="AH760" s="565"/>
      <c r="AI760" s="565"/>
      <c r="AJ760" s="565"/>
      <c r="AK760" s="565"/>
      <c r="AL760" s="565"/>
      <c r="AM760" s="565"/>
      <c r="AN760" s="565"/>
      <c r="AO760" s="565"/>
      <c r="AP760" s="565"/>
      <c r="AQ760" s="565"/>
      <c r="AR760" s="565"/>
      <c r="AS760" s="565"/>
      <c r="AT760" s="565"/>
      <c r="AU760" s="181"/>
      <c r="AV760" s="558"/>
    </row>
    <row r="761" ht="11.25" customHeight="1">
      <c r="A761" s="565"/>
      <c r="B761" s="181"/>
      <c r="C761" s="565"/>
      <c r="D761" s="565"/>
      <c r="E761" s="565"/>
      <c r="F761" s="565"/>
      <c r="G761" s="565"/>
      <c r="H761" s="565"/>
      <c r="I761" s="565"/>
      <c r="J761" s="565"/>
      <c r="K761" s="565"/>
      <c r="L761" s="565"/>
      <c r="M761" s="565"/>
      <c r="N761" s="565"/>
      <c r="O761" s="565"/>
      <c r="P761" s="565"/>
      <c r="Q761" s="565"/>
      <c r="R761" s="565"/>
      <c r="S761" s="565"/>
      <c r="T761" s="565"/>
      <c r="U761" s="565"/>
      <c r="V761" s="565"/>
      <c r="W761" s="565"/>
      <c r="X761" s="565"/>
      <c r="Y761" s="565"/>
      <c r="Z761" s="565"/>
      <c r="AA761" s="565"/>
      <c r="AB761" s="565"/>
      <c r="AC761" s="565"/>
      <c r="AD761" s="565"/>
      <c r="AE761" s="565"/>
      <c r="AF761" s="565"/>
      <c r="AG761" s="565"/>
      <c r="AH761" s="565"/>
      <c r="AI761" s="565"/>
      <c r="AJ761" s="565"/>
      <c r="AK761" s="565"/>
      <c r="AL761" s="565"/>
      <c r="AM761" s="565"/>
      <c r="AN761" s="565"/>
      <c r="AO761" s="565"/>
      <c r="AP761" s="565"/>
      <c r="AQ761" s="565"/>
      <c r="AR761" s="565"/>
      <c r="AS761" s="565"/>
      <c r="AT761" s="565"/>
      <c r="AU761" s="181"/>
      <c r="AV761" s="558"/>
    </row>
    <row r="762" ht="11.25" customHeight="1">
      <c r="A762" s="565"/>
      <c r="B762" s="181"/>
      <c r="C762" s="565"/>
      <c r="D762" s="565"/>
      <c r="E762" s="565"/>
      <c r="F762" s="565"/>
      <c r="G762" s="565"/>
      <c r="H762" s="565"/>
      <c r="I762" s="565"/>
      <c r="J762" s="565"/>
      <c r="K762" s="565"/>
      <c r="L762" s="565"/>
      <c r="M762" s="565"/>
      <c r="N762" s="565"/>
      <c r="O762" s="565"/>
      <c r="P762" s="565"/>
      <c r="Q762" s="565"/>
      <c r="R762" s="565"/>
      <c r="S762" s="565"/>
      <c r="T762" s="565"/>
      <c r="U762" s="565"/>
      <c r="V762" s="565"/>
      <c r="W762" s="565"/>
      <c r="X762" s="565"/>
      <c r="Y762" s="565"/>
      <c r="Z762" s="565"/>
      <c r="AA762" s="565"/>
      <c r="AB762" s="565"/>
      <c r="AC762" s="565"/>
      <c r="AD762" s="565"/>
      <c r="AE762" s="565"/>
      <c r="AF762" s="565"/>
      <c r="AG762" s="565"/>
      <c r="AH762" s="565"/>
      <c r="AI762" s="565"/>
      <c r="AJ762" s="565"/>
      <c r="AK762" s="565"/>
      <c r="AL762" s="565"/>
      <c r="AM762" s="565"/>
      <c r="AN762" s="565"/>
      <c r="AO762" s="565"/>
      <c r="AP762" s="565"/>
      <c r="AQ762" s="565"/>
      <c r="AR762" s="565"/>
      <c r="AS762" s="565"/>
      <c r="AT762" s="565"/>
      <c r="AU762" s="181"/>
      <c r="AV762" s="558"/>
    </row>
    <row r="763" ht="11.25" customHeight="1">
      <c r="A763" s="565"/>
      <c r="B763" s="181"/>
      <c r="C763" s="565"/>
      <c r="D763" s="565"/>
      <c r="E763" s="565"/>
      <c r="F763" s="565"/>
      <c r="G763" s="565"/>
      <c r="H763" s="565"/>
      <c r="I763" s="565"/>
      <c r="J763" s="565"/>
      <c r="K763" s="565"/>
      <c r="L763" s="565"/>
      <c r="M763" s="565"/>
      <c r="N763" s="565"/>
      <c r="O763" s="565"/>
      <c r="P763" s="565"/>
      <c r="Q763" s="565"/>
      <c r="R763" s="565"/>
      <c r="S763" s="565"/>
      <c r="T763" s="565"/>
      <c r="U763" s="565"/>
      <c r="V763" s="565"/>
      <c r="W763" s="565"/>
      <c r="X763" s="565"/>
      <c r="Y763" s="565"/>
      <c r="Z763" s="565"/>
      <c r="AA763" s="565"/>
      <c r="AB763" s="565"/>
      <c r="AC763" s="565"/>
      <c r="AD763" s="565"/>
      <c r="AE763" s="565"/>
      <c r="AF763" s="565"/>
      <c r="AG763" s="565"/>
      <c r="AH763" s="565"/>
      <c r="AI763" s="565"/>
      <c r="AJ763" s="565"/>
      <c r="AK763" s="565"/>
      <c r="AL763" s="565"/>
      <c r="AM763" s="565"/>
      <c r="AN763" s="565"/>
      <c r="AO763" s="565"/>
      <c r="AP763" s="565"/>
      <c r="AQ763" s="565"/>
      <c r="AR763" s="565"/>
      <c r="AS763" s="565"/>
      <c r="AT763" s="565"/>
      <c r="AU763" s="181"/>
      <c r="AV763" s="558"/>
    </row>
    <row r="764" ht="11.25" customHeight="1">
      <c r="A764" s="565"/>
      <c r="B764" s="181"/>
      <c r="C764" s="565"/>
      <c r="D764" s="565"/>
      <c r="E764" s="565"/>
      <c r="F764" s="565"/>
      <c r="G764" s="565"/>
      <c r="H764" s="565"/>
      <c r="I764" s="565"/>
      <c r="J764" s="565"/>
      <c r="K764" s="565"/>
      <c r="L764" s="565"/>
      <c r="M764" s="565"/>
      <c r="N764" s="565"/>
      <c r="O764" s="565"/>
      <c r="P764" s="565"/>
      <c r="Q764" s="565"/>
      <c r="R764" s="565"/>
      <c r="S764" s="565"/>
      <c r="T764" s="565"/>
      <c r="U764" s="565"/>
      <c r="V764" s="565"/>
      <c r="W764" s="565"/>
      <c r="X764" s="565"/>
      <c r="Y764" s="565"/>
      <c r="Z764" s="565"/>
      <c r="AA764" s="565"/>
      <c r="AB764" s="565"/>
      <c r="AC764" s="565"/>
      <c r="AD764" s="565"/>
      <c r="AE764" s="565"/>
      <c r="AF764" s="565"/>
      <c r="AG764" s="565"/>
      <c r="AH764" s="565"/>
      <c r="AI764" s="565"/>
      <c r="AJ764" s="565"/>
      <c r="AK764" s="565"/>
      <c r="AL764" s="565"/>
      <c r="AM764" s="565"/>
      <c r="AN764" s="565"/>
      <c r="AO764" s="565"/>
      <c r="AP764" s="565"/>
      <c r="AQ764" s="565"/>
      <c r="AR764" s="565"/>
      <c r="AS764" s="565"/>
      <c r="AT764" s="565"/>
      <c r="AU764" s="181"/>
      <c r="AV764" s="558"/>
    </row>
    <row r="765" ht="11.25" customHeight="1">
      <c r="A765" s="565"/>
      <c r="B765" s="181"/>
      <c r="C765" s="565"/>
      <c r="D765" s="565"/>
      <c r="E765" s="565"/>
      <c r="F765" s="565"/>
      <c r="G765" s="565"/>
      <c r="H765" s="565"/>
      <c r="I765" s="565"/>
      <c r="J765" s="565"/>
      <c r="K765" s="565"/>
      <c r="L765" s="565"/>
      <c r="M765" s="565"/>
      <c r="N765" s="565"/>
      <c r="O765" s="565"/>
      <c r="P765" s="565"/>
      <c r="Q765" s="565"/>
      <c r="R765" s="565"/>
      <c r="S765" s="565"/>
      <c r="T765" s="565"/>
      <c r="U765" s="565"/>
      <c r="V765" s="565"/>
      <c r="W765" s="565"/>
      <c r="X765" s="565"/>
      <c r="Y765" s="565"/>
      <c r="Z765" s="565"/>
      <c r="AA765" s="565"/>
      <c r="AB765" s="565"/>
      <c r="AC765" s="565"/>
      <c r="AD765" s="565"/>
      <c r="AE765" s="565"/>
      <c r="AF765" s="565"/>
      <c r="AG765" s="565"/>
      <c r="AH765" s="565"/>
      <c r="AI765" s="565"/>
      <c r="AJ765" s="565"/>
      <c r="AK765" s="565"/>
      <c r="AL765" s="565"/>
      <c r="AM765" s="565"/>
      <c r="AN765" s="565"/>
      <c r="AO765" s="565"/>
      <c r="AP765" s="565"/>
      <c r="AQ765" s="565"/>
      <c r="AR765" s="565"/>
      <c r="AS765" s="565"/>
      <c r="AT765" s="565"/>
      <c r="AU765" s="181"/>
      <c r="AV765" s="558"/>
    </row>
    <row r="766" ht="11.25" customHeight="1">
      <c r="A766" s="565"/>
      <c r="B766" s="181"/>
      <c r="C766" s="565"/>
      <c r="D766" s="565"/>
      <c r="E766" s="565"/>
      <c r="F766" s="565"/>
      <c r="G766" s="565"/>
      <c r="H766" s="565"/>
      <c r="I766" s="565"/>
      <c r="J766" s="565"/>
      <c r="K766" s="565"/>
      <c r="L766" s="565"/>
      <c r="M766" s="565"/>
      <c r="N766" s="565"/>
      <c r="O766" s="565"/>
      <c r="P766" s="565"/>
      <c r="Q766" s="565"/>
      <c r="R766" s="565"/>
      <c r="S766" s="565"/>
      <c r="T766" s="565"/>
      <c r="U766" s="565"/>
      <c r="V766" s="565"/>
      <c r="W766" s="565"/>
      <c r="X766" s="565"/>
      <c r="Y766" s="565"/>
      <c r="Z766" s="565"/>
      <c r="AA766" s="565"/>
      <c r="AB766" s="565"/>
      <c r="AC766" s="565"/>
      <c r="AD766" s="565"/>
      <c r="AE766" s="565"/>
      <c r="AF766" s="565"/>
      <c r="AG766" s="565"/>
      <c r="AH766" s="565"/>
      <c r="AI766" s="565"/>
      <c r="AJ766" s="565"/>
      <c r="AK766" s="565"/>
      <c r="AL766" s="565"/>
      <c r="AM766" s="565"/>
      <c r="AN766" s="565"/>
      <c r="AO766" s="565"/>
      <c r="AP766" s="565"/>
      <c r="AQ766" s="565"/>
      <c r="AR766" s="565"/>
      <c r="AS766" s="565"/>
      <c r="AT766" s="565"/>
      <c r="AU766" s="181"/>
      <c r="AV766" s="558"/>
    </row>
    <row r="767" ht="11.25" customHeight="1">
      <c r="A767" s="565"/>
      <c r="B767" s="181"/>
      <c r="C767" s="565"/>
      <c r="D767" s="565"/>
      <c r="E767" s="565"/>
      <c r="F767" s="565"/>
      <c r="G767" s="565"/>
      <c r="H767" s="565"/>
      <c r="I767" s="565"/>
      <c r="J767" s="565"/>
      <c r="K767" s="565"/>
      <c r="L767" s="565"/>
      <c r="M767" s="565"/>
      <c r="N767" s="565"/>
      <c r="O767" s="565"/>
      <c r="P767" s="565"/>
      <c r="Q767" s="565"/>
      <c r="R767" s="565"/>
      <c r="S767" s="565"/>
      <c r="T767" s="565"/>
      <c r="U767" s="565"/>
      <c r="V767" s="565"/>
      <c r="W767" s="565"/>
      <c r="X767" s="565"/>
      <c r="Y767" s="565"/>
      <c r="Z767" s="565"/>
      <c r="AA767" s="565"/>
      <c r="AB767" s="565"/>
      <c r="AC767" s="565"/>
      <c r="AD767" s="565"/>
      <c r="AE767" s="565"/>
      <c r="AF767" s="565"/>
      <c r="AG767" s="565"/>
      <c r="AH767" s="565"/>
      <c r="AI767" s="565"/>
      <c r="AJ767" s="565"/>
      <c r="AK767" s="565"/>
      <c r="AL767" s="565"/>
      <c r="AM767" s="565"/>
      <c r="AN767" s="565"/>
      <c r="AO767" s="565"/>
      <c r="AP767" s="565"/>
      <c r="AQ767" s="565"/>
      <c r="AR767" s="565"/>
      <c r="AS767" s="565"/>
      <c r="AT767" s="565"/>
      <c r="AU767" s="181"/>
      <c r="AV767" s="558"/>
    </row>
    <row r="768" ht="11.25" customHeight="1">
      <c r="A768" s="565"/>
      <c r="B768" s="181"/>
      <c r="C768" s="565"/>
      <c r="D768" s="565"/>
      <c r="E768" s="565"/>
      <c r="F768" s="565"/>
      <c r="G768" s="565"/>
      <c r="H768" s="565"/>
      <c r="I768" s="565"/>
      <c r="J768" s="565"/>
      <c r="K768" s="565"/>
      <c r="L768" s="565"/>
      <c r="M768" s="565"/>
      <c r="N768" s="565"/>
      <c r="O768" s="565"/>
      <c r="P768" s="565"/>
      <c r="Q768" s="565"/>
      <c r="R768" s="565"/>
      <c r="S768" s="565"/>
      <c r="T768" s="565"/>
      <c r="U768" s="565"/>
      <c r="V768" s="565"/>
      <c r="W768" s="565"/>
      <c r="X768" s="565"/>
      <c r="Y768" s="565"/>
      <c r="Z768" s="565"/>
      <c r="AA768" s="565"/>
      <c r="AB768" s="565"/>
      <c r="AC768" s="565"/>
      <c r="AD768" s="565"/>
      <c r="AE768" s="565"/>
      <c r="AF768" s="565"/>
      <c r="AG768" s="565"/>
      <c r="AH768" s="565"/>
      <c r="AI768" s="565"/>
      <c r="AJ768" s="565"/>
      <c r="AK768" s="565"/>
      <c r="AL768" s="565"/>
      <c r="AM768" s="565"/>
      <c r="AN768" s="565"/>
      <c r="AO768" s="565"/>
      <c r="AP768" s="565"/>
      <c r="AQ768" s="565"/>
      <c r="AR768" s="565"/>
      <c r="AS768" s="565"/>
      <c r="AT768" s="565"/>
      <c r="AU768" s="181"/>
      <c r="AV768" s="558"/>
    </row>
    <row r="769" ht="11.25" customHeight="1">
      <c r="A769" s="565"/>
      <c r="B769" s="181"/>
      <c r="C769" s="565"/>
      <c r="D769" s="565"/>
      <c r="E769" s="565"/>
      <c r="F769" s="565"/>
      <c r="G769" s="565"/>
      <c r="H769" s="565"/>
      <c r="I769" s="565"/>
      <c r="J769" s="565"/>
      <c r="K769" s="565"/>
      <c r="L769" s="565"/>
      <c r="M769" s="565"/>
      <c r="N769" s="565"/>
      <c r="O769" s="565"/>
      <c r="P769" s="565"/>
      <c r="Q769" s="565"/>
      <c r="R769" s="565"/>
      <c r="S769" s="565"/>
      <c r="T769" s="565"/>
      <c r="U769" s="565"/>
      <c r="V769" s="565"/>
      <c r="W769" s="565"/>
      <c r="X769" s="565"/>
      <c r="Y769" s="565"/>
      <c r="Z769" s="565"/>
      <c r="AA769" s="565"/>
      <c r="AB769" s="565"/>
      <c r="AC769" s="565"/>
      <c r="AD769" s="565"/>
      <c r="AE769" s="565"/>
      <c r="AF769" s="565"/>
      <c r="AG769" s="565"/>
      <c r="AH769" s="565"/>
      <c r="AI769" s="565"/>
      <c r="AJ769" s="565"/>
      <c r="AK769" s="565"/>
      <c r="AL769" s="565"/>
      <c r="AM769" s="565"/>
      <c r="AN769" s="565"/>
      <c r="AO769" s="565"/>
      <c r="AP769" s="565"/>
      <c r="AQ769" s="565"/>
      <c r="AR769" s="565"/>
      <c r="AS769" s="565"/>
      <c r="AT769" s="565"/>
      <c r="AU769" s="181"/>
      <c r="AV769" s="558"/>
    </row>
    <row r="770" ht="11.25" customHeight="1">
      <c r="A770" s="565"/>
      <c r="B770" s="181"/>
      <c r="C770" s="565"/>
      <c r="D770" s="565"/>
      <c r="E770" s="565"/>
      <c r="F770" s="565"/>
      <c r="G770" s="565"/>
      <c r="H770" s="565"/>
      <c r="I770" s="565"/>
      <c r="J770" s="565"/>
      <c r="K770" s="565"/>
      <c r="L770" s="565"/>
      <c r="M770" s="565"/>
      <c r="N770" s="565"/>
      <c r="O770" s="565"/>
      <c r="P770" s="565"/>
      <c r="Q770" s="565"/>
      <c r="R770" s="565"/>
      <c r="S770" s="565"/>
      <c r="T770" s="565"/>
      <c r="U770" s="565"/>
      <c r="V770" s="565"/>
      <c r="W770" s="565"/>
      <c r="X770" s="565"/>
      <c r="Y770" s="565"/>
      <c r="Z770" s="565"/>
      <c r="AA770" s="565"/>
      <c r="AB770" s="565"/>
      <c r="AC770" s="565"/>
      <c r="AD770" s="565"/>
      <c r="AE770" s="565"/>
      <c r="AF770" s="565"/>
      <c r="AG770" s="565"/>
      <c r="AH770" s="565"/>
      <c r="AI770" s="565"/>
      <c r="AJ770" s="565"/>
      <c r="AK770" s="565"/>
      <c r="AL770" s="565"/>
      <c r="AM770" s="565"/>
      <c r="AN770" s="565"/>
      <c r="AO770" s="565"/>
      <c r="AP770" s="565"/>
      <c r="AQ770" s="565"/>
      <c r="AR770" s="565"/>
      <c r="AS770" s="565"/>
      <c r="AT770" s="565"/>
      <c r="AU770" s="181"/>
      <c r="AV770" s="558"/>
    </row>
    <row r="771" ht="11.25" customHeight="1">
      <c r="A771" s="565"/>
      <c r="B771" s="181"/>
      <c r="C771" s="565"/>
      <c r="D771" s="565"/>
      <c r="E771" s="565"/>
      <c r="F771" s="565"/>
      <c r="G771" s="565"/>
      <c r="H771" s="565"/>
      <c r="I771" s="565"/>
      <c r="J771" s="565"/>
      <c r="K771" s="565"/>
      <c r="L771" s="565"/>
      <c r="M771" s="565"/>
      <c r="N771" s="565"/>
      <c r="O771" s="565"/>
      <c r="P771" s="565"/>
      <c r="Q771" s="565"/>
      <c r="R771" s="565"/>
      <c r="S771" s="565"/>
      <c r="T771" s="565"/>
      <c r="U771" s="565"/>
      <c r="V771" s="565"/>
      <c r="W771" s="565"/>
      <c r="X771" s="565"/>
      <c r="Y771" s="565"/>
      <c r="Z771" s="565"/>
      <c r="AA771" s="565"/>
      <c r="AB771" s="565"/>
      <c r="AC771" s="565"/>
      <c r="AD771" s="565"/>
      <c r="AE771" s="565"/>
      <c r="AF771" s="565"/>
      <c r="AG771" s="565"/>
      <c r="AH771" s="565"/>
      <c r="AI771" s="565"/>
      <c r="AJ771" s="565"/>
      <c r="AK771" s="565"/>
      <c r="AL771" s="565"/>
      <c r="AM771" s="565"/>
      <c r="AN771" s="565"/>
      <c r="AO771" s="565"/>
      <c r="AP771" s="565"/>
      <c r="AQ771" s="565"/>
      <c r="AR771" s="565"/>
      <c r="AS771" s="565"/>
      <c r="AT771" s="565"/>
      <c r="AU771" s="181"/>
      <c r="AV771" s="558"/>
    </row>
    <row r="772" ht="11.25" customHeight="1">
      <c r="A772" s="565"/>
      <c r="B772" s="181"/>
      <c r="C772" s="565"/>
      <c r="D772" s="565"/>
      <c r="E772" s="565"/>
      <c r="F772" s="565"/>
      <c r="G772" s="565"/>
      <c r="H772" s="565"/>
      <c r="I772" s="565"/>
      <c r="J772" s="565"/>
      <c r="K772" s="565"/>
      <c r="L772" s="565"/>
      <c r="M772" s="565"/>
      <c r="N772" s="565"/>
      <c r="O772" s="565"/>
      <c r="P772" s="565"/>
      <c r="Q772" s="565"/>
      <c r="R772" s="565"/>
      <c r="S772" s="565"/>
      <c r="T772" s="565"/>
      <c r="U772" s="565"/>
      <c r="V772" s="565"/>
      <c r="W772" s="565"/>
      <c r="X772" s="565"/>
      <c r="Y772" s="565"/>
      <c r="Z772" s="565"/>
      <c r="AA772" s="565"/>
      <c r="AB772" s="565"/>
      <c r="AC772" s="565"/>
      <c r="AD772" s="565"/>
      <c r="AE772" s="565"/>
      <c r="AF772" s="565"/>
      <c r="AG772" s="565"/>
      <c r="AH772" s="565"/>
      <c r="AI772" s="565"/>
      <c r="AJ772" s="565"/>
      <c r="AK772" s="565"/>
      <c r="AL772" s="565"/>
      <c r="AM772" s="565"/>
      <c r="AN772" s="565"/>
      <c r="AO772" s="565"/>
      <c r="AP772" s="565"/>
      <c r="AQ772" s="565"/>
      <c r="AR772" s="565"/>
      <c r="AS772" s="565"/>
      <c r="AT772" s="565"/>
      <c r="AU772" s="181"/>
      <c r="AV772" s="558"/>
    </row>
    <row r="773" ht="11.25" customHeight="1">
      <c r="A773" s="565"/>
      <c r="B773" s="181"/>
      <c r="C773" s="565"/>
      <c r="D773" s="565"/>
      <c r="E773" s="565"/>
      <c r="F773" s="565"/>
      <c r="G773" s="565"/>
      <c r="H773" s="565"/>
      <c r="I773" s="565"/>
      <c r="J773" s="565"/>
      <c r="K773" s="565"/>
      <c r="L773" s="565"/>
      <c r="M773" s="565"/>
      <c r="N773" s="565"/>
      <c r="O773" s="565"/>
      <c r="P773" s="565"/>
      <c r="Q773" s="565"/>
      <c r="R773" s="565"/>
      <c r="S773" s="565"/>
      <c r="T773" s="565"/>
      <c r="U773" s="565"/>
      <c r="V773" s="565"/>
      <c r="W773" s="565"/>
      <c r="X773" s="565"/>
      <c r="Y773" s="565"/>
      <c r="Z773" s="565"/>
      <c r="AA773" s="565"/>
      <c r="AB773" s="565"/>
      <c r="AC773" s="565"/>
      <c r="AD773" s="565"/>
      <c r="AE773" s="565"/>
      <c r="AF773" s="565"/>
      <c r="AG773" s="565"/>
      <c r="AH773" s="565"/>
      <c r="AI773" s="565"/>
      <c r="AJ773" s="565"/>
      <c r="AK773" s="565"/>
      <c r="AL773" s="565"/>
      <c r="AM773" s="565"/>
      <c r="AN773" s="565"/>
      <c r="AO773" s="565"/>
      <c r="AP773" s="565"/>
      <c r="AQ773" s="565"/>
      <c r="AR773" s="565"/>
      <c r="AS773" s="565"/>
      <c r="AT773" s="565"/>
      <c r="AU773" s="181"/>
      <c r="AV773" s="558"/>
    </row>
    <row r="774" ht="11.25" customHeight="1">
      <c r="A774" s="565"/>
      <c r="B774" s="181"/>
      <c r="C774" s="565"/>
      <c r="D774" s="565"/>
      <c r="E774" s="565"/>
      <c r="F774" s="565"/>
      <c r="G774" s="565"/>
      <c r="H774" s="565"/>
      <c r="I774" s="565"/>
      <c r="J774" s="565"/>
      <c r="K774" s="565"/>
      <c r="L774" s="565"/>
      <c r="M774" s="565"/>
      <c r="N774" s="565"/>
      <c r="O774" s="565"/>
      <c r="P774" s="565"/>
      <c r="Q774" s="565"/>
      <c r="R774" s="565"/>
      <c r="S774" s="565"/>
      <c r="T774" s="565"/>
      <c r="U774" s="565"/>
      <c r="V774" s="565"/>
      <c r="W774" s="565"/>
      <c r="X774" s="565"/>
      <c r="Y774" s="565"/>
      <c r="Z774" s="565"/>
      <c r="AA774" s="565"/>
      <c r="AB774" s="565"/>
      <c r="AC774" s="565"/>
      <c r="AD774" s="565"/>
      <c r="AE774" s="565"/>
      <c r="AF774" s="565"/>
      <c r="AG774" s="565"/>
      <c r="AH774" s="565"/>
      <c r="AI774" s="565"/>
      <c r="AJ774" s="565"/>
      <c r="AK774" s="565"/>
      <c r="AL774" s="565"/>
      <c r="AM774" s="565"/>
      <c r="AN774" s="565"/>
      <c r="AO774" s="565"/>
      <c r="AP774" s="565"/>
      <c r="AQ774" s="565"/>
      <c r="AR774" s="565"/>
      <c r="AS774" s="565"/>
      <c r="AT774" s="565"/>
      <c r="AU774" s="181"/>
      <c r="AV774" s="558"/>
    </row>
    <row r="775" ht="11.25" customHeight="1">
      <c r="A775" s="565"/>
      <c r="B775" s="181"/>
      <c r="C775" s="565"/>
      <c r="D775" s="565"/>
      <c r="E775" s="565"/>
      <c r="F775" s="565"/>
      <c r="G775" s="565"/>
      <c r="H775" s="565"/>
      <c r="I775" s="565"/>
      <c r="J775" s="565"/>
      <c r="K775" s="565"/>
      <c r="L775" s="565"/>
      <c r="M775" s="565"/>
      <c r="N775" s="565"/>
      <c r="O775" s="565"/>
      <c r="P775" s="565"/>
      <c r="Q775" s="565"/>
      <c r="R775" s="565"/>
      <c r="S775" s="565"/>
      <c r="T775" s="565"/>
      <c r="U775" s="565"/>
      <c r="V775" s="565"/>
      <c r="W775" s="565"/>
      <c r="X775" s="565"/>
      <c r="Y775" s="565"/>
      <c r="Z775" s="565"/>
      <c r="AA775" s="565"/>
      <c r="AB775" s="565"/>
      <c r="AC775" s="565"/>
      <c r="AD775" s="565"/>
      <c r="AE775" s="565"/>
      <c r="AF775" s="565"/>
      <c r="AG775" s="565"/>
      <c r="AH775" s="565"/>
      <c r="AI775" s="565"/>
      <c r="AJ775" s="565"/>
      <c r="AK775" s="565"/>
      <c r="AL775" s="565"/>
      <c r="AM775" s="565"/>
      <c r="AN775" s="565"/>
      <c r="AO775" s="565"/>
      <c r="AP775" s="565"/>
      <c r="AQ775" s="565"/>
      <c r="AR775" s="565"/>
      <c r="AS775" s="565"/>
      <c r="AT775" s="565"/>
      <c r="AU775" s="181"/>
      <c r="AV775" s="558"/>
    </row>
    <row r="776" ht="11.25" customHeight="1">
      <c r="A776" s="565"/>
      <c r="B776" s="181"/>
      <c r="C776" s="565"/>
      <c r="D776" s="565"/>
      <c r="E776" s="565"/>
      <c r="F776" s="565"/>
      <c r="G776" s="565"/>
      <c r="H776" s="565"/>
      <c r="I776" s="565"/>
      <c r="J776" s="565"/>
      <c r="K776" s="565"/>
      <c r="L776" s="565"/>
      <c r="M776" s="565"/>
      <c r="N776" s="565"/>
      <c r="O776" s="565"/>
      <c r="P776" s="565"/>
      <c r="Q776" s="565"/>
      <c r="R776" s="565"/>
      <c r="S776" s="565"/>
      <c r="T776" s="565"/>
      <c r="U776" s="565"/>
      <c r="V776" s="565"/>
      <c r="W776" s="565"/>
      <c r="X776" s="565"/>
      <c r="Y776" s="565"/>
      <c r="Z776" s="565"/>
      <c r="AA776" s="565"/>
      <c r="AB776" s="565"/>
      <c r="AC776" s="565"/>
      <c r="AD776" s="565"/>
      <c r="AE776" s="565"/>
      <c r="AF776" s="565"/>
      <c r="AG776" s="565"/>
      <c r="AH776" s="565"/>
      <c r="AI776" s="565"/>
      <c r="AJ776" s="565"/>
      <c r="AK776" s="565"/>
      <c r="AL776" s="565"/>
      <c r="AM776" s="565"/>
      <c r="AN776" s="565"/>
      <c r="AO776" s="565"/>
      <c r="AP776" s="565"/>
      <c r="AQ776" s="565"/>
      <c r="AR776" s="565"/>
      <c r="AS776" s="565"/>
      <c r="AT776" s="565"/>
      <c r="AU776" s="181"/>
      <c r="AV776" s="558"/>
    </row>
    <row r="777" ht="11.25" customHeight="1">
      <c r="A777" s="565"/>
      <c r="B777" s="181"/>
      <c r="C777" s="565"/>
      <c r="D777" s="565"/>
      <c r="E777" s="565"/>
      <c r="F777" s="565"/>
      <c r="G777" s="565"/>
      <c r="H777" s="565"/>
      <c r="I777" s="565"/>
      <c r="J777" s="565"/>
      <c r="K777" s="565"/>
      <c r="L777" s="565"/>
      <c r="M777" s="565"/>
      <c r="N777" s="565"/>
      <c r="O777" s="565"/>
      <c r="P777" s="565"/>
      <c r="Q777" s="565"/>
      <c r="R777" s="565"/>
      <c r="S777" s="565"/>
      <c r="T777" s="565"/>
      <c r="U777" s="565"/>
      <c r="V777" s="565"/>
      <c r="W777" s="565"/>
      <c r="X777" s="565"/>
      <c r="Y777" s="565"/>
      <c r="Z777" s="565"/>
      <c r="AA777" s="565"/>
      <c r="AB777" s="565"/>
      <c r="AC777" s="565"/>
      <c r="AD777" s="565"/>
      <c r="AE777" s="565"/>
      <c r="AF777" s="565"/>
      <c r="AG777" s="565"/>
      <c r="AH777" s="565"/>
      <c r="AI777" s="565"/>
      <c r="AJ777" s="565"/>
      <c r="AK777" s="565"/>
      <c r="AL777" s="565"/>
      <c r="AM777" s="565"/>
      <c r="AN777" s="565"/>
      <c r="AO777" s="565"/>
      <c r="AP777" s="565"/>
      <c r="AQ777" s="565"/>
      <c r="AR777" s="565"/>
      <c r="AS777" s="565"/>
      <c r="AT777" s="565"/>
      <c r="AU777" s="181"/>
      <c r="AV777" s="558"/>
    </row>
    <row r="778" ht="11.25" customHeight="1">
      <c r="A778" s="565"/>
      <c r="B778" s="181"/>
      <c r="C778" s="565"/>
      <c r="D778" s="565"/>
      <c r="E778" s="565"/>
      <c r="F778" s="565"/>
      <c r="G778" s="565"/>
      <c r="H778" s="565"/>
      <c r="I778" s="565"/>
      <c r="J778" s="565"/>
      <c r="K778" s="565"/>
      <c r="L778" s="565"/>
      <c r="M778" s="565"/>
      <c r="N778" s="565"/>
      <c r="O778" s="565"/>
      <c r="P778" s="565"/>
      <c r="Q778" s="565"/>
      <c r="R778" s="565"/>
      <c r="S778" s="565"/>
      <c r="T778" s="565"/>
      <c r="U778" s="565"/>
      <c r="V778" s="565"/>
      <c r="W778" s="565"/>
      <c r="X778" s="565"/>
      <c r="Y778" s="565"/>
      <c r="Z778" s="565"/>
      <c r="AA778" s="565"/>
      <c r="AB778" s="565"/>
      <c r="AC778" s="565"/>
      <c r="AD778" s="565"/>
      <c r="AE778" s="565"/>
      <c r="AF778" s="565"/>
      <c r="AG778" s="565"/>
      <c r="AH778" s="565"/>
      <c r="AI778" s="565"/>
      <c r="AJ778" s="565"/>
      <c r="AK778" s="565"/>
      <c r="AL778" s="565"/>
      <c r="AM778" s="565"/>
      <c r="AN778" s="565"/>
      <c r="AO778" s="565"/>
      <c r="AP778" s="565"/>
      <c r="AQ778" s="565"/>
      <c r="AR778" s="565"/>
      <c r="AS778" s="565"/>
      <c r="AT778" s="565"/>
      <c r="AU778" s="181"/>
      <c r="AV778" s="558"/>
    </row>
    <row r="779" ht="11.25" customHeight="1">
      <c r="A779" s="565"/>
      <c r="B779" s="181"/>
      <c r="C779" s="565"/>
      <c r="D779" s="565"/>
      <c r="E779" s="565"/>
      <c r="F779" s="565"/>
      <c r="G779" s="565"/>
      <c r="H779" s="565"/>
      <c r="I779" s="565"/>
      <c r="J779" s="565"/>
      <c r="K779" s="565"/>
      <c r="L779" s="565"/>
      <c r="M779" s="565"/>
      <c r="N779" s="565"/>
      <c r="O779" s="565"/>
      <c r="P779" s="565"/>
      <c r="Q779" s="565"/>
      <c r="R779" s="565"/>
      <c r="S779" s="565"/>
      <c r="T779" s="565"/>
      <c r="U779" s="565"/>
      <c r="V779" s="565"/>
      <c r="W779" s="565"/>
      <c r="X779" s="565"/>
      <c r="Y779" s="565"/>
      <c r="Z779" s="565"/>
      <c r="AA779" s="565"/>
      <c r="AB779" s="565"/>
      <c r="AC779" s="565"/>
      <c r="AD779" s="565"/>
      <c r="AE779" s="565"/>
      <c r="AF779" s="565"/>
      <c r="AG779" s="565"/>
      <c r="AH779" s="565"/>
      <c r="AI779" s="565"/>
      <c r="AJ779" s="565"/>
      <c r="AK779" s="565"/>
      <c r="AL779" s="565"/>
      <c r="AM779" s="565"/>
      <c r="AN779" s="565"/>
      <c r="AO779" s="565"/>
      <c r="AP779" s="565"/>
      <c r="AQ779" s="565"/>
      <c r="AR779" s="565"/>
      <c r="AS779" s="565"/>
      <c r="AT779" s="565"/>
      <c r="AU779" s="181"/>
      <c r="AV779" s="558"/>
    </row>
    <row r="780" ht="11.25" customHeight="1">
      <c r="A780" s="565"/>
      <c r="B780" s="181"/>
      <c r="C780" s="565"/>
      <c r="D780" s="565"/>
      <c r="E780" s="565"/>
      <c r="F780" s="565"/>
      <c r="G780" s="565"/>
      <c r="H780" s="565"/>
      <c r="I780" s="565"/>
      <c r="J780" s="565"/>
      <c r="K780" s="565"/>
      <c r="L780" s="565"/>
      <c r="M780" s="565"/>
      <c r="N780" s="565"/>
      <c r="O780" s="565"/>
      <c r="P780" s="565"/>
      <c r="Q780" s="565"/>
      <c r="R780" s="565"/>
      <c r="S780" s="565"/>
      <c r="T780" s="565"/>
      <c r="U780" s="565"/>
      <c r="V780" s="565"/>
      <c r="W780" s="565"/>
      <c r="X780" s="565"/>
      <c r="Y780" s="565"/>
      <c r="Z780" s="565"/>
      <c r="AA780" s="565"/>
      <c r="AB780" s="565"/>
      <c r="AC780" s="565"/>
      <c r="AD780" s="565"/>
      <c r="AE780" s="565"/>
      <c r="AF780" s="565"/>
      <c r="AG780" s="565"/>
      <c r="AH780" s="565"/>
      <c r="AI780" s="565"/>
      <c r="AJ780" s="565"/>
      <c r="AK780" s="565"/>
      <c r="AL780" s="565"/>
      <c r="AM780" s="565"/>
      <c r="AN780" s="565"/>
      <c r="AO780" s="565"/>
      <c r="AP780" s="565"/>
      <c r="AQ780" s="565"/>
      <c r="AR780" s="565"/>
      <c r="AS780" s="565"/>
      <c r="AT780" s="565"/>
      <c r="AU780" s="181"/>
      <c r="AV780" s="558"/>
    </row>
    <row r="781" ht="11.25" customHeight="1">
      <c r="A781" s="565"/>
      <c r="B781" s="181"/>
      <c r="C781" s="565"/>
      <c r="D781" s="565"/>
      <c r="E781" s="565"/>
      <c r="F781" s="565"/>
      <c r="G781" s="565"/>
      <c r="H781" s="565"/>
      <c r="I781" s="565"/>
      <c r="J781" s="565"/>
      <c r="K781" s="565"/>
      <c r="L781" s="565"/>
      <c r="M781" s="565"/>
      <c r="N781" s="565"/>
      <c r="O781" s="565"/>
      <c r="P781" s="565"/>
      <c r="Q781" s="565"/>
      <c r="R781" s="565"/>
      <c r="S781" s="565"/>
      <c r="T781" s="565"/>
      <c r="U781" s="565"/>
      <c r="V781" s="565"/>
      <c r="W781" s="565"/>
      <c r="X781" s="565"/>
      <c r="Y781" s="565"/>
      <c r="Z781" s="565"/>
      <c r="AA781" s="565"/>
      <c r="AB781" s="565"/>
      <c r="AC781" s="565"/>
      <c r="AD781" s="565"/>
      <c r="AE781" s="565"/>
      <c r="AF781" s="565"/>
      <c r="AG781" s="565"/>
      <c r="AH781" s="565"/>
      <c r="AI781" s="565"/>
      <c r="AJ781" s="565"/>
      <c r="AK781" s="565"/>
      <c r="AL781" s="565"/>
      <c r="AM781" s="565"/>
      <c r="AN781" s="565"/>
      <c r="AO781" s="565"/>
      <c r="AP781" s="565"/>
      <c r="AQ781" s="565"/>
      <c r="AR781" s="565"/>
      <c r="AS781" s="565"/>
      <c r="AT781" s="565"/>
      <c r="AU781" s="181"/>
      <c r="AV781" s="558"/>
    </row>
    <row r="782" ht="11.25" customHeight="1">
      <c r="A782" s="565"/>
      <c r="B782" s="181"/>
      <c r="C782" s="565"/>
      <c r="D782" s="565"/>
      <c r="E782" s="565"/>
      <c r="F782" s="565"/>
      <c r="G782" s="565"/>
      <c r="H782" s="565"/>
      <c r="I782" s="565"/>
      <c r="J782" s="565"/>
      <c r="K782" s="565"/>
      <c r="L782" s="565"/>
      <c r="M782" s="565"/>
      <c r="N782" s="565"/>
      <c r="O782" s="565"/>
      <c r="P782" s="565"/>
      <c r="Q782" s="565"/>
      <c r="R782" s="565"/>
      <c r="S782" s="565"/>
      <c r="T782" s="565"/>
      <c r="U782" s="565"/>
      <c r="V782" s="565"/>
      <c r="W782" s="565"/>
      <c r="X782" s="565"/>
      <c r="Y782" s="565"/>
      <c r="Z782" s="565"/>
      <c r="AA782" s="565"/>
      <c r="AB782" s="565"/>
      <c r="AC782" s="565"/>
      <c r="AD782" s="565"/>
      <c r="AE782" s="565"/>
      <c r="AF782" s="565"/>
      <c r="AG782" s="565"/>
      <c r="AH782" s="565"/>
      <c r="AI782" s="565"/>
      <c r="AJ782" s="565"/>
      <c r="AK782" s="565"/>
      <c r="AL782" s="565"/>
      <c r="AM782" s="565"/>
      <c r="AN782" s="565"/>
      <c r="AO782" s="565"/>
      <c r="AP782" s="565"/>
      <c r="AQ782" s="565"/>
      <c r="AR782" s="565"/>
      <c r="AS782" s="565"/>
      <c r="AT782" s="565"/>
      <c r="AU782" s="181"/>
      <c r="AV782" s="558"/>
    </row>
    <row r="783" ht="11.25" customHeight="1">
      <c r="A783" s="565"/>
      <c r="B783" s="181"/>
      <c r="C783" s="565"/>
      <c r="D783" s="565"/>
      <c r="E783" s="565"/>
      <c r="F783" s="565"/>
      <c r="G783" s="565"/>
      <c r="H783" s="565"/>
      <c r="I783" s="565"/>
      <c r="J783" s="565"/>
      <c r="K783" s="565"/>
      <c r="L783" s="565"/>
      <c r="M783" s="565"/>
      <c r="N783" s="565"/>
      <c r="O783" s="565"/>
      <c r="P783" s="565"/>
      <c r="Q783" s="565"/>
      <c r="R783" s="565"/>
      <c r="S783" s="565"/>
      <c r="T783" s="565"/>
      <c r="U783" s="565"/>
      <c r="V783" s="565"/>
      <c r="W783" s="565"/>
      <c r="X783" s="565"/>
      <c r="Y783" s="565"/>
      <c r="Z783" s="565"/>
      <c r="AA783" s="565"/>
      <c r="AB783" s="565"/>
      <c r="AC783" s="565"/>
      <c r="AD783" s="565"/>
      <c r="AE783" s="565"/>
      <c r="AF783" s="565"/>
      <c r="AG783" s="565"/>
      <c r="AH783" s="565"/>
      <c r="AI783" s="565"/>
      <c r="AJ783" s="565"/>
      <c r="AK783" s="565"/>
      <c r="AL783" s="565"/>
      <c r="AM783" s="565"/>
      <c r="AN783" s="565"/>
      <c r="AO783" s="565"/>
      <c r="AP783" s="565"/>
      <c r="AQ783" s="565"/>
      <c r="AR783" s="565"/>
      <c r="AS783" s="565"/>
      <c r="AT783" s="565"/>
      <c r="AU783" s="181"/>
      <c r="AV783" s="558"/>
    </row>
    <row r="784" ht="11.25" customHeight="1">
      <c r="A784" s="565"/>
      <c r="B784" s="181"/>
      <c r="C784" s="565"/>
      <c r="D784" s="565"/>
      <c r="E784" s="565"/>
      <c r="F784" s="565"/>
      <c r="G784" s="565"/>
      <c r="H784" s="565"/>
      <c r="I784" s="565"/>
      <c r="J784" s="565"/>
      <c r="K784" s="565"/>
      <c r="L784" s="565"/>
      <c r="M784" s="565"/>
      <c r="N784" s="565"/>
      <c r="O784" s="565"/>
      <c r="P784" s="565"/>
      <c r="Q784" s="565"/>
      <c r="R784" s="565"/>
      <c r="S784" s="565"/>
      <c r="T784" s="565"/>
      <c r="U784" s="565"/>
      <c r="V784" s="565"/>
      <c r="W784" s="565"/>
      <c r="X784" s="565"/>
      <c r="Y784" s="565"/>
      <c r="Z784" s="565"/>
      <c r="AA784" s="565"/>
      <c r="AB784" s="565"/>
      <c r="AC784" s="565"/>
      <c r="AD784" s="565"/>
      <c r="AE784" s="565"/>
      <c r="AF784" s="565"/>
      <c r="AG784" s="565"/>
      <c r="AH784" s="565"/>
      <c r="AI784" s="565"/>
      <c r="AJ784" s="565"/>
      <c r="AK784" s="565"/>
      <c r="AL784" s="565"/>
      <c r="AM784" s="565"/>
      <c r="AN784" s="565"/>
      <c r="AO784" s="565"/>
      <c r="AP784" s="565"/>
      <c r="AQ784" s="565"/>
      <c r="AR784" s="565"/>
      <c r="AS784" s="565"/>
      <c r="AT784" s="565"/>
      <c r="AU784" s="181"/>
      <c r="AV784" s="558"/>
    </row>
    <row r="785" ht="11.25" customHeight="1">
      <c r="A785" s="565"/>
      <c r="B785" s="181"/>
      <c r="C785" s="565"/>
      <c r="D785" s="565"/>
      <c r="E785" s="565"/>
      <c r="F785" s="565"/>
      <c r="G785" s="565"/>
      <c r="H785" s="565"/>
      <c r="I785" s="565"/>
      <c r="J785" s="565"/>
      <c r="K785" s="565"/>
      <c r="L785" s="565"/>
      <c r="M785" s="565"/>
      <c r="N785" s="565"/>
      <c r="O785" s="565"/>
      <c r="P785" s="565"/>
      <c r="Q785" s="565"/>
      <c r="R785" s="565"/>
      <c r="S785" s="565"/>
      <c r="T785" s="565"/>
      <c r="U785" s="565"/>
      <c r="V785" s="565"/>
      <c r="W785" s="565"/>
      <c r="X785" s="565"/>
      <c r="Y785" s="565"/>
      <c r="Z785" s="565"/>
      <c r="AA785" s="565"/>
      <c r="AB785" s="565"/>
      <c r="AC785" s="565"/>
      <c r="AD785" s="565"/>
      <c r="AE785" s="565"/>
      <c r="AF785" s="565"/>
      <c r="AG785" s="565"/>
      <c r="AH785" s="565"/>
      <c r="AI785" s="565"/>
      <c r="AJ785" s="565"/>
      <c r="AK785" s="565"/>
      <c r="AL785" s="565"/>
      <c r="AM785" s="565"/>
      <c r="AN785" s="565"/>
      <c r="AO785" s="565"/>
      <c r="AP785" s="565"/>
      <c r="AQ785" s="565"/>
      <c r="AR785" s="565"/>
      <c r="AS785" s="565"/>
      <c r="AT785" s="565"/>
      <c r="AU785" s="181"/>
      <c r="AV785" s="558"/>
    </row>
    <row r="786" ht="11.25" customHeight="1">
      <c r="A786" s="565"/>
      <c r="B786" s="181"/>
      <c r="C786" s="565"/>
      <c r="D786" s="565"/>
      <c r="E786" s="565"/>
      <c r="F786" s="565"/>
      <c r="G786" s="565"/>
      <c r="H786" s="565"/>
      <c r="I786" s="565"/>
      <c r="J786" s="565"/>
      <c r="K786" s="565"/>
      <c r="L786" s="565"/>
      <c r="M786" s="565"/>
      <c r="N786" s="565"/>
      <c r="O786" s="565"/>
      <c r="P786" s="565"/>
      <c r="Q786" s="565"/>
      <c r="R786" s="565"/>
      <c r="S786" s="565"/>
      <c r="T786" s="565"/>
      <c r="U786" s="565"/>
      <c r="V786" s="565"/>
      <c r="W786" s="565"/>
      <c r="X786" s="565"/>
      <c r="Y786" s="565"/>
      <c r="Z786" s="565"/>
      <c r="AA786" s="565"/>
      <c r="AB786" s="565"/>
      <c r="AC786" s="565"/>
      <c r="AD786" s="565"/>
      <c r="AE786" s="565"/>
      <c r="AF786" s="565"/>
      <c r="AG786" s="565"/>
      <c r="AH786" s="565"/>
      <c r="AI786" s="565"/>
      <c r="AJ786" s="565"/>
      <c r="AK786" s="565"/>
      <c r="AL786" s="565"/>
      <c r="AM786" s="565"/>
      <c r="AN786" s="565"/>
      <c r="AO786" s="565"/>
      <c r="AP786" s="565"/>
      <c r="AQ786" s="565"/>
      <c r="AR786" s="565"/>
      <c r="AS786" s="565"/>
      <c r="AT786" s="565"/>
      <c r="AU786" s="181"/>
      <c r="AV786" s="558"/>
    </row>
    <row r="787" ht="11.25" customHeight="1">
      <c r="A787" s="565"/>
      <c r="B787" s="181"/>
      <c r="C787" s="565"/>
      <c r="D787" s="565"/>
      <c r="E787" s="565"/>
      <c r="F787" s="565"/>
      <c r="G787" s="565"/>
      <c r="H787" s="565"/>
      <c r="I787" s="565"/>
      <c r="J787" s="565"/>
      <c r="K787" s="565"/>
      <c r="L787" s="565"/>
      <c r="M787" s="565"/>
      <c r="N787" s="565"/>
      <c r="O787" s="565"/>
      <c r="P787" s="565"/>
      <c r="Q787" s="565"/>
      <c r="R787" s="565"/>
      <c r="S787" s="565"/>
      <c r="T787" s="565"/>
      <c r="U787" s="565"/>
      <c r="V787" s="565"/>
      <c r="W787" s="565"/>
      <c r="X787" s="565"/>
      <c r="Y787" s="565"/>
      <c r="Z787" s="565"/>
      <c r="AA787" s="565"/>
      <c r="AB787" s="565"/>
      <c r="AC787" s="565"/>
      <c r="AD787" s="565"/>
      <c r="AE787" s="565"/>
      <c r="AF787" s="565"/>
      <c r="AG787" s="565"/>
      <c r="AH787" s="565"/>
      <c r="AI787" s="565"/>
      <c r="AJ787" s="565"/>
      <c r="AK787" s="565"/>
      <c r="AL787" s="565"/>
      <c r="AM787" s="565"/>
      <c r="AN787" s="565"/>
      <c r="AO787" s="565"/>
      <c r="AP787" s="565"/>
      <c r="AQ787" s="565"/>
      <c r="AR787" s="565"/>
      <c r="AS787" s="565"/>
      <c r="AT787" s="565"/>
      <c r="AU787" s="181"/>
      <c r="AV787" s="558"/>
    </row>
    <row r="788" ht="11.25" customHeight="1">
      <c r="A788" s="565"/>
      <c r="B788" s="181"/>
      <c r="C788" s="565"/>
      <c r="D788" s="565"/>
      <c r="E788" s="565"/>
      <c r="F788" s="565"/>
      <c r="G788" s="565"/>
      <c r="H788" s="565"/>
      <c r="I788" s="565"/>
      <c r="J788" s="565"/>
      <c r="K788" s="565"/>
      <c r="L788" s="565"/>
      <c r="M788" s="565"/>
      <c r="N788" s="565"/>
      <c r="O788" s="565"/>
      <c r="P788" s="565"/>
      <c r="Q788" s="565"/>
      <c r="R788" s="565"/>
      <c r="S788" s="565"/>
      <c r="T788" s="565"/>
      <c r="U788" s="565"/>
      <c r="V788" s="565"/>
      <c r="W788" s="565"/>
      <c r="X788" s="565"/>
      <c r="Y788" s="565"/>
      <c r="Z788" s="565"/>
      <c r="AA788" s="565"/>
      <c r="AB788" s="565"/>
      <c r="AC788" s="565"/>
      <c r="AD788" s="565"/>
      <c r="AE788" s="565"/>
      <c r="AF788" s="565"/>
      <c r="AG788" s="565"/>
      <c r="AH788" s="565"/>
      <c r="AI788" s="565"/>
      <c r="AJ788" s="565"/>
      <c r="AK788" s="565"/>
      <c r="AL788" s="565"/>
      <c r="AM788" s="565"/>
      <c r="AN788" s="565"/>
      <c r="AO788" s="565"/>
      <c r="AP788" s="565"/>
      <c r="AQ788" s="565"/>
      <c r="AR788" s="565"/>
      <c r="AS788" s="565"/>
      <c r="AT788" s="565"/>
      <c r="AU788" s="181"/>
      <c r="AV788" s="558"/>
    </row>
    <row r="789" ht="11.25" customHeight="1">
      <c r="A789" s="565"/>
      <c r="B789" s="181"/>
      <c r="C789" s="565"/>
      <c r="D789" s="565"/>
      <c r="E789" s="565"/>
      <c r="F789" s="565"/>
      <c r="G789" s="565"/>
      <c r="H789" s="565"/>
      <c r="I789" s="565"/>
      <c r="J789" s="565"/>
      <c r="K789" s="565"/>
      <c r="L789" s="565"/>
      <c r="M789" s="565"/>
      <c r="N789" s="565"/>
      <c r="O789" s="565"/>
      <c r="P789" s="565"/>
      <c r="Q789" s="565"/>
      <c r="R789" s="565"/>
      <c r="S789" s="565"/>
      <c r="T789" s="565"/>
      <c r="U789" s="565"/>
      <c r="V789" s="565"/>
      <c r="W789" s="565"/>
      <c r="X789" s="565"/>
      <c r="Y789" s="565"/>
      <c r="Z789" s="565"/>
      <c r="AA789" s="565"/>
      <c r="AB789" s="565"/>
      <c r="AC789" s="565"/>
      <c r="AD789" s="565"/>
      <c r="AE789" s="565"/>
      <c r="AF789" s="565"/>
      <c r="AG789" s="565"/>
      <c r="AH789" s="565"/>
      <c r="AI789" s="565"/>
      <c r="AJ789" s="565"/>
      <c r="AK789" s="565"/>
      <c r="AL789" s="565"/>
      <c r="AM789" s="565"/>
      <c r="AN789" s="565"/>
      <c r="AO789" s="565"/>
      <c r="AP789" s="565"/>
      <c r="AQ789" s="565"/>
      <c r="AR789" s="565"/>
      <c r="AS789" s="565"/>
      <c r="AT789" s="565"/>
      <c r="AU789" s="181"/>
      <c r="AV789" s="558"/>
    </row>
    <row r="790" ht="11.25" customHeight="1">
      <c r="A790" s="565"/>
      <c r="B790" s="181"/>
      <c r="C790" s="565"/>
      <c r="D790" s="565"/>
      <c r="E790" s="565"/>
      <c r="F790" s="565"/>
      <c r="G790" s="565"/>
      <c r="H790" s="565"/>
      <c r="I790" s="565"/>
      <c r="J790" s="565"/>
      <c r="K790" s="565"/>
      <c r="L790" s="565"/>
      <c r="M790" s="565"/>
      <c r="N790" s="565"/>
      <c r="O790" s="565"/>
      <c r="P790" s="565"/>
      <c r="Q790" s="565"/>
      <c r="R790" s="565"/>
      <c r="S790" s="565"/>
      <c r="T790" s="565"/>
      <c r="U790" s="565"/>
      <c r="V790" s="565"/>
      <c r="W790" s="565"/>
      <c r="X790" s="565"/>
      <c r="Y790" s="565"/>
      <c r="Z790" s="565"/>
      <c r="AA790" s="565"/>
      <c r="AB790" s="565"/>
      <c r="AC790" s="565"/>
      <c r="AD790" s="565"/>
      <c r="AE790" s="565"/>
      <c r="AF790" s="565"/>
      <c r="AG790" s="565"/>
      <c r="AH790" s="565"/>
      <c r="AI790" s="565"/>
      <c r="AJ790" s="565"/>
      <c r="AK790" s="565"/>
      <c r="AL790" s="565"/>
      <c r="AM790" s="565"/>
      <c r="AN790" s="565"/>
      <c r="AO790" s="565"/>
      <c r="AP790" s="565"/>
      <c r="AQ790" s="565"/>
      <c r="AR790" s="565"/>
      <c r="AS790" s="565"/>
      <c r="AT790" s="565"/>
      <c r="AU790" s="181"/>
      <c r="AV790" s="558"/>
    </row>
    <row r="791" ht="11.25" customHeight="1">
      <c r="A791" s="565"/>
      <c r="B791" s="181"/>
      <c r="C791" s="565"/>
      <c r="D791" s="565"/>
      <c r="E791" s="565"/>
      <c r="F791" s="565"/>
      <c r="G791" s="565"/>
      <c r="H791" s="565"/>
      <c r="I791" s="565"/>
      <c r="J791" s="565"/>
      <c r="K791" s="565"/>
      <c r="L791" s="565"/>
      <c r="M791" s="565"/>
      <c r="N791" s="565"/>
      <c r="O791" s="565"/>
      <c r="P791" s="565"/>
      <c r="Q791" s="565"/>
      <c r="R791" s="565"/>
      <c r="S791" s="565"/>
      <c r="T791" s="565"/>
      <c r="U791" s="565"/>
      <c r="V791" s="565"/>
      <c r="W791" s="565"/>
      <c r="X791" s="565"/>
      <c r="Y791" s="565"/>
      <c r="Z791" s="565"/>
      <c r="AA791" s="565"/>
      <c r="AB791" s="565"/>
      <c r="AC791" s="565"/>
      <c r="AD791" s="565"/>
      <c r="AE791" s="565"/>
      <c r="AF791" s="565"/>
      <c r="AG791" s="565"/>
      <c r="AH791" s="565"/>
      <c r="AI791" s="565"/>
      <c r="AJ791" s="565"/>
      <c r="AK791" s="565"/>
      <c r="AL791" s="565"/>
      <c r="AM791" s="565"/>
      <c r="AN791" s="565"/>
      <c r="AO791" s="565"/>
      <c r="AP791" s="565"/>
      <c r="AQ791" s="565"/>
      <c r="AR791" s="565"/>
      <c r="AS791" s="565"/>
      <c r="AT791" s="565"/>
      <c r="AU791" s="181"/>
      <c r="AV791" s="558"/>
    </row>
    <row r="792" ht="11.25" customHeight="1">
      <c r="A792" s="565"/>
      <c r="B792" s="181"/>
      <c r="C792" s="565"/>
      <c r="D792" s="565"/>
      <c r="E792" s="565"/>
      <c r="F792" s="565"/>
      <c r="G792" s="565"/>
      <c r="H792" s="565"/>
      <c r="I792" s="565"/>
      <c r="J792" s="565"/>
      <c r="K792" s="565"/>
      <c r="L792" s="565"/>
      <c r="M792" s="565"/>
      <c r="N792" s="565"/>
      <c r="O792" s="565"/>
      <c r="P792" s="565"/>
      <c r="Q792" s="565"/>
      <c r="R792" s="565"/>
      <c r="S792" s="565"/>
      <c r="T792" s="565"/>
      <c r="U792" s="565"/>
      <c r="V792" s="565"/>
      <c r="W792" s="565"/>
      <c r="X792" s="565"/>
      <c r="Y792" s="565"/>
      <c r="Z792" s="565"/>
      <c r="AA792" s="565"/>
      <c r="AB792" s="565"/>
      <c r="AC792" s="565"/>
      <c r="AD792" s="565"/>
      <c r="AE792" s="565"/>
      <c r="AF792" s="565"/>
      <c r="AG792" s="565"/>
      <c r="AH792" s="565"/>
      <c r="AI792" s="565"/>
      <c r="AJ792" s="565"/>
      <c r="AK792" s="565"/>
      <c r="AL792" s="565"/>
      <c r="AM792" s="565"/>
      <c r="AN792" s="565"/>
      <c r="AO792" s="565"/>
      <c r="AP792" s="565"/>
      <c r="AQ792" s="565"/>
      <c r="AR792" s="565"/>
      <c r="AS792" s="565"/>
      <c r="AT792" s="565"/>
      <c r="AU792" s="181"/>
      <c r="AV792" s="558"/>
    </row>
    <row r="793" ht="11.25" customHeight="1">
      <c r="A793" s="565"/>
      <c r="B793" s="181"/>
      <c r="C793" s="565"/>
      <c r="D793" s="565"/>
      <c r="E793" s="565"/>
      <c r="F793" s="565"/>
      <c r="G793" s="565"/>
      <c r="H793" s="565"/>
      <c r="I793" s="565"/>
      <c r="J793" s="565"/>
      <c r="K793" s="565"/>
      <c r="L793" s="565"/>
      <c r="M793" s="565"/>
      <c r="N793" s="565"/>
      <c r="O793" s="565"/>
      <c r="P793" s="565"/>
      <c r="Q793" s="565"/>
      <c r="R793" s="565"/>
      <c r="S793" s="565"/>
      <c r="T793" s="565"/>
      <c r="U793" s="565"/>
      <c r="V793" s="565"/>
      <c r="W793" s="565"/>
      <c r="X793" s="565"/>
      <c r="Y793" s="565"/>
      <c r="Z793" s="565"/>
      <c r="AA793" s="565"/>
      <c r="AB793" s="565"/>
      <c r="AC793" s="565"/>
      <c r="AD793" s="565"/>
      <c r="AE793" s="565"/>
      <c r="AF793" s="565"/>
      <c r="AG793" s="565"/>
      <c r="AH793" s="565"/>
      <c r="AI793" s="565"/>
      <c r="AJ793" s="565"/>
      <c r="AK793" s="565"/>
      <c r="AL793" s="565"/>
      <c r="AM793" s="565"/>
      <c r="AN793" s="565"/>
      <c r="AO793" s="565"/>
      <c r="AP793" s="565"/>
      <c r="AQ793" s="565"/>
      <c r="AR793" s="565"/>
      <c r="AS793" s="565"/>
      <c r="AT793" s="565"/>
      <c r="AU793" s="181"/>
      <c r="AV793" s="558"/>
    </row>
    <row r="794" ht="11.25" customHeight="1">
      <c r="A794" s="565"/>
      <c r="B794" s="181"/>
      <c r="C794" s="565"/>
      <c r="D794" s="565"/>
      <c r="E794" s="565"/>
      <c r="F794" s="565"/>
      <c r="G794" s="565"/>
      <c r="H794" s="565"/>
      <c r="I794" s="565"/>
      <c r="J794" s="565"/>
      <c r="K794" s="565"/>
      <c r="L794" s="565"/>
      <c r="M794" s="565"/>
      <c r="N794" s="565"/>
      <c r="O794" s="565"/>
      <c r="P794" s="565"/>
      <c r="Q794" s="565"/>
      <c r="R794" s="565"/>
      <c r="S794" s="565"/>
      <c r="T794" s="565"/>
      <c r="U794" s="565"/>
      <c r="V794" s="565"/>
      <c r="W794" s="565"/>
      <c r="X794" s="565"/>
      <c r="Y794" s="565"/>
      <c r="Z794" s="565"/>
      <c r="AA794" s="565"/>
      <c r="AB794" s="565"/>
      <c r="AC794" s="565"/>
      <c r="AD794" s="565"/>
      <c r="AE794" s="565"/>
      <c r="AF794" s="565"/>
      <c r="AG794" s="565"/>
      <c r="AH794" s="565"/>
      <c r="AI794" s="565"/>
      <c r="AJ794" s="565"/>
      <c r="AK794" s="565"/>
      <c r="AL794" s="565"/>
      <c r="AM794" s="565"/>
      <c r="AN794" s="565"/>
      <c r="AO794" s="565"/>
      <c r="AP794" s="565"/>
      <c r="AQ794" s="565"/>
      <c r="AR794" s="565"/>
      <c r="AS794" s="565"/>
      <c r="AT794" s="565"/>
      <c r="AU794" s="181"/>
      <c r="AV794" s="558"/>
    </row>
    <row r="795" ht="11.25" customHeight="1">
      <c r="A795" s="565"/>
      <c r="B795" s="181"/>
      <c r="C795" s="565"/>
      <c r="D795" s="565"/>
      <c r="E795" s="565"/>
      <c r="F795" s="565"/>
      <c r="G795" s="565"/>
      <c r="H795" s="565"/>
      <c r="I795" s="565"/>
      <c r="J795" s="565"/>
      <c r="K795" s="565"/>
      <c r="L795" s="565"/>
      <c r="M795" s="565"/>
      <c r="N795" s="565"/>
      <c r="O795" s="565"/>
      <c r="P795" s="565"/>
      <c r="Q795" s="565"/>
      <c r="R795" s="565"/>
      <c r="S795" s="565"/>
      <c r="T795" s="565"/>
      <c r="U795" s="565"/>
      <c r="V795" s="565"/>
      <c r="W795" s="565"/>
      <c r="X795" s="565"/>
      <c r="Y795" s="565"/>
      <c r="Z795" s="565"/>
      <c r="AA795" s="565"/>
      <c r="AB795" s="565"/>
      <c r="AC795" s="565"/>
      <c r="AD795" s="565"/>
      <c r="AE795" s="565"/>
      <c r="AF795" s="565"/>
      <c r="AG795" s="565"/>
      <c r="AH795" s="565"/>
      <c r="AI795" s="565"/>
      <c r="AJ795" s="565"/>
      <c r="AK795" s="565"/>
      <c r="AL795" s="565"/>
      <c r="AM795" s="565"/>
      <c r="AN795" s="565"/>
      <c r="AO795" s="565"/>
      <c r="AP795" s="565"/>
      <c r="AQ795" s="565"/>
      <c r="AR795" s="565"/>
      <c r="AS795" s="565"/>
      <c r="AT795" s="565"/>
      <c r="AU795" s="181"/>
      <c r="AV795" s="558"/>
    </row>
    <row r="796" ht="11.25" customHeight="1">
      <c r="A796" s="565"/>
      <c r="B796" s="181"/>
      <c r="C796" s="565"/>
      <c r="D796" s="565"/>
      <c r="E796" s="565"/>
      <c r="F796" s="565"/>
      <c r="G796" s="565"/>
      <c r="H796" s="565"/>
      <c r="I796" s="565"/>
      <c r="J796" s="565"/>
      <c r="K796" s="565"/>
      <c r="L796" s="565"/>
      <c r="M796" s="565"/>
      <c r="N796" s="565"/>
      <c r="O796" s="565"/>
      <c r="P796" s="565"/>
      <c r="Q796" s="565"/>
      <c r="R796" s="565"/>
      <c r="S796" s="565"/>
      <c r="T796" s="565"/>
      <c r="U796" s="565"/>
      <c r="V796" s="565"/>
      <c r="W796" s="565"/>
      <c r="X796" s="565"/>
      <c r="Y796" s="565"/>
      <c r="Z796" s="565"/>
      <c r="AA796" s="565"/>
      <c r="AB796" s="565"/>
      <c r="AC796" s="565"/>
      <c r="AD796" s="565"/>
      <c r="AE796" s="565"/>
      <c r="AF796" s="565"/>
      <c r="AG796" s="565"/>
      <c r="AH796" s="565"/>
      <c r="AI796" s="565"/>
      <c r="AJ796" s="565"/>
      <c r="AK796" s="565"/>
      <c r="AL796" s="565"/>
      <c r="AM796" s="565"/>
      <c r="AN796" s="565"/>
      <c r="AO796" s="565"/>
      <c r="AP796" s="565"/>
      <c r="AQ796" s="565"/>
      <c r="AR796" s="565"/>
      <c r="AS796" s="565"/>
      <c r="AT796" s="565"/>
      <c r="AU796" s="181"/>
      <c r="AV796" s="558"/>
    </row>
    <row r="797" ht="11.25" customHeight="1">
      <c r="A797" s="565"/>
      <c r="B797" s="181"/>
      <c r="C797" s="565"/>
      <c r="D797" s="565"/>
      <c r="E797" s="565"/>
      <c r="F797" s="565"/>
      <c r="G797" s="565"/>
      <c r="H797" s="565"/>
      <c r="I797" s="565"/>
      <c r="J797" s="565"/>
      <c r="K797" s="565"/>
      <c r="L797" s="565"/>
      <c r="M797" s="565"/>
      <c r="N797" s="565"/>
      <c r="O797" s="565"/>
      <c r="P797" s="565"/>
      <c r="Q797" s="565"/>
      <c r="R797" s="565"/>
      <c r="S797" s="565"/>
      <c r="T797" s="565"/>
      <c r="U797" s="565"/>
      <c r="V797" s="565"/>
      <c r="W797" s="565"/>
      <c r="X797" s="565"/>
      <c r="Y797" s="565"/>
      <c r="Z797" s="565"/>
      <c r="AA797" s="565"/>
      <c r="AB797" s="565"/>
      <c r="AC797" s="565"/>
      <c r="AD797" s="565"/>
      <c r="AE797" s="565"/>
      <c r="AF797" s="565"/>
      <c r="AG797" s="565"/>
      <c r="AH797" s="565"/>
      <c r="AI797" s="565"/>
      <c r="AJ797" s="565"/>
      <c r="AK797" s="565"/>
      <c r="AL797" s="565"/>
      <c r="AM797" s="565"/>
      <c r="AN797" s="565"/>
      <c r="AO797" s="565"/>
      <c r="AP797" s="565"/>
      <c r="AQ797" s="565"/>
      <c r="AR797" s="565"/>
      <c r="AS797" s="565"/>
      <c r="AT797" s="565"/>
      <c r="AU797" s="181"/>
      <c r="AV797" s="558"/>
    </row>
    <row r="798" ht="11.25" customHeight="1">
      <c r="A798" s="565"/>
      <c r="B798" s="181"/>
      <c r="C798" s="565"/>
      <c r="D798" s="565"/>
      <c r="E798" s="565"/>
      <c r="F798" s="565"/>
      <c r="G798" s="565"/>
      <c r="H798" s="565"/>
      <c r="I798" s="565"/>
      <c r="J798" s="565"/>
      <c r="K798" s="565"/>
      <c r="L798" s="565"/>
      <c r="M798" s="565"/>
      <c r="N798" s="565"/>
      <c r="O798" s="565"/>
      <c r="P798" s="565"/>
      <c r="Q798" s="565"/>
      <c r="R798" s="565"/>
      <c r="S798" s="565"/>
      <c r="T798" s="565"/>
      <c r="U798" s="565"/>
      <c r="V798" s="565"/>
      <c r="W798" s="565"/>
      <c r="X798" s="565"/>
      <c r="Y798" s="565"/>
      <c r="Z798" s="565"/>
      <c r="AA798" s="565"/>
      <c r="AB798" s="565"/>
      <c r="AC798" s="565"/>
      <c r="AD798" s="565"/>
      <c r="AE798" s="565"/>
      <c r="AF798" s="565"/>
      <c r="AG798" s="565"/>
      <c r="AH798" s="565"/>
      <c r="AI798" s="565"/>
      <c r="AJ798" s="565"/>
      <c r="AK798" s="565"/>
      <c r="AL798" s="565"/>
      <c r="AM798" s="565"/>
      <c r="AN798" s="565"/>
      <c r="AO798" s="565"/>
      <c r="AP798" s="565"/>
      <c r="AQ798" s="565"/>
      <c r="AR798" s="565"/>
      <c r="AS798" s="565"/>
      <c r="AT798" s="565"/>
      <c r="AU798" s="181"/>
      <c r="AV798" s="558"/>
    </row>
    <row r="799" ht="11.25" customHeight="1">
      <c r="A799" s="565"/>
      <c r="B799" s="181"/>
      <c r="C799" s="565"/>
      <c r="D799" s="565"/>
      <c r="E799" s="565"/>
      <c r="F799" s="565"/>
      <c r="G799" s="565"/>
      <c r="H799" s="565"/>
      <c r="I799" s="565"/>
      <c r="J799" s="565"/>
      <c r="K799" s="565"/>
      <c r="L799" s="565"/>
      <c r="M799" s="565"/>
      <c r="N799" s="565"/>
      <c r="O799" s="565"/>
      <c r="P799" s="565"/>
      <c r="Q799" s="565"/>
      <c r="R799" s="565"/>
      <c r="S799" s="565"/>
      <c r="T799" s="565"/>
      <c r="U799" s="565"/>
      <c r="V799" s="565"/>
      <c r="W799" s="565"/>
      <c r="X799" s="565"/>
      <c r="Y799" s="565"/>
      <c r="Z799" s="565"/>
      <c r="AA799" s="565"/>
      <c r="AB799" s="565"/>
      <c r="AC799" s="565"/>
      <c r="AD799" s="565"/>
      <c r="AE799" s="565"/>
      <c r="AF799" s="565"/>
      <c r="AG799" s="565"/>
      <c r="AH799" s="565"/>
      <c r="AI799" s="565"/>
      <c r="AJ799" s="565"/>
      <c r="AK799" s="565"/>
      <c r="AL799" s="565"/>
      <c r="AM799" s="565"/>
      <c r="AN799" s="565"/>
      <c r="AO799" s="565"/>
      <c r="AP799" s="565"/>
      <c r="AQ799" s="565"/>
      <c r="AR799" s="565"/>
      <c r="AS799" s="565"/>
      <c r="AT799" s="565"/>
      <c r="AU799" s="181"/>
      <c r="AV799" s="558"/>
    </row>
    <row r="800" ht="11.25" customHeight="1">
      <c r="A800" s="565"/>
      <c r="B800" s="181"/>
      <c r="C800" s="565"/>
      <c r="D800" s="565"/>
      <c r="E800" s="565"/>
      <c r="F800" s="565"/>
      <c r="G800" s="565"/>
      <c r="H800" s="565"/>
      <c r="I800" s="565"/>
      <c r="J800" s="565"/>
      <c r="K800" s="565"/>
      <c r="L800" s="565"/>
      <c r="M800" s="565"/>
      <c r="N800" s="565"/>
      <c r="O800" s="565"/>
      <c r="P800" s="565"/>
      <c r="Q800" s="565"/>
      <c r="R800" s="565"/>
      <c r="S800" s="565"/>
      <c r="T800" s="565"/>
      <c r="U800" s="565"/>
      <c r="V800" s="565"/>
      <c r="W800" s="565"/>
      <c r="X800" s="565"/>
      <c r="Y800" s="565"/>
      <c r="Z800" s="565"/>
      <c r="AA800" s="565"/>
      <c r="AB800" s="565"/>
      <c r="AC800" s="565"/>
      <c r="AD800" s="565"/>
      <c r="AE800" s="565"/>
      <c r="AF800" s="565"/>
      <c r="AG800" s="565"/>
      <c r="AH800" s="565"/>
      <c r="AI800" s="565"/>
      <c r="AJ800" s="565"/>
      <c r="AK800" s="565"/>
      <c r="AL800" s="565"/>
      <c r="AM800" s="565"/>
      <c r="AN800" s="565"/>
      <c r="AO800" s="565"/>
      <c r="AP800" s="565"/>
      <c r="AQ800" s="565"/>
      <c r="AR800" s="565"/>
      <c r="AS800" s="565"/>
      <c r="AT800" s="565"/>
      <c r="AU800" s="181"/>
      <c r="AV800" s="558"/>
    </row>
    <row r="801" ht="11.25" customHeight="1">
      <c r="A801" s="565"/>
      <c r="B801" s="181"/>
      <c r="C801" s="565"/>
      <c r="D801" s="565"/>
      <c r="E801" s="565"/>
      <c r="F801" s="565"/>
      <c r="G801" s="565"/>
      <c r="H801" s="565"/>
      <c r="I801" s="565"/>
      <c r="J801" s="565"/>
      <c r="K801" s="565"/>
      <c r="L801" s="565"/>
      <c r="M801" s="565"/>
      <c r="N801" s="565"/>
      <c r="O801" s="565"/>
      <c r="P801" s="565"/>
      <c r="Q801" s="565"/>
      <c r="R801" s="565"/>
      <c r="S801" s="565"/>
      <c r="T801" s="565"/>
      <c r="U801" s="565"/>
      <c r="V801" s="565"/>
      <c r="W801" s="565"/>
      <c r="X801" s="565"/>
      <c r="Y801" s="565"/>
      <c r="Z801" s="565"/>
      <c r="AA801" s="565"/>
      <c r="AB801" s="565"/>
      <c r="AC801" s="565"/>
      <c r="AD801" s="565"/>
      <c r="AE801" s="565"/>
      <c r="AF801" s="565"/>
      <c r="AG801" s="565"/>
      <c r="AH801" s="565"/>
      <c r="AI801" s="565"/>
      <c r="AJ801" s="565"/>
      <c r="AK801" s="565"/>
      <c r="AL801" s="565"/>
      <c r="AM801" s="565"/>
      <c r="AN801" s="565"/>
      <c r="AO801" s="565"/>
      <c r="AP801" s="565"/>
      <c r="AQ801" s="565"/>
      <c r="AR801" s="565"/>
      <c r="AS801" s="565"/>
      <c r="AT801" s="565"/>
      <c r="AU801" s="181"/>
      <c r="AV801" s="558"/>
    </row>
    <row r="802" ht="11.25" customHeight="1">
      <c r="A802" s="565"/>
      <c r="B802" s="181"/>
      <c r="C802" s="565"/>
      <c r="D802" s="565"/>
      <c r="E802" s="565"/>
      <c r="F802" s="565"/>
      <c r="G802" s="565"/>
      <c r="H802" s="565"/>
      <c r="I802" s="565"/>
      <c r="J802" s="565"/>
      <c r="K802" s="565"/>
      <c r="L802" s="565"/>
      <c r="M802" s="565"/>
      <c r="N802" s="565"/>
      <c r="O802" s="565"/>
      <c r="P802" s="565"/>
      <c r="Q802" s="565"/>
      <c r="R802" s="565"/>
      <c r="S802" s="565"/>
      <c r="T802" s="565"/>
      <c r="U802" s="565"/>
      <c r="V802" s="565"/>
      <c r="W802" s="565"/>
      <c r="X802" s="565"/>
      <c r="Y802" s="565"/>
      <c r="Z802" s="565"/>
      <c r="AA802" s="565"/>
      <c r="AB802" s="565"/>
      <c r="AC802" s="565"/>
      <c r="AD802" s="565"/>
      <c r="AE802" s="565"/>
      <c r="AF802" s="565"/>
      <c r="AG802" s="565"/>
      <c r="AH802" s="565"/>
      <c r="AI802" s="565"/>
      <c r="AJ802" s="565"/>
      <c r="AK802" s="565"/>
      <c r="AL802" s="565"/>
      <c r="AM802" s="565"/>
      <c r="AN802" s="565"/>
      <c r="AO802" s="565"/>
      <c r="AP802" s="565"/>
      <c r="AQ802" s="565"/>
      <c r="AR802" s="565"/>
      <c r="AS802" s="565"/>
      <c r="AT802" s="565"/>
      <c r="AU802" s="181"/>
      <c r="AV802" s="558"/>
    </row>
    <row r="803" ht="11.25" customHeight="1">
      <c r="A803" s="565"/>
      <c r="B803" s="181"/>
      <c r="C803" s="565"/>
      <c r="D803" s="565"/>
      <c r="E803" s="565"/>
      <c r="F803" s="565"/>
      <c r="G803" s="565"/>
      <c r="H803" s="565"/>
      <c r="I803" s="565"/>
      <c r="J803" s="565"/>
      <c r="K803" s="565"/>
      <c r="L803" s="565"/>
      <c r="M803" s="565"/>
      <c r="N803" s="565"/>
      <c r="O803" s="565"/>
      <c r="P803" s="565"/>
      <c r="Q803" s="565"/>
      <c r="R803" s="565"/>
      <c r="S803" s="565"/>
      <c r="T803" s="565"/>
      <c r="U803" s="565"/>
      <c r="V803" s="565"/>
      <c r="W803" s="565"/>
      <c r="X803" s="565"/>
      <c r="Y803" s="565"/>
      <c r="Z803" s="565"/>
      <c r="AA803" s="565"/>
      <c r="AB803" s="565"/>
      <c r="AC803" s="565"/>
      <c r="AD803" s="565"/>
      <c r="AE803" s="565"/>
      <c r="AF803" s="565"/>
      <c r="AG803" s="565"/>
      <c r="AH803" s="565"/>
      <c r="AI803" s="565"/>
      <c r="AJ803" s="565"/>
      <c r="AK803" s="565"/>
      <c r="AL803" s="565"/>
      <c r="AM803" s="565"/>
      <c r="AN803" s="565"/>
      <c r="AO803" s="565"/>
      <c r="AP803" s="565"/>
      <c r="AQ803" s="565"/>
      <c r="AR803" s="565"/>
      <c r="AS803" s="565"/>
      <c r="AT803" s="565"/>
      <c r="AU803" s="181"/>
      <c r="AV803" s="558"/>
    </row>
    <row r="804" ht="11.25" customHeight="1">
      <c r="A804" s="565"/>
      <c r="B804" s="181"/>
      <c r="C804" s="565"/>
      <c r="D804" s="565"/>
      <c r="E804" s="565"/>
      <c r="F804" s="565"/>
      <c r="G804" s="565"/>
      <c r="H804" s="565"/>
      <c r="I804" s="565"/>
      <c r="J804" s="565"/>
      <c r="K804" s="565"/>
      <c r="L804" s="565"/>
      <c r="M804" s="565"/>
      <c r="N804" s="565"/>
      <c r="O804" s="565"/>
      <c r="P804" s="565"/>
      <c r="Q804" s="565"/>
      <c r="R804" s="565"/>
      <c r="S804" s="565"/>
      <c r="T804" s="565"/>
      <c r="U804" s="565"/>
      <c r="V804" s="565"/>
      <c r="W804" s="565"/>
      <c r="X804" s="565"/>
      <c r="Y804" s="565"/>
      <c r="Z804" s="565"/>
      <c r="AA804" s="565"/>
      <c r="AB804" s="565"/>
      <c r="AC804" s="565"/>
      <c r="AD804" s="565"/>
      <c r="AE804" s="565"/>
      <c r="AF804" s="565"/>
      <c r="AG804" s="565"/>
      <c r="AH804" s="565"/>
      <c r="AI804" s="565"/>
      <c r="AJ804" s="565"/>
      <c r="AK804" s="565"/>
      <c r="AL804" s="565"/>
      <c r="AM804" s="565"/>
      <c r="AN804" s="565"/>
      <c r="AO804" s="565"/>
      <c r="AP804" s="565"/>
      <c r="AQ804" s="565"/>
      <c r="AR804" s="565"/>
      <c r="AS804" s="565"/>
      <c r="AT804" s="565"/>
      <c r="AU804" s="181"/>
      <c r="AV804" s="558"/>
    </row>
    <row r="805" ht="11.25" customHeight="1">
      <c r="A805" s="565"/>
      <c r="B805" s="181"/>
      <c r="C805" s="565"/>
      <c r="D805" s="565"/>
      <c r="E805" s="565"/>
      <c r="F805" s="565"/>
      <c r="G805" s="565"/>
      <c r="H805" s="565"/>
      <c r="I805" s="565"/>
      <c r="J805" s="565"/>
      <c r="K805" s="565"/>
      <c r="L805" s="565"/>
      <c r="M805" s="565"/>
      <c r="N805" s="565"/>
      <c r="O805" s="565"/>
      <c r="P805" s="565"/>
      <c r="Q805" s="565"/>
      <c r="R805" s="565"/>
      <c r="S805" s="565"/>
      <c r="T805" s="565"/>
      <c r="U805" s="565"/>
      <c r="V805" s="565"/>
      <c r="W805" s="565"/>
      <c r="X805" s="565"/>
      <c r="Y805" s="565"/>
      <c r="Z805" s="565"/>
      <c r="AA805" s="565"/>
      <c r="AB805" s="565"/>
      <c r="AC805" s="565"/>
      <c r="AD805" s="565"/>
      <c r="AE805" s="565"/>
      <c r="AF805" s="565"/>
      <c r="AG805" s="565"/>
      <c r="AH805" s="565"/>
      <c r="AI805" s="565"/>
      <c r="AJ805" s="565"/>
      <c r="AK805" s="565"/>
      <c r="AL805" s="565"/>
      <c r="AM805" s="565"/>
      <c r="AN805" s="565"/>
      <c r="AO805" s="565"/>
      <c r="AP805" s="565"/>
      <c r="AQ805" s="565"/>
      <c r="AR805" s="565"/>
      <c r="AS805" s="565"/>
      <c r="AT805" s="565"/>
      <c r="AU805" s="181"/>
      <c r="AV805" s="558"/>
    </row>
    <row r="806" ht="11.25" customHeight="1">
      <c r="A806" s="565"/>
      <c r="B806" s="181"/>
      <c r="C806" s="565"/>
      <c r="D806" s="565"/>
      <c r="E806" s="565"/>
      <c r="F806" s="565"/>
      <c r="G806" s="565"/>
      <c r="H806" s="565"/>
      <c r="I806" s="565"/>
      <c r="J806" s="565"/>
      <c r="K806" s="565"/>
      <c r="L806" s="565"/>
      <c r="M806" s="565"/>
      <c r="N806" s="565"/>
      <c r="O806" s="565"/>
      <c r="P806" s="565"/>
      <c r="Q806" s="565"/>
      <c r="R806" s="565"/>
      <c r="S806" s="565"/>
      <c r="T806" s="565"/>
      <c r="U806" s="565"/>
      <c r="V806" s="565"/>
      <c r="W806" s="565"/>
      <c r="X806" s="565"/>
      <c r="Y806" s="565"/>
      <c r="Z806" s="565"/>
      <c r="AA806" s="565"/>
      <c r="AB806" s="565"/>
      <c r="AC806" s="565"/>
      <c r="AD806" s="565"/>
      <c r="AE806" s="565"/>
      <c r="AF806" s="565"/>
      <c r="AG806" s="565"/>
      <c r="AH806" s="565"/>
      <c r="AI806" s="565"/>
      <c r="AJ806" s="565"/>
      <c r="AK806" s="565"/>
      <c r="AL806" s="565"/>
      <c r="AM806" s="565"/>
      <c r="AN806" s="565"/>
      <c r="AO806" s="565"/>
      <c r="AP806" s="565"/>
      <c r="AQ806" s="565"/>
      <c r="AR806" s="565"/>
      <c r="AS806" s="565"/>
      <c r="AT806" s="565"/>
      <c r="AU806" s="181"/>
      <c r="AV806" s="558"/>
    </row>
    <row r="807" ht="11.25" customHeight="1">
      <c r="A807" s="565"/>
      <c r="B807" s="181"/>
      <c r="C807" s="565"/>
      <c r="D807" s="565"/>
      <c r="E807" s="565"/>
      <c r="F807" s="565"/>
      <c r="G807" s="565"/>
      <c r="H807" s="565"/>
      <c r="I807" s="565"/>
      <c r="J807" s="565"/>
      <c r="K807" s="565"/>
      <c r="L807" s="565"/>
      <c r="M807" s="565"/>
      <c r="N807" s="565"/>
      <c r="O807" s="565"/>
      <c r="P807" s="565"/>
      <c r="Q807" s="565"/>
      <c r="R807" s="565"/>
      <c r="S807" s="565"/>
      <c r="T807" s="565"/>
      <c r="U807" s="565"/>
      <c r="V807" s="565"/>
      <c r="W807" s="565"/>
      <c r="X807" s="565"/>
      <c r="Y807" s="565"/>
      <c r="Z807" s="565"/>
      <c r="AA807" s="565"/>
      <c r="AB807" s="565"/>
      <c r="AC807" s="565"/>
      <c r="AD807" s="565"/>
      <c r="AE807" s="565"/>
      <c r="AF807" s="565"/>
      <c r="AG807" s="565"/>
      <c r="AH807" s="565"/>
      <c r="AI807" s="565"/>
      <c r="AJ807" s="565"/>
      <c r="AK807" s="565"/>
      <c r="AL807" s="565"/>
      <c r="AM807" s="565"/>
      <c r="AN807" s="565"/>
      <c r="AO807" s="565"/>
      <c r="AP807" s="565"/>
      <c r="AQ807" s="565"/>
      <c r="AR807" s="565"/>
      <c r="AS807" s="565"/>
      <c r="AT807" s="565"/>
      <c r="AU807" s="181"/>
      <c r="AV807" s="558"/>
    </row>
    <row r="808" ht="11.25" customHeight="1">
      <c r="A808" s="565"/>
      <c r="B808" s="181"/>
      <c r="C808" s="565"/>
      <c r="D808" s="565"/>
      <c r="E808" s="565"/>
      <c r="F808" s="565"/>
      <c r="G808" s="565"/>
      <c r="H808" s="565"/>
      <c r="I808" s="565"/>
      <c r="J808" s="565"/>
      <c r="K808" s="565"/>
      <c r="L808" s="565"/>
      <c r="M808" s="565"/>
      <c r="N808" s="565"/>
      <c r="O808" s="565"/>
      <c r="P808" s="565"/>
      <c r="Q808" s="565"/>
      <c r="R808" s="565"/>
      <c r="S808" s="565"/>
      <c r="T808" s="565"/>
      <c r="U808" s="565"/>
      <c r="V808" s="565"/>
      <c r="W808" s="565"/>
      <c r="X808" s="565"/>
      <c r="Y808" s="565"/>
      <c r="Z808" s="565"/>
      <c r="AA808" s="565"/>
      <c r="AB808" s="565"/>
      <c r="AC808" s="565"/>
      <c r="AD808" s="565"/>
      <c r="AE808" s="565"/>
      <c r="AF808" s="565"/>
      <c r="AG808" s="565"/>
      <c r="AH808" s="565"/>
      <c r="AI808" s="565"/>
      <c r="AJ808" s="565"/>
      <c r="AK808" s="565"/>
      <c r="AL808" s="565"/>
      <c r="AM808" s="565"/>
      <c r="AN808" s="565"/>
      <c r="AO808" s="565"/>
      <c r="AP808" s="565"/>
      <c r="AQ808" s="565"/>
      <c r="AR808" s="565"/>
      <c r="AS808" s="565"/>
      <c r="AT808" s="565"/>
      <c r="AU808" s="181"/>
      <c r="AV808" s="558"/>
    </row>
    <row r="809" ht="11.25" customHeight="1">
      <c r="A809" s="565"/>
      <c r="B809" s="181"/>
      <c r="C809" s="565"/>
      <c r="D809" s="565"/>
      <c r="E809" s="565"/>
      <c r="F809" s="565"/>
      <c r="G809" s="565"/>
      <c r="H809" s="565"/>
      <c r="I809" s="565"/>
      <c r="J809" s="565"/>
      <c r="K809" s="565"/>
      <c r="L809" s="565"/>
      <c r="M809" s="565"/>
      <c r="N809" s="565"/>
      <c r="O809" s="565"/>
      <c r="P809" s="565"/>
      <c r="Q809" s="565"/>
      <c r="R809" s="565"/>
      <c r="S809" s="565"/>
      <c r="T809" s="565"/>
      <c r="U809" s="565"/>
      <c r="V809" s="565"/>
      <c r="W809" s="565"/>
      <c r="X809" s="565"/>
      <c r="Y809" s="565"/>
      <c r="Z809" s="565"/>
      <c r="AA809" s="565"/>
      <c r="AB809" s="565"/>
      <c r="AC809" s="565"/>
      <c r="AD809" s="565"/>
      <c r="AE809" s="565"/>
      <c r="AF809" s="565"/>
      <c r="AG809" s="565"/>
      <c r="AH809" s="565"/>
      <c r="AI809" s="565"/>
      <c r="AJ809" s="565"/>
      <c r="AK809" s="565"/>
      <c r="AL809" s="565"/>
      <c r="AM809" s="565"/>
      <c r="AN809" s="565"/>
      <c r="AO809" s="565"/>
      <c r="AP809" s="565"/>
      <c r="AQ809" s="565"/>
      <c r="AR809" s="565"/>
      <c r="AS809" s="565"/>
      <c r="AT809" s="565"/>
      <c r="AU809" s="181"/>
      <c r="AV809" s="558"/>
    </row>
    <row r="810" ht="11.25" customHeight="1">
      <c r="A810" s="565"/>
      <c r="B810" s="181"/>
      <c r="C810" s="565"/>
      <c r="D810" s="565"/>
      <c r="E810" s="565"/>
      <c r="F810" s="565"/>
      <c r="G810" s="565"/>
      <c r="H810" s="565"/>
      <c r="I810" s="565"/>
      <c r="J810" s="565"/>
      <c r="K810" s="565"/>
      <c r="L810" s="565"/>
      <c r="M810" s="565"/>
      <c r="N810" s="565"/>
      <c r="O810" s="565"/>
      <c r="P810" s="565"/>
      <c r="Q810" s="565"/>
      <c r="R810" s="565"/>
      <c r="S810" s="565"/>
      <c r="T810" s="565"/>
      <c r="U810" s="565"/>
      <c r="V810" s="565"/>
      <c r="W810" s="565"/>
      <c r="X810" s="565"/>
      <c r="Y810" s="565"/>
      <c r="Z810" s="565"/>
      <c r="AA810" s="565"/>
      <c r="AB810" s="565"/>
      <c r="AC810" s="565"/>
      <c r="AD810" s="565"/>
      <c r="AE810" s="565"/>
      <c r="AF810" s="565"/>
      <c r="AG810" s="565"/>
      <c r="AH810" s="565"/>
      <c r="AI810" s="565"/>
      <c r="AJ810" s="565"/>
      <c r="AK810" s="565"/>
      <c r="AL810" s="565"/>
      <c r="AM810" s="565"/>
      <c r="AN810" s="565"/>
      <c r="AO810" s="565"/>
      <c r="AP810" s="565"/>
      <c r="AQ810" s="565"/>
      <c r="AR810" s="565"/>
      <c r="AS810" s="565"/>
      <c r="AT810" s="565"/>
      <c r="AU810" s="181"/>
      <c r="AV810" s="558"/>
    </row>
    <row r="811" ht="11.25" customHeight="1">
      <c r="A811" s="565"/>
      <c r="B811" s="181"/>
      <c r="C811" s="565"/>
      <c r="D811" s="565"/>
      <c r="E811" s="565"/>
      <c r="F811" s="565"/>
      <c r="G811" s="565"/>
      <c r="H811" s="565"/>
      <c r="I811" s="565"/>
      <c r="J811" s="565"/>
      <c r="K811" s="565"/>
      <c r="L811" s="565"/>
      <c r="M811" s="565"/>
      <c r="N811" s="565"/>
      <c r="O811" s="565"/>
      <c r="P811" s="565"/>
      <c r="Q811" s="565"/>
      <c r="R811" s="565"/>
      <c r="S811" s="565"/>
      <c r="T811" s="565"/>
      <c r="U811" s="565"/>
      <c r="V811" s="565"/>
      <c r="W811" s="565"/>
      <c r="X811" s="565"/>
      <c r="Y811" s="565"/>
      <c r="Z811" s="565"/>
      <c r="AA811" s="565"/>
      <c r="AB811" s="565"/>
      <c r="AC811" s="565"/>
      <c r="AD811" s="565"/>
      <c r="AE811" s="565"/>
      <c r="AF811" s="565"/>
      <c r="AG811" s="565"/>
      <c r="AH811" s="565"/>
      <c r="AI811" s="565"/>
      <c r="AJ811" s="565"/>
      <c r="AK811" s="565"/>
      <c r="AL811" s="565"/>
      <c r="AM811" s="565"/>
      <c r="AN811" s="565"/>
      <c r="AO811" s="565"/>
      <c r="AP811" s="565"/>
      <c r="AQ811" s="565"/>
      <c r="AR811" s="565"/>
      <c r="AS811" s="565"/>
      <c r="AT811" s="565"/>
      <c r="AU811" s="181"/>
      <c r="AV811" s="558"/>
    </row>
    <row r="812" ht="11.25" customHeight="1">
      <c r="A812" s="565"/>
      <c r="B812" s="181"/>
      <c r="C812" s="565"/>
      <c r="D812" s="565"/>
      <c r="E812" s="565"/>
      <c r="F812" s="565"/>
      <c r="G812" s="565"/>
      <c r="H812" s="565"/>
      <c r="I812" s="565"/>
      <c r="J812" s="565"/>
      <c r="K812" s="565"/>
      <c r="L812" s="565"/>
      <c r="M812" s="565"/>
      <c r="N812" s="565"/>
      <c r="O812" s="565"/>
      <c r="P812" s="565"/>
      <c r="Q812" s="565"/>
      <c r="R812" s="565"/>
      <c r="S812" s="565"/>
      <c r="T812" s="565"/>
      <c r="U812" s="565"/>
      <c r="V812" s="565"/>
      <c r="W812" s="565"/>
      <c r="X812" s="565"/>
      <c r="Y812" s="565"/>
      <c r="Z812" s="565"/>
      <c r="AA812" s="565"/>
      <c r="AB812" s="565"/>
      <c r="AC812" s="565"/>
      <c r="AD812" s="565"/>
      <c r="AE812" s="565"/>
      <c r="AF812" s="565"/>
      <c r="AG812" s="565"/>
      <c r="AH812" s="565"/>
      <c r="AI812" s="565"/>
      <c r="AJ812" s="565"/>
      <c r="AK812" s="565"/>
      <c r="AL812" s="565"/>
      <c r="AM812" s="565"/>
      <c r="AN812" s="565"/>
      <c r="AO812" s="565"/>
      <c r="AP812" s="565"/>
      <c r="AQ812" s="565"/>
      <c r="AR812" s="565"/>
      <c r="AS812" s="565"/>
      <c r="AT812" s="565"/>
      <c r="AU812" s="181"/>
      <c r="AV812" s="558"/>
    </row>
    <row r="813" ht="11.25" customHeight="1">
      <c r="A813" s="565"/>
      <c r="B813" s="181"/>
      <c r="C813" s="565"/>
      <c r="D813" s="565"/>
      <c r="E813" s="565"/>
      <c r="F813" s="565"/>
      <c r="G813" s="565"/>
      <c r="H813" s="565"/>
      <c r="I813" s="565"/>
      <c r="J813" s="565"/>
      <c r="K813" s="565"/>
      <c r="L813" s="565"/>
      <c r="M813" s="565"/>
      <c r="N813" s="565"/>
      <c r="O813" s="565"/>
      <c r="P813" s="565"/>
      <c r="Q813" s="565"/>
      <c r="R813" s="565"/>
      <c r="S813" s="565"/>
      <c r="T813" s="565"/>
      <c r="U813" s="565"/>
      <c r="V813" s="565"/>
      <c r="W813" s="565"/>
      <c r="X813" s="565"/>
      <c r="Y813" s="565"/>
      <c r="Z813" s="565"/>
      <c r="AA813" s="565"/>
      <c r="AB813" s="565"/>
      <c r="AC813" s="565"/>
      <c r="AD813" s="565"/>
      <c r="AE813" s="565"/>
      <c r="AF813" s="565"/>
      <c r="AG813" s="565"/>
      <c r="AH813" s="565"/>
      <c r="AI813" s="565"/>
      <c r="AJ813" s="565"/>
      <c r="AK813" s="565"/>
      <c r="AL813" s="565"/>
      <c r="AM813" s="565"/>
      <c r="AN813" s="565"/>
      <c r="AO813" s="565"/>
      <c r="AP813" s="565"/>
      <c r="AQ813" s="565"/>
      <c r="AR813" s="565"/>
      <c r="AS813" s="565"/>
      <c r="AT813" s="565"/>
      <c r="AU813" s="181"/>
      <c r="AV813" s="558"/>
    </row>
    <row r="814" ht="11.25" customHeight="1">
      <c r="A814" s="565"/>
      <c r="B814" s="181"/>
      <c r="C814" s="565"/>
      <c r="D814" s="565"/>
      <c r="E814" s="565"/>
      <c r="F814" s="565"/>
      <c r="G814" s="565"/>
      <c r="H814" s="565"/>
      <c r="I814" s="565"/>
      <c r="J814" s="565"/>
      <c r="K814" s="565"/>
      <c r="L814" s="565"/>
      <c r="M814" s="565"/>
      <c r="N814" s="565"/>
      <c r="O814" s="565"/>
      <c r="P814" s="565"/>
      <c r="Q814" s="565"/>
      <c r="R814" s="565"/>
      <c r="S814" s="565"/>
      <c r="T814" s="565"/>
      <c r="U814" s="565"/>
      <c r="V814" s="565"/>
      <c r="W814" s="565"/>
      <c r="X814" s="565"/>
      <c r="Y814" s="565"/>
      <c r="Z814" s="565"/>
      <c r="AA814" s="565"/>
      <c r="AB814" s="565"/>
      <c r="AC814" s="565"/>
      <c r="AD814" s="565"/>
      <c r="AE814" s="565"/>
      <c r="AF814" s="565"/>
      <c r="AG814" s="565"/>
      <c r="AH814" s="565"/>
      <c r="AI814" s="565"/>
      <c r="AJ814" s="565"/>
      <c r="AK814" s="565"/>
      <c r="AL814" s="565"/>
      <c r="AM814" s="565"/>
      <c r="AN814" s="565"/>
      <c r="AO814" s="565"/>
      <c r="AP814" s="565"/>
      <c r="AQ814" s="565"/>
      <c r="AR814" s="565"/>
      <c r="AS814" s="565"/>
      <c r="AT814" s="565"/>
      <c r="AU814" s="181"/>
      <c r="AV814" s="558"/>
    </row>
    <row r="815" ht="11.25" customHeight="1">
      <c r="A815" s="565"/>
      <c r="B815" s="181"/>
      <c r="C815" s="565"/>
      <c r="D815" s="565"/>
      <c r="E815" s="565"/>
      <c r="F815" s="565"/>
      <c r="G815" s="565"/>
      <c r="H815" s="565"/>
      <c r="I815" s="565"/>
      <c r="J815" s="565"/>
      <c r="K815" s="565"/>
      <c r="L815" s="565"/>
      <c r="M815" s="565"/>
      <c r="N815" s="565"/>
      <c r="O815" s="565"/>
      <c r="P815" s="565"/>
      <c r="Q815" s="565"/>
      <c r="R815" s="565"/>
      <c r="S815" s="565"/>
      <c r="T815" s="565"/>
      <c r="U815" s="565"/>
      <c r="V815" s="565"/>
      <c r="W815" s="565"/>
      <c r="X815" s="565"/>
      <c r="Y815" s="565"/>
      <c r="Z815" s="565"/>
      <c r="AA815" s="565"/>
      <c r="AB815" s="565"/>
      <c r="AC815" s="565"/>
      <c r="AD815" s="565"/>
      <c r="AE815" s="565"/>
      <c r="AF815" s="565"/>
      <c r="AG815" s="565"/>
      <c r="AH815" s="565"/>
      <c r="AI815" s="565"/>
      <c r="AJ815" s="565"/>
      <c r="AK815" s="565"/>
      <c r="AL815" s="565"/>
      <c r="AM815" s="565"/>
      <c r="AN815" s="565"/>
      <c r="AO815" s="565"/>
      <c r="AP815" s="565"/>
      <c r="AQ815" s="565"/>
      <c r="AR815" s="565"/>
      <c r="AS815" s="565"/>
      <c r="AT815" s="565"/>
      <c r="AU815" s="181"/>
      <c r="AV815" s="558"/>
    </row>
    <row r="816" ht="11.25" customHeight="1">
      <c r="A816" s="565"/>
      <c r="B816" s="181"/>
      <c r="C816" s="565"/>
      <c r="D816" s="565"/>
      <c r="E816" s="565"/>
      <c r="F816" s="565"/>
      <c r="G816" s="565"/>
      <c r="H816" s="565"/>
      <c r="I816" s="565"/>
      <c r="J816" s="565"/>
      <c r="K816" s="565"/>
      <c r="L816" s="565"/>
      <c r="M816" s="565"/>
      <c r="N816" s="565"/>
      <c r="O816" s="565"/>
      <c r="P816" s="565"/>
      <c r="Q816" s="565"/>
      <c r="R816" s="565"/>
      <c r="S816" s="565"/>
      <c r="T816" s="565"/>
      <c r="U816" s="565"/>
      <c r="V816" s="565"/>
      <c r="W816" s="565"/>
      <c r="X816" s="565"/>
      <c r="Y816" s="565"/>
      <c r="Z816" s="565"/>
      <c r="AA816" s="565"/>
      <c r="AB816" s="565"/>
      <c r="AC816" s="565"/>
      <c r="AD816" s="565"/>
      <c r="AE816" s="565"/>
      <c r="AF816" s="565"/>
      <c r="AG816" s="565"/>
      <c r="AH816" s="565"/>
      <c r="AI816" s="565"/>
      <c r="AJ816" s="565"/>
      <c r="AK816" s="565"/>
      <c r="AL816" s="565"/>
      <c r="AM816" s="565"/>
      <c r="AN816" s="565"/>
      <c r="AO816" s="565"/>
      <c r="AP816" s="565"/>
      <c r="AQ816" s="565"/>
      <c r="AR816" s="565"/>
      <c r="AS816" s="565"/>
      <c r="AT816" s="565"/>
      <c r="AU816" s="181"/>
      <c r="AV816" s="558"/>
    </row>
    <row r="817" ht="11.25" customHeight="1">
      <c r="A817" s="565"/>
      <c r="B817" s="181"/>
      <c r="C817" s="565"/>
      <c r="D817" s="565"/>
      <c r="E817" s="565"/>
      <c r="F817" s="565"/>
      <c r="G817" s="565"/>
      <c r="H817" s="565"/>
      <c r="I817" s="565"/>
      <c r="J817" s="565"/>
      <c r="K817" s="565"/>
      <c r="L817" s="565"/>
      <c r="M817" s="565"/>
      <c r="N817" s="565"/>
      <c r="O817" s="565"/>
      <c r="P817" s="565"/>
      <c r="Q817" s="565"/>
      <c r="R817" s="565"/>
      <c r="S817" s="565"/>
      <c r="T817" s="565"/>
      <c r="U817" s="565"/>
      <c r="V817" s="565"/>
      <c r="W817" s="565"/>
      <c r="X817" s="565"/>
      <c r="Y817" s="565"/>
      <c r="Z817" s="565"/>
      <c r="AA817" s="565"/>
      <c r="AB817" s="565"/>
      <c r="AC817" s="565"/>
      <c r="AD817" s="565"/>
      <c r="AE817" s="565"/>
      <c r="AF817" s="565"/>
      <c r="AG817" s="565"/>
      <c r="AH817" s="565"/>
      <c r="AI817" s="565"/>
      <c r="AJ817" s="565"/>
      <c r="AK817" s="565"/>
      <c r="AL817" s="565"/>
      <c r="AM817" s="565"/>
      <c r="AN817" s="565"/>
      <c r="AO817" s="565"/>
      <c r="AP817" s="565"/>
      <c r="AQ817" s="565"/>
      <c r="AR817" s="565"/>
      <c r="AS817" s="565"/>
      <c r="AT817" s="565"/>
      <c r="AU817" s="181"/>
      <c r="AV817" s="558"/>
    </row>
    <row r="818" ht="11.25" customHeight="1">
      <c r="A818" s="565"/>
      <c r="B818" s="181"/>
      <c r="C818" s="565"/>
      <c r="D818" s="565"/>
      <c r="E818" s="565"/>
      <c r="F818" s="565"/>
      <c r="G818" s="565"/>
      <c r="H818" s="565"/>
      <c r="I818" s="565"/>
      <c r="J818" s="565"/>
      <c r="K818" s="565"/>
      <c r="L818" s="565"/>
      <c r="M818" s="565"/>
      <c r="N818" s="565"/>
      <c r="O818" s="565"/>
      <c r="P818" s="565"/>
      <c r="Q818" s="565"/>
      <c r="R818" s="565"/>
      <c r="S818" s="565"/>
      <c r="T818" s="565"/>
      <c r="U818" s="565"/>
      <c r="V818" s="565"/>
      <c r="W818" s="565"/>
      <c r="X818" s="565"/>
      <c r="Y818" s="565"/>
      <c r="Z818" s="565"/>
      <c r="AA818" s="565"/>
      <c r="AB818" s="565"/>
      <c r="AC818" s="565"/>
      <c r="AD818" s="565"/>
      <c r="AE818" s="565"/>
      <c r="AF818" s="565"/>
      <c r="AG818" s="565"/>
      <c r="AH818" s="565"/>
      <c r="AI818" s="565"/>
      <c r="AJ818" s="565"/>
      <c r="AK818" s="565"/>
      <c r="AL818" s="565"/>
      <c r="AM818" s="565"/>
      <c r="AN818" s="565"/>
      <c r="AO818" s="565"/>
      <c r="AP818" s="565"/>
      <c r="AQ818" s="565"/>
      <c r="AR818" s="565"/>
      <c r="AS818" s="565"/>
      <c r="AT818" s="565"/>
      <c r="AU818" s="181"/>
      <c r="AV818" s="558"/>
    </row>
    <row r="819" ht="11.25" customHeight="1">
      <c r="A819" s="565"/>
      <c r="B819" s="181"/>
      <c r="C819" s="565"/>
      <c r="D819" s="565"/>
      <c r="E819" s="565"/>
      <c r="F819" s="565"/>
      <c r="G819" s="565"/>
      <c r="H819" s="565"/>
      <c r="I819" s="565"/>
      <c r="J819" s="565"/>
      <c r="K819" s="565"/>
      <c r="L819" s="565"/>
      <c r="M819" s="565"/>
      <c r="N819" s="565"/>
      <c r="O819" s="565"/>
      <c r="P819" s="565"/>
      <c r="Q819" s="565"/>
      <c r="R819" s="565"/>
      <c r="S819" s="565"/>
      <c r="T819" s="565"/>
      <c r="U819" s="565"/>
      <c r="V819" s="565"/>
      <c r="W819" s="565"/>
      <c r="X819" s="565"/>
      <c r="Y819" s="565"/>
      <c r="Z819" s="565"/>
      <c r="AA819" s="565"/>
      <c r="AB819" s="565"/>
      <c r="AC819" s="565"/>
      <c r="AD819" s="565"/>
      <c r="AE819" s="565"/>
      <c r="AF819" s="565"/>
      <c r="AG819" s="565"/>
      <c r="AH819" s="565"/>
      <c r="AI819" s="565"/>
      <c r="AJ819" s="565"/>
      <c r="AK819" s="565"/>
      <c r="AL819" s="565"/>
      <c r="AM819" s="565"/>
      <c r="AN819" s="565"/>
      <c r="AO819" s="565"/>
      <c r="AP819" s="565"/>
      <c r="AQ819" s="565"/>
      <c r="AR819" s="565"/>
      <c r="AS819" s="565"/>
      <c r="AT819" s="565"/>
      <c r="AU819" s="181"/>
      <c r="AV819" s="558"/>
    </row>
    <row r="820" ht="11.25" customHeight="1">
      <c r="A820" s="565"/>
      <c r="B820" s="181"/>
      <c r="C820" s="565"/>
      <c r="D820" s="565"/>
      <c r="E820" s="565"/>
      <c r="F820" s="565"/>
      <c r="G820" s="565"/>
      <c r="H820" s="565"/>
      <c r="I820" s="565"/>
      <c r="J820" s="565"/>
      <c r="K820" s="565"/>
      <c r="L820" s="565"/>
      <c r="M820" s="565"/>
      <c r="N820" s="565"/>
      <c r="O820" s="565"/>
      <c r="P820" s="565"/>
      <c r="Q820" s="565"/>
      <c r="R820" s="565"/>
      <c r="S820" s="565"/>
      <c r="T820" s="565"/>
      <c r="U820" s="565"/>
      <c r="V820" s="565"/>
      <c r="W820" s="565"/>
      <c r="X820" s="565"/>
      <c r="Y820" s="565"/>
      <c r="Z820" s="565"/>
      <c r="AA820" s="565"/>
      <c r="AB820" s="565"/>
      <c r="AC820" s="565"/>
      <c r="AD820" s="565"/>
      <c r="AE820" s="565"/>
      <c r="AF820" s="565"/>
      <c r="AG820" s="565"/>
      <c r="AH820" s="565"/>
      <c r="AI820" s="565"/>
      <c r="AJ820" s="565"/>
      <c r="AK820" s="565"/>
      <c r="AL820" s="565"/>
      <c r="AM820" s="565"/>
      <c r="AN820" s="565"/>
      <c r="AO820" s="565"/>
      <c r="AP820" s="565"/>
      <c r="AQ820" s="565"/>
      <c r="AR820" s="565"/>
      <c r="AS820" s="565"/>
      <c r="AT820" s="565"/>
      <c r="AU820" s="181"/>
      <c r="AV820" s="558"/>
    </row>
    <row r="821" ht="11.25" customHeight="1">
      <c r="A821" s="565"/>
      <c r="B821" s="181"/>
      <c r="C821" s="565"/>
      <c r="D821" s="565"/>
      <c r="E821" s="565"/>
      <c r="F821" s="565"/>
      <c r="G821" s="565"/>
      <c r="H821" s="565"/>
      <c r="I821" s="565"/>
      <c r="J821" s="565"/>
      <c r="K821" s="565"/>
      <c r="L821" s="565"/>
      <c r="M821" s="565"/>
      <c r="N821" s="565"/>
      <c r="O821" s="565"/>
      <c r="P821" s="565"/>
      <c r="Q821" s="565"/>
      <c r="R821" s="565"/>
      <c r="S821" s="565"/>
      <c r="T821" s="565"/>
      <c r="U821" s="565"/>
      <c r="V821" s="565"/>
      <c r="W821" s="565"/>
      <c r="X821" s="565"/>
      <c r="Y821" s="565"/>
      <c r="Z821" s="565"/>
      <c r="AA821" s="565"/>
      <c r="AB821" s="565"/>
      <c r="AC821" s="565"/>
      <c r="AD821" s="565"/>
      <c r="AE821" s="565"/>
      <c r="AF821" s="565"/>
      <c r="AG821" s="565"/>
      <c r="AH821" s="565"/>
      <c r="AI821" s="565"/>
      <c r="AJ821" s="565"/>
      <c r="AK821" s="565"/>
      <c r="AL821" s="565"/>
      <c r="AM821" s="565"/>
      <c r="AN821" s="565"/>
      <c r="AO821" s="565"/>
      <c r="AP821" s="565"/>
      <c r="AQ821" s="565"/>
      <c r="AR821" s="565"/>
      <c r="AS821" s="565"/>
      <c r="AT821" s="565"/>
      <c r="AU821" s="181"/>
      <c r="AV821" s="558"/>
    </row>
    <row r="822" ht="11.25" customHeight="1">
      <c r="A822" s="565"/>
      <c r="B822" s="181"/>
      <c r="C822" s="565"/>
      <c r="D822" s="565"/>
      <c r="E822" s="565"/>
      <c r="F822" s="565"/>
      <c r="G822" s="565"/>
      <c r="H822" s="565"/>
      <c r="I822" s="565"/>
      <c r="J822" s="565"/>
      <c r="K822" s="565"/>
      <c r="L822" s="565"/>
      <c r="M822" s="565"/>
      <c r="N822" s="565"/>
      <c r="O822" s="565"/>
      <c r="P822" s="565"/>
      <c r="Q822" s="565"/>
      <c r="R822" s="565"/>
      <c r="S822" s="565"/>
      <c r="T822" s="565"/>
      <c r="U822" s="565"/>
      <c r="V822" s="565"/>
      <c r="W822" s="565"/>
      <c r="X822" s="565"/>
      <c r="Y822" s="565"/>
      <c r="Z822" s="565"/>
      <c r="AA822" s="565"/>
      <c r="AB822" s="565"/>
      <c r="AC822" s="565"/>
      <c r="AD822" s="565"/>
      <c r="AE822" s="565"/>
      <c r="AF822" s="565"/>
      <c r="AG822" s="565"/>
      <c r="AH822" s="565"/>
      <c r="AI822" s="565"/>
      <c r="AJ822" s="565"/>
      <c r="AK822" s="565"/>
      <c r="AL822" s="565"/>
      <c r="AM822" s="565"/>
      <c r="AN822" s="565"/>
      <c r="AO822" s="565"/>
      <c r="AP822" s="565"/>
      <c r="AQ822" s="565"/>
      <c r="AR822" s="565"/>
      <c r="AS822" s="565"/>
      <c r="AT822" s="565"/>
      <c r="AU822" s="181"/>
      <c r="AV822" s="558"/>
    </row>
    <row r="823" ht="11.25" customHeight="1">
      <c r="A823" s="565"/>
      <c r="B823" s="181"/>
      <c r="C823" s="565"/>
      <c r="D823" s="565"/>
      <c r="E823" s="565"/>
      <c r="F823" s="565"/>
      <c r="G823" s="565"/>
      <c r="H823" s="565"/>
      <c r="I823" s="565"/>
      <c r="J823" s="565"/>
      <c r="K823" s="565"/>
      <c r="L823" s="565"/>
      <c r="M823" s="565"/>
      <c r="N823" s="565"/>
      <c r="O823" s="565"/>
      <c r="P823" s="565"/>
      <c r="Q823" s="565"/>
      <c r="R823" s="565"/>
      <c r="S823" s="565"/>
      <c r="T823" s="565"/>
      <c r="U823" s="565"/>
      <c r="V823" s="565"/>
      <c r="W823" s="565"/>
      <c r="X823" s="565"/>
      <c r="Y823" s="565"/>
      <c r="Z823" s="565"/>
      <c r="AA823" s="565"/>
      <c r="AB823" s="565"/>
      <c r="AC823" s="565"/>
      <c r="AD823" s="565"/>
      <c r="AE823" s="565"/>
      <c r="AF823" s="565"/>
      <c r="AG823" s="565"/>
      <c r="AH823" s="565"/>
      <c r="AI823" s="565"/>
      <c r="AJ823" s="565"/>
      <c r="AK823" s="565"/>
      <c r="AL823" s="565"/>
      <c r="AM823" s="565"/>
      <c r="AN823" s="565"/>
      <c r="AO823" s="565"/>
      <c r="AP823" s="565"/>
      <c r="AQ823" s="565"/>
      <c r="AR823" s="565"/>
      <c r="AS823" s="565"/>
      <c r="AT823" s="565"/>
      <c r="AU823" s="181"/>
      <c r="AV823" s="558"/>
    </row>
    <row r="824" ht="11.25" customHeight="1">
      <c r="A824" s="565"/>
      <c r="B824" s="181"/>
      <c r="C824" s="565"/>
      <c r="D824" s="565"/>
      <c r="E824" s="565"/>
      <c r="F824" s="565"/>
      <c r="G824" s="565"/>
      <c r="H824" s="565"/>
      <c r="I824" s="565"/>
      <c r="J824" s="565"/>
      <c r="K824" s="565"/>
      <c r="L824" s="565"/>
      <c r="M824" s="565"/>
      <c r="N824" s="565"/>
      <c r="O824" s="565"/>
      <c r="P824" s="565"/>
      <c r="Q824" s="565"/>
      <c r="R824" s="565"/>
      <c r="S824" s="565"/>
      <c r="T824" s="565"/>
      <c r="U824" s="565"/>
      <c r="V824" s="565"/>
      <c r="W824" s="565"/>
      <c r="X824" s="565"/>
      <c r="Y824" s="565"/>
      <c r="Z824" s="565"/>
      <c r="AA824" s="565"/>
      <c r="AB824" s="565"/>
      <c r="AC824" s="565"/>
      <c r="AD824" s="565"/>
      <c r="AE824" s="565"/>
      <c r="AF824" s="565"/>
      <c r="AG824" s="565"/>
      <c r="AH824" s="565"/>
      <c r="AI824" s="565"/>
      <c r="AJ824" s="565"/>
      <c r="AK824" s="565"/>
      <c r="AL824" s="565"/>
      <c r="AM824" s="565"/>
      <c r="AN824" s="565"/>
      <c r="AO824" s="565"/>
      <c r="AP824" s="565"/>
      <c r="AQ824" s="565"/>
      <c r="AR824" s="565"/>
      <c r="AS824" s="565"/>
      <c r="AT824" s="565"/>
      <c r="AU824" s="181"/>
      <c r="AV824" s="558"/>
    </row>
    <row r="825" ht="11.25" customHeight="1">
      <c r="A825" s="565"/>
      <c r="B825" s="181"/>
      <c r="C825" s="565"/>
      <c r="D825" s="565"/>
      <c r="E825" s="565"/>
      <c r="F825" s="565"/>
      <c r="G825" s="565"/>
      <c r="H825" s="565"/>
      <c r="I825" s="565"/>
      <c r="J825" s="565"/>
      <c r="K825" s="565"/>
      <c r="L825" s="565"/>
      <c r="M825" s="565"/>
      <c r="N825" s="565"/>
      <c r="O825" s="565"/>
      <c r="P825" s="565"/>
      <c r="Q825" s="565"/>
      <c r="R825" s="565"/>
      <c r="S825" s="565"/>
      <c r="T825" s="565"/>
      <c r="U825" s="565"/>
      <c r="V825" s="565"/>
      <c r="W825" s="565"/>
      <c r="X825" s="565"/>
      <c r="Y825" s="565"/>
      <c r="Z825" s="565"/>
      <c r="AA825" s="565"/>
      <c r="AB825" s="565"/>
      <c r="AC825" s="565"/>
      <c r="AD825" s="565"/>
      <c r="AE825" s="565"/>
      <c r="AF825" s="565"/>
      <c r="AG825" s="565"/>
      <c r="AH825" s="565"/>
      <c r="AI825" s="565"/>
      <c r="AJ825" s="565"/>
      <c r="AK825" s="565"/>
      <c r="AL825" s="565"/>
      <c r="AM825" s="565"/>
      <c r="AN825" s="565"/>
      <c r="AO825" s="565"/>
      <c r="AP825" s="565"/>
      <c r="AQ825" s="565"/>
      <c r="AR825" s="565"/>
      <c r="AS825" s="565"/>
      <c r="AT825" s="565"/>
      <c r="AU825" s="181"/>
      <c r="AV825" s="558"/>
    </row>
    <row r="826" ht="11.25" customHeight="1">
      <c r="A826" s="565"/>
      <c r="B826" s="181"/>
      <c r="C826" s="565"/>
      <c r="D826" s="565"/>
      <c r="E826" s="565"/>
      <c r="F826" s="565"/>
      <c r="G826" s="565"/>
      <c r="H826" s="565"/>
      <c r="I826" s="565"/>
      <c r="J826" s="565"/>
      <c r="K826" s="565"/>
      <c r="L826" s="565"/>
      <c r="M826" s="565"/>
      <c r="N826" s="565"/>
      <c r="O826" s="565"/>
      <c r="P826" s="565"/>
      <c r="Q826" s="565"/>
      <c r="R826" s="565"/>
      <c r="S826" s="565"/>
      <c r="T826" s="565"/>
      <c r="U826" s="565"/>
      <c r="V826" s="565"/>
      <c r="W826" s="565"/>
      <c r="X826" s="565"/>
      <c r="Y826" s="565"/>
      <c r="Z826" s="565"/>
      <c r="AA826" s="565"/>
      <c r="AB826" s="565"/>
      <c r="AC826" s="565"/>
      <c r="AD826" s="565"/>
      <c r="AE826" s="565"/>
      <c r="AF826" s="565"/>
      <c r="AG826" s="565"/>
      <c r="AH826" s="565"/>
      <c r="AI826" s="565"/>
      <c r="AJ826" s="565"/>
      <c r="AK826" s="565"/>
      <c r="AL826" s="565"/>
      <c r="AM826" s="565"/>
      <c r="AN826" s="565"/>
      <c r="AO826" s="565"/>
      <c r="AP826" s="565"/>
      <c r="AQ826" s="565"/>
      <c r="AR826" s="565"/>
      <c r="AS826" s="565"/>
      <c r="AT826" s="565"/>
      <c r="AU826" s="181"/>
      <c r="AV826" s="558"/>
    </row>
    <row r="827" ht="11.25" customHeight="1">
      <c r="A827" s="565"/>
      <c r="B827" s="181"/>
      <c r="C827" s="565"/>
      <c r="D827" s="565"/>
      <c r="E827" s="565"/>
      <c r="F827" s="565"/>
      <c r="G827" s="565"/>
      <c r="H827" s="565"/>
      <c r="I827" s="565"/>
      <c r="J827" s="565"/>
      <c r="K827" s="565"/>
      <c r="L827" s="565"/>
      <c r="M827" s="565"/>
      <c r="N827" s="565"/>
      <c r="O827" s="565"/>
      <c r="P827" s="565"/>
      <c r="Q827" s="565"/>
      <c r="R827" s="565"/>
      <c r="S827" s="565"/>
      <c r="T827" s="565"/>
      <c r="U827" s="565"/>
      <c r="V827" s="565"/>
      <c r="W827" s="565"/>
      <c r="X827" s="565"/>
      <c r="Y827" s="565"/>
      <c r="Z827" s="565"/>
      <c r="AA827" s="565"/>
      <c r="AB827" s="565"/>
      <c r="AC827" s="565"/>
      <c r="AD827" s="565"/>
      <c r="AE827" s="565"/>
      <c r="AF827" s="565"/>
      <c r="AG827" s="565"/>
      <c r="AH827" s="565"/>
      <c r="AI827" s="565"/>
      <c r="AJ827" s="565"/>
      <c r="AK827" s="565"/>
      <c r="AL827" s="565"/>
      <c r="AM827" s="565"/>
      <c r="AN827" s="565"/>
      <c r="AO827" s="565"/>
      <c r="AP827" s="565"/>
      <c r="AQ827" s="565"/>
      <c r="AR827" s="565"/>
      <c r="AS827" s="565"/>
      <c r="AT827" s="565"/>
      <c r="AU827" s="181"/>
      <c r="AV827" s="558"/>
    </row>
    <row r="828" ht="11.25" customHeight="1">
      <c r="A828" s="565"/>
      <c r="B828" s="181"/>
      <c r="C828" s="565"/>
      <c r="D828" s="565"/>
      <c r="E828" s="565"/>
      <c r="F828" s="565"/>
      <c r="G828" s="565"/>
      <c r="H828" s="565"/>
      <c r="I828" s="565"/>
      <c r="J828" s="565"/>
      <c r="K828" s="565"/>
      <c r="L828" s="565"/>
      <c r="M828" s="565"/>
      <c r="N828" s="565"/>
      <c r="O828" s="565"/>
      <c r="P828" s="565"/>
      <c r="Q828" s="565"/>
      <c r="R828" s="565"/>
      <c r="S828" s="565"/>
      <c r="T828" s="565"/>
      <c r="U828" s="565"/>
      <c r="V828" s="565"/>
      <c r="W828" s="565"/>
      <c r="X828" s="565"/>
      <c r="Y828" s="565"/>
      <c r="Z828" s="565"/>
      <c r="AA828" s="565"/>
      <c r="AB828" s="565"/>
      <c r="AC828" s="565"/>
      <c r="AD828" s="565"/>
      <c r="AE828" s="565"/>
      <c r="AF828" s="565"/>
      <c r="AG828" s="565"/>
      <c r="AH828" s="565"/>
      <c r="AI828" s="565"/>
      <c r="AJ828" s="565"/>
      <c r="AK828" s="565"/>
      <c r="AL828" s="565"/>
      <c r="AM828" s="565"/>
      <c r="AN828" s="565"/>
      <c r="AO828" s="565"/>
      <c r="AP828" s="565"/>
      <c r="AQ828" s="565"/>
      <c r="AR828" s="565"/>
      <c r="AS828" s="565"/>
      <c r="AT828" s="565"/>
      <c r="AU828" s="181"/>
      <c r="AV828" s="558"/>
    </row>
    <row r="829" ht="11.25" customHeight="1">
      <c r="A829" s="565"/>
      <c r="B829" s="181"/>
      <c r="C829" s="565"/>
      <c r="D829" s="565"/>
      <c r="E829" s="565"/>
      <c r="F829" s="565"/>
      <c r="G829" s="565"/>
      <c r="H829" s="565"/>
      <c r="I829" s="565"/>
      <c r="J829" s="565"/>
      <c r="K829" s="565"/>
      <c r="L829" s="565"/>
      <c r="M829" s="565"/>
      <c r="N829" s="565"/>
      <c r="O829" s="565"/>
      <c r="P829" s="565"/>
      <c r="Q829" s="565"/>
      <c r="R829" s="565"/>
      <c r="S829" s="565"/>
      <c r="T829" s="565"/>
      <c r="U829" s="565"/>
      <c r="V829" s="565"/>
      <c r="W829" s="565"/>
      <c r="X829" s="565"/>
      <c r="Y829" s="565"/>
      <c r="Z829" s="565"/>
      <c r="AA829" s="565"/>
      <c r="AB829" s="565"/>
      <c r="AC829" s="565"/>
      <c r="AD829" s="565"/>
      <c r="AE829" s="565"/>
      <c r="AF829" s="565"/>
      <c r="AG829" s="565"/>
      <c r="AH829" s="565"/>
      <c r="AI829" s="565"/>
      <c r="AJ829" s="565"/>
      <c r="AK829" s="565"/>
      <c r="AL829" s="565"/>
      <c r="AM829" s="565"/>
      <c r="AN829" s="565"/>
      <c r="AO829" s="565"/>
      <c r="AP829" s="565"/>
      <c r="AQ829" s="565"/>
      <c r="AR829" s="565"/>
      <c r="AS829" s="565"/>
      <c r="AT829" s="565"/>
      <c r="AU829" s="181"/>
      <c r="AV829" s="558"/>
    </row>
    <row r="830" ht="11.25" customHeight="1">
      <c r="A830" s="565"/>
      <c r="B830" s="181"/>
      <c r="C830" s="565"/>
      <c r="D830" s="565"/>
      <c r="E830" s="565"/>
      <c r="F830" s="565"/>
      <c r="G830" s="565"/>
      <c r="H830" s="565"/>
      <c r="I830" s="565"/>
      <c r="J830" s="565"/>
      <c r="K830" s="565"/>
      <c r="L830" s="565"/>
      <c r="M830" s="565"/>
      <c r="N830" s="565"/>
      <c r="O830" s="565"/>
      <c r="P830" s="565"/>
      <c r="Q830" s="565"/>
      <c r="R830" s="565"/>
      <c r="S830" s="565"/>
      <c r="T830" s="565"/>
      <c r="U830" s="565"/>
      <c r="V830" s="565"/>
      <c r="W830" s="565"/>
      <c r="X830" s="565"/>
      <c r="Y830" s="565"/>
      <c r="Z830" s="565"/>
      <c r="AA830" s="565"/>
      <c r="AB830" s="565"/>
      <c r="AC830" s="565"/>
      <c r="AD830" s="565"/>
      <c r="AE830" s="565"/>
      <c r="AF830" s="565"/>
      <c r="AG830" s="565"/>
      <c r="AH830" s="565"/>
      <c r="AI830" s="565"/>
      <c r="AJ830" s="565"/>
      <c r="AK830" s="565"/>
      <c r="AL830" s="565"/>
      <c r="AM830" s="565"/>
      <c r="AN830" s="565"/>
      <c r="AO830" s="565"/>
      <c r="AP830" s="565"/>
      <c r="AQ830" s="565"/>
      <c r="AR830" s="565"/>
      <c r="AS830" s="565"/>
      <c r="AT830" s="565"/>
      <c r="AU830" s="181"/>
      <c r="AV830" s="558"/>
    </row>
    <row r="831" ht="11.25" customHeight="1">
      <c r="A831" s="565"/>
      <c r="B831" s="181"/>
      <c r="C831" s="565"/>
      <c r="D831" s="565"/>
      <c r="E831" s="565"/>
      <c r="F831" s="565"/>
      <c r="G831" s="565"/>
      <c r="H831" s="565"/>
      <c r="I831" s="565"/>
      <c r="J831" s="565"/>
      <c r="K831" s="565"/>
      <c r="L831" s="565"/>
      <c r="M831" s="565"/>
      <c r="N831" s="565"/>
      <c r="O831" s="565"/>
      <c r="P831" s="565"/>
      <c r="Q831" s="565"/>
      <c r="R831" s="565"/>
      <c r="S831" s="565"/>
      <c r="T831" s="565"/>
      <c r="U831" s="565"/>
      <c r="V831" s="565"/>
      <c r="W831" s="565"/>
      <c r="X831" s="565"/>
      <c r="Y831" s="565"/>
      <c r="Z831" s="565"/>
      <c r="AA831" s="565"/>
      <c r="AB831" s="565"/>
      <c r="AC831" s="565"/>
      <c r="AD831" s="565"/>
      <c r="AE831" s="565"/>
      <c r="AF831" s="565"/>
      <c r="AG831" s="565"/>
      <c r="AH831" s="565"/>
      <c r="AI831" s="565"/>
      <c r="AJ831" s="565"/>
      <c r="AK831" s="565"/>
      <c r="AL831" s="565"/>
      <c r="AM831" s="565"/>
      <c r="AN831" s="565"/>
      <c r="AO831" s="565"/>
      <c r="AP831" s="565"/>
      <c r="AQ831" s="565"/>
      <c r="AR831" s="565"/>
      <c r="AS831" s="565"/>
      <c r="AT831" s="565"/>
      <c r="AU831" s="181"/>
      <c r="AV831" s="558"/>
    </row>
    <row r="832" ht="11.25" customHeight="1">
      <c r="A832" s="565"/>
      <c r="B832" s="181"/>
      <c r="C832" s="565"/>
      <c r="D832" s="565"/>
      <c r="E832" s="565"/>
      <c r="F832" s="565"/>
      <c r="G832" s="565"/>
      <c r="H832" s="565"/>
      <c r="I832" s="565"/>
      <c r="J832" s="565"/>
      <c r="K832" s="565"/>
      <c r="L832" s="565"/>
      <c r="M832" s="565"/>
      <c r="N832" s="565"/>
      <c r="O832" s="565"/>
      <c r="P832" s="565"/>
      <c r="Q832" s="565"/>
      <c r="R832" s="565"/>
      <c r="S832" s="565"/>
      <c r="T832" s="565"/>
      <c r="U832" s="565"/>
      <c r="V832" s="565"/>
      <c r="W832" s="565"/>
      <c r="X832" s="565"/>
      <c r="Y832" s="565"/>
      <c r="Z832" s="565"/>
      <c r="AA832" s="565"/>
      <c r="AB832" s="565"/>
      <c r="AC832" s="565"/>
      <c r="AD832" s="565"/>
      <c r="AE832" s="565"/>
      <c r="AF832" s="565"/>
      <c r="AG832" s="565"/>
      <c r="AH832" s="565"/>
      <c r="AI832" s="565"/>
      <c r="AJ832" s="565"/>
      <c r="AK832" s="565"/>
      <c r="AL832" s="565"/>
      <c r="AM832" s="565"/>
      <c r="AN832" s="565"/>
      <c r="AO832" s="565"/>
      <c r="AP832" s="565"/>
      <c r="AQ832" s="565"/>
      <c r="AR832" s="565"/>
      <c r="AS832" s="565"/>
      <c r="AT832" s="565"/>
      <c r="AU832" s="181"/>
      <c r="AV832" s="558"/>
    </row>
    <row r="833" ht="11.25" customHeight="1">
      <c r="A833" s="565"/>
      <c r="B833" s="181"/>
      <c r="C833" s="565"/>
      <c r="D833" s="565"/>
      <c r="E833" s="565"/>
      <c r="F833" s="565"/>
      <c r="G833" s="565"/>
      <c r="H833" s="565"/>
      <c r="I833" s="565"/>
      <c r="J833" s="565"/>
      <c r="K833" s="565"/>
      <c r="L833" s="565"/>
      <c r="M833" s="565"/>
      <c r="N833" s="565"/>
      <c r="O833" s="565"/>
      <c r="P833" s="565"/>
      <c r="Q833" s="565"/>
      <c r="R833" s="565"/>
      <c r="S833" s="565"/>
      <c r="T833" s="565"/>
      <c r="U833" s="565"/>
      <c r="V833" s="565"/>
      <c r="W833" s="565"/>
      <c r="X833" s="565"/>
      <c r="Y833" s="565"/>
      <c r="Z833" s="565"/>
      <c r="AA833" s="565"/>
      <c r="AB833" s="565"/>
      <c r="AC833" s="565"/>
      <c r="AD833" s="565"/>
      <c r="AE833" s="565"/>
      <c r="AF833" s="565"/>
      <c r="AG833" s="565"/>
      <c r="AH833" s="565"/>
      <c r="AI833" s="565"/>
      <c r="AJ833" s="565"/>
      <c r="AK833" s="565"/>
      <c r="AL833" s="565"/>
      <c r="AM833" s="565"/>
      <c r="AN833" s="565"/>
      <c r="AO833" s="565"/>
      <c r="AP833" s="565"/>
      <c r="AQ833" s="565"/>
      <c r="AR833" s="565"/>
      <c r="AS833" s="565"/>
      <c r="AT833" s="565"/>
      <c r="AU833" s="181"/>
      <c r="AV833" s="558"/>
    </row>
    <row r="834" ht="11.25" customHeight="1">
      <c r="A834" s="565"/>
      <c r="B834" s="181"/>
      <c r="C834" s="565"/>
      <c r="D834" s="565"/>
      <c r="E834" s="565"/>
      <c r="F834" s="565"/>
      <c r="G834" s="565"/>
      <c r="H834" s="565"/>
      <c r="I834" s="565"/>
      <c r="J834" s="565"/>
      <c r="K834" s="565"/>
      <c r="L834" s="565"/>
      <c r="M834" s="565"/>
      <c r="N834" s="565"/>
      <c r="O834" s="565"/>
      <c r="P834" s="565"/>
      <c r="Q834" s="565"/>
      <c r="R834" s="565"/>
      <c r="S834" s="565"/>
      <c r="T834" s="565"/>
      <c r="U834" s="565"/>
      <c r="V834" s="565"/>
      <c r="W834" s="565"/>
      <c r="X834" s="565"/>
      <c r="Y834" s="565"/>
      <c r="Z834" s="565"/>
      <c r="AA834" s="565"/>
      <c r="AB834" s="565"/>
      <c r="AC834" s="565"/>
      <c r="AD834" s="565"/>
      <c r="AE834" s="565"/>
      <c r="AF834" s="565"/>
      <c r="AG834" s="565"/>
      <c r="AH834" s="565"/>
      <c r="AI834" s="565"/>
      <c r="AJ834" s="565"/>
      <c r="AK834" s="565"/>
      <c r="AL834" s="565"/>
      <c r="AM834" s="565"/>
      <c r="AN834" s="565"/>
      <c r="AO834" s="565"/>
      <c r="AP834" s="565"/>
      <c r="AQ834" s="565"/>
      <c r="AR834" s="565"/>
      <c r="AS834" s="565"/>
      <c r="AT834" s="565"/>
      <c r="AU834" s="181"/>
      <c r="AV834" s="558"/>
    </row>
    <row r="835" ht="11.25" customHeight="1">
      <c r="A835" s="565"/>
      <c r="B835" s="181"/>
      <c r="C835" s="565"/>
      <c r="D835" s="565"/>
      <c r="E835" s="565"/>
      <c r="F835" s="565"/>
      <c r="G835" s="565"/>
      <c r="H835" s="565"/>
      <c r="I835" s="565"/>
      <c r="J835" s="565"/>
      <c r="K835" s="565"/>
      <c r="L835" s="565"/>
      <c r="M835" s="565"/>
      <c r="N835" s="565"/>
      <c r="O835" s="565"/>
      <c r="P835" s="565"/>
      <c r="Q835" s="565"/>
      <c r="R835" s="565"/>
      <c r="S835" s="565"/>
      <c r="T835" s="565"/>
      <c r="U835" s="565"/>
      <c r="V835" s="565"/>
      <c r="W835" s="565"/>
      <c r="X835" s="565"/>
      <c r="Y835" s="565"/>
      <c r="Z835" s="565"/>
      <c r="AA835" s="565"/>
      <c r="AB835" s="565"/>
      <c r="AC835" s="565"/>
      <c r="AD835" s="565"/>
      <c r="AE835" s="565"/>
      <c r="AF835" s="565"/>
      <c r="AG835" s="565"/>
      <c r="AH835" s="565"/>
      <c r="AI835" s="565"/>
      <c r="AJ835" s="565"/>
      <c r="AK835" s="565"/>
      <c r="AL835" s="565"/>
      <c r="AM835" s="565"/>
      <c r="AN835" s="565"/>
      <c r="AO835" s="565"/>
      <c r="AP835" s="565"/>
      <c r="AQ835" s="565"/>
      <c r="AR835" s="565"/>
      <c r="AS835" s="565"/>
      <c r="AT835" s="565"/>
      <c r="AU835" s="181"/>
      <c r="AV835" s="558"/>
    </row>
    <row r="836" ht="11.25" customHeight="1">
      <c r="A836" s="565"/>
      <c r="B836" s="181"/>
      <c r="C836" s="565"/>
      <c r="D836" s="565"/>
      <c r="E836" s="565"/>
      <c r="F836" s="565"/>
      <c r="G836" s="565"/>
      <c r="H836" s="565"/>
      <c r="I836" s="565"/>
      <c r="J836" s="565"/>
      <c r="K836" s="565"/>
      <c r="L836" s="565"/>
      <c r="M836" s="565"/>
      <c r="N836" s="565"/>
      <c r="O836" s="565"/>
      <c r="P836" s="565"/>
      <c r="Q836" s="565"/>
      <c r="R836" s="565"/>
      <c r="S836" s="565"/>
      <c r="T836" s="565"/>
      <c r="U836" s="565"/>
      <c r="V836" s="565"/>
      <c r="W836" s="565"/>
      <c r="X836" s="565"/>
      <c r="Y836" s="565"/>
      <c r="Z836" s="565"/>
      <c r="AA836" s="565"/>
      <c r="AB836" s="565"/>
      <c r="AC836" s="565"/>
      <c r="AD836" s="565"/>
      <c r="AE836" s="565"/>
      <c r="AF836" s="565"/>
      <c r="AG836" s="565"/>
      <c r="AH836" s="565"/>
      <c r="AI836" s="565"/>
      <c r="AJ836" s="565"/>
      <c r="AK836" s="565"/>
      <c r="AL836" s="565"/>
      <c r="AM836" s="565"/>
      <c r="AN836" s="565"/>
      <c r="AO836" s="565"/>
      <c r="AP836" s="565"/>
      <c r="AQ836" s="565"/>
      <c r="AR836" s="565"/>
      <c r="AS836" s="565"/>
      <c r="AT836" s="565"/>
      <c r="AU836" s="181"/>
      <c r="AV836" s="558"/>
    </row>
    <row r="837" ht="11.25" customHeight="1">
      <c r="A837" s="565"/>
      <c r="B837" s="181"/>
      <c r="C837" s="565"/>
      <c r="D837" s="565"/>
      <c r="E837" s="565"/>
      <c r="F837" s="565"/>
      <c r="G837" s="565"/>
      <c r="H837" s="565"/>
      <c r="I837" s="565"/>
      <c r="J837" s="565"/>
      <c r="K837" s="565"/>
      <c r="L837" s="565"/>
      <c r="M837" s="565"/>
      <c r="N837" s="565"/>
      <c r="O837" s="565"/>
      <c r="P837" s="565"/>
      <c r="Q837" s="565"/>
      <c r="R837" s="565"/>
      <c r="S837" s="565"/>
      <c r="T837" s="565"/>
      <c r="U837" s="565"/>
      <c r="V837" s="565"/>
      <c r="W837" s="565"/>
      <c r="X837" s="565"/>
      <c r="Y837" s="565"/>
      <c r="Z837" s="565"/>
      <c r="AA837" s="565"/>
      <c r="AB837" s="565"/>
      <c r="AC837" s="565"/>
      <c r="AD837" s="565"/>
      <c r="AE837" s="565"/>
      <c r="AF837" s="565"/>
      <c r="AG837" s="565"/>
      <c r="AH837" s="565"/>
      <c r="AI837" s="565"/>
      <c r="AJ837" s="565"/>
      <c r="AK837" s="565"/>
      <c r="AL837" s="565"/>
      <c r="AM837" s="565"/>
      <c r="AN837" s="565"/>
      <c r="AO837" s="565"/>
      <c r="AP837" s="565"/>
      <c r="AQ837" s="565"/>
      <c r="AR837" s="565"/>
      <c r="AS837" s="565"/>
      <c r="AT837" s="565"/>
      <c r="AU837" s="181"/>
      <c r="AV837" s="558"/>
    </row>
    <row r="838" ht="11.25" customHeight="1">
      <c r="A838" s="565"/>
      <c r="B838" s="181"/>
      <c r="C838" s="565"/>
      <c r="D838" s="565"/>
      <c r="E838" s="565"/>
      <c r="F838" s="565"/>
      <c r="G838" s="565"/>
      <c r="H838" s="565"/>
      <c r="I838" s="565"/>
      <c r="J838" s="565"/>
      <c r="K838" s="565"/>
      <c r="L838" s="565"/>
      <c r="M838" s="565"/>
      <c r="N838" s="565"/>
      <c r="O838" s="565"/>
      <c r="P838" s="565"/>
      <c r="Q838" s="565"/>
      <c r="R838" s="565"/>
      <c r="S838" s="565"/>
      <c r="T838" s="565"/>
      <c r="U838" s="565"/>
      <c r="V838" s="565"/>
      <c r="W838" s="565"/>
      <c r="X838" s="565"/>
      <c r="Y838" s="565"/>
      <c r="Z838" s="565"/>
      <c r="AA838" s="565"/>
      <c r="AB838" s="565"/>
      <c r="AC838" s="565"/>
      <c r="AD838" s="565"/>
      <c r="AE838" s="565"/>
      <c r="AF838" s="565"/>
      <c r="AG838" s="565"/>
      <c r="AH838" s="565"/>
      <c r="AI838" s="565"/>
      <c r="AJ838" s="565"/>
      <c r="AK838" s="565"/>
      <c r="AL838" s="565"/>
      <c r="AM838" s="565"/>
      <c r="AN838" s="565"/>
      <c r="AO838" s="565"/>
      <c r="AP838" s="565"/>
      <c r="AQ838" s="565"/>
      <c r="AR838" s="565"/>
      <c r="AS838" s="565"/>
      <c r="AT838" s="565"/>
      <c r="AU838" s="181"/>
      <c r="AV838" s="558"/>
    </row>
    <row r="839" ht="11.25" customHeight="1">
      <c r="A839" s="565"/>
      <c r="B839" s="181"/>
      <c r="C839" s="565"/>
      <c r="D839" s="565"/>
      <c r="E839" s="565"/>
      <c r="F839" s="565"/>
      <c r="G839" s="565"/>
      <c r="H839" s="565"/>
      <c r="I839" s="565"/>
      <c r="J839" s="565"/>
      <c r="K839" s="565"/>
      <c r="L839" s="565"/>
      <c r="M839" s="565"/>
      <c r="N839" s="565"/>
      <c r="O839" s="565"/>
      <c r="P839" s="565"/>
      <c r="Q839" s="565"/>
      <c r="R839" s="565"/>
      <c r="S839" s="565"/>
      <c r="T839" s="565"/>
      <c r="U839" s="565"/>
      <c r="V839" s="565"/>
      <c r="W839" s="565"/>
      <c r="X839" s="565"/>
      <c r="Y839" s="565"/>
      <c r="Z839" s="565"/>
      <c r="AA839" s="565"/>
      <c r="AB839" s="565"/>
      <c r="AC839" s="565"/>
      <c r="AD839" s="565"/>
      <c r="AE839" s="565"/>
      <c r="AF839" s="565"/>
      <c r="AG839" s="565"/>
      <c r="AH839" s="565"/>
      <c r="AI839" s="565"/>
      <c r="AJ839" s="565"/>
      <c r="AK839" s="565"/>
      <c r="AL839" s="565"/>
      <c r="AM839" s="565"/>
      <c r="AN839" s="565"/>
      <c r="AO839" s="565"/>
      <c r="AP839" s="565"/>
      <c r="AQ839" s="565"/>
      <c r="AR839" s="565"/>
      <c r="AS839" s="565"/>
      <c r="AT839" s="565"/>
      <c r="AU839" s="181"/>
      <c r="AV839" s="558"/>
    </row>
    <row r="840" ht="11.25" customHeight="1">
      <c r="A840" s="565"/>
      <c r="B840" s="181"/>
      <c r="C840" s="565"/>
      <c r="D840" s="565"/>
      <c r="E840" s="565"/>
      <c r="F840" s="565"/>
      <c r="G840" s="565"/>
      <c r="H840" s="565"/>
      <c r="I840" s="565"/>
      <c r="J840" s="565"/>
      <c r="K840" s="565"/>
      <c r="L840" s="565"/>
      <c r="M840" s="565"/>
      <c r="N840" s="565"/>
      <c r="O840" s="565"/>
      <c r="P840" s="565"/>
      <c r="Q840" s="565"/>
      <c r="R840" s="565"/>
      <c r="S840" s="565"/>
      <c r="T840" s="565"/>
      <c r="U840" s="565"/>
      <c r="V840" s="565"/>
      <c r="W840" s="565"/>
      <c r="X840" s="565"/>
      <c r="Y840" s="565"/>
      <c r="Z840" s="565"/>
      <c r="AA840" s="565"/>
      <c r="AB840" s="565"/>
      <c r="AC840" s="565"/>
      <c r="AD840" s="565"/>
      <c r="AE840" s="565"/>
      <c r="AF840" s="565"/>
      <c r="AG840" s="565"/>
      <c r="AH840" s="565"/>
      <c r="AI840" s="565"/>
      <c r="AJ840" s="565"/>
      <c r="AK840" s="565"/>
      <c r="AL840" s="565"/>
      <c r="AM840" s="565"/>
      <c r="AN840" s="565"/>
      <c r="AO840" s="565"/>
      <c r="AP840" s="565"/>
      <c r="AQ840" s="565"/>
      <c r="AR840" s="565"/>
      <c r="AS840" s="565"/>
      <c r="AT840" s="565"/>
      <c r="AU840" s="181"/>
      <c r="AV840" s="558"/>
    </row>
    <row r="841" ht="11.25" customHeight="1">
      <c r="A841" s="565"/>
      <c r="B841" s="181"/>
      <c r="C841" s="565"/>
      <c r="D841" s="565"/>
      <c r="E841" s="565"/>
      <c r="F841" s="565"/>
      <c r="G841" s="565"/>
      <c r="H841" s="565"/>
      <c r="I841" s="565"/>
      <c r="J841" s="565"/>
      <c r="K841" s="565"/>
      <c r="L841" s="565"/>
      <c r="M841" s="565"/>
      <c r="N841" s="565"/>
      <c r="O841" s="565"/>
      <c r="P841" s="565"/>
      <c r="Q841" s="565"/>
      <c r="R841" s="565"/>
      <c r="S841" s="565"/>
      <c r="T841" s="565"/>
      <c r="U841" s="565"/>
      <c r="V841" s="565"/>
      <c r="W841" s="565"/>
      <c r="X841" s="565"/>
      <c r="Y841" s="565"/>
      <c r="Z841" s="565"/>
      <c r="AA841" s="565"/>
      <c r="AB841" s="565"/>
      <c r="AC841" s="565"/>
      <c r="AD841" s="565"/>
      <c r="AE841" s="565"/>
      <c r="AF841" s="565"/>
      <c r="AG841" s="565"/>
      <c r="AH841" s="565"/>
      <c r="AI841" s="565"/>
      <c r="AJ841" s="565"/>
      <c r="AK841" s="565"/>
      <c r="AL841" s="565"/>
      <c r="AM841" s="565"/>
      <c r="AN841" s="565"/>
      <c r="AO841" s="565"/>
      <c r="AP841" s="565"/>
      <c r="AQ841" s="565"/>
      <c r="AR841" s="565"/>
      <c r="AS841" s="565"/>
      <c r="AT841" s="565"/>
      <c r="AU841" s="181"/>
      <c r="AV841" s="558"/>
    </row>
    <row r="842" ht="11.25" customHeight="1">
      <c r="A842" s="565"/>
      <c r="B842" s="181"/>
      <c r="C842" s="565"/>
      <c r="D842" s="565"/>
      <c r="E842" s="565"/>
      <c r="F842" s="565"/>
      <c r="G842" s="565"/>
      <c r="H842" s="565"/>
      <c r="I842" s="565"/>
      <c r="J842" s="565"/>
      <c r="K842" s="565"/>
      <c r="L842" s="565"/>
      <c r="M842" s="565"/>
      <c r="N842" s="565"/>
      <c r="O842" s="565"/>
      <c r="P842" s="565"/>
      <c r="Q842" s="565"/>
      <c r="R842" s="565"/>
      <c r="S842" s="565"/>
      <c r="T842" s="565"/>
      <c r="U842" s="565"/>
      <c r="V842" s="565"/>
      <c r="W842" s="565"/>
      <c r="X842" s="565"/>
      <c r="Y842" s="565"/>
      <c r="Z842" s="565"/>
      <c r="AA842" s="565"/>
      <c r="AB842" s="565"/>
      <c r="AC842" s="565"/>
      <c r="AD842" s="565"/>
      <c r="AE842" s="565"/>
      <c r="AF842" s="565"/>
      <c r="AG842" s="565"/>
      <c r="AH842" s="565"/>
      <c r="AI842" s="565"/>
      <c r="AJ842" s="565"/>
      <c r="AK842" s="565"/>
      <c r="AL842" s="565"/>
      <c r="AM842" s="565"/>
      <c r="AN842" s="565"/>
      <c r="AO842" s="565"/>
      <c r="AP842" s="565"/>
      <c r="AQ842" s="565"/>
      <c r="AR842" s="565"/>
      <c r="AS842" s="565"/>
      <c r="AT842" s="565"/>
      <c r="AU842" s="181"/>
      <c r="AV842" s="558"/>
    </row>
    <row r="843" ht="11.25" customHeight="1">
      <c r="A843" s="565"/>
      <c r="B843" s="181"/>
      <c r="C843" s="565"/>
      <c r="D843" s="565"/>
      <c r="E843" s="565"/>
      <c r="F843" s="565"/>
      <c r="G843" s="565"/>
      <c r="H843" s="565"/>
      <c r="I843" s="565"/>
      <c r="J843" s="565"/>
      <c r="K843" s="565"/>
      <c r="L843" s="565"/>
      <c r="M843" s="565"/>
      <c r="N843" s="565"/>
      <c r="O843" s="565"/>
      <c r="P843" s="565"/>
      <c r="Q843" s="565"/>
      <c r="R843" s="565"/>
      <c r="S843" s="565"/>
      <c r="T843" s="565"/>
      <c r="U843" s="565"/>
      <c r="V843" s="565"/>
      <c r="W843" s="565"/>
      <c r="X843" s="565"/>
      <c r="Y843" s="565"/>
      <c r="Z843" s="565"/>
      <c r="AA843" s="565"/>
      <c r="AB843" s="565"/>
      <c r="AC843" s="565"/>
      <c r="AD843" s="565"/>
      <c r="AE843" s="565"/>
      <c r="AF843" s="565"/>
      <c r="AG843" s="565"/>
      <c r="AH843" s="565"/>
      <c r="AI843" s="565"/>
      <c r="AJ843" s="565"/>
      <c r="AK843" s="565"/>
      <c r="AL843" s="565"/>
      <c r="AM843" s="565"/>
      <c r="AN843" s="565"/>
      <c r="AO843" s="565"/>
      <c r="AP843" s="565"/>
      <c r="AQ843" s="565"/>
      <c r="AR843" s="565"/>
      <c r="AS843" s="565"/>
      <c r="AT843" s="565"/>
      <c r="AU843" s="181"/>
      <c r="AV843" s="558"/>
    </row>
    <row r="844" ht="11.25" customHeight="1">
      <c r="A844" s="565"/>
      <c r="B844" s="181"/>
      <c r="C844" s="565"/>
      <c r="D844" s="565"/>
      <c r="E844" s="565"/>
      <c r="F844" s="565"/>
      <c r="G844" s="565"/>
      <c r="H844" s="565"/>
      <c r="I844" s="565"/>
      <c r="J844" s="565"/>
      <c r="K844" s="565"/>
      <c r="L844" s="565"/>
      <c r="M844" s="565"/>
      <c r="N844" s="565"/>
      <c r="O844" s="565"/>
      <c r="P844" s="565"/>
      <c r="Q844" s="565"/>
      <c r="R844" s="565"/>
      <c r="S844" s="565"/>
      <c r="T844" s="565"/>
      <c r="U844" s="565"/>
      <c r="V844" s="565"/>
      <c r="W844" s="565"/>
      <c r="X844" s="565"/>
      <c r="Y844" s="565"/>
      <c r="Z844" s="565"/>
      <c r="AA844" s="565"/>
      <c r="AB844" s="565"/>
      <c r="AC844" s="565"/>
      <c r="AD844" s="565"/>
      <c r="AE844" s="565"/>
      <c r="AF844" s="565"/>
      <c r="AG844" s="565"/>
      <c r="AH844" s="565"/>
      <c r="AI844" s="565"/>
      <c r="AJ844" s="565"/>
      <c r="AK844" s="565"/>
      <c r="AL844" s="565"/>
      <c r="AM844" s="565"/>
      <c r="AN844" s="565"/>
      <c r="AO844" s="565"/>
      <c r="AP844" s="565"/>
      <c r="AQ844" s="565"/>
      <c r="AR844" s="565"/>
      <c r="AS844" s="565"/>
      <c r="AT844" s="565"/>
      <c r="AU844" s="181"/>
      <c r="AV844" s="558"/>
    </row>
    <row r="845" ht="11.25" customHeight="1">
      <c r="A845" s="565"/>
      <c r="B845" s="181"/>
      <c r="C845" s="565"/>
      <c r="D845" s="565"/>
      <c r="E845" s="565"/>
      <c r="F845" s="565"/>
      <c r="G845" s="565"/>
      <c r="H845" s="565"/>
      <c r="I845" s="565"/>
      <c r="J845" s="565"/>
      <c r="K845" s="565"/>
      <c r="L845" s="565"/>
      <c r="M845" s="565"/>
      <c r="N845" s="565"/>
      <c r="O845" s="565"/>
      <c r="P845" s="565"/>
      <c r="Q845" s="565"/>
      <c r="R845" s="565"/>
      <c r="S845" s="565"/>
      <c r="T845" s="565"/>
      <c r="U845" s="565"/>
      <c r="V845" s="565"/>
      <c r="W845" s="565"/>
      <c r="X845" s="565"/>
      <c r="Y845" s="565"/>
      <c r="Z845" s="565"/>
      <c r="AA845" s="565"/>
      <c r="AB845" s="565"/>
      <c r="AC845" s="565"/>
      <c r="AD845" s="565"/>
      <c r="AE845" s="565"/>
      <c r="AF845" s="565"/>
      <c r="AG845" s="565"/>
      <c r="AH845" s="565"/>
      <c r="AI845" s="565"/>
      <c r="AJ845" s="565"/>
      <c r="AK845" s="565"/>
      <c r="AL845" s="565"/>
      <c r="AM845" s="565"/>
      <c r="AN845" s="565"/>
      <c r="AO845" s="565"/>
      <c r="AP845" s="565"/>
      <c r="AQ845" s="565"/>
      <c r="AR845" s="565"/>
      <c r="AS845" s="565"/>
      <c r="AT845" s="565"/>
      <c r="AU845" s="181"/>
      <c r="AV845" s="558"/>
    </row>
    <row r="846" ht="11.25" customHeight="1">
      <c r="A846" s="565"/>
      <c r="B846" s="181"/>
      <c r="C846" s="565"/>
      <c r="D846" s="565"/>
      <c r="E846" s="565"/>
      <c r="F846" s="565"/>
      <c r="G846" s="565"/>
      <c r="H846" s="565"/>
      <c r="I846" s="565"/>
      <c r="J846" s="565"/>
      <c r="K846" s="565"/>
      <c r="L846" s="565"/>
      <c r="M846" s="565"/>
      <c r="N846" s="565"/>
      <c r="O846" s="565"/>
      <c r="P846" s="565"/>
      <c r="Q846" s="565"/>
      <c r="R846" s="565"/>
      <c r="S846" s="565"/>
      <c r="T846" s="565"/>
      <c r="U846" s="565"/>
      <c r="V846" s="565"/>
      <c r="W846" s="565"/>
      <c r="X846" s="565"/>
      <c r="Y846" s="565"/>
      <c r="Z846" s="565"/>
      <c r="AA846" s="565"/>
      <c r="AB846" s="565"/>
      <c r="AC846" s="565"/>
      <c r="AD846" s="565"/>
      <c r="AE846" s="565"/>
      <c r="AF846" s="565"/>
      <c r="AG846" s="565"/>
      <c r="AH846" s="565"/>
      <c r="AI846" s="565"/>
      <c r="AJ846" s="565"/>
      <c r="AK846" s="565"/>
      <c r="AL846" s="565"/>
      <c r="AM846" s="565"/>
      <c r="AN846" s="565"/>
      <c r="AO846" s="565"/>
      <c r="AP846" s="565"/>
      <c r="AQ846" s="565"/>
      <c r="AR846" s="565"/>
      <c r="AS846" s="565"/>
      <c r="AT846" s="565"/>
      <c r="AU846" s="181"/>
      <c r="AV846" s="558"/>
    </row>
    <row r="847" ht="11.25" customHeight="1">
      <c r="A847" s="565"/>
      <c r="B847" s="181"/>
      <c r="C847" s="565"/>
      <c r="D847" s="565"/>
      <c r="E847" s="565"/>
      <c r="F847" s="565"/>
      <c r="G847" s="565"/>
      <c r="H847" s="565"/>
      <c r="I847" s="565"/>
      <c r="J847" s="565"/>
      <c r="K847" s="565"/>
      <c r="L847" s="565"/>
      <c r="M847" s="565"/>
      <c r="N847" s="565"/>
      <c r="O847" s="565"/>
      <c r="P847" s="565"/>
      <c r="Q847" s="565"/>
      <c r="R847" s="565"/>
      <c r="S847" s="565"/>
      <c r="T847" s="565"/>
      <c r="U847" s="565"/>
      <c r="V847" s="565"/>
      <c r="W847" s="565"/>
      <c r="X847" s="565"/>
      <c r="Y847" s="565"/>
      <c r="Z847" s="565"/>
      <c r="AA847" s="565"/>
      <c r="AB847" s="565"/>
      <c r="AC847" s="565"/>
      <c r="AD847" s="565"/>
      <c r="AE847" s="565"/>
      <c r="AF847" s="565"/>
      <c r="AG847" s="565"/>
      <c r="AH847" s="565"/>
      <c r="AI847" s="565"/>
      <c r="AJ847" s="565"/>
      <c r="AK847" s="565"/>
      <c r="AL847" s="565"/>
      <c r="AM847" s="565"/>
      <c r="AN847" s="565"/>
      <c r="AO847" s="565"/>
      <c r="AP847" s="565"/>
      <c r="AQ847" s="565"/>
      <c r="AR847" s="565"/>
      <c r="AS847" s="565"/>
      <c r="AT847" s="565"/>
      <c r="AU847" s="181"/>
      <c r="AV847" s="558"/>
    </row>
    <row r="848" ht="11.25" customHeight="1">
      <c r="A848" s="565"/>
      <c r="B848" s="181"/>
      <c r="C848" s="565"/>
      <c r="D848" s="565"/>
      <c r="E848" s="565"/>
      <c r="F848" s="565"/>
      <c r="G848" s="565"/>
      <c r="H848" s="565"/>
      <c r="I848" s="565"/>
      <c r="J848" s="565"/>
      <c r="K848" s="565"/>
      <c r="L848" s="565"/>
      <c r="M848" s="565"/>
      <c r="N848" s="565"/>
      <c r="O848" s="565"/>
      <c r="P848" s="565"/>
      <c r="Q848" s="565"/>
      <c r="R848" s="565"/>
      <c r="S848" s="565"/>
      <c r="T848" s="565"/>
      <c r="U848" s="565"/>
      <c r="V848" s="565"/>
      <c r="W848" s="565"/>
      <c r="X848" s="565"/>
      <c r="Y848" s="565"/>
      <c r="Z848" s="565"/>
      <c r="AA848" s="565"/>
      <c r="AB848" s="565"/>
      <c r="AC848" s="565"/>
      <c r="AD848" s="565"/>
      <c r="AE848" s="565"/>
      <c r="AF848" s="565"/>
      <c r="AG848" s="565"/>
      <c r="AH848" s="565"/>
      <c r="AI848" s="565"/>
      <c r="AJ848" s="565"/>
      <c r="AK848" s="565"/>
      <c r="AL848" s="565"/>
      <c r="AM848" s="565"/>
      <c r="AN848" s="565"/>
      <c r="AO848" s="565"/>
      <c r="AP848" s="565"/>
      <c r="AQ848" s="565"/>
      <c r="AR848" s="565"/>
      <c r="AS848" s="565"/>
      <c r="AT848" s="565"/>
      <c r="AU848" s="181"/>
      <c r="AV848" s="558"/>
    </row>
    <row r="849" ht="11.25" customHeight="1">
      <c r="A849" s="565"/>
      <c r="B849" s="181"/>
      <c r="C849" s="565"/>
      <c r="D849" s="565"/>
      <c r="E849" s="565"/>
      <c r="F849" s="565"/>
      <c r="G849" s="565"/>
      <c r="H849" s="565"/>
      <c r="I849" s="565"/>
      <c r="J849" s="565"/>
      <c r="K849" s="565"/>
      <c r="L849" s="565"/>
      <c r="M849" s="565"/>
      <c r="N849" s="565"/>
      <c r="O849" s="565"/>
      <c r="P849" s="565"/>
      <c r="Q849" s="565"/>
      <c r="R849" s="565"/>
      <c r="S849" s="565"/>
      <c r="T849" s="565"/>
      <c r="U849" s="565"/>
      <c r="V849" s="565"/>
      <c r="W849" s="565"/>
      <c r="X849" s="565"/>
      <c r="Y849" s="565"/>
      <c r="Z849" s="565"/>
      <c r="AA849" s="565"/>
      <c r="AB849" s="565"/>
      <c r="AC849" s="565"/>
      <c r="AD849" s="565"/>
      <c r="AE849" s="565"/>
      <c r="AF849" s="565"/>
      <c r="AG849" s="565"/>
      <c r="AH849" s="565"/>
      <c r="AI849" s="565"/>
      <c r="AJ849" s="565"/>
      <c r="AK849" s="565"/>
      <c r="AL849" s="565"/>
      <c r="AM849" s="565"/>
      <c r="AN849" s="565"/>
      <c r="AO849" s="565"/>
      <c r="AP849" s="565"/>
      <c r="AQ849" s="565"/>
      <c r="AR849" s="565"/>
      <c r="AS849" s="565"/>
      <c r="AT849" s="565"/>
      <c r="AU849" s="181"/>
      <c r="AV849" s="558"/>
    </row>
    <row r="850" ht="11.25" customHeight="1">
      <c r="A850" s="565"/>
      <c r="B850" s="181"/>
      <c r="C850" s="565"/>
      <c r="D850" s="565"/>
      <c r="E850" s="565"/>
      <c r="F850" s="565"/>
      <c r="G850" s="565"/>
      <c r="H850" s="565"/>
      <c r="I850" s="565"/>
      <c r="J850" s="565"/>
      <c r="K850" s="565"/>
      <c r="L850" s="565"/>
      <c r="M850" s="565"/>
      <c r="N850" s="565"/>
      <c r="O850" s="565"/>
      <c r="P850" s="565"/>
      <c r="Q850" s="565"/>
      <c r="R850" s="565"/>
      <c r="S850" s="565"/>
      <c r="T850" s="565"/>
      <c r="U850" s="565"/>
      <c r="V850" s="565"/>
      <c r="W850" s="565"/>
      <c r="X850" s="565"/>
      <c r="Y850" s="565"/>
      <c r="Z850" s="565"/>
      <c r="AA850" s="565"/>
      <c r="AB850" s="565"/>
      <c r="AC850" s="565"/>
      <c r="AD850" s="565"/>
      <c r="AE850" s="565"/>
      <c r="AF850" s="565"/>
      <c r="AG850" s="565"/>
      <c r="AH850" s="565"/>
      <c r="AI850" s="565"/>
      <c r="AJ850" s="565"/>
      <c r="AK850" s="565"/>
      <c r="AL850" s="565"/>
      <c r="AM850" s="565"/>
      <c r="AN850" s="565"/>
      <c r="AO850" s="565"/>
      <c r="AP850" s="565"/>
      <c r="AQ850" s="565"/>
      <c r="AR850" s="565"/>
      <c r="AS850" s="565"/>
      <c r="AT850" s="565"/>
      <c r="AU850" s="181"/>
      <c r="AV850" s="558"/>
    </row>
    <row r="851" ht="11.25" customHeight="1">
      <c r="A851" s="565"/>
      <c r="B851" s="181"/>
      <c r="C851" s="565"/>
      <c r="D851" s="565"/>
      <c r="E851" s="565"/>
      <c r="F851" s="565"/>
      <c r="G851" s="565"/>
      <c r="H851" s="565"/>
      <c r="I851" s="565"/>
      <c r="J851" s="565"/>
      <c r="K851" s="565"/>
      <c r="L851" s="565"/>
      <c r="M851" s="565"/>
      <c r="N851" s="565"/>
      <c r="O851" s="565"/>
      <c r="P851" s="565"/>
      <c r="Q851" s="565"/>
      <c r="R851" s="565"/>
      <c r="S851" s="565"/>
      <c r="T851" s="565"/>
      <c r="U851" s="565"/>
      <c r="V851" s="565"/>
      <c r="W851" s="565"/>
      <c r="X851" s="565"/>
      <c r="Y851" s="565"/>
      <c r="Z851" s="565"/>
      <c r="AA851" s="565"/>
      <c r="AB851" s="565"/>
      <c r="AC851" s="565"/>
      <c r="AD851" s="565"/>
      <c r="AE851" s="565"/>
      <c r="AF851" s="565"/>
      <c r="AG851" s="565"/>
      <c r="AH851" s="565"/>
      <c r="AI851" s="565"/>
      <c r="AJ851" s="565"/>
      <c r="AK851" s="565"/>
      <c r="AL851" s="565"/>
      <c r="AM851" s="565"/>
      <c r="AN851" s="565"/>
      <c r="AO851" s="565"/>
      <c r="AP851" s="565"/>
      <c r="AQ851" s="565"/>
      <c r="AR851" s="565"/>
      <c r="AS851" s="565"/>
      <c r="AT851" s="565"/>
      <c r="AU851" s="181"/>
      <c r="AV851" s="558"/>
    </row>
    <row r="852" ht="11.25" customHeight="1">
      <c r="A852" s="565"/>
      <c r="B852" s="181"/>
      <c r="C852" s="565"/>
      <c r="D852" s="565"/>
      <c r="E852" s="565"/>
      <c r="F852" s="565"/>
      <c r="G852" s="565"/>
      <c r="H852" s="565"/>
      <c r="I852" s="565"/>
      <c r="J852" s="565"/>
      <c r="K852" s="565"/>
      <c r="L852" s="565"/>
      <c r="M852" s="565"/>
      <c r="N852" s="565"/>
      <c r="O852" s="565"/>
      <c r="P852" s="565"/>
      <c r="Q852" s="565"/>
      <c r="R852" s="565"/>
      <c r="S852" s="565"/>
      <c r="T852" s="565"/>
      <c r="U852" s="565"/>
      <c r="V852" s="565"/>
      <c r="W852" s="565"/>
      <c r="X852" s="565"/>
      <c r="Y852" s="565"/>
      <c r="Z852" s="565"/>
      <c r="AA852" s="565"/>
      <c r="AB852" s="565"/>
      <c r="AC852" s="565"/>
      <c r="AD852" s="565"/>
      <c r="AE852" s="565"/>
      <c r="AF852" s="565"/>
      <c r="AG852" s="565"/>
      <c r="AH852" s="565"/>
      <c r="AI852" s="565"/>
      <c r="AJ852" s="565"/>
      <c r="AK852" s="565"/>
      <c r="AL852" s="565"/>
      <c r="AM852" s="565"/>
      <c r="AN852" s="565"/>
      <c r="AO852" s="565"/>
      <c r="AP852" s="565"/>
      <c r="AQ852" s="565"/>
      <c r="AR852" s="565"/>
      <c r="AS852" s="565"/>
      <c r="AT852" s="565"/>
      <c r="AU852" s="181"/>
      <c r="AV852" s="558"/>
    </row>
    <row r="853" ht="11.25" customHeight="1">
      <c r="A853" s="565"/>
      <c r="B853" s="181"/>
      <c r="C853" s="565"/>
      <c r="D853" s="565"/>
      <c r="E853" s="565"/>
      <c r="F853" s="565"/>
      <c r="G853" s="565"/>
      <c r="H853" s="565"/>
      <c r="I853" s="565"/>
      <c r="J853" s="565"/>
      <c r="K853" s="565"/>
      <c r="L853" s="565"/>
      <c r="M853" s="565"/>
      <c r="N853" s="565"/>
      <c r="O853" s="565"/>
      <c r="P853" s="565"/>
      <c r="Q853" s="565"/>
      <c r="R853" s="565"/>
      <c r="S853" s="565"/>
      <c r="T853" s="565"/>
      <c r="U853" s="565"/>
      <c r="V853" s="565"/>
      <c r="W853" s="565"/>
      <c r="X853" s="565"/>
      <c r="Y853" s="565"/>
      <c r="Z853" s="565"/>
      <c r="AA853" s="565"/>
      <c r="AB853" s="565"/>
      <c r="AC853" s="565"/>
      <c r="AD853" s="565"/>
      <c r="AE853" s="565"/>
      <c r="AF853" s="565"/>
      <c r="AG853" s="565"/>
      <c r="AH853" s="565"/>
      <c r="AI853" s="565"/>
      <c r="AJ853" s="565"/>
      <c r="AK853" s="565"/>
      <c r="AL853" s="565"/>
      <c r="AM853" s="565"/>
      <c r="AN853" s="565"/>
      <c r="AO853" s="565"/>
      <c r="AP853" s="565"/>
      <c r="AQ853" s="565"/>
      <c r="AR853" s="565"/>
      <c r="AS853" s="565"/>
      <c r="AT853" s="565"/>
      <c r="AU853" s="181"/>
      <c r="AV853" s="558"/>
    </row>
    <row r="854" ht="11.25" customHeight="1">
      <c r="A854" s="565"/>
      <c r="B854" s="181"/>
      <c r="C854" s="565"/>
      <c r="D854" s="565"/>
      <c r="E854" s="565"/>
      <c r="F854" s="565"/>
      <c r="G854" s="565"/>
      <c r="H854" s="565"/>
      <c r="I854" s="565"/>
      <c r="J854" s="565"/>
      <c r="K854" s="565"/>
      <c r="L854" s="565"/>
      <c r="M854" s="565"/>
      <c r="N854" s="565"/>
      <c r="O854" s="565"/>
      <c r="P854" s="565"/>
      <c r="Q854" s="565"/>
      <c r="R854" s="565"/>
      <c r="S854" s="565"/>
      <c r="T854" s="565"/>
      <c r="U854" s="565"/>
      <c r="V854" s="565"/>
      <c r="W854" s="565"/>
      <c r="X854" s="565"/>
      <c r="Y854" s="565"/>
      <c r="Z854" s="565"/>
      <c r="AA854" s="565"/>
      <c r="AB854" s="565"/>
      <c r="AC854" s="565"/>
      <c r="AD854" s="565"/>
      <c r="AE854" s="565"/>
      <c r="AF854" s="565"/>
      <c r="AG854" s="565"/>
      <c r="AH854" s="565"/>
      <c r="AI854" s="565"/>
      <c r="AJ854" s="565"/>
      <c r="AK854" s="565"/>
      <c r="AL854" s="565"/>
      <c r="AM854" s="565"/>
      <c r="AN854" s="565"/>
      <c r="AO854" s="565"/>
      <c r="AP854" s="565"/>
      <c r="AQ854" s="565"/>
      <c r="AR854" s="565"/>
      <c r="AS854" s="565"/>
      <c r="AT854" s="565"/>
      <c r="AU854" s="181"/>
      <c r="AV854" s="558"/>
    </row>
    <row r="855" ht="11.25" customHeight="1">
      <c r="A855" s="565"/>
      <c r="B855" s="181"/>
      <c r="C855" s="565"/>
      <c r="D855" s="565"/>
      <c r="E855" s="565"/>
      <c r="F855" s="565"/>
      <c r="G855" s="565"/>
      <c r="H855" s="565"/>
      <c r="I855" s="565"/>
      <c r="J855" s="565"/>
      <c r="K855" s="565"/>
      <c r="L855" s="565"/>
      <c r="M855" s="565"/>
      <c r="N855" s="565"/>
      <c r="O855" s="565"/>
      <c r="P855" s="565"/>
      <c r="Q855" s="565"/>
      <c r="R855" s="565"/>
      <c r="S855" s="565"/>
      <c r="T855" s="565"/>
      <c r="U855" s="565"/>
      <c r="V855" s="565"/>
      <c r="W855" s="565"/>
      <c r="X855" s="565"/>
      <c r="Y855" s="565"/>
      <c r="Z855" s="565"/>
      <c r="AA855" s="565"/>
      <c r="AB855" s="565"/>
      <c r="AC855" s="565"/>
      <c r="AD855" s="565"/>
      <c r="AE855" s="565"/>
      <c r="AF855" s="565"/>
      <c r="AG855" s="565"/>
      <c r="AH855" s="565"/>
      <c r="AI855" s="565"/>
      <c r="AJ855" s="565"/>
      <c r="AK855" s="565"/>
      <c r="AL855" s="565"/>
      <c r="AM855" s="565"/>
      <c r="AN855" s="565"/>
      <c r="AO855" s="565"/>
      <c r="AP855" s="565"/>
      <c r="AQ855" s="565"/>
      <c r="AR855" s="565"/>
      <c r="AS855" s="565"/>
      <c r="AT855" s="565"/>
      <c r="AU855" s="181"/>
      <c r="AV855" s="558"/>
    </row>
    <row r="856" ht="11.25" customHeight="1">
      <c r="A856" s="565"/>
      <c r="B856" s="181"/>
      <c r="C856" s="565"/>
      <c r="D856" s="565"/>
      <c r="E856" s="565"/>
      <c r="F856" s="565"/>
      <c r="G856" s="565"/>
      <c r="H856" s="565"/>
      <c r="I856" s="565"/>
      <c r="J856" s="565"/>
      <c r="K856" s="565"/>
      <c r="L856" s="565"/>
      <c r="M856" s="565"/>
      <c r="N856" s="565"/>
      <c r="O856" s="565"/>
      <c r="P856" s="565"/>
      <c r="Q856" s="565"/>
      <c r="R856" s="565"/>
      <c r="S856" s="565"/>
      <c r="T856" s="565"/>
      <c r="U856" s="565"/>
      <c r="V856" s="565"/>
      <c r="W856" s="565"/>
      <c r="X856" s="565"/>
      <c r="Y856" s="565"/>
      <c r="Z856" s="565"/>
      <c r="AA856" s="565"/>
      <c r="AB856" s="565"/>
      <c r="AC856" s="565"/>
      <c r="AD856" s="565"/>
      <c r="AE856" s="565"/>
      <c r="AF856" s="565"/>
      <c r="AG856" s="565"/>
      <c r="AH856" s="565"/>
      <c r="AI856" s="565"/>
      <c r="AJ856" s="565"/>
      <c r="AK856" s="565"/>
      <c r="AL856" s="565"/>
      <c r="AM856" s="565"/>
      <c r="AN856" s="565"/>
      <c r="AO856" s="565"/>
      <c r="AP856" s="565"/>
      <c r="AQ856" s="565"/>
      <c r="AR856" s="565"/>
      <c r="AS856" s="565"/>
      <c r="AT856" s="565"/>
      <c r="AU856" s="181"/>
      <c r="AV856" s="558"/>
    </row>
    <row r="857" ht="11.25" customHeight="1">
      <c r="A857" s="565"/>
      <c r="B857" s="181"/>
      <c r="C857" s="565"/>
      <c r="D857" s="565"/>
      <c r="E857" s="565"/>
      <c r="F857" s="565"/>
      <c r="G857" s="565"/>
      <c r="H857" s="565"/>
      <c r="I857" s="565"/>
      <c r="J857" s="565"/>
      <c r="K857" s="565"/>
      <c r="L857" s="565"/>
      <c r="M857" s="565"/>
      <c r="N857" s="565"/>
      <c r="O857" s="565"/>
      <c r="P857" s="565"/>
      <c r="Q857" s="565"/>
      <c r="R857" s="565"/>
      <c r="S857" s="565"/>
      <c r="T857" s="565"/>
      <c r="U857" s="565"/>
      <c r="V857" s="565"/>
      <c r="W857" s="565"/>
      <c r="X857" s="565"/>
      <c r="Y857" s="565"/>
      <c r="Z857" s="565"/>
      <c r="AA857" s="565"/>
      <c r="AB857" s="565"/>
      <c r="AC857" s="565"/>
      <c r="AD857" s="565"/>
      <c r="AE857" s="565"/>
      <c r="AF857" s="565"/>
      <c r="AG857" s="565"/>
      <c r="AH857" s="565"/>
      <c r="AI857" s="565"/>
      <c r="AJ857" s="565"/>
      <c r="AK857" s="565"/>
      <c r="AL857" s="565"/>
      <c r="AM857" s="565"/>
      <c r="AN857" s="565"/>
      <c r="AO857" s="565"/>
      <c r="AP857" s="565"/>
      <c r="AQ857" s="565"/>
      <c r="AR857" s="565"/>
      <c r="AS857" s="565"/>
      <c r="AT857" s="565"/>
      <c r="AU857" s="181"/>
      <c r="AV857" s="558"/>
    </row>
    <row r="858" ht="11.25" customHeight="1">
      <c r="A858" s="565"/>
      <c r="B858" s="181"/>
      <c r="C858" s="565"/>
      <c r="D858" s="565"/>
      <c r="E858" s="565"/>
      <c r="F858" s="565"/>
      <c r="G858" s="565"/>
      <c r="H858" s="565"/>
      <c r="I858" s="565"/>
      <c r="J858" s="565"/>
      <c r="K858" s="565"/>
      <c r="L858" s="565"/>
      <c r="M858" s="565"/>
      <c r="N858" s="565"/>
      <c r="O858" s="565"/>
      <c r="P858" s="565"/>
      <c r="Q858" s="565"/>
      <c r="R858" s="565"/>
      <c r="S858" s="565"/>
      <c r="T858" s="565"/>
      <c r="U858" s="565"/>
      <c r="V858" s="565"/>
      <c r="W858" s="565"/>
      <c r="X858" s="565"/>
      <c r="Y858" s="565"/>
      <c r="Z858" s="565"/>
      <c r="AA858" s="565"/>
      <c r="AB858" s="565"/>
      <c r="AC858" s="565"/>
      <c r="AD858" s="565"/>
      <c r="AE858" s="565"/>
      <c r="AF858" s="565"/>
      <c r="AG858" s="565"/>
      <c r="AH858" s="565"/>
      <c r="AI858" s="565"/>
      <c r="AJ858" s="565"/>
      <c r="AK858" s="565"/>
      <c r="AL858" s="565"/>
      <c r="AM858" s="565"/>
      <c r="AN858" s="565"/>
      <c r="AO858" s="565"/>
      <c r="AP858" s="565"/>
      <c r="AQ858" s="565"/>
      <c r="AR858" s="565"/>
      <c r="AS858" s="565"/>
      <c r="AT858" s="565"/>
      <c r="AU858" s="181"/>
      <c r="AV858" s="558"/>
    </row>
    <row r="859" ht="11.25" customHeight="1">
      <c r="A859" s="565"/>
      <c r="B859" s="181"/>
      <c r="C859" s="565"/>
      <c r="D859" s="565"/>
      <c r="E859" s="565"/>
      <c r="F859" s="565"/>
      <c r="G859" s="565"/>
      <c r="H859" s="565"/>
      <c r="I859" s="565"/>
      <c r="J859" s="565"/>
      <c r="K859" s="565"/>
      <c r="L859" s="565"/>
      <c r="M859" s="565"/>
      <c r="N859" s="565"/>
      <c r="O859" s="565"/>
      <c r="P859" s="565"/>
      <c r="Q859" s="565"/>
      <c r="R859" s="565"/>
      <c r="S859" s="565"/>
      <c r="T859" s="565"/>
      <c r="U859" s="565"/>
      <c r="V859" s="565"/>
      <c r="W859" s="565"/>
      <c r="X859" s="565"/>
      <c r="Y859" s="565"/>
      <c r="Z859" s="565"/>
      <c r="AA859" s="565"/>
      <c r="AB859" s="565"/>
      <c r="AC859" s="565"/>
      <c r="AD859" s="565"/>
      <c r="AE859" s="565"/>
      <c r="AF859" s="565"/>
      <c r="AG859" s="565"/>
      <c r="AH859" s="565"/>
      <c r="AI859" s="565"/>
      <c r="AJ859" s="565"/>
      <c r="AK859" s="565"/>
      <c r="AL859" s="565"/>
      <c r="AM859" s="565"/>
      <c r="AN859" s="565"/>
      <c r="AO859" s="565"/>
      <c r="AP859" s="565"/>
      <c r="AQ859" s="565"/>
      <c r="AR859" s="565"/>
      <c r="AS859" s="565"/>
      <c r="AT859" s="565"/>
      <c r="AU859" s="181"/>
      <c r="AV859" s="558"/>
    </row>
    <row r="860" ht="11.25" customHeight="1">
      <c r="A860" s="565"/>
      <c r="B860" s="181"/>
      <c r="C860" s="565"/>
      <c r="D860" s="565"/>
      <c r="E860" s="565"/>
      <c r="F860" s="565"/>
      <c r="G860" s="565"/>
      <c r="H860" s="565"/>
      <c r="I860" s="565"/>
      <c r="J860" s="565"/>
      <c r="K860" s="565"/>
      <c r="L860" s="565"/>
      <c r="M860" s="565"/>
      <c r="N860" s="565"/>
      <c r="O860" s="565"/>
      <c r="P860" s="565"/>
      <c r="Q860" s="565"/>
      <c r="R860" s="565"/>
      <c r="S860" s="565"/>
      <c r="T860" s="565"/>
      <c r="U860" s="565"/>
      <c r="V860" s="565"/>
      <c r="W860" s="565"/>
      <c r="X860" s="565"/>
      <c r="Y860" s="565"/>
      <c r="Z860" s="565"/>
      <c r="AA860" s="565"/>
      <c r="AB860" s="565"/>
      <c r="AC860" s="565"/>
      <c r="AD860" s="565"/>
      <c r="AE860" s="565"/>
      <c r="AF860" s="565"/>
      <c r="AG860" s="565"/>
      <c r="AH860" s="565"/>
      <c r="AI860" s="565"/>
      <c r="AJ860" s="565"/>
      <c r="AK860" s="565"/>
      <c r="AL860" s="565"/>
      <c r="AM860" s="565"/>
      <c r="AN860" s="565"/>
      <c r="AO860" s="565"/>
      <c r="AP860" s="565"/>
      <c r="AQ860" s="565"/>
      <c r="AR860" s="565"/>
      <c r="AS860" s="565"/>
      <c r="AT860" s="565"/>
      <c r="AU860" s="181"/>
      <c r="AV860" s="558"/>
    </row>
    <row r="861" ht="11.25" customHeight="1">
      <c r="A861" s="565"/>
      <c r="B861" s="181"/>
      <c r="C861" s="565"/>
      <c r="D861" s="565"/>
      <c r="E861" s="565"/>
      <c r="F861" s="565"/>
      <c r="G861" s="565"/>
      <c r="H861" s="565"/>
      <c r="I861" s="565"/>
      <c r="J861" s="565"/>
      <c r="K861" s="565"/>
      <c r="L861" s="565"/>
      <c r="M861" s="565"/>
      <c r="N861" s="565"/>
      <c r="O861" s="565"/>
      <c r="P861" s="565"/>
      <c r="Q861" s="565"/>
      <c r="R861" s="565"/>
      <c r="S861" s="565"/>
      <c r="T861" s="565"/>
      <c r="U861" s="565"/>
      <c r="V861" s="565"/>
      <c r="W861" s="565"/>
      <c r="X861" s="565"/>
      <c r="Y861" s="565"/>
      <c r="Z861" s="565"/>
      <c r="AA861" s="565"/>
      <c r="AB861" s="565"/>
      <c r="AC861" s="565"/>
      <c r="AD861" s="565"/>
      <c r="AE861" s="565"/>
      <c r="AF861" s="565"/>
      <c r="AG861" s="565"/>
      <c r="AH861" s="565"/>
      <c r="AI861" s="565"/>
      <c r="AJ861" s="565"/>
      <c r="AK861" s="565"/>
      <c r="AL861" s="565"/>
      <c r="AM861" s="565"/>
      <c r="AN861" s="565"/>
      <c r="AO861" s="565"/>
      <c r="AP861" s="565"/>
      <c r="AQ861" s="565"/>
      <c r="AR861" s="565"/>
      <c r="AS861" s="565"/>
      <c r="AT861" s="565"/>
      <c r="AU861" s="181"/>
      <c r="AV861" s="558"/>
    </row>
    <row r="862" ht="11.25" customHeight="1">
      <c r="A862" s="565"/>
      <c r="B862" s="181"/>
      <c r="C862" s="565"/>
      <c r="D862" s="565"/>
      <c r="E862" s="565"/>
      <c r="F862" s="565"/>
      <c r="G862" s="565"/>
      <c r="H862" s="565"/>
      <c r="I862" s="565"/>
      <c r="J862" s="565"/>
      <c r="K862" s="565"/>
      <c r="L862" s="565"/>
      <c r="M862" s="565"/>
      <c r="N862" s="565"/>
      <c r="O862" s="565"/>
      <c r="P862" s="565"/>
      <c r="Q862" s="565"/>
      <c r="R862" s="565"/>
      <c r="S862" s="565"/>
      <c r="T862" s="565"/>
      <c r="U862" s="565"/>
      <c r="V862" s="565"/>
      <c r="W862" s="565"/>
      <c r="X862" s="565"/>
      <c r="Y862" s="565"/>
      <c r="Z862" s="565"/>
      <c r="AA862" s="565"/>
      <c r="AB862" s="565"/>
      <c r="AC862" s="565"/>
      <c r="AD862" s="565"/>
      <c r="AE862" s="565"/>
      <c r="AF862" s="565"/>
      <c r="AG862" s="565"/>
      <c r="AH862" s="565"/>
      <c r="AI862" s="565"/>
      <c r="AJ862" s="565"/>
      <c r="AK862" s="565"/>
      <c r="AL862" s="565"/>
      <c r="AM862" s="565"/>
      <c r="AN862" s="565"/>
      <c r="AO862" s="565"/>
      <c r="AP862" s="565"/>
      <c r="AQ862" s="565"/>
      <c r="AR862" s="565"/>
      <c r="AS862" s="565"/>
      <c r="AT862" s="565"/>
      <c r="AU862" s="181"/>
      <c r="AV862" s="558"/>
    </row>
    <row r="863" ht="11.25" customHeight="1">
      <c r="A863" s="565"/>
      <c r="B863" s="181"/>
      <c r="C863" s="565"/>
      <c r="D863" s="565"/>
      <c r="E863" s="565"/>
      <c r="F863" s="565"/>
      <c r="G863" s="565"/>
      <c r="H863" s="565"/>
      <c r="I863" s="565"/>
      <c r="J863" s="565"/>
      <c r="K863" s="565"/>
      <c r="L863" s="565"/>
      <c r="M863" s="565"/>
      <c r="N863" s="565"/>
      <c r="O863" s="565"/>
      <c r="P863" s="565"/>
      <c r="Q863" s="565"/>
      <c r="R863" s="565"/>
      <c r="S863" s="565"/>
      <c r="T863" s="565"/>
      <c r="U863" s="565"/>
      <c r="V863" s="565"/>
      <c r="W863" s="565"/>
      <c r="X863" s="565"/>
      <c r="Y863" s="565"/>
      <c r="Z863" s="565"/>
      <c r="AA863" s="565"/>
      <c r="AB863" s="565"/>
      <c r="AC863" s="565"/>
      <c r="AD863" s="565"/>
      <c r="AE863" s="565"/>
      <c r="AF863" s="565"/>
      <c r="AG863" s="565"/>
      <c r="AH863" s="565"/>
      <c r="AI863" s="565"/>
      <c r="AJ863" s="565"/>
      <c r="AK863" s="565"/>
      <c r="AL863" s="565"/>
      <c r="AM863" s="565"/>
      <c r="AN863" s="565"/>
      <c r="AO863" s="565"/>
      <c r="AP863" s="565"/>
      <c r="AQ863" s="565"/>
      <c r="AR863" s="565"/>
      <c r="AS863" s="565"/>
      <c r="AT863" s="565"/>
      <c r="AU863" s="181"/>
      <c r="AV863" s="558"/>
    </row>
    <row r="864" ht="11.25" customHeight="1">
      <c r="A864" s="565"/>
      <c r="B864" s="181"/>
      <c r="C864" s="565"/>
      <c r="D864" s="565"/>
      <c r="E864" s="565"/>
      <c r="F864" s="565"/>
      <c r="G864" s="565"/>
      <c r="H864" s="565"/>
      <c r="I864" s="565"/>
      <c r="J864" s="565"/>
      <c r="K864" s="565"/>
      <c r="L864" s="565"/>
      <c r="M864" s="565"/>
      <c r="N864" s="565"/>
      <c r="O864" s="565"/>
      <c r="P864" s="565"/>
      <c r="Q864" s="565"/>
      <c r="R864" s="565"/>
      <c r="S864" s="565"/>
      <c r="T864" s="565"/>
      <c r="U864" s="565"/>
      <c r="V864" s="565"/>
      <c r="W864" s="565"/>
      <c r="X864" s="565"/>
      <c r="Y864" s="565"/>
      <c r="Z864" s="565"/>
      <c r="AA864" s="565"/>
      <c r="AB864" s="565"/>
      <c r="AC864" s="565"/>
      <c r="AD864" s="565"/>
      <c r="AE864" s="565"/>
      <c r="AF864" s="565"/>
      <c r="AG864" s="565"/>
      <c r="AH864" s="565"/>
      <c r="AI864" s="565"/>
      <c r="AJ864" s="565"/>
      <c r="AK864" s="565"/>
      <c r="AL864" s="565"/>
      <c r="AM864" s="565"/>
      <c r="AN864" s="565"/>
      <c r="AO864" s="565"/>
      <c r="AP864" s="565"/>
      <c r="AQ864" s="565"/>
      <c r="AR864" s="565"/>
      <c r="AS864" s="565"/>
      <c r="AT864" s="565"/>
      <c r="AU864" s="181"/>
      <c r="AV864" s="558"/>
    </row>
    <row r="865" ht="11.25" customHeight="1">
      <c r="A865" s="565"/>
      <c r="B865" s="181"/>
      <c r="C865" s="565"/>
      <c r="D865" s="565"/>
      <c r="E865" s="565"/>
      <c r="F865" s="565"/>
      <c r="G865" s="565"/>
      <c r="H865" s="565"/>
      <c r="I865" s="565"/>
      <c r="J865" s="565"/>
      <c r="K865" s="565"/>
      <c r="L865" s="565"/>
      <c r="M865" s="565"/>
      <c r="N865" s="565"/>
      <c r="O865" s="565"/>
      <c r="P865" s="565"/>
      <c r="Q865" s="565"/>
      <c r="R865" s="565"/>
      <c r="S865" s="565"/>
      <c r="T865" s="565"/>
      <c r="U865" s="565"/>
      <c r="V865" s="565"/>
      <c r="W865" s="565"/>
      <c r="X865" s="565"/>
      <c r="Y865" s="565"/>
      <c r="Z865" s="565"/>
      <c r="AA865" s="565"/>
      <c r="AB865" s="565"/>
      <c r="AC865" s="565"/>
      <c r="AD865" s="565"/>
      <c r="AE865" s="565"/>
      <c r="AF865" s="565"/>
      <c r="AG865" s="565"/>
      <c r="AH865" s="565"/>
      <c r="AI865" s="565"/>
      <c r="AJ865" s="565"/>
      <c r="AK865" s="565"/>
      <c r="AL865" s="565"/>
      <c r="AM865" s="565"/>
      <c r="AN865" s="565"/>
      <c r="AO865" s="565"/>
      <c r="AP865" s="565"/>
      <c r="AQ865" s="565"/>
      <c r="AR865" s="565"/>
      <c r="AS865" s="565"/>
      <c r="AT865" s="565"/>
      <c r="AU865" s="181"/>
      <c r="AV865" s="558"/>
    </row>
    <row r="866" ht="11.25" customHeight="1">
      <c r="A866" s="565"/>
      <c r="B866" s="181"/>
      <c r="C866" s="565"/>
      <c r="D866" s="565"/>
      <c r="E866" s="565"/>
      <c r="F866" s="565"/>
      <c r="G866" s="565"/>
      <c r="H866" s="565"/>
      <c r="I866" s="565"/>
      <c r="J866" s="565"/>
      <c r="K866" s="565"/>
      <c r="L866" s="565"/>
      <c r="M866" s="565"/>
      <c r="N866" s="565"/>
      <c r="O866" s="565"/>
      <c r="P866" s="565"/>
      <c r="Q866" s="565"/>
      <c r="R866" s="565"/>
      <c r="S866" s="565"/>
      <c r="T866" s="565"/>
      <c r="U866" s="565"/>
      <c r="V866" s="565"/>
      <c r="W866" s="565"/>
      <c r="X866" s="565"/>
      <c r="Y866" s="565"/>
      <c r="Z866" s="565"/>
      <c r="AA866" s="565"/>
      <c r="AB866" s="565"/>
      <c r="AC866" s="565"/>
      <c r="AD866" s="565"/>
      <c r="AE866" s="565"/>
      <c r="AF866" s="565"/>
      <c r="AG866" s="565"/>
      <c r="AH866" s="565"/>
      <c r="AI866" s="565"/>
      <c r="AJ866" s="565"/>
      <c r="AK866" s="565"/>
      <c r="AL866" s="565"/>
      <c r="AM866" s="565"/>
      <c r="AN866" s="565"/>
      <c r="AO866" s="565"/>
      <c r="AP866" s="565"/>
      <c r="AQ866" s="565"/>
      <c r="AR866" s="565"/>
      <c r="AS866" s="565"/>
      <c r="AT866" s="565"/>
      <c r="AU866" s="181"/>
      <c r="AV866" s="558"/>
    </row>
    <row r="867" ht="11.25" customHeight="1">
      <c r="A867" s="565"/>
      <c r="B867" s="181"/>
      <c r="C867" s="565"/>
      <c r="D867" s="565"/>
      <c r="E867" s="565"/>
      <c r="F867" s="565"/>
      <c r="G867" s="565"/>
      <c r="H867" s="565"/>
      <c r="I867" s="565"/>
      <c r="J867" s="565"/>
      <c r="K867" s="565"/>
      <c r="L867" s="565"/>
      <c r="M867" s="565"/>
      <c r="N867" s="565"/>
      <c r="O867" s="565"/>
      <c r="P867" s="565"/>
      <c r="Q867" s="565"/>
      <c r="R867" s="565"/>
      <c r="S867" s="565"/>
      <c r="T867" s="565"/>
      <c r="U867" s="565"/>
      <c r="V867" s="565"/>
      <c r="W867" s="565"/>
      <c r="X867" s="565"/>
      <c r="Y867" s="565"/>
      <c r="Z867" s="565"/>
      <c r="AA867" s="565"/>
      <c r="AB867" s="565"/>
      <c r="AC867" s="565"/>
      <c r="AD867" s="565"/>
      <c r="AE867" s="565"/>
      <c r="AF867" s="565"/>
      <c r="AG867" s="565"/>
      <c r="AH867" s="565"/>
      <c r="AI867" s="565"/>
      <c r="AJ867" s="565"/>
      <c r="AK867" s="565"/>
      <c r="AL867" s="565"/>
      <c r="AM867" s="565"/>
      <c r="AN867" s="565"/>
      <c r="AO867" s="565"/>
      <c r="AP867" s="565"/>
      <c r="AQ867" s="565"/>
      <c r="AR867" s="565"/>
      <c r="AS867" s="565"/>
      <c r="AT867" s="565"/>
      <c r="AU867" s="181"/>
      <c r="AV867" s="558"/>
    </row>
    <row r="868" ht="11.25" customHeight="1">
      <c r="A868" s="565"/>
      <c r="B868" s="181"/>
      <c r="C868" s="565"/>
      <c r="D868" s="565"/>
      <c r="E868" s="565"/>
      <c r="F868" s="565"/>
      <c r="G868" s="565"/>
      <c r="H868" s="565"/>
      <c r="I868" s="565"/>
      <c r="J868" s="565"/>
      <c r="K868" s="565"/>
      <c r="L868" s="565"/>
      <c r="M868" s="565"/>
      <c r="N868" s="565"/>
      <c r="O868" s="565"/>
      <c r="P868" s="565"/>
      <c r="Q868" s="565"/>
      <c r="R868" s="565"/>
      <c r="S868" s="565"/>
      <c r="T868" s="565"/>
      <c r="U868" s="565"/>
      <c r="V868" s="565"/>
      <c r="W868" s="565"/>
      <c r="X868" s="565"/>
      <c r="Y868" s="565"/>
      <c r="Z868" s="565"/>
      <c r="AA868" s="565"/>
      <c r="AB868" s="565"/>
      <c r="AC868" s="565"/>
      <c r="AD868" s="565"/>
      <c r="AE868" s="565"/>
      <c r="AF868" s="565"/>
      <c r="AG868" s="565"/>
      <c r="AH868" s="565"/>
      <c r="AI868" s="565"/>
      <c r="AJ868" s="565"/>
      <c r="AK868" s="565"/>
      <c r="AL868" s="565"/>
      <c r="AM868" s="565"/>
      <c r="AN868" s="565"/>
      <c r="AO868" s="565"/>
      <c r="AP868" s="565"/>
      <c r="AQ868" s="565"/>
      <c r="AR868" s="565"/>
      <c r="AS868" s="565"/>
      <c r="AT868" s="565"/>
      <c r="AU868" s="181"/>
      <c r="AV868" s="558"/>
    </row>
    <row r="869" ht="11.25" customHeight="1">
      <c r="A869" s="565"/>
      <c r="B869" s="181"/>
      <c r="C869" s="565"/>
      <c r="D869" s="565"/>
      <c r="E869" s="565"/>
      <c r="F869" s="565"/>
      <c r="G869" s="565"/>
      <c r="H869" s="565"/>
      <c r="I869" s="565"/>
      <c r="J869" s="565"/>
      <c r="K869" s="565"/>
      <c r="L869" s="565"/>
      <c r="M869" s="565"/>
      <c r="N869" s="565"/>
      <c r="O869" s="565"/>
      <c r="P869" s="565"/>
      <c r="Q869" s="565"/>
      <c r="R869" s="565"/>
      <c r="S869" s="565"/>
      <c r="T869" s="565"/>
      <c r="U869" s="565"/>
      <c r="V869" s="565"/>
      <c r="W869" s="565"/>
      <c r="X869" s="565"/>
      <c r="Y869" s="565"/>
      <c r="Z869" s="565"/>
      <c r="AA869" s="565"/>
      <c r="AB869" s="565"/>
      <c r="AC869" s="565"/>
      <c r="AD869" s="565"/>
      <c r="AE869" s="565"/>
      <c r="AF869" s="565"/>
      <c r="AG869" s="565"/>
      <c r="AH869" s="565"/>
      <c r="AI869" s="565"/>
      <c r="AJ869" s="565"/>
      <c r="AK869" s="565"/>
      <c r="AL869" s="565"/>
      <c r="AM869" s="565"/>
      <c r="AN869" s="565"/>
      <c r="AO869" s="565"/>
      <c r="AP869" s="565"/>
      <c r="AQ869" s="565"/>
      <c r="AR869" s="565"/>
      <c r="AS869" s="565"/>
      <c r="AT869" s="565"/>
      <c r="AU869" s="181"/>
      <c r="AV869" s="558"/>
    </row>
    <row r="870" ht="11.25" customHeight="1">
      <c r="A870" s="565"/>
      <c r="B870" s="181"/>
      <c r="C870" s="565"/>
      <c r="D870" s="565"/>
      <c r="E870" s="565"/>
      <c r="F870" s="565"/>
      <c r="G870" s="565"/>
      <c r="H870" s="565"/>
      <c r="I870" s="565"/>
      <c r="J870" s="565"/>
      <c r="K870" s="565"/>
      <c r="L870" s="565"/>
      <c r="M870" s="565"/>
      <c r="N870" s="565"/>
      <c r="O870" s="565"/>
      <c r="P870" s="565"/>
      <c r="Q870" s="565"/>
      <c r="R870" s="565"/>
      <c r="S870" s="565"/>
      <c r="T870" s="565"/>
      <c r="U870" s="565"/>
      <c r="V870" s="565"/>
      <c r="W870" s="565"/>
      <c r="X870" s="565"/>
      <c r="Y870" s="565"/>
      <c r="Z870" s="565"/>
      <c r="AA870" s="565"/>
      <c r="AB870" s="565"/>
      <c r="AC870" s="565"/>
      <c r="AD870" s="565"/>
      <c r="AE870" s="565"/>
      <c r="AF870" s="565"/>
      <c r="AG870" s="565"/>
      <c r="AH870" s="565"/>
      <c r="AI870" s="565"/>
      <c r="AJ870" s="565"/>
      <c r="AK870" s="565"/>
      <c r="AL870" s="565"/>
      <c r="AM870" s="565"/>
      <c r="AN870" s="565"/>
      <c r="AO870" s="565"/>
      <c r="AP870" s="565"/>
      <c r="AQ870" s="565"/>
      <c r="AR870" s="565"/>
      <c r="AS870" s="565"/>
      <c r="AT870" s="565"/>
      <c r="AU870" s="181"/>
      <c r="AV870" s="558"/>
    </row>
    <row r="871" ht="11.25" customHeight="1">
      <c r="A871" s="565"/>
      <c r="B871" s="181"/>
      <c r="C871" s="565"/>
      <c r="D871" s="565"/>
      <c r="E871" s="565"/>
      <c r="F871" s="565"/>
      <c r="G871" s="565"/>
      <c r="H871" s="565"/>
      <c r="I871" s="565"/>
      <c r="J871" s="565"/>
      <c r="K871" s="565"/>
      <c r="L871" s="565"/>
      <c r="M871" s="565"/>
      <c r="N871" s="565"/>
      <c r="O871" s="565"/>
      <c r="P871" s="565"/>
      <c r="Q871" s="565"/>
      <c r="R871" s="565"/>
      <c r="S871" s="565"/>
      <c r="T871" s="565"/>
      <c r="U871" s="565"/>
      <c r="V871" s="565"/>
      <c r="W871" s="565"/>
      <c r="X871" s="565"/>
      <c r="Y871" s="565"/>
      <c r="Z871" s="565"/>
      <c r="AA871" s="565"/>
      <c r="AB871" s="565"/>
      <c r="AC871" s="565"/>
      <c r="AD871" s="565"/>
      <c r="AE871" s="565"/>
      <c r="AF871" s="565"/>
      <c r="AG871" s="565"/>
      <c r="AH871" s="565"/>
      <c r="AI871" s="565"/>
      <c r="AJ871" s="565"/>
      <c r="AK871" s="565"/>
      <c r="AL871" s="565"/>
      <c r="AM871" s="565"/>
      <c r="AN871" s="565"/>
      <c r="AO871" s="565"/>
      <c r="AP871" s="565"/>
      <c r="AQ871" s="565"/>
      <c r="AR871" s="565"/>
      <c r="AS871" s="565"/>
      <c r="AT871" s="565"/>
      <c r="AU871" s="181"/>
      <c r="AV871" s="558"/>
    </row>
    <row r="872" ht="11.25" customHeight="1">
      <c r="A872" s="565"/>
      <c r="B872" s="181"/>
      <c r="C872" s="565"/>
      <c r="D872" s="565"/>
      <c r="E872" s="565"/>
      <c r="F872" s="565"/>
      <c r="G872" s="565"/>
      <c r="H872" s="565"/>
      <c r="I872" s="565"/>
      <c r="J872" s="565"/>
      <c r="K872" s="565"/>
      <c r="L872" s="565"/>
      <c r="M872" s="565"/>
      <c r="N872" s="565"/>
      <c r="O872" s="565"/>
      <c r="P872" s="565"/>
      <c r="Q872" s="565"/>
      <c r="R872" s="565"/>
      <c r="S872" s="565"/>
      <c r="T872" s="565"/>
      <c r="U872" s="565"/>
      <c r="V872" s="565"/>
      <c r="W872" s="565"/>
      <c r="X872" s="565"/>
      <c r="Y872" s="565"/>
      <c r="Z872" s="565"/>
      <c r="AA872" s="565"/>
      <c r="AB872" s="565"/>
      <c r="AC872" s="565"/>
      <c r="AD872" s="565"/>
      <c r="AE872" s="565"/>
      <c r="AF872" s="565"/>
      <c r="AG872" s="565"/>
      <c r="AH872" s="565"/>
      <c r="AI872" s="565"/>
      <c r="AJ872" s="565"/>
      <c r="AK872" s="565"/>
      <c r="AL872" s="565"/>
      <c r="AM872" s="565"/>
      <c r="AN872" s="565"/>
      <c r="AO872" s="565"/>
      <c r="AP872" s="565"/>
      <c r="AQ872" s="565"/>
      <c r="AR872" s="565"/>
      <c r="AS872" s="565"/>
      <c r="AT872" s="565"/>
      <c r="AU872" s="181"/>
      <c r="AV872" s="558"/>
    </row>
    <row r="873" ht="11.25" customHeight="1">
      <c r="A873" s="565"/>
      <c r="B873" s="181"/>
      <c r="C873" s="565"/>
      <c r="D873" s="565"/>
      <c r="E873" s="565"/>
      <c r="F873" s="565"/>
      <c r="G873" s="565"/>
      <c r="H873" s="565"/>
      <c r="I873" s="565"/>
      <c r="J873" s="565"/>
      <c r="K873" s="565"/>
      <c r="L873" s="565"/>
      <c r="M873" s="565"/>
      <c r="N873" s="565"/>
      <c r="O873" s="565"/>
      <c r="P873" s="565"/>
      <c r="Q873" s="565"/>
      <c r="R873" s="565"/>
      <c r="S873" s="565"/>
      <c r="T873" s="565"/>
      <c r="U873" s="565"/>
      <c r="V873" s="565"/>
      <c r="W873" s="565"/>
      <c r="X873" s="565"/>
      <c r="Y873" s="565"/>
      <c r="Z873" s="565"/>
      <c r="AA873" s="565"/>
      <c r="AB873" s="565"/>
      <c r="AC873" s="565"/>
      <c r="AD873" s="565"/>
      <c r="AE873" s="565"/>
      <c r="AF873" s="565"/>
      <c r="AG873" s="565"/>
      <c r="AH873" s="565"/>
      <c r="AI873" s="565"/>
      <c r="AJ873" s="565"/>
      <c r="AK873" s="565"/>
      <c r="AL873" s="565"/>
      <c r="AM873" s="565"/>
      <c r="AN873" s="565"/>
      <c r="AO873" s="565"/>
      <c r="AP873" s="565"/>
      <c r="AQ873" s="565"/>
      <c r="AR873" s="565"/>
      <c r="AS873" s="565"/>
      <c r="AT873" s="565"/>
      <c r="AU873" s="181"/>
      <c r="AV873" s="558"/>
    </row>
    <row r="874" ht="11.25" customHeight="1">
      <c r="A874" s="565"/>
      <c r="B874" s="181"/>
      <c r="C874" s="565"/>
      <c r="D874" s="565"/>
      <c r="E874" s="565"/>
      <c r="F874" s="565"/>
      <c r="G874" s="565"/>
      <c r="H874" s="565"/>
      <c r="I874" s="565"/>
      <c r="J874" s="565"/>
      <c r="K874" s="565"/>
      <c r="L874" s="565"/>
      <c r="M874" s="565"/>
      <c r="N874" s="565"/>
      <c r="O874" s="565"/>
      <c r="P874" s="565"/>
      <c r="Q874" s="565"/>
      <c r="R874" s="565"/>
      <c r="S874" s="565"/>
      <c r="T874" s="565"/>
      <c r="U874" s="565"/>
      <c r="V874" s="565"/>
      <c r="W874" s="565"/>
      <c r="X874" s="565"/>
      <c r="Y874" s="565"/>
      <c r="Z874" s="565"/>
      <c r="AA874" s="565"/>
      <c r="AB874" s="565"/>
      <c r="AC874" s="565"/>
      <c r="AD874" s="565"/>
      <c r="AE874" s="565"/>
      <c r="AF874" s="565"/>
      <c r="AG874" s="565"/>
      <c r="AH874" s="565"/>
      <c r="AI874" s="565"/>
      <c r="AJ874" s="565"/>
      <c r="AK874" s="565"/>
      <c r="AL874" s="565"/>
      <c r="AM874" s="565"/>
      <c r="AN874" s="565"/>
      <c r="AO874" s="565"/>
      <c r="AP874" s="565"/>
      <c r="AQ874" s="565"/>
      <c r="AR874" s="565"/>
      <c r="AS874" s="565"/>
      <c r="AT874" s="565"/>
      <c r="AU874" s="181"/>
      <c r="AV874" s="558"/>
    </row>
    <row r="875" ht="11.25" customHeight="1">
      <c r="A875" s="565"/>
      <c r="B875" s="181"/>
      <c r="C875" s="565"/>
      <c r="D875" s="565"/>
      <c r="E875" s="565"/>
      <c r="F875" s="565"/>
      <c r="G875" s="565"/>
      <c r="H875" s="565"/>
      <c r="I875" s="565"/>
      <c r="J875" s="565"/>
      <c r="K875" s="565"/>
      <c r="L875" s="565"/>
      <c r="M875" s="565"/>
      <c r="N875" s="565"/>
      <c r="O875" s="565"/>
      <c r="P875" s="565"/>
      <c r="Q875" s="565"/>
      <c r="R875" s="565"/>
      <c r="S875" s="565"/>
      <c r="T875" s="565"/>
      <c r="U875" s="565"/>
      <c r="V875" s="565"/>
      <c r="W875" s="565"/>
      <c r="X875" s="565"/>
      <c r="Y875" s="565"/>
      <c r="Z875" s="565"/>
      <c r="AA875" s="565"/>
      <c r="AB875" s="565"/>
      <c r="AC875" s="565"/>
      <c r="AD875" s="565"/>
      <c r="AE875" s="565"/>
      <c r="AF875" s="565"/>
      <c r="AG875" s="565"/>
      <c r="AH875" s="565"/>
      <c r="AI875" s="565"/>
      <c r="AJ875" s="565"/>
      <c r="AK875" s="565"/>
      <c r="AL875" s="565"/>
      <c r="AM875" s="565"/>
      <c r="AN875" s="565"/>
      <c r="AO875" s="565"/>
      <c r="AP875" s="565"/>
      <c r="AQ875" s="565"/>
      <c r="AR875" s="565"/>
      <c r="AS875" s="565"/>
      <c r="AT875" s="565"/>
      <c r="AU875" s="181"/>
      <c r="AV875" s="558"/>
    </row>
    <row r="876" ht="11.25" customHeight="1">
      <c r="A876" s="565"/>
      <c r="B876" s="181"/>
      <c r="C876" s="565"/>
      <c r="D876" s="565"/>
      <c r="E876" s="565"/>
      <c r="F876" s="565"/>
      <c r="G876" s="565"/>
      <c r="H876" s="565"/>
      <c r="I876" s="565"/>
      <c r="J876" s="565"/>
      <c r="K876" s="565"/>
      <c r="L876" s="565"/>
      <c r="M876" s="565"/>
      <c r="N876" s="565"/>
      <c r="O876" s="565"/>
      <c r="P876" s="565"/>
      <c r="Q876" s="565"/>
      <c r="R876" s="565"/>
      <c r="S876" s="565"/>
      <c r="T876" s="565"/>
      <c r="U876" s="565"/>
      <c r="V876" s="565"/>
      <c r="W876" s="565"/>
      <c r="X876" s="565"/>
      <c r="Y876" s="565"/>
      <c r="Z876" s="565"/>
      <c r="AA876" s="565"/>
      <c r="AB876" s="565"/>
      <c r="AC876" s="565"/>
      <c r="AD876" s="565"/>
      <c r="AE876" s="565"/>
      <c r="AF876" s="565"/>
      <c r="AG876" s="565"/>
      <c r="AH876" s="565"/>
      <c r="AI876" s="565"/>
      <c r="AJ876" s="565"/>
      <c r="AK876" s="565"/>
      <c r="AL876" s="565"/>
      <c r="AM876" s="565"/>
      <c r="AN876" s="565"/>
      <c r="AO876" s="565"/>
      <c r="AP876" s="565"/>
      <c r="AQ876" s="565"/>
      <c r="AR876" s="565"/>
      <c r="AS876" s="565"/>
      <c r="AT876" s="565"/>
      <c r="AU876" s="181"/>
      <c r="AV876" s="558"/>
    </row>
    <row r="877" ht="11.25" customHeight="1">
      <c r="A877" s="565"/>
      <c r="B877" s="181"/>
      <c r="C877" s="565"/>
      <c r="D877" s="565"/>
      <c r="E877" s="565"/>
      <c r="F877" s="565"/>
      <c r="G877" s="565"/>
      <c r="H877" s="565"/>
      <c r="I877" s="565"/>
      <c r="J877" s="565"/>
      <c r="K877" s="565"/>
      <c r="L877" s="565"/>
      <c r="M877" s="565"/>
      <c r="N877" s="565"/>
      <c r="O877" s="565"/>
      <c r="P877" s="565"/>
      <c r="Q877" s="565"/>
      <c r="R877" s="565"/>
      <c r="S877" s="565"/>
      <c r="T877" s="565"/>
      <c r="U877" s="565"/>
      <c r="V877" s="565"/>
      <c r="W877" s="565"/>
      <c r="X877" s="565"/>
      <c r="Y877" s="565"/>
      <c r="Z877" s="565"/>
      <c r="AA877" s="565"/>
      <c r="AB877" s="565"/>
      <c r="AC877" s="565"/>
      <c r="AD877" s="565"/>
      <c r="AE877" s="565"/>
      <c r="AF877" s="565"/>
      <c r="AG877" s="565"/>
      <c r="AH877" s="565"/>
      <c r="AI877" s="565"/>
      <c r="AJ877" s="565"/>
      <c r="AK877" s="565"/>
      <c r="AL877" s="565"/>
      <c r="AM877" s="565"/>
      <c r="AN877" s="565"/>
      <c r="AO877" s="565"/>
      <c r="AP877" s="565"/>
      <c r="AQ877" s="565"/>
      <c r="AR877" s="565"/>
      <c r="AS877" s="565"/>
      <c r="AT877" s="565"/>
      <c r="AU877" s="181"/>
      <c r="AV877" s="558"/>
    </row>
    <row r="878" ht="11.25" customHeight="1">
      <c r="A878" s="565"/>
      <c r="B878" s="181"/>
      <c r="C878" s="565"/>
      <c r="D878" s="565"/>
      <c r="E878" s="565"/>
      <c r="F878" s="565"/>
      <c r="G878" s="565"/>
      <c r="H878" s="565"/>
      <c r="I878" s="565"/>
      <c r="J878" s="565"/>
      <c r="K878" s="565"/>
      <c r="L878" s="565"/>
      <c r="M878" s="565"/>
      <c r="N878" s="565"/>
      <c r="O878" s="565"/>
      <c r="P878" s="565"/>
      <c r="Q878" s="565"/>
      <c r="R878" s="565"/>
      <c r="S878" s="565"/>
      <c r="T878" s="565"/>
      <c r="U878" s="565"/>
      <c r="V878" s="565"/>
      <c r="W878" s="565"/>
      <c r="X878" s="565"/>
      <c r="Y878" s="565"/>
      <c r="Z878" s="565"/>
      <c r="AA878" s="565"/>
      <c r="AB878" s="565"/>
      <c r="AC878" s="565"/>
      <c r="AD878" s="565"/>
      <c r="AE878" s="565"/>
      <c r="AF878" s="565"/>
      <c r="AG878" s="565"/>
      <c r="AH878" s="565"/>
      <c r="AI878" s="565"/>
      <c r="AJ878" s="565"/>
      <c r="AK878" s="565"/>
      <c r="AL878" s="565"/>
      <c r="AM878" s="565"/>
      <c r="AN878" s="565"/>
      <c r="AO878" s="565"/>
      <c r="AP878" s="565"/>
      <c r="AQ878" s="565"/>
      <c r="AR878" s="565"/>
      <c r="AS878" s="565"/>
      <c r="AT878" s="565"/>
      <c r="AU878" s="181"/>
      <c r="AV878" s="558"/>
    </row>
    <row r="879" ht="11.25" customHeight="1">
      <c r="A879" s="565"/>
      <c r="B879" s="181"/>
      <c r="C879" s="565"/>
      <c r="D879" s="565"/>
      <c r="E879" s="565"/>
      <c r="F879" s="565"/>
      <c r="G879" s="565"/>
      <c r="H879" s="565"/>
      <c r="I879" s="565"/>
      <c r="J879" s="565"/>
      <c r="K879" s="565"/>
      <c r="L879" s="565"/>
      <c r="M879" s="565"/>
      <c r="N879" s="565"/>
      <c r="O879" s="565"/>
      <c r="P879" s="565"/>
      <c r="Q879" s="565"/>
      <c r="R879" s="565"/>
      <c r="S879" s="565"/>
      <c r="T879" s="565"/>
      <c r="U879" s="565"/>
      <c r="V879" s="565"/>
      <c r="W879" s="565"/>
      <c r="X879" s="565"/>
      <c r="Y879" s="565"/>
      <c r="Z879" s="565"/>
      <c r="AA879" s="565"/>
      <c r="AB879" s="565"/>
      <c r="AC879" s="565"/>
      <c r="AD879" s="565"/>
      <c r="AE879" s="565"/>
      <c r="AF879" s="565"/>
      <c r="AG879" s="565"/>
      <c r="AH879" s="565"/>
      <c r="AI879" s="565"/>
      <c r="AJ879" s="565"/>
      <c r="AK879" s="565"/>
      <c r="AL879" s="565"/>
      <c r="AM879" s="565"/>
      <c r="AN879" s="565"/>
      <c r="AO879" s="565"/>
      <c r="AP879" s="565"/>
      <c r="AQ879" s="565"/>
      <c r="AR879" s="565"/>
      <c r="AS879" s="565"/>
      <c r="AT879" s="565"/>
      <c r="AU879" s="181"/>
      <c r="AV879" s="558"/>
    </row>
    <row r="880" ht="11.25" customHeight="1">
      <c r="A880" s="565"/>
      <c r="B880" s="181"/>
      <c r="C880" s="565"/>
      <c r="D880" s="565"/>
      <c r="E880" s="565"/>
      <c r="F880" s="565"/>
      <c r="G880" s="565"/>
      <c r="H880" s="565"/>
      <c r="I880" s="565"/>
      <c r="J880" s="565"/>
      <c r="K880" s="565"/>
      <c r="L880" s="565"/>
      <c r="M880" s="565"/>
      <c r="N880" s="565"/>
      <c r="O880" s="565"/>
      <c r="P880" s="565"/>
      <c r="Q880" s="565"/>
      <c r="R880" s="565"/>
      <c r="S880" s="565"/>
      <c r="T880" s="565"/>
      <c r="U880" s="565"/>
      <c r="V880" s="565"/>
      <c r="W880" s="565"/>
      <c r="X880" s="565"/>
      <c r="Y880" s="565"/>
      <c r="Z880" s="565"/>
      <c r="AA880" s="565"/>
      <c r="AB880" s="565"/>
      <c r="AC880" s="565"/>
      <c r="AD880" s="565"/>
      <c r="AE880" s="565"/>
      <c r="AF880" s="565"/>
      <c r="AG880" s="565"/>
      <c r="AH880" s="565"/>
      <c r="AI880" s="565"/>
      <c r="AJ880" s="565"/>
      <c r="AK880" s="565"/>
      <c r="AL880" s="565"/>
      <c r="AM880" s="565"/>
      <c r="AN880" s="565"/>
      <c r="AO880" s="565"/>
      <c r="AP880" s="565"/>
      <c r="AQ880" s="565"/>
      <c r="AR880" s="565"/>
      <c r="AS880" s="565"/>
      <c r="AT880" s="565"/>
      <c r="AU880" s="181"/>
      <c r="AV880" s="558"/>
    </row>
    <row r="881" ht="11.25" customHeight="1">
      <c r="A881" s="565"/>
      <c r="B881" s="181"/>
      <c r="C881" s="565"/>
      <c r="D881" s="565"/>
      <c r="E881" s="565"/>
      <c r="F881" s="565"/>
      <c r="G881" s="565"/>
      <c r="H881" s="565"/>
      <c r="I881" s="565"/>
      <c r="J881" s="565"/>
      <c r="K881" s="565"/>
      <c r="L881" s="565"/>
      <c r="M881" s="565"/>
      <c r="N881" s="565"/>
      <c r="O881" s="565"/>
      <c r="P881" s="565"/>
      <c r="Q881" s="565"/>
      <c r="R881" s="565"/>
      <c r="S881" s="565"/>
      <c r="T881" s="565"/>
      <c r="U881" s="565"/>
      <c r="V881" s="565"/>
      <c r="W881" s="565"/>
      <c r="X881" s="565"/>
      <c r="Y881" s="565"/>
      <c r="Z881" s="565"/>
      <c r="AA881" s="565"/>
      <c r="AB881" s="565"/>
      <c r="AC881" s="565"/>
      <c r="AD881" s="565"/>
      <c r="AE881" s="565"/>
      <c r="AF881" s="565"/>
      <c r="AG881" s="565"/>
      <c r="AH881" s="565"/>
      <c r="AI881" s="565"/>
      <c r="AJ881" s="565"/>
      <c r="AK881" s="565"/>
      <c r="AL881" s="565"/>
      <c r="AM881" s="565"/>
      <c r="AN881" s="565"/>
      <c r="AO881" s="565"/>
      <c r="AP881" s="565"/>
      <c r="AQ881" s="565"/>
      <c r="AR881" s="565"/>
      <c r="AS881" s="565"/>
      <c r="AT881" s="565"/>
      <c r="AU881" s="181"/>
      <c r="AV881" s="558"/>
    </row>
    <row r="882" ht="11.25" customHeight="1">
      <c r="A882" s="565"/>
      <c r="B882" s="181"/>
      <c r="C882" s="565"/>
      <c r="D882" s="565"/>
      <c r="E882" s="565"/>
      <c r="F882" s="565"/>
      <c r="G882" s="565"/>
      <c r="H882" s="565"/>
      <c r="I882" s="565"/>
      <c r="J882" s="565"/>
      <c r="K882" s="565"/>
      <c r="L882" s="565"/>
      <c r="M882" s="565"/>
      <c r="N882" s="565"/>
      <c r="O882" s="565"/>
      <c r="P882" s="565"/>
      <c r="Q882" s="565"/>
      <c r="R882" s="565"/>
      <c r="S882" s="565"/>
      <c r="T882" s="565"/>
      <c r="U882" s="565"/>
      <c r="V882" s="565"/>
      <c r="W882" s="565"/>
      <c r="X882" s="565"/>
      <c r="Y882" s="565"/>
      <c r="Z882" s="565"/>
      <c r="AA882" s="565"/>
      <c r="AB882" s="565"/>
      <c r="AC882" s="565"/>
      <c r="AD882" s="565"/>
      <c r="AE882" s="565"/>
      <c r="AF882" s="565"/>
      <c r="AG882" s="565"/>
      <c r="AH882" s="565"/>
      <c r="AI882" s="565"/>
      <c r="AJ882" s="565"/>
      <c r="AK882" s="565"/>
      <c r="AL882" s="565"/>
      <c r="AM882" s="565"/>
      <c r="AN882" s="565"/>
      <c r="AO882" s="565"/>
      <c r="AP882" s="565"/>
      <c r="AQ882" s="565"/>
      <c r="AR882" s="565"/>
      <c r="AS882" s="565"/>
      <c r="AT882" s="565"/>
      <c r="AU882" s="181"/>
      <c r="AV882" s="558"/>
    </row>
    <row r="883" ht="11.25" customHeight="1">
      <c r="A883" s="565"/>
      <c r="B883" s="181"/>
      <c r="C883" s="565"/>
      <c r="D883" s="565"/>
      <c r="E883" s="565"/>
      <c r="F883" s="565"/>
      <c r="G883" s="565"/>
      <c r="H883" s="565"/>
      <c r="I883" s="565"/>
      <c r="J883" s="565"/>
      <c r="K883" s="565"/>
      <c r="L883" s="565"/>
      <c r="M883" s="565"/>
      <c r="N883" s="565"/>
      <c r="O883" s="565"/>
      <c r="P883" s="565"/>
      <c r="Q883" s="565"/>
      <c r="R883" s="565"/>
      <c r="S883" s="565"/>
      <c r="T883" s="565"/>
      <c r="U883" s="565"/>
      <c r="V883" s="565"/>
      <c r="W883" s="565"/>
      <c r="X883" s="565"/>
      <c r="Y883" s="565"/>
      <c r="Z883" s="565"/>
      <c r="AA883" s="565"/>
      <c r="AB883" s="565"/>
      <c r="AC883" s="565"/>
      <c r="AD883" s="565"/>
      <c r="AE883" s="565"/>
      <c r="AF883" s="565"/>
      <c r="AG883" s="565"/>
      <c r="AH883" s="565"/>
      <c r="AI883" s="565"/>
      <c r="AJ883" s="565"/>
      <c r="AK883" s="565"/>
      <c r="AL883" s="565"/>
      <c r="AM883" s="565"/>
      <c r="AN883" s="565"/>
      <c r="AO883" s="565"/>
      <c r="AP883" s="565"/>
      <c r="AQ883" s="565"/>
      <c r="AR883" s="565"/>
      <c r="AS883" s="565"/>
      <c r="AT883" s="565"/>
      <c r="AU883" s="181"/>
      <c r="AV883" s="558"/>
    </row>
    <row r="884" ht="11.25" customHeight="1">
      <c r="A884" s="565"/>
      <c r="B884" s="181"/>
      <c r="C884" s="565"/>
      <c r="D884" s="565"/>
      <c r="E884" s="565"/>
      <c r="F884" s="565"/>
      <c r="G884" s="565"/>
      <c r="H884" s="565"/>
      <c r="I884" s="565"/>
      <c r="J884" s="565"/>
      <c r="K884" s="565"/>
      <c r="L884" s="565"/>
      <c r="M884" s="565"/>
      <c r="N884" s="565"/>
      <c r="O884" s="565"/>
      <c r="P884" s="565"/>
      <c r="Q884" s="565"/>
      <c r="R884" s="565"/>
      <c r="S884" s="565"/>
      <c r="T884" s="565"/>
      <c r="U884" s="565"/>
      <c r="V884" s="565"/>
      <c r="W884" s="565"/>
      <c r="X884" s="565"/>
      <c r="Y884" s="565"/>
      <c r="Z884" s="565"/>
      <c r="AA884" s="565"/>
      <c r="AB884" s="565"/>
      <c r="AC884" s="565"/>
      <c r="AD884" s="565"/>
      <c r="AE884" s="565"/>
      <c r="AF884" s="565"/>
      <c r="AG884" s="565"/>
      <c r="AH884" s="565"/>
      <c r="AI884" s="565"/>
      <c r="AJ884" s="565"/>
      <c r="AK884" s="565"/>
      <c r="AL884" s="565"/>
      <c r="AM884" s="565"/>
      <c r="AN884" s="565"/>
      <c r="AO884" s="565"/>
      <c r="AP884" s="565"/>
      <c r="AQ884" s="565"/>
      <c r="AR884" s="565"/>
      <c r="AS884" s="565"/>
      <c r="AT884" s="565"/>
      <c r="AU884" s="181"/>
      <c r="AV884" s="558"/>
    </row>
    <row r="885" ht="11.25" customHeight="1">
      <c r="A885" s="565"/>
      <c r="B885" s="181"/>
      <c r="C885" s="565"/>
      <c r="D885" s="565"/>
      <c r="E885" s="565"/>
      <c r="F885" s="565"/>
      <c r="G885" s="565"/>
      <c r="H885" s="565"/>
      <c r="I885" s="565"/>
      <c r="J885" s="565"/>
      <c r="K885" s="565"/>
      <c r="L885" s="565"/>
      <c r="M885" s="565"/>
      <c r="N885" s="565"/>
      <c r="O885" s="565"/>
      <c r="P885" s="565"/>
      <c r="Q885" s="565"/>
      <c r="R885" s="565"/>
      <c r="S885" s="565"/>
      <c r="T885" s="565"/>
      <c r="U885" s="565"/>
      <c r="V885" s="565"/>
      <c r="W885" s="565"/>
      <c r="X885" s="565"/>
      <c r="Y885" s="565"/>
      <c r="Z885" s="565"/>
      <c r="AA885" s="565"/>
      <c r="AB885" s="565"/>
      <c r="AC885" s="565"/>
      <c r="AD885" s="565"/>
      <c r="AE885" s="565"/>
      <c r="AF885" s="565"/>
      <c r="AG885" s="565"/>
      <c r="AH885" s="565"/>
      <c r="AI885" s="565"/>
      <c r="AJ885" s="565"/>
      <c r="AK885" s="565"/>
      <c r="AL885" s="565"/>
      <c r="AM885" s="565"/>
      <c r="AN885" s="565"/>
      <c r="AO885" s="565"/>
      <c r="AP885" s="565"/>
      <c r="AQ885" s="565"/>
      <c r="AR885" s="565"/>
      <c r="AS885" s="565"/>
      <c r="AT885" s="565"/>
      <c r="AU885" s="181"/>
      <c r="AV885" s="558"/>
    </row>
    <row r="886" ht="11.25" customHeight="1">
      <c r="A886" s="565"/>
      <c r="B886" s="181"/>
      <c r="C886" s="565"/>
      <c r="D886" s="565"/>
      <c r="E886" s="565"/>
      <c r="F886" s="565"/>
      <c r="G886" s="565"/>
      <c r="H886" s="565"/>
      <c r="I886" s="565"/>
      <c r="J886" s="565"/>
      <c r="K886" s="565"/>
      <c r="L886" s="565"/>
      <c r="M886" s="565"/>
      <c r="N886" s="565"/>
      <c r="O886" s="565"/>
      <c r="P886" s="565"/>
      <c r="Q886" s="565"/>
      <c r="R886" s="565"/>
      <c r="S886" s="565"/>
      <c r="T886" s="565"/>
      <c r="U886" s="565"/>
      <c r="V886" s="565"/>
      <c r="W886" s="565"/>
      <c r="X886" s="565"/>
      <c r="Y886" s="565"/>
      <c r="Z886" s="565"/>
      <c r="AA886" s="565"/>
      <c r="AB886" s="565"/>
      <c r="AC886" s="565"/>
      <c r="AD886" s="565"/>
      <c r="AE886" s="565"/>
      <c r="AF886" s="565"/>
      <c r="AG886" s="565"/>
      <c r="AH886" s="565"/>
      <c r="AI886" s="565"/>
      <c r="AJ886" s="565"/>
      <c r="AK886" s="565"/>
      <c r="AL886" s="565"/>
      <c r="AM886" s="565"/>
      <c r="AN886" s="565"/>
      <c r="AO886" s="565"/>
      <c r="AP886" s="565"/>
      <c r="AQ886" s="565"/>
      <c r="AR886" s="565"/>
      <c r="AS886" s="565"/>
      <c r="AT886" s="565"/>
      <c r="AU886" s="181"/>
      <c r="AV886" s="558"/>
    </row>
    <row r="887" ht="11.25" customHeight="1">
      <c r="A887" s="565"/>
      <c r="B887" s="181"/>
      <c r="C887" s="565"/>
      <c r="D887" s="565"/>
      <c r="E887" s="565"/>
      <c r="F887" s="565"/>
      <c r="G887" s="565"/>
      <c r="H887" s="565"/>
      <c r="I887" s="565"/>
      <c r="J887" s="565"/>
      <c r="K887" s="565"/>
      <c r="L887" s="565"/>
      <c r="M887" s="565"/>
      <c r="N887" s="565"/>
      <c r="O887" s="565"/>
      <c r="P887" s="565"/>
      <c r="Q887" s="565"/>
      <c r="R887" s="565"/>
      <c r="S887" s="565"/>
      <c r="T887" s="565"/>
      <c r="U887" s="565"/>
      <c r="V887" s="565"/>
      <c r="W887" s="565"/>
      <c r="X887" s="565"/>
      <c r="Y887" s="565"/>
      <c r="Z887" s="565"/>
      <c r="AA887" s="565"/>
      <c r="AB887" s="565"/>
      <c r="AC887" s="565"/>
      <c r="AD887" s="565"/>
      <c r="AE887" s="565"/>
      <c r="AF887" s="565"/>
      <c r="AG887" s="565"/>
      <c r="AH887" s="565"/>
      <c r="AI887" s="565"/>
      <c r="AJ887" s="565"/>
      <c r="AK887" s="565"/>
      <c r="AL887" s="565"/>
      <c r="AM887" s="565"/>
      <c r="AN887" s="565"/>
      <c r="AO887" s="565"/>
      <c r="AP887" s="565"/>
      <c r="AQ887" s="565"/>
      <c r="AR887" s="565"/>
      <c r="AS887" s="565"/>
      <c r="AT887" s="565"/>
      <c r="AU887" s="181"/>
      <c r="AV887" s="558"/>
    </row>
    <row r="888" ht="11.25" customHeight="1">
      <c r="A888" s="565"/>
      <c r="B888" s="181"/>
      <c r="C888" s="565"/>
      <c r="D888" s="565"/>
      <c r="E888" s="565"/>
      <c r="F888" s="565"/>
      <c r="G888" s="565"/>
      <c r="H888" s="565"/>
      <c r="I888" s="565"/>
      <c r="J888" s="565"/>
      <c r="K888" s="565"/>
      <c r="L888" s="565"/>
      <c r="M888" s="565"/>
      <c r="N888" s="565"/>
      <c r="O888" s="565"/>
      <c r="P888" s="565"/>
      <c r="Q888" s="565"/>
      <c r="R888" s="565"/>
      <c r="S888" s="565"/>
      <c r="T888" s="565"/>
      <c r="U888" s="565"/>
      <c r="V888" s="565"/>
      <c r="W888" s="565"/>
      <c r="X888" s="565"/>
      <c r="Y888" s="565"/>
      <c r="Z888" s="565"/>
      <c r="AA888" s="565"/>
      <c r="AB888" s="565"/>
      <c r="AC888" s="565"/>
      <c r="AD888" s="565"/>
      <c r="AE888" s="565"/>
      <c r="AF888" s="565"/>
      <c r="AG888" s="565"/>
      <c r="AH888" s="565"/>
      <c r="AI888" s="565"/>
      <c r="AJ888" s="565"/>
      <c r="AK888" s="565"/>
      <c r="AL888" s="565"/>
      <c r="AM888" s="565"/>
      <c r="AN888" s="565"/>
      <c r="AO888" s="565"/>
      <c r="AP888" s="565"/>
      <c r="AQ888" s="565"/>
      <c r="AR888" s="565"/>
      <c r="AS888" s="565"/>
      <c r="AT888" s="565"/>
      <c r="AU888" s="181"/>
      <c r="AV888" s="558"/>
    </row>
    <row r="889" ht="11.25" customHeight="1">
      <c r="A889" s="565"/>
      <c r="B889" s="181"/>
      <c r="C889" s="565"/>
      <c r="D889" s="565"/>
      <c r="E889" s="565"/>
      <c r="F889" s="565"/>
      <c r="G889" s="565"/>
      <c r="H889" s="565"/>
      <c r="I889" s="565"/>
      <c r="J889" s="565"/>
      <c r="K889" s="565"/>
      <c r="L889" s="565"/>
      <c r="M889" s="565"/>
      <c r="N889" s="565"/>
      <c r="O889" s="565"/>
      <c r="P889" s="565"/>
      <c r="Q889" s="565"/>
      <c r="R889" s="565"/>
      <c r="S889" s="565"/>
      <c r="T889" s="565"/>
      <c r="U889" s="565"/>
      <c r="V889" s="565"/>
      <c r="W889" s="565"/>
      <c r="X889" s="565"/>
      <c r="Y889" s="565"/>
      <c r="Z889" s="565"/>
      <c r="AA889" s="565"/>
      <c r="AB889" s="565"/>
      <c r="AC889" s="565"/>
      <c r="AD889" s="565"/>
      <c r="AE889" s="565"/>
      <c r="AF889" s="565"/>
      <c r="AG889" s="565"/>
      <c r="AH889" s="565"/>
      <c r="AI889" s="565"/>
      <c r="AJ889" s="565"/>
      <c r="AK889" s="565"/>
      <c r="AL889" s="565"/>
      <c r="AM889" s="565"/>
      <c r="AN889" s="565"/>
      <c r="AO889" s="565"/>
      <c r="AP889" s="565"/>
      <c r="AQ889" s="565"/>
      <c r="AR889" s="565"/>
      <c r="AS889" s="565"/>
      <c r="AT889" s="565"/>
      <c r="AU889" s="181"/>
      <c r="AV889" s="558"/>
    </row>
    <row r="890" ht="11.25" customHeight="1">
      <c r="A890" s="565"/>
      <c r="B890" s="181"/>
      <c r="C890" s="565"/>
      <c r="D890" s="565"/>
      <c r="E890" s="565"/>
      <c r="F890" s="565"/>
      <c r="G890" s="565"/>
      <c r="H890" s="565"/>
      <c r="I890" s="565"/>
      <c r="J890" s="565"/>
      <c r="K890" s="565"/>
      <c r="L890" s="565"/>
      <c r="M890" s="565"/>
      <c r="N890" s="565"/>
      <c r="O890" s="565"/>
      <c r="P890" s="565"/>
      <c r="Q890" s="565"/>
      <c r="R890" s="565"/>
      <c r="S890" s="565"/>
      <c r="T890" s="565"/>
      <c r="U890" s="565"/>
      <c r="V890" s="565"/>
      <c r="W890" s="565"/>
      <c r="X890" s="565"/>
      <c r="Y890" s="565"/>
      <c r="Z890" s="565"/>
      <c r="AA890" s="565"/>
      <c r="AB890" s="565"/>
      <c r="AC890" s="565"/>
      <c r="AD890" s="565"/>
      <c r="AE890" s="565"/>
      <c r="AF890" s="565"/>
      <c r="AG890" s="565"/>
      <c r="AH890" s="565"/>
      <c r="AI890" s="565"/>
      <c r="AJ890" s="565"/>
      <c r="AK890" s="565"/>
      <c r="AL890" s="565"/>
      <c r="AM890" s="565"/>
      <c r="AN890" s="565"/>
      <c r="AO890" s="565"/>
      <c r="AP890" s="565"/>
      <c r="AQ890" s="565"/>
      <c r="AR890" s="565"/>
      <c r="AS890" s="565"/>
      <c r="AT890" s="565"/>
      <c r="AU890" s="181"/>
      <c r="AV890" s="558"/>
    </row>
    <row r="891" ht="11.25" customHeight="1">
      <c r="A891" s="565"/>
      <c r="B891" s="181"/>
      <c r="C891" s="565"/>
      <c r="D891" s="565"/>
      <c r="E891" s="565"/>
      <c r="F891" s="565"/>
      <c r="G891" s="565"/>
      <c r="H891" s="565"/>
      <c r="I891" s="565"/>
      <c r="J891" s="565"/>
      <c r="K891" s="565"/>
      <c r="L891" s="565"/>
      <c r="M891" s="565"/>
      <c r="N891" s="565"/>
      <c r="O891" s="565"/>
      <c r="P891" s="565"/>
      <c r="Q891" s="565"/>
      <c r="R891" s="565"/>
      <c r="S891" s="565"/>
      <c r="T891" s="565"/>
      <c r="U891" s="565"/>
      <c r="V891" s="565"/>
      <c r="W891" s="565"/>
      <c r="X891" s="565"/>
      <c r="Y891" s="565"/>
      <c r="Z891" s="565"/>
      <c r="AA891" s="565"/>
      <c r="AB891" s="565"/>
      <c r="AC891" s="565"/>
      <c r="AD891" s="565"/>
      <c r="AE891" s="565"/>
      <c r="AF891" s="565"/>
      <c r="AG891" s="565"/>
      <c r="AH891" s="565"/>
      <c r="AI891" s="565"/>
      <c r="AJ891" s="565"/>
      <c r="AK891" s="565"/>
      <c r="AL891" s="565"/>
      <c r="AM891" s="565"/>
      <c r="AN891" s="565"/>
      <c r="AO891" s="565"/>
      <c r="AP891" s="565"/>
      <c r="AQ891" s="565"/>
      <c r="AR891" s="565"/>
      <c r="AS891" s="565"/>
      <c r="AT891" s="565"/>
      <c r="AU891" s="181"/>
      <c r="AV891" s="558"/>
    </row>
    <row r="892" ht="11.25" customHeight="1">
      <c r="A892" s="565"/>
      <c r="B892" s="181"/>
      <c r="C892" s="565"/>
      <c r="D892" s="565"/>
      <c r="E892" s="565"/>
      <c r="F892" s="565"/>
      <c r="G892" s="565"/>
      <c r="H892" s="565"/>
      <c r="I892" s="565"/>
      <c r="J892" s="565"/>
      <c r="K892" s="565"/>
      <c r="L892" s="565"/>
      <c r="M892" s="565"/>
      <c r="N892" s="565"/>
      <c r="O892" s="565"/>
      <c r="P892" s="565"/>
      <c r="Q892" s="565"/>
      <c r="R892" s="565"/>
      <c r="S892" s="565"/>
      <c r="T892" s="565"/>
      <c r="U892" s="565"/>
      <c r="V892" s="565"/>
      <c r="W892" s="565"/>
      <c r="X892" s="565"/>
      <c r="Y892" s="565"/>
      <c r="Z892" s="565"/>
      <c r="AA892" s="565"/>
      <c r="AB892" s="565"/>
      <c r="AC892" s="565"/>
      <c r="AD892" s="565"/>
      <c r="AE892" s="565"/>
      <c r="AF892" s="565"/>
      <c r="AG892" s="565"/>
      <c r="AH892" s="565"/>
      <c r="AI892" s="565"/>
      <c r="AJ892" s="565"/>
      <c r="AK892" s="565"/>
      <c r="AL892" s="565"/>
      <c r="AM892" s="565"/>
      <c r="AN892" s="565"/>
      <c r="AO892" s="565"/>
      <c r="AP892" s="565"/>
      <c r="AQ892" s="565"/>
      <c r="AR892" s="565"/>
      <c r="AS892" s="565"/>
      <c r="AT892" s="565"/>
      <c r="AU892" s="181"/>
      <c r="AV892" s="558"/>
    </row>
    <row r="893" ht="11.25" customHeight="1">
      <c r="A893" s="565"/>
      <c r="B893" s="181"/>
      <c r="C893" s="565"/>
      <c r="D893" s="565"/>
      <c r="E893" s="565"/>
      <c r="F893" s="565"/>
      <c r="G893" s="565"/>
      <c r="H893" s="565"/>
      <c r="I893" s="565"/>
      <c r="J893" s="565"/>
      <c r="K893" s="565"/>
      <c r="L893" s="565"/>
      <c r="M893" s="565"/>
      <c r="N893" s="565"/>
      <c r="O893" s="565"/>
      <c r="P893" s="565"/>
      <c r="Q893" s="565"/>
      <c r="R893" s="565"/>
      <c r="S893" s="565"/>
      <c r="T893" s="565"/>
      <c r="U893" s="565"/>
      <c r="V893" s="565"/>
      <c r="W893" s="565"/>
      <c r="X893" s="565"/>
      <c r="Y893" s="565"/>
      <c r="Z893" s="565"/>
      <c r="AA893" s="565"/>
      <c r="AB893" s="565"/>
      <c r="AC893" s="565"/>
      <c r="AD893" s="565"/>
      <c r="AE893" s="565"/>
      <c r="AF893" s="565"/>
      <c r="AG893" s="565"/>
      <c r="AH893" s="565"/>
      <c r="AI893" s="565"/>
      <c r="AJ893" s="565"/>
      <c r="AK893" s="565"/>
      <c r="AL893" s="565"/>
      <c r="AM893" s="565"/>
      <c r="AN893" s="565"/>
      <c r="AO893" s="565"/>
      <c r="AP893" s="565"/>
      <c r="AQ893" s="565"/>
      <c r="AR893" s="565"/>
      <c r="AS893" s="565"/>
      <c r="AT893" s="565"/>
      <c r="AU893" s="181"/>
      <c r="AV893" s="558"/>
    </row>
    <row r="894" ht="11.25" customHeight="1">
      <c r="A894" s="565"/>
      <c r="B894" s="181"/>
      <c r="C894" s="565"/>
      <c r="D894" s="565"/>
      <c r="E894" s="565"/>
      <c r="F894" s="565"/>
      <c r="G894" s="565"/>
      <c r="H894" s="565"/>
      <c r="I894" s="565"/>
      <c r="J894" s="565"/>
      <c r="K894" s="565"/>
      <c r="L894" s="565"/>
      <c r="M894" s="565"/>
      <c r="N894" s="565"/>
      <c r="O894" s="565"/>
      <c r="P894" s="565"/>
      <c r="Q894" s="565"/>
      <c r="R894" s="565"/>
      <c r="S894" s="565"/>
      <c r="T894" s="565"/>
      <c r="U894" s="565"/>
      <c r="V894" s="565"/>
      <c r="W894" s="565"/>
      <c r="X894" s="565"/>
      <c r="Y894" s="565"/>
      <c r="Z894" s="565"/>
      <c r="AA894" s="565"/>
      <c r="AB894" s="565"/>
      <c r="AC894" s="565"/>
      <c r="AD894" s="565"/>
      <c r="AE894" s="565"/>
      <c r="AF894" s="565"/>
      <c r="AG894" s="565"/>
      <c r="AH894" s="565"/>
      <c r="AI894" s="565"/>
      <c r="AJ894" s="565"/>
      <c r="AK894" s="565"/>
      <c r="AL894" s="565"/>
      <c r="AM894" s="565"/>
      <c r="AN894" s="565"/>
      <c r="AO894" s="565"/>
      <c r="AP894" s="565"/>
      <c r="AQ894" s="565"/>
      <c r="AR894" s="565"/>
      <c r="AS894" s="565"/>
      <c r="AT894" s="565"/>
      <c r="AU894" s="181"/>
      <c r="AV894" s="558"/>
    </row>
    <row r="895" ht="11.25" customHeight="1">
      <c r="A895" s="565"/>
      <c r="B895" s="181"/>
      <c r="C895" s="565"/>
      <c r="D895" s="565"/>
      <c r="E895" s="565"/>
      <c r="F895" s="565"/>
      <c r="G895" s="565"/>
      <c r="H895" s="565"/>
      <c r="I895" s="565"/>
      <c r="J895" s="565"/>
      <c r="K895" s="565"/>
      <c r="L895" s="565"/>
      <c r="M895" s="565"/>
      <c r="N895" s="565"/>
      <c r="O895" s="565"/>
      <c r="P895" s="565"/>
      <c r="Q895" s="565"/>
      <c r="R895" s="565"/>
      <c r="S895" s="565"/>
      <c r="T895" s="565"/>
      <c r="U895" s="565"/>
      <c r="V895" s="565"/>
      <c r="W895" s="565"/>
      <c r="X895" s="565"/>
      <c r="Y895" s="565"/>
      <c r="Z895" s="565"/>
      <c r="AA895" s="565"/>
      <c r="AB895" s="565"/>
      <c r="AC895" s="565"/>
      <c r="AD895" s="565"/>
      <c r="AE895" s="565"/>
      <c r="AF895" s="565"/>
      <c r="AG895" s="565"/>
      <c r="AH895" s="565"/>
      <c r="AI895" s="565"/>
      <c r="AJ895" s="565"/>
      <c r="AK895" s="565"/>
      <c r="AL895" s="565"/>
      <c r="AM895" s="565"/>
      <c r="AN895" s="565"/>
      <c r="AO895" s="565"/>
      <c r="AP895" s="565"/>
      <c r="AQ895" s="565"/>
      <c r="AR895" s="565"/>
      <c r="AS895" s="565"/>
      <c r="AT895" s="565"/>
      <c r="AU895" s="181"/>
      <c r="AV895" s="558"/>
    </row>
    <row r="896" ht="11.25" customHeight="1">
      <c r="A896" s="565"/>
      <c r="B896" s="181"/>
      <c r="C896" s="565"/>
      <c r="D896" s="565"/>
      <c r="E896" s="565"/>
      <c r="F896" s="565"/>
      <c r="G896" s="565"/>
      <c r="H896" s="565"/>
      <c r="I896" s="565"/>
      <c r="J896" s="565"/>
      <c r="K896" s="565"/>
      <c r="L896" s="565"/>
      <c r="M896" s="565"/>
      <c r="N896" s="565"/>
      <c r="O896" s="565"/>
      <c r="P896" s="565"/>
      <c r="Q896" s="565"/>
      <c r="R896" s="565"/>
      <c r="S896" s="565"/>
      <c r="T896" s="565"/>
      <c r="U896" s="565"/>
      <c r="V896" s="565"/>
      <c r="W896" s="565"/>
      <c r="X896" s="565"/>
      <c r="Y896" s="565"/>
      <c r="Z896" s="565"/>
      <c r="AA896" s="565"/>
      <c r="AB896" s="565"/>
      <c r="AC896" s="565"/>
      <c r="AD896" s="565"/>
      <c r="AE896" s="565"/>
      <c r="AF896" s="565"/>
      <c r="AG896" s="565"/>
      <c r="AH896" s="565"/>
      <c r="AI896" s="565"/>
      <c r="AJ896" s="565"/>
      <c r="AK896" s="565"/>
      <c r="AL896" s="565"/>
      <c r="AM896" s="565"/>
      <c r="AN896" s="565"/>
      <c r="AO896" s="565"/>
      <c r="AP896" s="565"/>
      <c r="AQ896" s="565"/>
      <c r="AR896" s="565"/>
      <c r="AS896" s="565"/>
      <c r="AT896" s="565"/>
      <c r="AU896" s="181"/>
      <c r="AV896" s="558"/>
    </row>
    <row r="897" ht="11.25" customHeight="1">
      <c r="A897" s="565"/>
      <c r="B897" s="181"/>
      <c r="C897" s="565"/>
      <c r="D897" s="565"/>
      <c r="E897" s="565"/>
      <c r="F897" s="565"/>
      <c r="G897" s="565"/>
      <c r="H897" s="565"/>
      <c r="I897" s="565"/>
      <c r="J897" s="565"/>
      <c r="K897" s="565"/>
      <c r="L897" s="565"/>
      <c r="M897" s="565"/>
      <c r="N897" s="565"/>
      <c r="O897" s="565"/>
      <c r="P897" s="565"/>
      <c r="Q897" s="565"/>
      <c r="R897" s="565"/>
      <c r="S897" s="565"/>
      <c r="T897" s="565"/>
      <c r="U897" s="565"/>
      <c r="V897" s="565"/>
      <c r="W897" s="565"/>
      <c r="X897" s="565"/>
      <c r="Y897" s="565"/>
      <c r="Z897" s="565"/>
      <c r="AA897" s="565"/>
      <c r="AB897" s="565"/>
      <c r="AC897" s="565"/>
      <c r="AD897" s="565"/>
      <c r="AE897" s="565"/>
      <c r="AF897" s="565"/>
      <c r="AG897" s="565"/>
      <c r="AH897" s="565"/>
      <c r="AI897" s="565"/>
      <c r="AJ897" s="565"/>
      <c r="AK897" s="565"/>
      <c r="AL897" s="565"/>
      <c r="AM897" s="565"/>
      <c r="AN897" s="565"/>
      <c r="AO897" s="565"/>
      <c r="AP897" s="565"/>
      <c r="AQ897" s="565"/>
      <c r="AR897" s="565"/>
      <c r="AS897" s="565"/>
      <c r="AT897" s="565"/>
      <c r="AU897" s="181"/>
      <c r="AV897" s="558"/>
    </row>
    <row r="898" ht="11.25" customHeight="1">
      <c r="A898" s="565"/>
      <c r="B898" s="181"/>
      <c r="C898" s="565"/>
      <c r="D898" s="565"/>
      <c r="E898" s="565"/>
      <c r="F898" s="565"/>
      <c r="G898" s="565"/>
      <c r="H898" s="565"/>
      <c r="I898" s="565"/>
      <c r="J898" s="565"/>
      <c r="K898" s="565"/>
      <c r="L898" s="565"/>
      <c r="M898" s="565"/>
      <c r="N898" s="565"/>
      <c r="O898" s="565"/>
      <c r="P898" s="565"/>
      <c r="Q898" s="565"/>
      <c r="R898" s="565"/>
      <c r="S898" s="565"/>
      <c r="T898" s="565"/>
      <c r="U898" s="565"/>
      <c r="V898" s="565"/>
      <c r="W898" s="565"/>
      <c r="X898" s="565"/>
      <c r="Y898" s="565"/>
      <c r="Z898" s="565"/>
      <c r="AA898" s="565"/>
      <c r="AB898" s="565"/>
      <c r="AC898" s="565"/>
      <c r="AD898" s="565"/>
      <c r="AE898" s="565"/>
      <c r="AF898" s="565"/>
      <c r="AG898" s="565"/>
      <c r="AH898" s="565"/>
      <c r="AI898" s="565"/>
      <c r="AJ898" s="565"/>
      <c r="AK898" s="565"/>
      <c r="AL898" s="565"/>
      <c r="AM898" s="565"/>
      <c r="AN898" s="565"/>
      <c r="AO898" s="565"/>
      <c r="AP898" s="565"/>
      <c r="AQ898" s="565"/>
      <c r="AR898" s="565"/>
      <c r="AS898" s="565"/>
      <c r="AT898" s="565"/>
      <c r="AU898" s="181"/>
      <c r="AV898" s="558"/>
    </row>
    <row r="899" ht="11.25" customHeight="1">
      <c r="A899" s="565"/>
      <c r="B899" s="181"/>
      <c r="C899" s="565"/>
      <c r="D899" s="565"/>
      <c r="E899" s="565"/>
      <c r="F899" s="565"/>
      <c r="G899" s="565"/>
      <c r="H899" s="565"/>
      <c r="I899" s="565"/>
      <c r="J899" s="565"/>
      <c r="K899" s="565"/>
      <c r="L899" s="565"/>
      <c r="M899" s="565"/>
      <c r="N899" s="565"/>
      <c r="O899" s="565"/>
      <c r="P899" s="565"/>
      <c r="Q899" s="565"/>
      <c r="R899" s="565"/>
      <c r="S899" s="565"/>
      <c r="T899" s="565"/>
      <c r="U899" s="565"/>
      <c r="V899" s="565"/>
      <c r="W899" s="565"/>
      <c r="X899" s="565"/>
      <c r="Y899" s="565"/>
      <c r="Z899" s="565"/>
      <c r="AA899" s="565"/>
      <c r="AB899" s="565"/>
      <c r="AC899" s="565"/>
      <c r="AD899" s="565"/>
      <c r="AE899" s="565"/>
      <c r="AF899" s="565"/>
      <c r="AG899" s="565"/>
      <c r="AH899" s="565"/>
      <c r="AI899" s="565"/>
      <c r="AJ899" s="565"/>
      <c r="AK899" s="565"/>
      <c r="AL899" s="565"/>
      <c r="AM899" s="565"/>
      <c r="AN899" s="565"/>
      <c r="AO899" s="565"/>
      <c r="AP899" s="565"/>
      <c r="AQ899" s="565"/>
      <c r="AR899" s="565"/>
      <c r="AS899" s="565"/>
      <c r="AT899" s="565"/>
      <c r="AU899" s="181"/>
      <c r="AV899" s="558"/>
    </row>
    <row r="900" ht="11.25" customHeight="1">
      <c r="A900" s="565"/>
      <c r="B900" s="181"/>
      <c r="C900" s="565"/>
      <c r="D900" s="565"/>
      <c r="E900" s="565"/>
      <c r="F900" s="565"/>
      <c r="G900" s="565"/>
      <c r="H900" s="565"/>
      <c r="I900" s="565"/>
      <c r="J900" s="565"/>
      <c r="K900" s="565"/>
      <c r="L900" s="565"/>
      <c r="M900" s="565"/>
      <c r="N900" s="565"/>
      <c r="O900" s="565"/>
      <c r="P900" s="565"/>
      <c r="Q900" s="565"/>
      <c r="R900" s="565"/>
      <c r="S900" s="565"/>
      <c r="T900" s="565"/>
      <c r="U900" s="565"/>
      <c r="V900" s="565"/>
      <c r="W900" s="565"/>
      <c r="X900" s="565"/>
      <c r="Y900" s="565"/>
      <c r="Z900" s="565"/>
      <c r="AA900" s="565"/>
      <c r="AB900" s="565"/>
      <c r="AC900" s="565"/>
      <c r="AD900" s="565"/>
      <c r="AE900" s="565"/>
      <c r="AF900" s="565"/>
      <c r="AG900" s="565"/>
      <c r="AH900" s="565"/>
      <c r="AI900" s="565"/>
      <c r="AJ900" s="565"/>
      <c r="AK900" s="565"/>
      <c r="AL900" s="565"/>
      <c r="AM900" s="565"/>
      <c r="AN900" s="565"/>
      <c r="AO900" s="565"/>
      <c r="AP900" s="565"/>
      <c r="AQ900" s="565"/>
      <c r="AR900" s="565"/>
      <c r="AS900" s="565"/>
      <c r="AT900" s="565"/>
      <c r="AU900" s="181"/>
      <c r="AV900" s="558"/>
    </row>
    <row r="901" ht="11.25" customHeight="1">
      <c r="A901" s="565"/>
      <c r="B901" s="181"/>
      <c r="C901" s="565"/>
      <c r="D901" s="565"/>
      <c r="E901" s="565"/>
      <c r="F901" s="565"/>
      <c r="G901" s="565"/>
      <c r="H901" s="565"/>
      <c r="I901" s="565"/>
      <c r="J901" s="565"/>
      <c r="K901" s="565"/>
      <c r="L901" s="565"/>
      <c r="M901" s="565"/>
      <c r="N901" s="565"/>
      <c r="O901" s="565"/>
      <c r="P901" s="565"/>
      <c r="Q901" s="565"/>
      <c r="R901" s="565"/>
      <c r="S901" s="565"/>
      <c r="T901" s="565"/>
      <c r="U901" s="565"/>
      <c r="V901" s="565"/>
      <c r="W901" s="565"/>
      <c r="X901" s="565"/>
      <c r="Y901" s="565"/>
      <c r="Z901" s="565"/>
      <c r="AA901" s="565"/>
      <c r="AB901" s="565"/>
      <c r="AC901" s="565"/>
      <c r="AD901" s="565"/>
      <c r="AE901" s="565"/>
      <c r="AF901" s="565"/>
      <c r="AG901" s="565"/>
      <c r="AH901" s="565"/>
      <c r="AI901" s="565"/>
      <c r="AJ901" s="565"/>
      <c r="AK901" s="565"/>
      <c r="AL901" s="565"/>
      <c r="AM901" s="565"/>
      <c r="AN901" s="565"/>
      <c r="AO901" s="565"/>
      <c r="AP901" s="565"/>
      <c r="AQ901" s="565"/>
      <c r="AR901" s="565"/>
      <c r="AS901" s="565"/>
      <c r="AT901" s="565"/>
      <c r="AU901" s="181"/>
      <c r="AV901" s="558"/>
    </row>
    <row r="902" ht="11.25" customHeight="1">
      <c r="A902" s="565"/>
      <c r="B902" s="181"/>
      <c r="C902" s="565"/>
      <c r="D902" s="565"/>
      <c r="E902" s="565"/>
      <c r="F902" s="565"/>
      <c r="G902" s="565"/>
      <c r="H902" s="565"/>
      <c r="I902" s="565"/>
      <c r="J902" s="565"/>
      <c r="K902" s="565"/>
      <c r="L902" s="565"/>
      <c r="M902" s="565"/>
      <c r="N902" s="565"/>
      <c r="O902" s="565"/>
      <c r="P902" s="565"/>
      <c r="Q902" s="565"/>
      <c r="R902" s="565"/>
      <c r="S902" s="565"/>
      <c r="T902" s="565"/>
      <c r="U902" s="565"/>
      <c r="V902" s="565"/>
      <c r="W902" s="565"/>
      <c r="X902" s="565"/>
      <c r="Y902" s="565"/>
      <c r="Z902" s="565"/>
      <c r="AA902" s="565"/>
      <c r="AB902" s="565"/>
      <c r="AC902" s="565"/>
      <c r="AD902" s="565"/>
      <c r="AE902" s="565"/>
      <c r="AF902" s="565"/>
      <c r="AG902" s="565"/>
      <c r="AH902" s="565"/>
      <c r="AI902" s="565"/>
      <c r="AJ902" s="565"/>
      <c r="AK902" s="565"/>
      <c r="AL902" s="565"/>
      <c r="AM902" s="565"/>
      <c r="AN902" s="565"/>
      <c r="AO902" s="565"/>
      <c r="AP902" s="565"/>
      <c r="AQ902" s="565"/>
      <c r="AR902" s="565"/>
      <c r="AS902" s="565"/>
      <c r="AT902" s="565"/>
      <c r="AU902" s="181"/>
      <c r="AV902" s="558"/>
    </row>
    <row r="903" ht="11.25" customHeight="1">
      <c r="A903" s="565"/>
      <c r="B903" s="181"/>
      <c r="C903" s="565"/>
      <c r="D903" s="565"/>
      <c r="E903" s="565"/>
      <c r="F903" s="565"/>
      <c r="G903" s="565"/>
      <c r="H903" s="565"/>
      <c r="I903" s="565"/>
      <c r="J903" s="565"/>
      <c r="K903" s="565"/>
      <c r="L903" s="565"/>
      <c r="M903" s="565"/>
      <c r="N903" s="565"/>
      <c r="O903" s="565"/>
      <c r="P903" s="565"/>
      <c r="Q903" s="565"/>
      <c r="R903" s="565"/>
      <c r="S903" s="565"/>
      <c r="T903" s="565"/>
      <c r="U903" s="565"/>
      <c r="V903" s="565"/>
      <c r="W903" s="565"/>
      <c r="X903" s="565"/>
      <c r="Y903" s="565"/>
      <c r="Z903" s="565"/>
      <c r="AA903" s="565"/>
      <c r="AB903" s="565"/>
      <c r="AC903" s="565"/>
      <c r="AD903" s="565"/>
      <c r="AE903" s="565"/>
      <c r="AF903" s="565"/>
      <c r="AG903" s="565"/>
      <c r="AH903" s="565"/>
      <c r="AI903" s="565"/>
      <c r="AJ903" s="565"/>
      <c r="AK903" s="565"/>
      <c r="AL903" s="565"/>
      <c r="AM903" s="565"/>
      <c r="AN903" s="565"/>
      <c r="AO903" s="565"/>
      <c r="AP903" s="565"/>
      <c r="AQ903" s="565"/>
      <c r="AR903" s="565"/>
      <c r="AS903" s="565"/>
      <c r="AT903" s="565"/>
      <c r="AU903" s="181"/>
      <c r="AV903" s="558"/>
    </row>
    <row r="904" ht="11.25" customHeight="1">
      <c r="A904" s="565"/>
      <c r="B904" s="181"/>
      <c r="C904" s="565"/>
      <c r="D904" s="565"/>
      <c r="E904" s="565"/>
      <c r="F904" s="565"/>
      <c r="G904" s="565"/>
      <c r="H904" s="565"/>
      <c r="I904" s="565"/>
      <c r="J904" s="565"/>
      <c r="K904" s="565"/>
      <c r="L904" s="565"/>
      <c r="M904" s="565"/>
      <c r="N904" s="565"/>
      <c r="O904" s="565"/>
      <c r="P904" s="565"/>
      <c r="Q904" s="565"/>
      <c r="R904" s="565"/>
      <c r="S904" s="565"/>
      <c r="T904" s="565"/>
      <c r="U904" s="565"/>
      <c r="V904" s="565"/>
      <c r="W904" s="565"/>
      <c r="X904" s="565"/>
      <c r="Y904" s="565"/>
      <c r="Z904" s="565"/>
      <c r="AA904" s="565"/>
      <c r="AB904" s="565"/>
      <c r="AC904" s="565"/>
      <c r="AD904" s="565"/>
      <c r="AE904" s="565"/>
      <c r="AF904" s="565"/>
      <c r="AG904" s="565"/>
      <c r="AH904" s="565"/>
      <c r="AI904" s="565"/>
      <c r="AJ904" s="565"/>
      <c r="AK904" s="565"/>
      <c r="AL904" s="565"/>
      <c r="AM904" s="565"/>
      <c r="AN904" s="565"/>
      <c r="AO904" s="565"/>
      <c r="AP904" s="565"/>
      <c r="AQ904" s="565"/>
      <c r="AR904" s="565"/>
      <c r="AS904" s="565"/>
      <c r="AT904" s="565"/>
      <c r="AU904" s="181"/>
      <c r="AV904" s="558"/>
    </row>
    <row r="905" ht="11.25" customHeight="1">
      <c r="A905" s="565"/>
      <c r="B905" s="181"/>
      <c r="C905" s="565"/>
      <c r="D905" s="565"/>
      <c r="E905" s="565"/>
      <c r="F905" s="565"/>
      <c r="G905" s="565"/>
      <c r="H905" s="565"/>
      <c r="I905" s="565"/>
      <c r="J905" s="565"/>
      <c r="K905" s="565"/>
      <c r="L905" s="565"/>
      <c r="M905" s="565"/>
      <c r="N905" s="565"/>
      <c r="O905" s="565"/>
      <c r="P905" s="565"/>
      <c r="Q905" s="565"/>
      <c r="R905" s="565"/>
      <c r="S905" s="565"/>
      <c r="T905" s="565"/>
      <c r="U905" s="565"/>
      <c r="V905" s="565"/>
      <c r="W905" s="565"/>
      <c r="X905" s="565"/>
      <c r="Y905" s="565"/>
      <c r="Z905" s="565"/>
      <c r="AA905" s="565"/>
      <c r="AB905" s="565"/>
      <c r="AC905" s="565"/>
      <c r="AD905" s="565"/>
      <c r="AE905" s="565"/>
      <c r="AF905" s="565"/>
      <c r="AG905" s="565"/>
      <c r="AH905" s="565"/>
      <c r="AI905" s="565"/>
      <c r="AJ905" s="565"/>
      <c r="AK905" s="565"/>
      <c r="AL905" s="565"/>
      <c r="AM905" s="565"/>
      <c r="AN905" s="565"/>
      <c r="AO905" s="565"/>
      <c r="AP905" s="565"/>
      <c r="AQ905" s="565"/>
      <c r="AR905" s="565"/>
      <c r="AS905" s="565"/>
      <c r="AT905" s="565"/>
      <c r="AU905" s="181"/>
      <c r="AV905" s="558"/>
    </row>
    <row r="906" ht="11.25" customHeight="1">
      <c r="A906" s="565"/>
      <c r="B906" s="181"/>
      <c r="C906" s="565"/>
      <c r="D906" s="565"/>
      <c r="E906" s="565"/>
      <c r="F906" s="565"/>
      <c r="G906" s="565"/>
      <c r="H906" s="565"/>
      <c r="I906" s="565"/>
      <c r="J906" s="565"/>
      <c r="K906" s="565"/>
      <c r="L906" s="565"/>
      <c r="M906" s="565"/>
      <c r="N906" s="565"/>
      <c r="O906" s="565"/>
      <c r="P906" s="565"/>
      <c r="Q906" s="565"/>
      <c r="R906" s="565"/>
      <c r="S906" s="565"/>
      <c r="T906" s="565"/>
      <c r="U906" s="565"/>
      <c r="V906" s="565"/>
      <c r="W906" s="565"/>
      <c r="X906" s="565"/>
      <c r="Y906" s="565"/>
      <c r="Z906" s="565"/>
      <c r="AA906" s="565"/>
      <c r="AB906" s="565"/>
      <c r="AC906" s="565"/>
      <c r="AD906" s="565"/>
      <c r="AE906" s="565"/>
      <c r="AF906" s="565"/>
      <c r="AG906" s="565"/>
      <c r="AH906" s="565"/>
      <c r="AI906" s="565"/>
      <c r="AJ906" s="565"/>
      <c r="AK906" s="565"/>
      <c r="AL906" s="565"/>
      <c r="AM906" s="565"/>
      <c r="AN906" s="565"/>
      <c r="AO906" s="565"/>
      <c r="AP906" s="565"/>
      <c r="AQ906" s="565"/>
      <c r="AR906" s="565"/>
      <c r="AS906" s="565"/>
      <c r="AT906" s="565"/>
      <c r="AU906" s="181"/>
      <c r="AV906" s="558"/>
    </row>
    <row r="907" ht="11.25" customHeight="1">
      <c r="A907" s="565"/>
      <c r="B907" s="181"/>
      <c r="C907" s="565"/>
      <c r="D907" s="565"/>
      <c r="E907" s="565"/>
      <c r="F907" s="565"/>
      <c r="G907" s="565"/>
      <c r="H907" s="565"/>
      <c r="I907" s="565"/>
      <c r="J907" s="565"/>
      <c r="K907" s="565"/>
      <c r="L907" s="565"/>
      <c r="M907" s="565"/>
      <c r="N907" s="565"/>
      <c r="O907" s="565"/>
      <c r="P907" s="565"/>
      <c r="Q907" s="565"/>
      <c r="R907" s="565"/>
      <c r="S907" s="565"/>
      <c r="T907" s="565"/>
      <c r="U907" s="565"/>
      <c r="V907" s="565"/>
      <c r="W907" s="565"/>
      <c r="X907" s="565"/>
      <c r="Y907" s="565"/>
      <c r="Z907" s="565"/>
      <c r="AA907" s="565"/>
      <c r="AB907" s="565"/>
      <c r="AC907" s="565"/>
      <c r="AD907" s="565"/>
      <c r="AE907" s="565"/>
      <c r="AF907" s="565"/>
      <c r="AG907" s="565"/>
      <c r="AH907" s="565"/>
      <c r="AI907" s="565"/>
      <c r="AJ907" s="565"/>
      <c r="AK907" s="565"/>
      <c r="AL907" s="565"/>
      <c r="AM907" s="565"/>
      <c r="AN907" s="565"/>
      <c r="AO907" s="565"/>
      <c r="AP907" s="565"/>
      <c r="AQ907" s="565"/>
      <c r="AR907" s="565"/>
      <c r="AS907" s="565"/>
      <c r="AT907" s="565"/>
      <c r="AU907" s="181"/>
      <c r="AV907" s="558"/>
    </row>
    <row r="908" ht="11.25" customHeight="1">
      <c r="A908" s="565"/>
      <c r="B908" s="181"/>
      <c r="C908" s="565"/>
      <c r="D908" s="565"/>
      <c r="E908" s="565"/>
      <c r="F908" s="565"/>
      <c r="G908" s="565"/>
      <c r="H908" s="565"/>
      <c r="I908" s="565"/>
      <c r="J908" s="565"/>
      <c r="K908" s="565"/>
      <c r="L908" s="565"/>
      <c r="M908" s="565"/>
      <c r="N908" s="565"/>
      <c r="O908" s="565"/>
      <c r="P908" s="565"/>
      <c r="Q908" s="565"/>
      <c r="R908" s="565"/>
      <c r="S908" s="565"/>
      <c r="T908" s="565"/>
      <c r="U908" s="565"/>
      <c r="V908" s="565"/>
      <c r="W908" s="565"/>
      <c r="X908" s="565"/>
      <c r="Y908" s="565"/>
      <c r="Z908" s="565"/>
      <c r="AA908" s="565"/>
      <c r="AB908" s="565"/>
      <c r="AC908" s="565"/>
      <c r="AD908" s="565"/>
      <c r="AE908" s="565"/>
      <c r="AF908" s="565"/>
      <c r="AG908" s="565"/>
      <c r="AH908" s="565"/>
      <c r="AI908" s="565"/>
      <c r="AJ908" s="565"/>
      <c r="AK908" s="565"/>
      <c r="AL908" s="565"/>
      <c r="AM908" s="565"/>
      <c r="AN908" s="565"/>
      <c r="AO908" s="565"/>
      <c r="AP908" s="565"/>
      <c r="AQ908" s="565"/>
      <c r="AR908" s="565"/>
      <c r="AS908" s="565"/>
      <c r="AT908" s="565"/>
      <c r="AU908" s="181"/>
      <c r="AV908" s="558"/>
    </row>
    <row r="909" ht="11.25" customHeight="1">
      <c r="A909" s="565"/>
      <c r="B909" s="181"/>
      <c r="C909" s="565"/>
      <c r="D909" s="565"/>
      <c r="E909" s="565"/>
      <c r="F909" s="565"/>
      <c r="G909" s="565"/>
      <c r="H909" s="565"/>
      <c r="I909" s="565"/>
      <c r="J909" s="565"/>
      <c r="K909" s="565"/>
      <c r="L909" s="565"/>
      <c r="M909" s="565"/>
      <c r="N909" s="565"/>
      <c r="O909" s="565"/>
      <c r="P909" s="565"/>
      <c r="Q909" s="565"/>
      <c r="R909" s="565"/>
      <c r="S909" s="565"/>
      <c r="T909" s="565"/>
      <c r="U909" s="565"/>
      <c r="V909" s="565"/>
      <c r="W909" s="565"/>
      <c r="X909" s="565"/>
      <c r="Y909" s="565"/>
      <c r="Z909" s="565"/>
      <c r="AA909" s="565"/>
      <c r="AB909" s="565"/>
      <c r="AC909" s="565"/>
      <c r="AD909" s="565"/>
      <c r="AE909" s="565"/>
      <c r="AF909" s="565"/>
      <c r="AG909" s="565"/>
      <c r="AH909" s="565"/>
      <c r="AI909" s="565"/>
      <c r="AJ909" s="565"/>
      <c r="AK909" s="565"/>
      <c r="AL909" s="565"/>
      <c r="AM909" s="565"/>
      <c r="AN909" s="565"/>
      <c r="AO909" s="565"/>
      <c r="AP909" s="565"/>
      <c r="AQ909" s="565"/>
      <c r="AR909" s="565"/>
      <c r="AS909" s="565"/>
      <c r="AT909" s="565"/>
      <c r="AU909" s="181"/>
      <c r="AV909" s="558"/>
    </row>
    <row r="910" ht="11.25" customHeight="1">
      <c r="A910" s="565"/>
      <c r="B910" s="181"/>
      <c r="C910" s="565"/>
      <c r="D910" s="565"/>
      <c r="E910" s="565"/>
      <c r="F910" s="565"/>
      <c r="G910" s="565"/>
      <c r="H910" s="565"/>
      <c r="I910" s="565"/>
      <c r="J910" s="565"/>
      <c r="K910" s="565"/>
      <c r="L910" s="565"/>
      <c r="M910" s="565"/>
      <c r="N910" s="565"/>
      <c r="O910" s="565"/>
      <c r="P910" s="565"/>
      <c r="Q910" s="565"/>
      <c r="R910" s="565"/>
      <c r="S910" s="565"/>
      <c r="T910" s="565"/>
      <c r="U910" s="565"/>
      <c r="V910" s="565"/>
      <c r="W910" s="565"/>
      <c r="X910" s="565"/>
      <c r="Y910" s="565"/>
      <c r="Z910" s="565"/>
      <c r="AA910" s="565"/>
      <c r="AB910" s="565"/>
      <c r="AC910" s="565"/>
      <c r="AD910" s="565"/>
      <c r="AE910" s="565"/>
      <c r="AF910" s="565"/>
      <c r="AG910" s="565"/>
      <c r="AH910" s="565"/>
      <c r="AI910" s="565"/>
      <c r="AJ910" s="565"/>
      <c r="AK910" s="565"/>
      <c r="AL910" s="565"/>
      <c r="AM910" s="565"/>
      <c r="AN910" s="565"/>
      <c r="AO910" s="565"/>
      <c r="AP910" s="565"/>
      <c r="AQ910" s="565"/>
      <c r="AR910" s="565"/>
      <c r="AS910" s="565"/>
      <c r="AT910" s="565"/>
      <c r="AU910" s="181"/>
      <c r="AV910" s="558"/>
    </row>
    <row r="911" ht="11.25" customHeight="1">
      <c r="A911" s="565"/>
      <c r="B911" s="181"/>
      <c r="C911" s="565"/>
      <c r="D911" s="565"/>
      <c r="E911" s="565"/>
      <c r="F911" s="565"/>
      <c r="G911" s="565"/>
      <c r="H911" s="565"/>
      <c r="I911" s="565"/>
      <c r="J911" s="565"/>
      <c r="K911" s="565"/>
      <c r="L911" s="565"/>
      <c r="M911" s="565"/>
      <c r="N911" s="565"/>
      <c r="O911" s="565"/>
      <c r="P911" s="565"/>
      <c r="Q911" s="565"/>
      <c r="R911" s="565"/>
      <c r="S911" s="565"/>
      <c r="T911" s="565"/>
      <c r="U911" s="565"/>
      <c r="V911" s="565"/>
      <c r="W911" s="565"/>
      <c r="X911" s="565"/>
      <c r="Y911" s="565"/>
      <c r="Z911" s="565"/>
      <c r="AA911" s="565"/>
      <c r="AB911" s="565"/>
      <c r="AC911" s="565"/>
      <c r="AD911" s="565"/>
      <c r="AE911" s="565"/>
      <c r="AF911" s="565"/>
      <c r="AG911" s="565"/>
      <c r="AH911" s="565"/>
      <c r="AI911" s="565"/>
      <c r="AJ911" s="565"/>
      <c r="AK911" s="565"/>
      <c r="AL911" s="565"/>
      <c r="AM911" s="565"/>
      <c r="AN911" s="565"/>
      <c r="AO911" s="565"/>
      <c r="AP911" s="565"/>
      <c r="AQ911" s="565"/>
      <c r="AR911" s="565"/>
      <c r="AS911" s="565"/>
      <c r="AT911" s="565"/>
      <c r="AU911" s="181"/>
      <c r="AV911" s="558"/>
    </row>
    <row r="912" ht="11.25" customHeight="1">
      <c r="A912" s="565"/>
      <c r="B912" s="181"/>
      <c r="C912" s="565"/>
      <c r="D912" s="565"/>
      <c r="E912" s="565"/>
      <c r="F912" s="565"/>
      <c r="G912" s="565"/>
      <c r="H912" s="565"/>
      <c r="I912" s="565"/>
      <c r="J912" s="565"/>
      <c r="K912" s="565"/>
      <c r="L912" s="565"/>
      <c r="M912" s="565"/>
      <c r="N912" s="565"/>
      <c r="O912" s="565"/>
      <c r="P912" s="565"/>
      <c r="Q912" s="565"/>
      <c r="R912" s="565"/>
      <c r="S912" s="565"/>
      <c r="T912" s="565"/>
      <c r="U912" s="565"/>
      <c r="V912" s="565"/>
      <c r="W912" s="565"/>
      <c r="X912" s="565"/>
      <c r="Y912" s="565"/>
      <c r="Z912" s="565"/>
      <c r="AA912" s="565"/>
      <c r="AB912" s="565"/>
      <c r="AC912" s="565"/>
      <c r="AD912" s="565"/>
      <c r="AE912" s="565"/>
      <c r="AF912" s="565"/>
      <c r="AG912" s="565"/>
      <c r="AH912" s="565"/>
      <c r="AI912" s="565"/>
      <c r="AJ912" s="565"/>
      <c r="AK912" s="565"/>
      <c r="AL912" s="565"/>
      <c r="AM912" s="565"/>
      <c r="AN912" s="565"/>
      <c r="AO912" s="565"/>
      <c r="AP912" s="565"/>
      <c r="AQ912" s="565"/>
      <c r="AR912" s="565"/>
      <c r="AS912" s="565"/>
      <c r="AT912" s="565"/>
      <c r="AU912" s="181"/>
      <c r="AV912" s="558"/>
    </row>
    <row r="913" ht="11.25" customHeight="1">
      <c r="A913" s="565"/>
      <c r="B913" s="181"/>
      <c r="C913" s="565"/>
      <c r="D913" s="565"/>
      <c r="E913" s="565"/>
      <c r="F913" s="565"/>
      <c r="G913" s="565"/>
      <c r="H913" s="565"/>
      <c r="I913" s="565"/>
      <c r="J913" s="565"/>
      <c r="K913" s="565"/>
      <c r="L913" s="565"/>
      <c r="M913" s="565"/>
      <c r="N913" s="565"/>
      <c r="O913" s="565"/>
      <c r="P913" s="565"/>
      <c r="Q913" s="565"/>
      <c r="R913" s="565"/>
      <c r="S913" s="565"/>
      <c r="T913" s="565"/>
      <c r="U913" s="565"/>
      <c r="V913" s="565"/>
      <c r="W913" s="565"/>
      <c r="X913" s="565"/>
      <c r="Y913" s="565"/>
      <c r="Z913" s="565"/>
      <c r="AA913" s="565"/>
      <c r="AB913" s="565"/>
      <c r="AC913" s="565"/>
      <c r="AD913" s="565"/>
      <c r="AE913" s="565"/>
      <c r="AF913" s="565"/>
      <c r="AG913" s="565"/>
      <c r="AH913" s="565"/>
      <c r="AI913" s="565"/>
      <c r="AJ913" s="565"/>
      <c r="AK913" s="565"/>
      <c r="AL913" s="565"/>
      <c r="AM913" s="565"/>
      <c r="AN913" s="565"/>
      <c r="AO913" s="565"/>
      <c r="AP913" s="565"/>
      <c r="AQ913" s="565"/>
      <c r="AR913" s="565"/>
      <c r="AS913" s="565"/>
      <c r="AT913" s="565"/>
      <c r="AU913" s="181"/>
      <c r="AV913" s="558"/>
    </row>
    <row r="914" ht="11.25" customHeight="1">
      <c r="A914" s="565"/>
      <c r="B914" s="181"/>
      <c r="C914" s="565"/>
      <c r="D914" s="565"/>
      <c r="E914" s="565"/>
      <c r="F914" s="565"/>
      <c r="G914" s="565"/>
      <c r="H914" s="565"/>
      <c r="I914" s="565"/>
      <c r="J914" s="565"/>
      <c r="K914" s="565"/>
      <c r="L914" s="565"/>
      <c r="M914" s="565"/>
      <c r="N914" s="565"/>
      <c r="O914" s="565"/>
      <c r="P914" s="565"/>
      <c r="Q914" s="565"/>
      <c r="R914" s="565"/>
      <c r="S914" s="565"/>
      <c r="T914" s="565"/>
      <c r="U914" s="565"/>
      <c r="V914" s="565"/>
      <c r="W914" s="565"/>
      <c r="X914" s="565"/>
      <c r="Y914" s="565"/>
      <c r="Z914" s="565"/>
      <c r="AA914" s="565"/>
      <c r="AB914" s="565"/>
      <c r="AC914" s="565"/>
      <c r="AD914" s="565"/>
      <c r="AE914" s="565"/>
      <c r="AF914" s="565"/>
      <c r="AG914" s="565"/>
      <c r="AH914" s="565"/>
      <c r="AI914" s="565"/>
      <c r="AJ914" s="565"/>
      <c r="AK914" s="565"/>
      <c r="AL914" s="565"/>
      <c r="AM914" s="565"/>
      <c r="AN914" s="565"/>
      <c r="AO914" s="565"/>
      <c r="AP914" s="565"/>
      <c r="AQ914" s="565"/>
      <c r="AR914" s="565"/>
      <c r="AS914" s="565"/>
      <c r="AT914" s="565"/>
      <c r="AU914" s="181"/>
      <c r="AV914" s="558"/>
    </row>
    <row r="915" ht="11.25" customHeight="1">
      <c r="A915" s="565"/>
      <c r="B915" s="181"/>
      <c r="C915" s="565"/>
      <c r="D915" s="565"/>
      <c r="E915" s="565"/>
      <c r="F915" s="565"/>
      <c r="G915" s="565"/>
      <c r="H915" s="565"/>
      <c r="I915" s="565"/>
      <c r="J915" s="565"/>
      <c r="K915" s="565"/>
      <c r="L915" s="565"/>
      <c r="M915" s="565"/>
      <c r="N915" s="565"/>
      <c r="O915" s="565"/>
      <c r="P915" s="565"/>
      <c r="Q915" s="565"/>
      <c r="R915" s="565"/>
      <c r="S915" s="565"/>
      <c r="T915" s="565"/>
      <c r="U915" s="565"/>
      <c r="V915" s="565"/>
      <c r="W915" s="565"/>
      <c r="X915" s="565"/>
      <c r="Y915" s="565"/>
      <c r="Z915" s="565"/>
      <c r="AA915" s="565"/>
      <c r="AB915" s="565"/>
      <c r="AC915" s="565"/>
      <c r="AD915" s="565"/>
      <c r="AE915" s="565"/>
      <c r="AF915" s="565"/>
      <c r="AG915" s="565"/>
      <c r="AH915" s="565"/>
      <c r="AI915" s="565"/>
      <c r="AJ915" s="565"/>
      <c r="AK915" s="565"/>
      <c r="AL915" s="565"/>
      <c r="AM915" s="565"/>
      <c r="AN915" s="565"/>
      <c r="AO915" s="565"/>
      <c r="AP915" s="565"/>
      <c r="AQ915" s="565"/>
      <c r="AR915" s="565"/>
      <c r="AS915" s="565"/>
      <c r="AT915" s="565"/>
      <c r="AU915" s="181"/>
      <c r="AV915" s="558"/>
    </row>
    <row r="916" ht="11.25" customHeight="1">
      <c r="A916" s="565"/>
      <c r="B916" s="181"/>
      <c r="C916" s="565"/>
      <c r="D916" s="565"/>
      <c r="E916" s="565"/>
      <c r="F916" s="565"/>
      <c r="G916" s="565"/>
      <c r="H916" s="565"/>
      <c r="I916" s="565"/>
      <c r="J916" s="565"/>
      <c r="K916" s="565"/>
      <c r="L916" s="565"/>
      <c r="M916" s="565"/>
      <c r="N916" s="565"/>
      <c r="O916" s="565"/>
      <c r="P916" s="565"/>
      <c r="Q916" s="565"/>
      <c r="R916" s="565"/>
      <c r="S916" s="565"/>
      <c r="T916" s="565"/>
      <c r="U916" s="565"/>
      <c r="V916" s="565"/>
      <c r="W916" s="565"/>
      <c r="X916" s="565"/>
      <c r="Y916" s="565"/>
      <c r="Z916" s="565"/>
      <c r="AA916" s="565"/>
      <c r="AB916" s="565"/>
      <c r="AC916" s="565"/>
      <c r="AD916" s="565"/>
      <c r="AE916" s="565"/>
      <c r="AF916" s="565"/>
      <c r="AG916" s="565"/>
      <c r="AH916" s="565"/>
      <c r="AI916" s="565"/>
      <c r="AJ916" s="565"/>
      <c r="AK916" s="565"/>
      <c r="AL916" s="565"/>
      <c r="AM916" s="565"/>
      <c r="AN916" s="565"/>
      <c r="AO916" s="565"/>
      <c r="AP916" s="565"/>
      <c r="AQ916" s="565"/>
      <c r="AR916" s="565"/>
      <c r="AS916" s="565"/>
      <c r="AT916" s="565"/>
      <c r="AU916" s="181"/>
      <c r="AV916" s="558"/>
    </row>
    <row r="917" ht="11.25" customHeight="1">
      <c r="A917" s="565"/>
      <c r="B917" s="181"/>
      <c r="C917" s="565"/>
      <c r="D917" s="565"/>
      <c r="E917" s="565"/>
      <c r="F917" s="565"/>
      <c r="G917" s="565"/>
      <c r="H917" s="565"/>
      <c r="I917" s="565"/>
      <c r="J917" s="565"/>
      <c r="K917" s="565"/>
      <c r="L917" s="565"/>
      <c r="M917" s="565"/>
      <c r="N917" s="565"/>
      <c r="O917" s="565"/>
      <c r="P917" s="565"/>
      <c r="Q917" s="565"/>
      <c r="R917" s="565"/>
      <c r="S917" s="565"/>
      <c r="T917" s="565"/>
      <c r="U917" s="565"/>
      <c r="V917" s="565"/>
      <c r="W917" s="565"/>
      <c r="X917" s="565"/>
      <c r="Y917" s="565"/>
      <c r="Z917" s="565"/>
      <c r="AA917" s="565"/>
      <c r="AB917" s="565"/>
      <c r="AC917" s="565"/>
      <c r="AD917" s="565"/>
      <c r="AE917" s="565"/>
      <c r="AF917" s="565"/>
      <c r="AG917" s="565"/>
      <c r="AH917" s="565"/>
      <c r="AI917" s="565"/>
      <c r="AJ917" s="565"/>
      <c r="AK917" s="565"/>
      <c r="AL917" s="565"/>
      <c r="AM917" s="565"/>
      <c r="AN917" s="565"/>
      <c r="AO917" s="565"/>
      <c r="AP917" s="565"/>
      <c r="AQ917" s="565"/>
      <c r="AR917" s="565"/>
      <c r="AS917" s="565"/>
      <c r="AT917" s="565"/>
      <c r="AU917" s="181"/>
      <c r="AV917" s="558"/>
    </row>
    <row r="918" ht="11.25" customHeight="1">
      <c r="A918" s="565"/>
      <c r="B918" s="181"/>
      <c r="C918" s="565"/>
      <c r="D918" s="565"/>
      <c r="E918" s="565"/>
      <c r="F918" s="565"/>
      <c r="G918" s="565"/>
      <c r="H918" s="565"/>
      <c r="I918" s="565"/>
      <c r="J918" s="565"/>
      <c r="K918" s="565"/>
      <c r="L918" s="565"/>
      <c r="M918" s="565"/>
      <c r="N918" s="565"/>
      <c r="O918" s="565"/>
      <c r="P918" s="565"/>
      <c r="Q918" s="565"/>
      <c r="R918" s="565"/>
      <c r="S918" s="565"/>
      <c r="T918" s="565"/>
      <c r="U918" s="565"/>
      <c r="V918" s="565"/>
      <c r="W918" s="565"/>
      <c r="X918" s="565"/>
      <c r="Y918" s="565"/>
      <c r="Z918" s="565"/>
      <c r="AA918" s="565"/>
      <c r="AB918" s="565"/>
      <c r="AC918" s="565"/>
      <c r="AD918" s="565"/>
      <c r="AE918" s="565"/>
      <c r="AF918" s="565"/>
      <c r="AG918" s="565"/>
      <c r="AH918" s="565"/>
      <c r="AI918" s="565"/>
      <c r="AJ918" s="565"/>
      <c r="AK918" s="565"/>
      <c r="AL918" s="565"/>
      <c r="AM918" s="565"/>
      <c r="AN918" s="565"/>
      <c r="AO918" s="565"/>
      <c r="AP918" s="565"/>
      <c r="AQ918" s="565"/>
      <c r="AR918" s="565"/>
      <c r="AS918" s="565"/>
      <c r="AT918" s="565"/>
      <c r="AU918" s="181"/>
      <c r="AV918" s="558"/>
    </row>
    <row r="919" ht="11.25" customHeight="1">
      <c r="A919" s="565"/>
      <c r="B919" s="181"/>
      <c r="C919" s="565"/>
      <c r="D919" s="565"/>
      <c r="E919" s="565"/>
      <c r="F919" s="565"/>
      <c r="G919" s="565"/>
      <c r="H919" s="565"/>
      <c r="I919" s="565"/>
      <c r="J919" s="565"/>
      <c r="K919" s="565"/>
      <c r="L919" s="565"/>
      <c r="M919" s="565"/>
      <c r="N919" s="565"/>
      <c r="O919" s="565"/>
      <c r="P919" s="565"/>
      <c r="Q919" s="565"/>
      <c r="R919" s="565"/>
      <c r="S919" s="565"/>
      <c r="T919" s="565"/>
      <c r="U919" s="565"/>
      <c r="V919" s="565"/>
      <c r="W919" s="565"/>
      <c r="X919" s="565"/>
      <c r="Y919" s="565"/>
      <c r="Z919" s="565"/>
      <c r="AA919" s="565"/>
      <c r="AB919" s="565"/>
      <c r="AC919" s="565"/>
      <c r="AD919" s="565"/>
      <c r="AE919" s="565"/>
      <c r="AF919" s="565"/>
      <c r="AG919" s="565"/>
      <c r="AH919" s="565"/>
      <c r="AI919" s="565"/>
      <c r="AJ919" s="565"/>
      <c r="AK919" s="565"/>
      <c r="AL919" s="565"/>
      <c r="AM919" s="565"/>
      <c r="AN919" s="565"/>
      <c r="AO919" s="565"/>
      <c r="AP919" s="565"/>
      <c r="AQ919" s="565"/>
      <c r="AR919" s="565"/>
      <c r="AS919" s="565"/>
      <c r="AT919" s="565"/>
      <c r="AU919" s="181"/>
      <c r="AV919" s="558"/>
    </row>
    <row r="920" ht="11.25" customHeight="1">
      <c r="A920" s="565"/>
      <c r="B920" s="181"/>
      <c r="C920" s="565"/>
      <c r="D920" s="565"/>
      <c r="E920" s="565"/>
      <c r="F920" s="565"/>
      <c r="G920" s="565"/>
      <c r="H920" s="565"/>
      <c r="I920" s="565"/>
      <c r="J920" s="565"/>
      <c r="K920" s="565"/>
      <c r="L920" s="565"/>
      <c r="M920" s="565"/>
      <c r="N920" s="565"/>
      <c r="O920" s="565"/>
      <c r="P920" s="565"/>
      <c r="Q920" s="565"/>
      <c r="R920" s="565"/>
      <c r="S920" s="565"/>
      <c r="T920" s="565"/>
      <c r="U920" s="565"/>
      <c r="V920" s="565"/>
      <c r="W920" s="565"/>
      <c r="X920" s="565"/>
      <c r="Y920" s="565"/>
      <c r="Z920" s="565"/>
      <c r="AA920" s="565"/>
      <c r="AB920" s="565"/>
      <c r="AC920" s="565"/>
      <c r="AD920" s="565"/>
      <c r="AE920" s="565"/>
      <c r="AF920" s="565"/>
      <c r="AG920" s="565"/>
      <c r="AH920" s="565"/>
      <c r="AI920" s="565"/>
      <c r="AJ920" s="565"/>
      <c r="AK920" s="565"/>
      <c r="AL920" s="565"/>
      <c r="AM920" s="565"/>
      <c r="AN920" s="565"/>
      <c r="AO920" s="565"/>
      <c r="AP920" s="565"/>
      <c r="AQ920" s="565"/>
      <c r="AR920" s="565"/>
      <c r="AS920" s="565"/>
      <c r="AT920" s="565"/>
      <c r="AU920" s="181"/>
      <c r="AV920" s="558"/>
    </row>
    <row r="921" ht="11.25" customHeight="1">
      <c r="A921" s="565"/>
      <c r="B921" s="181"/>
      <c r="C921" s="565"/>
      <c r="D921" s="565"/>
      <c r="E921" s="565"/>
      <c r="F921" s="565"/>
      <c r="G921" s="565"/>
      <c r="H921" s="565"/>
      <c r="I921" s="565"/>
      <c r="J921" s="565"/>
      <c r="K921" s="565"/>
      <c r="L921" s="565"/>
      <c r="M921" s="565"/>
      <c r="N921" s="565"/>
      <c r="O921" s="565"/>
      <c r="P921" s="565"/>
      <c r="Q921" s="565"/>
      <c r="R921" s="565"/>
      <c r="S921" s="565"/>
      <c r="T921" s="565"/>
      <c r="U921" s="565"/>
      <c r="V921" s="565"/>
      <c r="W921" s="565"/>
      <c r="X921" s="565"/>
      <c r="Y921" s="565"/>
      <c r="Z921" s="565"/>
      <c r="AA921" s="565"/>
      <c r="AB921" s="565"/>
      <c r="AC921" s="565"/>
      <c r="AD921" s="565"/>
      <c r="AE921" s="565"/>
      <c r="AF921" s="565"/>
      <c r="AG921" s="565"/>
      <c r="AH921" s="565"/>
      <c r="AI921" s="565"/>
      <c r="AJ921" s="565"/>
      <c r="AK921" s="565"/>
      <c r="AL921" s="565"/>
      <c r="AM921" s="565"/>
      <c r="AN921" s="565"/>
      <c r="AO921" s="565"/>
      <c r="AP921" s="565"/>
      <c r="AQ921" s="565"/>
      <c r="AR921" s="565"/>
      <c r="AS921" s="565"/>
      <c r="AT921" s="565"/>
      <c r="AU921" s="181"/>
      <c r="AV921" s="558"/>
    </row>
    <row r="922" ht="11.25" customHeight="1">
      <c r="A922" s="565"/>
      <c r="B922" s="181"/>
      <c r="C922" s="565"/>
      <c r="D922" s="565"/>
      <c r="E922" s="565"/>
      <c r="F922" s="565"/>
      <c r="G922" s="565"/>
      <c r="H922" s="565"/>
      <c r="I922" s="565"/>
      <c r="J922" s="565"/>
      <c r="K922" s="565"/>
      <c r="L922" s="565"/>
      <c r="M922" s="565"/>
      <c r="N922" s="565"/>
      <c r="O922" s="565"/>
      <c r="P922" s="565"/>
      <c r="Q922" s="565"/>
      <c r="R922" s="565"/>
      <c r="S922" s="565"/>
      <c r="T922" s="565"/>
      <c r="U922" s="565"/>
      <c r="V922" s="565"/>
      <c r="W922" s="565"/>
      <c r="X922" s="565"/>
      <c r="Y922" s="565"/>
      <c r="Z922" s="565"/>
      <c r="AA922" s="565"/>
      <c r="AB922" s="565"/>
      <c r="AC922" s="565"/>
      <c r="AD922" s="565"/>
      <c r="AE922" s="565"/>
      <c r="AF922" s="565"/>
      <c r="AG922" s="565"/>
      <c r="AH922" s="565"/>
      <c r="AI922" s="565"/>
      <c r="AJ922" s="565"/>
      <c r="AK922" s="565"/>
      <c r="AL922" s="565"/>
      <c r="AM922" s="565"/>
      <c r="AN922" s="565"/>
      <c r="AO922" s="565"/>
      <c r="AP922" s="565"/>
      <c r="AQ922" s="565"/>
      <c r="AR922" s="565"/>
      <c r="AS922" s="565"/>
      <c r="AT922" s="565"/>
      <c r="AU922" s="181"/>
      <c r="AV922" s="558"/>
    </row>
    <row r="923" ht="11.25" customHeight="1">
      <c r="A923" s="565"/>
      <c r="B923" s="181"/>
      <c r="C923" s="565"/>
      <c r="D923" s="565"/>
      <c r="E923" s="565"/>
      <c r="F923" s="565"/>
      <c r="G923" s="565"/>
      <c r="H923" s="565"/>
      <c r="I923" s="565"/>
      <c r="J923" s="565"/>
      <c r="K923" s="565"/>
      <c r="L923" s="565"/>
      <c r="M923" s="565"/>
      <c r="N923" s="565"/>
      <c r="O923" s="565"/>
      <c r="P923" s="565"/>
      <c r="Q923" s="565"/>
      <c r="R923" s="565"/>
      <c r="S923" s="565"/>
      <c r="T923" s="565"/>
      <c r="U923" s="565"/>
      <c r="V923" s="565"/>
      <c r="W923" s="565"/>
      <c r="X923" s="565"/>
      <c r="Y923" s="565"/>
      <c r="Z923" s="565"/>
      <c r="AA923" s="565"/>
      <c r="AB923" s="565"/>
      <c r="AC923" s="565"/>
      <c r="AD923" s="565"/>
      <c r="AE923" s="565"/>
      <c r="AF923" s="565"/>
      <c r="AG923" s="565"/>
      <c r="AH923" s="565"/>
      <c r="AI923" s="565"/>
      <c r="AJ923" s="565"/>
      <c r="AK923" s="565"/>
      <c r="AL923" s="565"/>
      <c r="AM923" s="565"/>
      <c r="AN923" s="565"/>
      <c r="AO923" s="565"/>
      <c r="AP923" s="565"/>
      <c r="AQ923" s="565"/>
      <c r="AR923" s="565"/>
      <c r="AS923" s="565"/>
      <c r="AT923" s="565"/>
      <c r="AU923" s="181"/>
      <c r="AV923" s="558"/>
    </row>
    <row r="924" ht="11.25" customHeight="1">
      <c r="A924" s="565"/>
      <c r="B924" s="181"/>
      <c r="C924" s="565"/>
      <c r="D924" s="565"/>
      <c r="E924" s="565"/>
      <c r="F924" s="565"/>
      <c r="G924" s="565"/>
      <c r="H924" s="565"/>
      <c r="I924" s="565"/>
      <c r="J924" s="565"/>
      <c r="K924" s="565"/>
      <c r="L924" s="565"/>
      <c r="M924" s="565"/>
      <c r="N924" s="565"/>
      <c r="O924" s="565"/>
      <c r="P924" s="565"/>
      <c r="Q924" s="565"/>
      <c r="R924" s="565"/>
      <c r="S924" s="565"/>
      <c r="T924" s="565"/>
      <c r="U924" s="565"/>
      <c r="V924" s="565"/>
      <c r="W924" s="565"/>
      <c r="X924" s="565"/>
      <c r="Y924" s="565"/>
      <c r="Z924" s="565"/>
      <c r="AA924" s="565"/>
      <c r="AB924" s="565"/>
      <c r="AC924" s="565"/>
      <c r="AD924" s="565"/>
      <c r="AE924" s="565"/>
      <c r="AF924" s="565"/>
      <c r="AG924" s="565"/>
      <c r="AH924" s="565"/>
      <c r="AI924" s="565"/>
      <c r="AJ924" s="565"/>
      <c r="AK924" s="565"/>
      <c r="AL924" s="565"/>
      <c r="AM924" s="565"/>
      <c r="AN924" s="565"/>
      <c r="AO924" s="565"/>
      <c r="AP924" s="565"/>
      <c r="AQ924" s="565"/>
      <c r="AR924" s="565"/>
      <c r="AS924" s="565"/>
      <c r="AT924" s="565"/>
      <c r="AU924" s="181"/>
      <c r="AV924" s="558"/>
    </row>
    <row r="925" ht="11.25" customHeight="1">
      <c r="A925" s="565"/>
      <c r="B925" s="181"/>
      <c r="C925" s="565"/>
      <c r="D925" s="565"/>
      <c r="E925" s="565"/>
      <c r="F925" s="565"/>
      <c r="G925" s="565"/>
      <c r="H925" s="565"/>
      <c r="I925" s="565"/>
      <c r="J925" s="565"/>
      <c r="K925" s="565"/>
      <c r="L925" s="565"/>
      <c r="M925" s="565"/>
      <c r="N925" s="565"/>
      <c r="O925" s="565"/>
      <c r="P925" s="565"/>
      <c r="Q925" s="565"/>
      <c r="R925" s="565"/>
      <c r="S925" s="565"/>
      <c r="T925" s="565"/>
      <c r="U925" s="565"/>
      <c r="V925" s="565"/>
      <c r="W925" s="565"/>
      <c r="X925" s="565"/>
      <c r="Y925" s="565"/>
      <c r="Z925" s="565"/>
      <c r="AA925" s="565"/>
      <c r="AB925" s="565"/>
      <c r="AC925" s="565"/>
      <c r="AD925" s="565"/>
      <c r="AE925" s="565"/>
      <c r="AF925" s="565"/>
      <c r="AG925" s="565"/>
      <c r="AH925" s="565"/>
      <c r="AI925" s="565"/>
      <c r="AJ925" s="565"/>
      <c r="AK925" s="565"/>
      <c r="AL925" s="565"/>
      <c r="AM925" s="565"/>
      <c r="AN925" s="565"/>
      <c r="AO925" s="565"/>
      <c r="AP925" s="565"/>
      <c r="AQ925" s="565"/>
      <c r="AR925" s="565"/>
      <c r="AS925" s="565"/>
      <c r="AT925" s="565"/>
      <c r="AU925" s="181"/>
      <c r="AV925" s="558"/>
    </row>
    <row r="926" ht="11.25" customHeight="1">
      <c r="A926" s="565"/>
      <c r="B926" s="181"/>
      <c r="C926" s="565"/>
      <c r="D926" s="565"/>
      <c r="E926" s="565"/>
      <c r="F926" s="565"/>
      <c r="G926" s="565"/>
      <c r="H926" s="565"/>
      <c r="I926" s="565"/>
      <c r="J926" s="565"/>
      <c r="K926" s="565"/>
      <c r="L926" s="565"/>
      <c r="M926" s="565"/>
      <c r="N926" s="565"/>
      <c r="O926" s="565"/>
      <c r="P926" s="565"/>
      <c r="Q926" s="565"/>
      <c r="R926" s="565"/>
      <c r="S926" s="565"/>
      <c r="T926" s="565"/>
      <c r="U926" s="565"/>
      <c r="V926" s="565"/>
      <c r="W926" s="565"/>
      <c r="X926" s="565"/>
      <c r="Y926" s="565"/>
      <c r="Z926" s="565"/>
      <c r="AA926" s="565"/>
      <c r="AB926" s="565"/>
      <c r="AC926" s="565"/>
      <c r="AD926" s="565"/>
      <c r="AE926" s="565"/>
      <c r="AF926" s="565"/>
      <c r="AG926" s="565"/>
      <c r="AH926" s="565"/>
      <c r="AI926" s="565"/>
      <c r="AJ926" s="565"/>
      <c r="AK926" s="565"/>
      <c r="AL926" s="565"/>
      <c r="AM926" s="565"/>
      <c r="AN926" s="565"/>
      <c r="AO926" s="565"/>
      <c r="AP926" s="565"/>
      <c r="AQ926" s="565"/>
      <c r="AR926" s="565"/>
      <c r="AS926" s="565"/>
      <c r="AT926" s="565"/>
      <c r="AU926" s="181"/>
      <c r="AV926" s="558"/>
    </row>
    <row r="927" ht="11.25" customHeight="1">
      <c r="A927" s="565"/>
      <c r="B927" s="181"/>
      <c r="C927" s="565"/>
      <c r="D927" s="565"/>
      <c r="E927" s="565"/>
      <c r="F927" s="565"/>
      <c r="G927" s="565"/>
      <c r="H927" s="565"/>
      <c r="I927" s="565"/>
      <c r="J927" s="565"/>
      <c r="K927" s="565"/>
      <c r="L927" s="565"/>
      <c r="M927" s="565"/>
      <c r="N927" s="565"/>
      <c r="O927" s="565"/>
      <c r="P927" s="565"/>
      <c r="Q927" s="565"/>
      <c r="R927" s="565"/>
      <c r="S927" s="565"/>
      <c r="T927" s="565"/>
      <c r="U927" s="565"/>
      <c r="V927" s="565"/>
      <c r="W927" s="565"/>
      <c r="X927" s="565"/>
      <c r="Y927" s="565"/>
      <c r="Z927" s="565"/>
      <c r="AA927" s="565"/>
      <c r="AB927" s="565"/>
      <c r="AC927" s="565"/>
      <c r="AD927" s="565"/>
      <c r="AE927" s="565"/>
      <c r="AF927" s="565"/>
      <c r="AG927" s="565"/>
      <c r="AH927" s="565"/>
      <c r="AI927" s="565"/>
      <c r="AJ927" s="565"/>
      <c r="AK927" s="565"/>
      <c r="AL927" s="565"/>
      <c r="AM927" s="565"/>
      <c r="AN927" s="565"/>
      <c r="AO927" s="565"/>
      <c r="AP927" s="565"/>
      <c r="AQ927" s="565"/>
      <c r="AR927" s="565"/>
      <c r="AS927" s="565"/>
      <c r="AT927" s="565"/>
      <c r="AU927" s="181"/>
      <c r="AV927" s="558"/>
    </row>
    <row r="928" ht="11.25" customHeight="1">
      <c r="A928" s="565"/>
      <c r="B928" s="181"/>
      <c r="C928" s="565"/>
      <c r="D928" s="565"/>
      <c r="E928" s="565"/>
      <c r="F928" s="565"/>
      <c r="G928" s="565"/>
      <c r="H928" s="565"/>
      <c r="I928" s="565"/>
      <c r="J928" s="565"/>
      <c r="K928" s="565"/>
      <c r="L928" s="565"/>
      <c r="M928" s="565"/>
      <c r="N928" s="565"/>
      <c r="O928" s="565"/>
      <c r="P928" s="565"/>
      <c r="Q928" s="565"/>
      <c r="R928" s="565"/>
      <c r="S928" s="565"/>
      <c r="T928" s="565"/>
      <c r="U928" s="565"/>
      <c r="V928" s="565"/>
      <c r="W928" s="565"/>
      <c r="X928" s="565"/>
      <c r="Y928" s="565"/>
      <c r="Z928" s="565"/>
      <c r="AA928" s="565"/>
      <c r="AB928" s="565"/>
      <c r="AC928" s="565"/>
      <c r="AD928" s="565"/>
      <c r="AE928" s="565"/>
      <c r="AF928" s="565"/>
      <c r="AG928" s="565"/>
      <c r="AH928" s="565"/>
      <c r="AI928" s="565"/>
      <c r="AJ928" s="565"/>
      <c r="AK928" s="565"/>
      <c r="AL928" s="565"/>
      <c r="AM928" s="565"/>
      <c r="AN928" s="565"/>
      <c r="AO928" s="565"/>
      <c r="AP928" s="565"/>
      <c r="AQ928" s="565"/>
      <c r="AR928" s="565"/>
      <c r="AS928" s="565"/>
      <c r="AT928" s="565"/>
      <c r="AU928" s="181"/>
      <c r="AV928" s="558"/>
    </row>
    <row r="929" ht="11.25" customHeight="1">
      <c r="A929" s="565"/>
      <c r="B929" s="181"/>
      <c r="C929" s="565"/>
      <c r="D929" s="565"/>
      <c r="E929" s="565"/>
      <c r="F929" s="565"/>
      <c r="G929" s="565"/>
      <c r="H929" s="565"/>
      <c r="I929" s="565"/>
      <c r="J929" s="565"/>
      <c r="K929" s="565"/>
      <c r="L929" s="565"/>
      <c r="M929" s="565"/>
      <c r="N929" s="565"/>
      <c r="O929" s="565"/>
      <c r="P929" s="565"/>
      <c r="Q929" s="565"/>
      <c r="R929" s="565"/>
      <c r="S929" s="565"/>
      <c r="T929" s="565"/>
      <c r="U929" s="565"/>
      <c r="V929" s="565"/>
      <c r="W929" s="565"/>
      <c r="X929" s="565"/>
      <c r="Y929" s="565"/>
      <c r="Z929" s="565"/>
      <c r="AA929" s="565"/>
      <c r="AB929" s="565"/>
      <c r="AC929" s="565"/>
      <c r="AD929" s="565"/>
      <c r="AE929" s="565"/>
      <c r="AF929" s="565"/>
      <c r="AG929" s="565"/>
      <c r="AH929" s="565"/>
      <c r="AI929" s="565"/>
      <c r="AJ929" s="565"/>
      <c r="AK929" s="565"/>
      <c r="AL929" s="565"/>
      <c r="AM929" s="565"/>
      <c r="AN929" s="565"/>
      <c r="AO929" s="565"/>
      <c r="AP929" s="565"/>
      <c r="AQ929" s="565"/>
      <c r="AR929" s="565"/>
      <c r="AS929" s="565"/>
      <c r="AT929" s="565"/>
      <c r="AU929" s="181"/>
      <c r="AV929" s="558"/>
    </row>
    <row r="930" ht="11.25" customHeight="1">
      <c r="A930" s="565"/>
      <c r="B930" s="181"/>
      <c r="C930" s="565"/>
      <c r="D930" s="565"/>
      <c r="E930" s="565"/>
      <c r="F930" s="565"/>
      <c r="G930" s="565"/>
      <c r="H930" s="565"/>
      <c r="I930" s="565"/>
      <c r="J930" s="565"/>
      <c r="K930" s="565"/>
      <c r="L930" s="565"/>
      <c r="M930" s="565"/>
      <c r="N930" s="565"/>
      <c r="O930" s="565"/>
      <c r="P930" s="565"/>
      <c r="Q930" s="565"/>
      <c r="R930" s="565"/>
      <c r="S930" s="565"/>
      <c r="T930" s="565"/>
      <c r="U930" s="565"/>
      <c r="V930" s="565"/>
      <c r="W930" s="565"/>
      <c r="X930" s="565"/>
      <c r="Y930" s="565"/>
      <c r="Z930" s="565"/>
      <c r="AA930" s="565"/>
      <c r="AB930" s="565"/>
      <c r="AC930" s="565"/>
      <c r="AD930" s="565"/>
      <c r="AE930" s="565"/>
      <c r="AF930" s="565"/>
      <c r="AG930" s="565"/>
      <c r="AH930" s="565"/>
      <c r="AI930" s="565"/>
      <c r="AJ930" s="565"/>
      <c r="AK930" s="565"/>
      <c r="AL930" s="565"/>
      <c r="AM930" s="565"/>
      <c r="AN930" s="565"/>
      <c r="AO930" s="565"/>
      <c r="AP930" s="565"/>
      <c r="AQ930" s="565"/>
      <c r="AR930" s="565"/>
      <c r="AS930" s="565"/>
      <c r="AT930" s="565"/>
      <c r="AU930" s="181"/>
      <c r="AV930" s="558"/>
    </row>
    <row r="931" ht="11.25" customHeight="1">
      <c r="A931" s="565"/>
      <c r="B931" s="181"/>
      <c r="C931" s="565"/>
      <c r="D931" s="565"/>
      <c r="E931" s="565"/>
      <c r="F931" s="565"/>
      <c r="G931" s="565"/>
      <c r="H931" s="565"/>
      <c r="I931" s="565"/>
      <c r="J931" s="565"/>
      <c r="K931" s="565"/>
      <c r="L931" s="565"/>
      <c r="M931" s="565"/>
      <c r="N931" s="565"/>
      <c r="O931" s="565"/>
      <c r="P931" s="565"/>
      <c r="Q931" s="565"/>
      <c r="R931" s="565"/>
      <c r="S931" s="565"/>
      <c r="T931" s="565"/>
      <c r="U931" s="565"/>
      <c r="V931" s="565"/>
      <c r="W931" s="565"/>
      <c r="X931" s="565"/>
      <c r="Y931" s="565"/>
      <c r="Z931" s="565"/>
      <c r="AA931" s="565"/>
      <c r="AB931" s="565"/>
      <c r="AC931" s="565"/>
      <c r="AD931" s="565"/>
      <c r="AE931" s="565"/>
      <c r="AF931" s="565"/>
      <c r="AG931" s="565"/>
      <c r="AH931" s="565"/>
      <c r="AI931" s="565"/>
      <c r="AJ931" s="565"/>
      <c r="AK931" s="565"/>
      <c r="AL931" s="565"/>
      <c r="AM931" s="565"/>
      <c r="AN931" s="565"/>
      <c r="AO931" s="565"/>
      <c r="AP931" s="565"/>
      <c r="AQ931" s="565"/>
      <c r="AR931" s="565"/>
      <c r="AS931" s="565"/>
      <c r="AT931" s="565"/>
      <c r="AU931" s="181"/>
      <c r="AV931" s="558"/>
    </row>
    <row r="932" ht="11.25" customHeight="1">
      <c r="A932" s="565"/>
      <c r="B932" s="181"/>
      <c r="C932" s="565"/>
      <c r="D932" s="565"/>
      <c r="E932" s="565"/>
      <c r="F932" s="565"/>
      <c r="G932" s="565"/>
      <c r="H932" s="565"/>
      <c r="I932" s="565"/>
      <c r="J932" s="565"/>
      <c r="K932" s="565"/>
      <c r="L932" s="565"/>
      <c r="M932" s="565"/>
      <c r="N932" s="565"/>
      <c r="O932" s="565"/>
      <c r="P932" s="565"/>
      <c r="Q932" s="565"/>
      <c r="R932" s="565"/>
      <c r="S932" s="565"/>
      <c r="T932" s="565"/>
      <c r="U932" s="565"/>
      <c r="V932" s="565"/>
      <c r="W932" s="565"/>
      <c r="X932" s="565"/>
      <c r="Y932" s="565"/>
      <c r="Z932" s="565"/>
      <c r="AA932" s="565"/>
      <c r="AB932" s="565"/>
      <c r="AC932" s="565"/>
      <c r="AD932" s="565"/>
      <c r="AE932" s="565"/>
      <c r="AF932" s="565"/>
      <c r="AG932" s="565"/>
      <c r="AH932" s="565"/>
      <c r="AI932" s="565"/>
      <c r="AJ932" s="565"/>
      <c r="AK932" s="565"/>
      <c r="AL932" s="565"/>
      <c r="AM932" s="565"/>
      <c r="AN932" s="565"/>
      <c r="AO932" s="565"/>
      <c r="AP932" s="565"/>
      <c r="AQ932" s="565"/>
      <c r="AR932" s="565"/>
      <c r="AS932" s="565"/>
      <c r="AT932" s="565"/>
      <c r="AU932" s="181"/>
      <c r="AV932" s="558"/>
    </row>
    <row r="933" ht="11.25" customHeight="1">
      <c r="A933" s="565"/>
      <c r="B933" s="181"/>
      <c r="C933" s="565"/>
      <c r="D933" s="565"/>
      <c r="E933" s="565"/>
      <c r="F933" s="565"/>
      <c r="G933" s="565"/>
      <c r="H933" s="565"/>
      <c r="I933" s="565"/>
      <c r="J933" s="565"/>
      <c r="K933" s="565"/>
      <c r="L933" s="565"/>
      <c r="M933" s="565"/>
      <c r="N933" s="565"/>
      <c r="O933" s="565"/>
      <c r="P933" s="565"/>
      <c r="Q933" s="565"/>
      <c r="R933" s="565"/>
      <c r="S933" s="565"/>
      <c r="T933" s="565"/>
      <c r="U933" s="565"/>
      <c r="V933" s="565"/>
      <c r="W933" s="565"/>
      <c r="X933" s="565"/>
      <c r="Y933" s="565"/>
      <c r="Z933" s="565"/>
      <c r="AA933" s="565"/>
      <c r="AB933" s="565"/>
      <c r="AC933" s="565"/>
      <c r="AD933" s="565"/>
      <c r="AE933" s="565"/>
      <c r="AF933" s="565"/>
      <c r="AG933" s="565"/>
      <c r="AH933" s="565"/>
      <c r="AI933" s="565"/>
      <c r="AJ933" s="565"/>
      <c r="AK933" s="565"/>
      <c r="AL933" s="565"/>
      <c r="AM933" s="565"/>
      <c r="AN933" s="565"/>
      <c r="AO933" s="565"/>
      <c r="AP933" s="565"/>
      <c r="AQ933" s="565"/>
      <c r="AR933" s="565"/>
      <c r="AS933" s="565"/>
      <c r="AT933" s="565"/>
      <c r="AU933" s="181"/>
      <c r="AV933" s="558"/>
    </row>
    <row r="934" ht="11.25" customHeight="1">
      <c r="A934" s="565"/>
      <c r="B934" s="181"/>
      <c r="C934" s="565"/>
      <c r="D934" s="565"/>
      <c r="E934" s="565"/>
      <c r="F934" s="565"/>
      <c r="G934" s="565"/>
      <c r="H934" s="565"/>
      <c r="I934" s="565"/>
      <c r="J934" s="565"/>
      <c r="K934" s="565"/>
      <c r="L934" s="565"/>
      <c r="M934" s="565"/>
      <c r="N934" s="565"/>
      <c r="O934" s="565"/>
      <c r="P934" s="565"/>
      <c r="Q934" s="565"/>
      <c r="R934" s="565"/>
      <c r="S934" s="565"/>
      <c r="T934" s="565"/>
      <c r="U934" s="565"/>
      <c r="V934" s="565"/>
      <c r="W934" s="565"/>
      <c r="X934" s="565"/>
      <c r="Y934" s="565"/>
      <c r="Z934" s="565"/>
      <c r="AA934" s="565"/>
      <c r="AB934" s="565"/>
      <c r="AC934" s="565"/>
      <c r="AD934" s="565"/>
      <c r="AE934" s="565"/>
      <c r="AF934" s="565"/>
      <c r="AG934" s="565"/>
      <c r="AH934" s="565"/>
      <c r="AI934" s="565"/>
      <c r="AJ934" s="565"/>
      <c r="AK934" s="565"/>
      <c r="AL934" s="565"/>
      <c r="AM934" s="565"/>
      <c r="AN934" s="565"/>
      <c r="AO934" s="565"/>
      <c r="AP934" s="565"/>
      <c r="AQ934" s="565"/>
      <c r="AR934" s="565"/>
      <c r="AS934" s="565"/>
      <c r="AT934" s="565"/>
      <c r="AU934" s="181"/>
      <c r="AV934" s="558"/>
    </row>
    <row r="935" ht="11.25" customHeight="1">
      <c r="A935" s="565"/>
      <c r="B935" s="181"/>
      <c r="C935" s="565"/>
      <c r="D935" s="565"/>
      <c r="E935" s="565"/>
      <c r="F935" s="565"/>
      <c r="G935" s="565"/>
      <c r="H935" s="565"/>
      <c r="I935" s="565"/>
      <c r="J935" s="565"/>
      <c r="K935" s="565"/>
      <c r="L935" s="565"/>
      <c r="M935" s="565"/>
      <c r="N935" s="565"/>
      <c r="O935" s="565"/>
      <c r="P935" s="565"/>
      <c r="Q935" s="565"/>
      <c r="R935" s="565"/>
      <c r="S935" s="565"/>
      <c r="T935" s="565"/>
      <c r="U935" s="565"/>
      <c r="V935" s="565"/>
      <c r="W935" s="565"/>
      <c r="X935" s="565"/>
      <c r="Y935" s="565"/>
      <c r="Z935" s="565"/>
      <c r="AA935" s="565"/>
      <c r="AB935" s="565"/>
      <c r="AC935" s="565"/>
      <c r="AD935" s="565"/>
      <c r="AE935" s="565"/>
      <c r="AF935" s="565"/>
      <c r="AG935" s="565"/>
      <c r="AH935" s="565"/>
      <c r="AI935" s="565"/>
      <c r="AJ935" s="565"/>
      <c r="AK935" s="565"/>
      <c r="AL935" s="565"/>
      <c r="AM935" s="565"/>
      <c r="AN935" s="565"/>
      <c r="AO935" s="565"/>
      <c r="AP935" s="565"/>
      <c r="AQ935" s="565"/>
      <c r="AR935" s="565"/>
      <c r="AS935" s="565"/>
      <c r="AT935" s="565"/>
      <c r="AU935" s="181"/>
      <c r="AV935" s="558"/>
    </row>
    <row r="936" ht="11.25" customHeight="1">
      <c r="A936" s="565"/>
      <c r="B936" s="181"/>
      <c r="C936" s="565"/>
      <c r="D936" s="565"/>
      <c r="E936" s="565"/>
      <c r="F936" s="565"/>
      <c r="G936" s="565"/>
      <c r="H936" s="565"/>
      <c r="I936" s="565"/>
      <c r="J936" s="565"/>
      <c r="K936" s="565"/>
      <c r="L936" s="565"/>
      <c r="M936" s="565"/>
      <c r="N936" s="565"/>
      <c r="O936" s="565"/>
      <c r="P936" s="565"/>
      <c r="Q936" s="565"/>
      <c r="R936" s="565"/>
      <c r="S936" s="565"/>
      <c r="T936" s="565"/>
      <c r="U936" s="565"/>
      <c r="V936" s="565"/>
      <c r="W936" s="565"/>
      <c r="X936" s="565"/>
      <c r="Y936" s="565"/>
      <c r="Z936" s="565"/>
      <c r="AA936" s="565"/>
      <c r="AB936" s="565"/>
      <c r="AC936" s="565"/>
      <c r="AD936" s="565"/>
      <c r="AE936" s="565"/>
      <c r="AF936" s="565"/>
      <c r="AG936" s="565"/>
      <c r="AH936" s="565"/>
      <c r="AI936" s="565"/>
      <c r="AJ936" s="565"/>
      <c r="AK936" s="565"/>
      <c r="AL936" s="565"/>
      <c r="AM936" s="565"/>
      <c r="AN936" s="565"/>
      <c r="AO936" s="565"/>
      <c r="AP936" s="565"/>
      <c r="AQ936" s="565"/>
      <c r="AR936" s="565"/>
      <c r="AS936" s="565"/>
      <c r="AT936" s="565"/>
      <c r="AU936" s="181"/>
      <c r="AV936" s="558"/>
    </row>
    <row r="937" ht="11.25" customHeight="1">
      <c r="A937" s="565"/>
      <c r="B937" s="181"/>
      <c r="C937" s="565"/>
      <c r="D937" s="565"/>
      <c r="E937" s="565"/>
      <c r="F937" s="565"/>
      <c r="G937" s="565"/>
      <c r="H937" s="565"/>
      <c r="I937" s="565"/>
      <c r="J937" s="565"/>
      <c r="K937" s="565"/>
      <c r="L937" s="565"/>
      <c r="M937" s="565"/>
      <c r="N937" s="565"/>
      <c r="O937" s="565"/>
      <c r="P937" s="565"/>
      <c r="Q937" s="565"/>
      <c r="R937" s="565"/>
      <c r="S937" s="565"/>
      <c r="T937" s="565"/>
      <c r="U937" s="565"/>
      <c r="V937" s="565"/>
      <c r="W937" s="565"/>
      <c r="X937" s="565"/>
      <c r="Y937" s="565"/>
      <c r="Z937" s="565"/>
      <c r="AA937" s="565"/>
      <c r="AB937" s="565"/>
      <c r="AC937" s="565"/>
      <c r="AD937" s="565"/>
      <c r="AE937" s="565"/>
      <c r="AF937" s="565"/>
      <c r="AG937" s="565"/>
      <c r="AH937" s="565"/>
      <c r="AI937" s="565"/>
      <c r="AJ937" s="565"/>
      <c r="AK937" s="565"/>
      <c r="AL937" s="565"/>
      <c r="AM937" s="565"/>
      <c r="AN937" s="565"/>
      <c r="AO937" s="565"/>
      <c r="AP937" s="565"/>
      <c r="AQ937" s="565"/>
      <c r="AR937" s="565"/>
      <c r="AS937" s="565"/>
      <c r="AT937" s="565"/>
      <c r="AU937" s="181"/>
      <c r="AV937" s="558"/>
    </row>
    <row r="938" ht="11.25" customHeight="1">
      <c r="A938" s="565"/>
      <c r="B938" s="181"/>
      <c r="C938" s="565"/>
      <c r="D938" s="565"/>
      <c r="E938" s="565"/>
      <c r="F938" s="565"/>
      <c r="G938" s="565"/>
      <c r="H938" s="565"/>
      <c r="I938" s="565"/>
      <c r="J938" s="565"/>
      <c r="K938" s="565"/>
      <c r="L938" s="565"/>
      <c r="M938" s="565"/>
      <c r="N938" s="565"/>
      <c r="O938" s="565"/>
      <c r="P938" s="565"/>
      <c r="Q938" s="565"/>
      <c r="R938" s="565"/>
      <c r="S938" s="565"/>
      <c r="T938" s="565"/>
      <c r="U938" s="565"/>
      <c r="V938" s="565"/>
      <c r="W938" s="565"/>
      <c r="X938" s="565"/>
      <c r="Y938" s="565"/>
      <c r="Z938" s="565"/>
      <c r="AA938" s="565"/>
      <c r="AB938" s="565"/>
      <c r="AC938" s="565"/>
      <c r="AD938" s="565"/>
      <c r="AE938" s="565"/>
      <c r="AF938" s="565"/>
      <c r="AG938" s="565"/>
      <c r="AH938" s="565"/>
      <c r="AI938" s="565"/>
      <c r="AJ938" s="565"/>
      <c r="AK938" s="565"/>
      <c r="AL938" s="565"/>
      <c r="AM938" s="565"/>
      <c r="AN938" s="565"/>
      <c r="AO938" s="565"/>
      <c r="AP938" s="565"/>
      <c r="AQ938" s="565"/>
      <c r="AR938" s="565"/>
      <c r="AS938" s="565"/>
      <c r="AT938" s="565"/>
      <c r="AU938" s="181"/>
      <c r="AV938" s="558"/>
    </row>
    <row r="939" ht="11.25" customHeight="1">
      <c r="A939" s="565"/>
      <c r="B939" s="181"/>
      <c r="C939" s="565"/>
      <c r="D939" s="565"/>
      <c r="E939" s="565"/>
      <c r="F939" s="565"/>
      <c r="G939" s="565"/>
      <c r="H939" s="565"/>
      <c r="I939" s="565"/>
      <c r="J939" s="565"/>
      <c r="K939" s="565"/>
      <c r="L939" s="565"/>
      <c r="M939" s="565"/>
      <c r="N939" s="565"/>
      <c r="O939" s="565"/>
      <c r="P939" s="565"/>
      <c r="Q939" s="565"/>
      <c r="R939" s="565"/>
      <c r="S939" s="565"/>
      <c r="T939" s="565"/>
      <c r="U939" s="565"/>
      <c r="V939" s="565"/>
      <c r="W939" s="565"/>
      <c r="X939" s="565"/>
      <c r="Y939" s="565"/>
      <c r="Z939" s="565"/>
      <c r="AA939" s="565"/>
      <c r="AB939" s="565"/>
      <c r="AC939" s="565"/>
      <c r="AD939" s="565"/>
      <c r="AE939" s="565"/>
      <c r="AF939" s="565"/>
      <c r="AG939" s="565"/>
      <c r="AH939" s="565"/>
      <c r="AI939" s="565"/>
      <c r="AJ939" s="565"/>
      <c r="AK939" s="565"/>
      <c r="AL939" s="565"/>
      <c r="AM939" s="565"/>
      <c r="AN939" s="565"/>
      <c r="AO939" s="565"/>
      <c r="AP939" s="565"/>
      <c r="AQ939" s="565"/>
      <c r="AR939" s="565"/>
      <c r="AS939" s="565"/>
      <c r="AT939" s="565"/>
      <c r="AU939" s="181"/>
      <c r="AV939" s="558"/>
    </row>
    <row r="940" ht="11.25" customHeight="1">
      <c r="A940" s="565"/>
      <c r="B940" s="181"/>
      <c r="C940" s="565"/>
      <c r="D940" s="565"/>
      <c r="E940" s="565"/>
      <c r="F940" s="565"/>
      <c r="G940" s="565"/>
      <c r="H940" s="565"/>
      <c r="I940" s="565"/>
      <c r="J940" s="565"/>
      <c r="K940" s="565"/>
      <c r="L940" s="565"/>
      <c r="M940" s="565"/>
      <c r="N940" s="565"/>
      <c r="O940" s="565"/>
      <c r="P940" s="565"/>
      <c r="Q940" s="565"/>
      <c r="R940" s="565"/>
      <c r="S940" s="565"/>
      <c r="T940" s="565"/>
      <c r="U940" s="565"/>
      <c r="V940" s="565"/>
      <c r="W940" s="565"/>
      <c r="X940" s="565"/>
      <c r="Y940" s="565"/>
      <c r="Z940" s="565"/>
      <c r="AA940" s="565"/>
      <c r="AB940" s="565"/>
      <c r="AC940" s="565"/>
      <c r="AD940" s="565"/>
      <c r="AE940" s="565"/>
      <c r="AF940" s="565"/>
      <c r="AG940" s="565"/>
      <c r="AH940" s="565"/>
      <c r="AI940" s="565"/>
      <c r="AJ940" s="565"/>
      <c r="AK940" s="565"/>
      <c r="AL940" s="565"/>
      <c r="AM940" s="565"/>
      <c r="AN940" s="565"/>
      <c r="AO940" s="565"/>
      <c r="AP940" s="565"/>
      <c r="AQ940" s="565"/>
      <c r="AR940" s="565"/>
      <c r="AS940" s="565"/>
      <c r="AT940" s="565"/>
      <c r="AU940" s="181"/>
      <c r="AV940" s="558"/>
    </row>
    <row r="941" ht="11.25" customHeight="1">
      <c r="A941" s="565"/>
      <c r="B941" s="181"/>
      <c r="C941" s="565"/>
      <c r="D941" s="565"/>
      <c r="E941" s="565"/>
      <c r="F941" s="565"/>
      <c r="G941" s="565"/>
      <c r="H941" s="565"/>
      <c r="I941" s="565"/>
      <c r="J941" s="565"/>
      <c r="K941" s="565"/>
      <c r="L941" s="565"/>
      <c r="M941" s="565"/>
      <c r="N941" s="565"/>
      <c r="O941" s="565"/>
      <c r="P941" s="565"/>
      <c r="Q941" s="565"/>
      <c r="R941" s="565"/>
      <c r="S941" s="565"/>
      <c r="T941" s="565"/>
      <c r="U941" s="565"/>
      <c r="V941" s="565"/>
      <c r="W941" s="565"/>
      <c r="X941" s="565"/>
      <c r="Y941" s="565"/>
      <c r="Z941" s="565"/>
      <c r="AA941" s="565"/>
      <c r="AB941" s="565"/>
      <c r="AC941" s="565"/>
      <c r="AD941" s="565"/>
      <c r="AE941" s="565"/>
      <c r="AF941" s="565"/>
      <c r="AG941" s="565"/>
      <c r="AH941" s="565"/>
      <c r="AI941" s="565"/>
      <c r="AJ941" s="565"/>
      <c r="AK941" s="565"/>
      <c r="AL941" s="565"/>
      <c r="AM941" s="565"/>
      <c r="AN941" s="565"/>
      <c r="AO941" s="565"/>
      <c r="AP941" s="565"/>
      <c r="AQ941" s="565"/>
      <c r="AR941" s="565"/>
      <c r="AS941" s="565"/>
      <c r="AT941" s="565"/>
      <c r="AU941" s="181"/>
      <c r="AV941" s="558"/>
    </row>
    <row r="942" ht="11.25" customHeight="1">
      <c r="A942" s="565"/>
      <c r="B942" s="181"/>
      <c r="C942" s="565"/>
      <c r="D942" s="565"/>
      <c r="E942" s="565"/>
      <c r="F942" s="565"/>
      <c r="G942" s="565"/>
      <c r="H942" s="565"/>
      <c r="I942" s="565"/>
      <c r="J942" s="565"/>
      <c r="K942" s="565"/>
      <c r="L942" s="565"/>
      <c r="M942" s="565"/>
      <c r="N942" s="565"/>
      <c r="O942" s="565"/>
      <c r="P942" s="565"/>
      <c r="Q942" s="565"/>
      <c r="R942" s="565"/>
      <c r="S942" s="565"/>
      <c r="T942" s="565"/>
      <c r="U942" s="565"/>
      <c r="V942" s="565"/>
      <c r="W942" s="565"/>
      <c r="X942" s="565"/>
      <c r="Y942" s="565"/>
      <c r="Z942" s="565"/>
      <c r="AA942" s="565"/>
      <c r="AB942" s="565"/>
      <c r="AC942" s="565"/>
      <c r="AD942" s="565"/>
      <c r="AE942" s="565"/>
      <c r="AF942" s="565"/>
      <c r="AG942" s="565"/>
      <c r="AH942" s="565"/>
      <c r="AI942" s="565"/>
      <c r="AJ942" s="565"/>
      <c r="AK942" s="565"/>
      <c r="AL942" s="565"/>
      <c r="AM942" s="565"/>
      <c r="AN942" s="565"/>
      <c r="AO942" s="565"/>
      <c r="AP942" s="565"/>
      <c r="AQ942" s="565"/>
      <c r="AR942" s="565"/>
      <c r="AS942" s="565"/>
      <c r="AT942" s="565"/>
      <c r="AU942" s="181"/>
      <c r="AV942" s="558"/>
    </row>
    <row r="943" ht="11.25" customHeight="1">
      <c r="A943" s="565"/>
      <c r="B943" s="181"/>
      <c r="C943" s="565"/>
      <c r="D943" s="565"/>
      <c r="E943" s="565"/>
      <c r="F943" s="565"/>
      <c r="G943" s="565"/>
      <c r="H943" s="565"/>
      <c r="I943" s="565"/>
      <c r="J943" s="565"/>
      <c r="K943" s="565"/>
      <c r="L943" s="565"/>
      <c r="M943" s="565"/>
      <c r="N943" s="565"/>
      <c r="O943" s="565"/>
      <c r="P943" s="565"/>
      <c r="Q943" s="565"/>
      <c r="R943" s="565"/>
      <c r="S943" s="565"/>
      <c r="T943" s="565"/>
      <c r="U943" s="565"/>
      <c r="V943" s="565"/>
      <c r="W943" s="565"/>
      <c r="X943" s="565"/>
      <c r="Y943" s="565"/>
      <c r="Z943" s="565"/>
      <c r="AA943" s="565"/>
      <c r="AB943" s="565"/>
      <c r="AC943" s="565"/>
      <c r="AD943" s="565"/>
      <c r="AE943" s="565"/>
      <c r="AF943" s="565"/>
      <c r="AG943" s="565"/>
      <c r="AH943" s="565"/>
      <c r="AI943" s="565"/>
      <c r="AJ943" s="565"/>
      <c r="AK943" s="565"/>
      <c r="AL943" s="565"/>
      <c r="AM943" s="565"/>
      <c r="AN943" s="565"/>
      <c r="AO943" s="565"/>
      <c r="AP943" s="565"/>
      <c r="AQ943" s="565"/>
      <c r="AR943" s="565"/>
      <c r="AS943" s="565"/>
      <c r="AT943" s="565"/>
      <c r="AU943" s="181"/>
      <c r="AV943" s="558"/>
    </row>
    <row r="944" ht="11.25" customHeight="1">
      <c r="A944" s="565"/>
      <c r="B944" s="181"/>
      <c r="C944" s="565"/>
      <c r="D944" s="565"/>
      <c r="E944" s="565"/>
      <c r="F944" s="565"/>
      <c r="G944" s="565"/>
      <c r="H944" s="565"/>
      <c r="I944" s="565"/>
      <c r="J944" s="565"/>
      <c r="K944" s="565"/>
      <c r="L944" s="565"/>
      <c r="M944" s="565"/>
      <c r="N944" s="565"/>
      <c r="O944" s="565"/>
      <c r="P944" s="565"/>
      <c r="Q944" s="565"/>
      <c r="R944" s="565"/>
      <c r="S944" s="565"/>
      <c r="T944" s="565"/>
      <c r="U944" s="565"/>
      <c r="V944" s="565"/>
      <c r="W944" s="565"/>
      <c r="X944" s="565"/>
      <c r="Y944" s="565"/>
      <c r="Z944" s="565"/>
      <c r="AA944" s="565"/>
      <c r="AB944" s="565"/>
      <c r="AC944" s="565"/>
      <c r="AD944" s="565"/>
      <c r="AE944" s="565"/>
      <c r="AF944" s="565"/>
      <c r="AG944" s="565"/>
      <c r="AH944" s="565"/>
      <c r="AI944" s="565"/>
      <c r="AJ944" s="565"/>
      <c r="AK944" s="565"/>
      <c r="AL944" s="565"/>
      <c r="AM944" s="565"/>
      <c r="AN944" s="565"/>
      <c r="AO944" s="565"/>
      <c r="AP944" s="565"/>
      <c r="AQ944" s="565"/>
      <c r="AR944" s="565"/>
      <c r="AS944" s="565"/>
      <c r="AT944" s="565"/>
      <c r="AU944" s="181"/>
      <c r="AV944" s="558"/>
    </row>
    <row r="945" ht="11.25" customHeight="1">
      <c r="A945" s="565"/>
      <c r="B945" s="181"/>
      <c r="C945" s="565"/>
      <c r="D945" s="565"/>
      <c r="E945" s="565"/>
      <c r="F945" s="565"/>
      <c r="G945" s="565"/>
      <c r="H945" s="565"/>
      <c r="I945" s="565"/>
      <c r="J945" s="565"/>
      <c r="K945" s="565"/>
      <c r="L945" s="565"/>
      <c r="M945" s="565"/>
      <c r="N945" s="565"/>
      <c r="O945" s="565"/>
      <c r="P945" s="565"/>
      <c r="Q945" s="565"/>
      <c r="R945" s="565"/>
      <c r="S945" s="565"/>
      <c r="T945" s="565"/>
      <c r="U945" s="565"/>
      <c r="V945" s="565"/>
      <c r="W945" s="565"/>
      <c r="X945" s="565"/>
      <c r="Y945" s="565"/>
      <c r="Z945" s="565"/>
      <c r="AA945" s="565"/>
      <c r="AB945" s="565"/>
      <c r="AC945" s="565"/>
      <c r="AD945" s="565"/>
      <c r="AE945" s="565"/>
      <c r="AF945" s="565"/>
      <c r="AG945" s="565"/>
      <c r="AH945" s="565"/>
      <c r="AI945" s="565"/>
      <c r="AJ945" s="565"/>
      <c r="AK945" s="565"/>
      <c r="AL945" s="565"/>
      <c r="AM945" s="565"/>
      <c r="AN945" s="565"/>
      <c r="AO945" s="565"/>
      <c r="AP945" s="565"/>
      <c r="AQ945" s="565"/>
      <c r="AR945" s="565"/>
      <c r="AS945" s="565"/>
      <c r="AT945" s="565"/>
      <c r="AU945" s="181"/>
      <c r="AV945" s="558"/>
    </row>
    <row r="946" ht="11.25" customHeight="1">
      <c r="A946" s="565"/>
      <c r="B946" s="181"/>
      <c r="C946" s="565"/>
      <c r="D946" s="565"/>
      <c r="E946" s="565"/>
      <c r="F946" s="565"/>
      <c r="G946" s="565"/>
      <c r="H946" s="565"/>
      <c r="I946" s="565"/>
      <c r="J946" s="565"/>
      <c r="K946" s="565"/>
      <c r="L946" s="565"/>
      <c r="M946" s="565"/>
      <c r="N946" s="565"/>
      <c r="O946" s="565"/>
      <c r="P946" s="565"/>
      <c r="Q946" s="565"/>
      <c r="R946" s="565"/>
      <c r="S946" s="565"/>
      <c r="T946" s="565"/>
      <c r="U946" s="565"/>
      <c r="V946" s="565"/>
      <c r="W946" s="565"/>
      <c r="X946" s="565"/>
      <c r="Y946" s="565"/>
      <c r="Z946" s="565"/>
      <c r="AA946" s="565"/>
      <c r="AB946" s="565"/>
      <c r="AC946" s="565"/>
      <c r="AD946" s="565"/>
      <c r="AE946" s="565"/>
      <c r="AF946" s="565"/>
      <c r="AG946" s="565"/>
      <c r="AH946" s="565"/>
      <c r="AI946" s="565"/>
      <c r="AJ946" s="565"/>
      <c r="AK946" s="565"/>
      <c r="AL946" s="565"/>
      <c r="AM946" s="565"/>
      <c r="AN946" s="565"/>
      <c r="AO946" s="565"/>
      <c r="AP946" s="565"/>
      <c r="AQ946" s="565"/>
      <c r="AR946" s="565"/>
      <c r="AS946" s="565"/>
      <c r="AT946" s="565"/>
      <c r="AU946" s="181"/>
      <c r="AV946" s="558"/>
    </row>
    <row r="947" ht="11.25" customHeight="1">
      <c r="A947" s="565"/>
      <c r="B947" s="181"/>
      <c r="C947" s="565"/>
      <c r="D947" s="565"/>
      <c r="E947" s="565"/>
      <c r="F947" s="565"/>
      <c r="G947" s="565"/>
      <c r="H947" s="565"/>
      <c r="I947" s="565"/>
      <c r="J947" s="565"/>
      <c r="K947" s="565"/>
      <c r="L947" s="565"/>
      <c r="M947" s="565"/>
      <c r="N947" s="565"/>
      <c r="O947" s="565"/>
      <c r="P947" s="565"/>
      <c r="Q947" s="565"/>
      <c r="R947" s="565"/>
      <c r="S947" s="565"/>
      <c r="T947" s="565"/>
      <c r="U947" s="565"/>
      <c r="V947" s="565"/>
      <c r="W947" s="565"/>
      <c r="X947" s="565"/>
      <c r="Y947" s="565"/>
      <c r="Z947" s="565"/>
      <c r="AA947" s="565"/>
      <c r="AB947" s="565"/>
      <c r="AC947" s="565"/>
      <c r="AD947" s="565"/>
      <c r="AE947" s="565"/>
      <c r="AF947" s="565"/>
      <c r="AG947" s="565"/>
      <c r="AH947" s="565"/>
      <c r="AI947" s="565"/>
      <c r="AJ947" s="565"/>
      <c r="AK947" s="565"/>
      <c r="AL947" s="565"/>
      <c r="AM947" s="565"/>
      <c r="AN947" s="565"/>
      <c r="AO947" s="565"/>
      <c r="AP947" s="565"/>
      <c r="AQ947" s="565"/>
      <c r="AR947" s="565"/>
      <c r="AS947" s="565"/>
      <c r="AT947" s="565"/>
      <c r="AU947" s="181"/>
      <c r="AV947" s="558"/>
    </row>
    <row r="948" ht="11.25" customHeight="1">
      <c r="A948" s="565"/>
      <c r="B948" s="181"/>
      <c r="C948" s="565"/>
      <c r="D948" s="565"/>
      <c r="E948" s="565"/>
      <c r="F948" s="565"/>
      <c r="G948" s="565"/>
      <c r="H948" s="565"/>
      <c r="I948" s="565"/>
      <c r="J948" s="565"/>
      <c r="K948" s="565"/>
      <c r="L948" s="565"/>
      <c r="M948" s="565"/>
      <c r="N948" s="565"/>
      <c r="O948" s="565"/>
      <c r="P948" s="565"/>
      <c r="Q948" s="565"/>
      <c r="R948" s="565"/>
      <c r="S948" s="565"/>
      <c r="T948" s="565"/>
      <c r="U948" s="565"/>
      <c r="V948" s="565"/>
      <c r="W948" s="565"/>
      <c r="X948" s="565"/>
      <c r="Y948" s="565"/>
      <c r="Z948" s="565"/>
      <c r="AA948" s="565"/>
      <c r="AB948" s="565"/>
      <c r="AC948" s="565"/>
      <c r="AD948" s="565"/>
      <c r="AE948" s="565"/>
      <c r="AF948" s="565"/>
      <c r="AG948" s="565"/>
      <c r="AH948" s="565"/>
      <c r="AI948" s="565"/>
      <c r="AJ948" s="565"/>
      <c r="AK948" s="565"/>
      <c r="AL948" s="565"/>
      <c r="AM948" s="565"/>
      <c r="AN948" s="565"/>
      <c r="AO948" s="565"/>
      <c r="AP948" s="565"/>
      <c r="AQ948" s="565"/>
      <c r="AR948" s="565"/>
      <c r="AS948" s="565"/>
      <c r="AT948" s="565"/>
      <c r="AU948" s="181"/>
      <c r="AV948" s="558"/>
    </row>
    <row r="949" ht="11.25" customHeight="1">
      <c r="A949" s="565"/>
      <c r="B949" s="181"/>
      <c r="C949" s="565"/>
      <c r="D949" s="565"/>
      <c r="E949" s="565"/>
      <c r="F949" s="565"/>
      <c r="G949" s="565"/>
      <c r="H949" s="565"/>
      <c r="I949" s="565"/>
      <c r="J949" s="565"/>
      <c r="K949" s="565"/>
      <c r="L949" s="565"/>
      <c r="M949" s="565"/>
      <c r="N949" s="565"/>
      <c r="O949" s="565"/>
      <c r="P949" s="565"/>
      <c r="Q949" s="565"/>
      <c r="R949" s="565"/>
      <c r="S949" s="565"/>
      <c r="T949" s="565"/>
      <c r="U949" s="565"/>
      <c r="V949" s="565"/>
      <c r="W949" s="565"/>
      <c r="X949" s="565"/>
      <c r="Y949" s="565"/>
      <c r="Z949" s="565"/>
      <c r="AA949" s="565"/>
      <c r="AB949" s="565"/>
      <c r="AC949" s="565"/>
      <c r="AD949" s="565"/>
      <c r="AE949" s="565"/>
      <c r="AF949" s="565"/>
      <c r="AG949" s="565"/>
      <c r="AH949" s="565"/>
      <c r="AI949" s="565"/>
      <c r="AJ949" s="565"/>
      <c r="AK949" s="565"/>
      <c r="AL949" s="565"/>
      <c r="AM949" s="565"/>
      <c r="AN949" s="565"/>
      <c r="AO949" s="565"/>
      <c r="AP949" s="565"/>
      <c r="AQ949" s="565"/>
      <c r="AR949" s="565"/>
      <c r="AS949" s="565"/>
      <c r="AT949" s="565"/>
      <c r="AU949" s="181"/>
      <c r="AV949" s="558"/>
    </row>
    <row r="950" ht="11.25" customHeight="1">
      <c r="A950" s="565"/>
      <c r="B950" s="181"/>
      <c r="C950" s="565"/>
      <c r="D950" s="565"/>
      <c r="E950" s="565"/>
      <c r="F950" s="565"/>
      <c r="G950" s="565"/>
      <c r="H950" s="565"/>
      <c r="I950" s="565"/>
      <c r="J950" s="565"/>
      <c r="K950" s="565"/>
      <c r="L950" s="565"/>
      <c r="M950" s="565"/>
      <c r="N950" s="565"/>
      <c r="O950" s="565"/>
      <c r="P950" s="565"/>
      <c r="Q950" s="565"/>
      <c r="R950" s="565"/>
      <c r="S950" s="565"/>
      <c r="T950" s="565"/>
      <c r="U950" s="565"/>
      <c r="V950" s="565"/>
      <c r="W950" s="565"/>
      <c r="X950" s="565"/>
      <c r="Y950" s="565"/>
      <c r="Z950" s="565"/>
      <c r="AA950" s="565"/>
      <c r="AB950" s="565"/>
      <c r="AC950" s="565"/>
      <c r="AD950" s="565"/>
      <c r="AE950" s="565"/>
      <c r="AF950" s="565"/>
      <c r="AG950" s="565"/>
      <c r="AH950" s="565"/>
      <c r="AI950" s="565"/>
      <c r="AJ950" s="565"/>
      <c r="AK950" s="565"/>
      <c r="AL950" s="565"/>
      <c r="AM950" s="565"/>
      <c r="AN950" s="565"/>
      <c r="AO950" s="565"/>
      <c r="AP950" s="565"/>
      <c r="AQ950" s="565"/>
      <c r="AR950" s="565"/>
      <c r="AS950" s="565"/>
      <c r="AT950" s="565"/>
      <c r="AU950" s="181"/>
      <c r="AV950" s="558"/>
    </row>
    <row r="951" ht="11.25" customHeight="1">
      <c r="A951" s="565"/>
      <c r="B951" s="181"/>
      <c r="C951" s="565"/>
      <c r="D951" s="565"/>
      <c r="E951" s="565"/>
      <c r="F951" s="565"/>
      <c r="G951" s="565"/>
      <c r="H951" s="565"/>
      <c r="I951" s="565"/>
      <c r="J951" s="565"/>
      <c r="K951" s="565"/>
      <c r="L951" s="565"/>
      <c r="M951" s="565"/>
      <c r="N951" s="565"/>
      <c r="O951" s="565"/>
      <c r="P951" s="565"/>
      <c r="Q951" s="565"/>
      <c r="R951" s="565"/>
      <c r="S951" s="565"/>
      <c r="T951" s="565"/>
      <c r="U951" s="565"/>
      <c r="V951" s="565"/>
      <c r="W951" s="565"/>
      <c r="X951" s="565"/>
      <c r="Y951" s="565"/>
      <c r="Z951" s="565"/>
      <c r="AA951" s="565"/>
      <c r="AB951" s="565"/>
      <c r="AC951" s="565"/>
      <c r="AD951" s="565"/>
      <c r="AE951" s="565"/>
      <c r="AF951" s="565"/>
      <c r="AG951" s="565"/>
      <c r="AH951" s="565"/>
      <c r="AI951" s="565"/>
      <c r="AJ951" s="565"/>
      <c r="AK951" s="565"/>
      <c r="AL951" s="565"/>
      <c r="AM951" s="565"/>
      <c r="AN951" s="565"/>
      <c r="AO951" s="565"/>
      <c r="AP951" s="565"/>
      <c r="AQ951" s="565"/>
      <c r="AR951" s="565"/>
      <c r="AS951" s="565"/>
      <c r="AT951" s="565"/>
      <c r="AU951" s="181"/>
      <c r="AV951" s="558"/>
    </row>
    <row r="952" ht="11.25" customHeight="1">
      <c r="A952" s="565"/>
      <c r="B952" s="181"/>
      <c r="C952" s="565"/>
      <c r="D952" s="565"/>
      <c r="E952" s="565"/>
      <c r="F952" s="565"/>
      <c r="G952" s="565"/>
      <c r="H952" s="565"/>
      <c r="I952" s="565"/>
      <c r="J952" s="565"/>
      <c r="K952" s="565"/>
      <c r="L952" s="565"/>
      <c r="M952" s="565"/>
      <c r="N952" s="565"/>
      <c r="O952" s="565"/>
      <c r="P952" s="565"/>
      <c r="Q952" s="565"/>
      <c r="R952" s="565"/>
      <c r="S952" s="565"/>
      <c r="T952" s="565"/>
      <c r="U952" s="565"/>
      <c r="V952" s="565"/>
      <c r="W952" s="565"/>
      <c r="X952" s="565"/>
      <c r="Y952" s="565"/>
      <c r="Z952" s="565"/>
      <c r="AA952" s="565"/>
      <c r="AB952" s="565"/>
      <c r="AC952" s="565"/>
      <c r="AD952" s="565"/>
      <c r="AE952" s="565"/>
      <c r="AF952" s="565"/>
      <c r="AG952" s="565"/>
      <c r="AH952" s="565"/>
      <c r="AI952" s="565"/>
      <c r="AJ952" s="565"/>
      <c r="AK952" s="565"/>
      <c r="AL952" s="565"/>
      <c r="AM952" s="565"/>
      <c r="AN952" s="565"/>
      <c r="AO952" s="565"/>
      <c r="AP952" s="565"/>
      <c r="AQ952" s="565"/>
      <c r="AR952" s="565"/>
      <c r="AS952" s="565"/>
      <c r="AT952" s="565"/>
      <c r="AU952" s="181"/>
      <c r="AV952" s="558"/>
    </row>
    <row r="953" ht="11.25" customHeight="1">
      <c r="A953" s="565"/>
      <c r="B953" s="181"/>
      <c r="C953" s="565"/>
      <c r="D953" s="565"/>
      <c r="E953" s="565"/>
      <c r="F953" s="565"/>
      <c r="G953" s="565"/>
      <c r="H953" s="565"/>
      <c r="I953" s="565"/>
      <c r="J953" s="565"/>
      <c r="K953" s="565"/>
      <c r="L953" s="565"/>
      <c r="M953" s="565"/>
      <c r="N953" s="565"/>
      <c r="O953" s="565"/>
      <c r="P953" s="565"/>
      <c r="Q953" s="565"/>
      <c r="R953" s="565"/>
      <c r="S953" s="565"/>
      <c r="T953" s="565"/>
      <c r="U953" s="565"/>
      <c r="V953" s="565"/>
      <c r="W953" s="565"/>
      <c r="X953" s="565"/>
      <c r="Y953" s="565"/>
      <c r="Z953" s="565"/>
      <c r="AA953" s="565"/>
      <c r="AB953" s="565"/>
      <c r="AC953" s="565"/>
      <c r="AD953" s="565"/>
      <c r="AE953" s="565"/>
      <c r="AF953" s="565"/>
      <c r="AG953" s="565"/>
      <c r="AH953" s="565"/>
      <c r="AI953" s="565"/>
      <c r="AJ953" s="565"/>
      <c r="AK953" s="565"/>
      <c r="AL953" s="565"/>
      <c r="AM953" s="565"/>
      <c r="AN953" s="565"/>
      <c r="AO953" s="565"/>
      <c r="AP953" s="565"/>
      <c r="AQ953" s="565"/>
      <c r="AR953" s="565"/>
      <c r="AS953" s="565"/>
      <c r="AT953" s="565"/>
      <c r="AU953" s="181"/>
      <c r="AV953" s="558"/>
    </row>
    <row r="954" ht="11.25" customHeight="1">
      <c r="A954" s="565"/>
      <c r="B954" s="181"/>
      <c r="C954" s="565"/>
      <c r="D954" s="565"/>
      <c r="E954" s="565"/>
      <c r="F954" s="565"/>
      <c r="G954" s="565"/>
      <c r="H954" s="565"/>
      <c r="I954" s="565"/>
      <c r="J954" s="565"/>
      <c r="K954" s="565"/>
      <c r="L954" s="565"/>
      <c r="M954" s="565"/>
      <c r="N954" s="565"/>
      <c r="O954" s="565"/>
      <c r="P954" s="565"/>
      <c r="Q954" s="565"/>
      <c r="R954" s="565"/>
      <c r="S954" s="565"/>
      <c r="T954" s="565"/>
      <c r="U954" s="565"/>
      <c r="V954" s="565"/>
      <c r="W954" s="565"/>
      <c r="X954" s="565"/>
      <c r="Y954" s="565"/>
      <c r="Z954" s="565"/>
      <c r="AA954" s="565"/>
      <c r="AB954" s="565"/>
      <c r="AC954" s="565"/>
      <c r="AD954" s="565"/>
      <c r="AE954" s="565"/>
      <c r="AF954" s="565"/>
      <c r="AG954" s="565"/>
      <c r="AH954" s="565"/>
      <c r="AI954" s="565"/>
      <c r="AJ954" s="565"/>
      <c r="AK954" s="565"/>
      <c r="AL954" s="565"/>
      <c r="AM954" s="565"/>
      <c r="AN954" s="565"/>
      <c r="AO954" s="565"/>
      <c r="AP954" s="565"/>
      <c r="AQ954" s="565"/>
      <c r="AR954" s="565"/>
      <c r="AS954" s="565"/>
      <c r="AT954" s="565"/>
      <c r="AU954" s="181"/>
      <c r="AV954" s="558"/>
    </row>
    <row r="955" ht="11.25" customHeight="1">
      <c r="A955" s="565"/>
      <c r="B955" s="181"/>
      <c r="C955" s="565"/>
      <c r="D955" s="565"/>
      <c r="E955" s="565"/>
      <c r="F955" s="565"/>
      <c r="G955" s="565"/>
      <c r="H955" s="565"/>
      <c r="I955" s="565"/>
      <c r="J955" s="565"/>
      <c r="K955" s="565"/>
      <c r="L955" s="565"/>
      <c r="M955" s="565"/>
      <c r="N955" s="565"/>
      <c r="O955" s="565"/>
      <c r="P955" s="565"/>
      <c r="Q955" s="565"/>
      <c r="R955" s="565"/>
      <c r="S955" s="565"/>
      <c r="T955" s="565"/>
      <c r="U955" s="565"/>
      <c r="V955" s="565"/>
      <c r="W955" s="565"/>
      <c r="X955" s="565"/>
      <c r="Y955" s="565"/>
      <c r="Z955" s="565"/>
      <c r="AA955" s="565"/>
      <c r="AB955" s="565"/>
      <c r="AC955" s="565"/>
      <c r="AD955" s="565"/>
      <c r="AE955" s="565"/>
      <c r="AF955" s="565"/>
      <c r="AG955" s="565"/>
      <c r="AH955" s="565"/>
      <c r="AI955" s="565"/>
      <c r="AJ955" s="565"/>
      <c r="AK955" s="565"/>
      <c r="AL955" s="565"/>
      <c r="AM955" s="565"/>
      <c r="AN955" s="565"/>
      <c r="AO955" s="565"/>
      <c r="AP955" s="565"/>
      <c r="AQ955" s="565"/>
      <c r="AR955" s="565"/>
      <c r="AS955" s="565"/>
      <c r="AT955" s="565"/>
      <c r="AU955" s="181"/>
      <c r="AV955" s="558"/>
    </row>
    <row r="956" ht="11.25" customHeight="1">
      <c r="A956" s="565"/>
      <c r="B956" s="181"/>
      <c r="C956" s="565"/>
      <c r="D956" s="565"/>
      <c r="E956" s="565"/>
      <c r="F956" s="565"/>
      <c r="G956" s="565"/>
      <c r="H956" s="565"/>
      <c r="I956" s="565"/>
      <c r="J956" s="565"/>
      <c r="K956" s="565"/>
      <c r="L956" s="565"/>
      <c r="M956" s="565"/>
      <c r="N956" s="565"/>
      <c r="O956" s="565"/>
      <c r="P956" s="565"/>
      <c r="Q956" s="565"/>
      <c r="R956" s="565"/>
      <c r="S956" s="565"/>
      <c r="T956" s="565"/>
      <c r="U956" s="565"/>
      <c r="V956" s="565"/>
      <c r="W956" s="565"/>
      <c r="X956" s="565"/>
      <c r="Y956" s="565"/>
      <c r="Z956" s="565"/>
      <c r="AA956" s="565"/>
      <c r="AB956" s="565"/>
      <c r="AC956" s="565"/>
      <c r="AD956" s="565"/>
      <c r="AE956" s="565"/>
      <c r="AF956" s="565"/>
      <c r="AG956" s="565"/>
      <c r="AH956" s="565"/>
      <c r="AI956" s="565"/>
      <c r="AJ956" s="565"/>
      <c r="AK956" s="565"/>
      <c r="AL956" s="565"/>
      <c r="AM956" s="565"/>
      <c r="AN956" s="565"/>
      <c r="AO956" s="565"/>
      <c r="AP956" s="565"/>
      <c r="AQ956" s="565"/>
      <c r="AR956" s="565"/>
      <c r="AS956" s="565"/>
      <c r="AT956" s="565"/>
      <c r="AU956" s="181"/>
      <c r="AV956" s="558"/>
    </row>
    <row r="957" ht="11.25" customHeight="1">
      <c r="A957" s="565"/>
      <c r="B957" s="181"/>
      <c r="C957" s="565"/>
      <c r="D957" s="565"/>
      <c r="E957" s="565"/>
      <c r="F957" s="565"/>
      <c r="G957" s="565"/>
      <c r="H957" s="565"/>
      <c r="I957" s="565"/>
      <c r="J957" s="565"/>
      <c r="K957" s="565"/>
      <c r="L957" s="565"/>
      <c r="M957" s="565"/>
      <c r="N957" s="565"/>
      <c r="O957" s="565"/>
      <c r="P957" s="565"/>
      <c r="Q957" s="565"/>
      <c r="R957" s="565"/>
      <c r="S957" s="565"/>
      <c r="T957" s="565"/>
      <c r="U957" s="565"/>
      <c r="V957" s="565"/>
      <c r="W957" s="565"/>
      <c r="X957" s="565"/>
      <c r="Y957" s="565"/>
      <c r="Z957" s="565"/>
      <c r="AA957" s="565"/>
      <c r="AB957" s="565"/>
      <c r="AC957" s="565"/>
      <c r="AD957" s="565"/>
      <c r="AE957" s="565"/>
      <c r="AF957" s="565"/>
      <c r="AG957" s="565"/>
      <c r="AH957" s="565"/>
      <c r="AI957" s="565"/>
      <c r="AJ957" s="565"/>
      <c r="AK957" s="565"/>
      <c r="AL957" s="565"/>
      <c r="AM957" s="565"/>
      <c r="AN957" s="565"/>
      <c r="AO957" s="565"/>
      <c r="AP957" s="565"/>
      <c r="AQ957" s="565"/>
      <c r="AR957" s="565"/>
      <c r="AS957" s="565"/>
      <c r="AT957" s="565"/>
      <c r="AU957" s="181"/>
      <c r="AV957" s="558"/>
    </row>
    <row r="958" ht="11.25" customHeight="1">
      <c r="A958" s="565"/>
      <c r="B958" s="181"/>
      <c r="C958" s="565"/>
      <c r="D958" s="565"/>
      <c r="E958" s="565"/>
      <c r="F958" s="565"/>
      <c r="G958" s="565"/>
      <c r="H958" s="565"/>
      <c r="I958" s="565"/>
      <c r="J958" s="565"/>
      <c r="K958" s="565"/>
      <c r="L958" s="565"/>
      <c r="M958" s="565"/>
      <c r="N958" s="565"/>
      <c r="O958" s="565"/>
      <c r="P958" s="565"/>
      <c r="Q958" s="565"/>
      <c r="R958" s="565"/>
      <c r="S958" s="565"/>
      <c r="T958" s="565"/>
      <c r="U958" s="565"/>
      <c r="V958" s="565"/>
      <c r="W958" s="565"/>
      <c r="X958" s="565"/>
      <c r="Y958" s="565"/>
      <c r="Z958" s="565"/>
      <c r="AA958" s="565"/>
      <c r="AB958" s="565"/>
      <c r="AC958" s="565"/>
      <c r="AD958" s="565"/>
      <c r="AE958" s="565"/>
      <c r="AF958" s="565"/>
      <c r="AG958" s="565"/>
      <c r="AH958" s="565"/>
      <c r="AI958" s="565"/>
      <c r="AJ958" s="565"/>
      <c r="AK958" s="565"/>
      <c r="AL958" s="565"/>
      <c r="AM958" s="565"/>
      <c r="AN958" s="565"/>
      <c r="AO958" s="565"/>
      <c r="AP958" s="565"/>
      <c r="AQ958" s="565"/>
      <c r="AR958" s="565"/>
      <c r="AS958" s="565"/>
      <c r="AT958" s="565"/>
      <c r="AU958" s="181"/>
      <c r="AV958" s="558"/>
    </row>
    <row r="959" ht="11.25" customHeight="1">
      <c r="A959" s="565"/>
      <c r="B959" s="181"/>
      <c r="C959" s="565"/>
      <c r="D959" s="565"/>
      <c r="E959" s="565"/>
      <c r="F959" s="565"/>
      <c r="G959" s="565"/>
      <c r="H959" s="565"/>
      <c r="I959" s="565"/>
      <c r="J959" s="565"/>
      <c r="K959" s="565"/>
      <c r="L959" s="565"/>
      <c r="M959" s="565"/>
      <c r="N959" s="565"/>
      <c r="O959" s="565"/>
      <c r="P959" s="565"/>
      <c r="Q959" s="565"/>
      <c r="R959" s="565"/>
      <c r="S959" s="565"/>
      <c r="T959" s="565"/>
      <c r="U959" s="565"/>
      <c r="V959" s="565"/>
      <c r="W959" s="565"/>
      <c r="X959" s="565"/>
      <c r="Y959" s="565"/>
      <c r="Z959" s="565"/>
      <c r="AA959" s="565"/>
      <c r="AB959" s="565"/>
      <c r="AC959" s="565"/>
      <c r="AD959" s="565"/>
      <c r="AE959" s="565"/>
      <c r="AF959" s="565"/>
      <c r="AG959" s="565"/>
      <c r="AH959" s="565"/>
      <c r="AI959" s="565"/>
      <c r="AJ959" s="565"/>
      <c r="AK959" s="565"/>
      <c r="AL959" s="565"/>
      <c r="AM959" s="565"/>
      <c r="AN959" s="565"/>
      <c r="AO959" s="565"/>
      <c r="AP959" s="565"/>
      <c r="AQ959" s="565"/>
      <c r="AR959" s="565"/>
      <c r="AS959" s="565"/>
      <c r="AT959" s="565"/>
      <c r="AU959" s="181"/>
      <c r="AV959" s="558"/>
    </row>
    <row r="960" ht="11.25" customHeight="1">
      <c r="A960" s="565"/>
      <c r="B960" s="181"/>
      <c r="C960" s="565"/>
      <c r="D960" s="565"/>
      <c r="E960" s="565"/>
      <c r="F960" s="565"/>
      <c r="G960" s="565"/>
      <c r="H960" s="565"/>
      <c r="I960" s="565"/>
      <c r="J960" s="565"/>
      <c r="K960" s="565"/>
      <c r="L960" s="565"/>
      <c r="M960" s="565"/>
      <c r="N960" s="565"/>
      <c r="O960" s="565"/>
      <c r="P960" s="565"/>
      <c r="Q960" s="565"/>
      <c r="R960" s="565"/>
      <c r="S960" s="565"/>
      <c r="T960" s="565"/>
      <c r="U960" s="565"/>
      <c r="V960" s="565"/>
      <c r="W960" s="565"/>
      <c r="X960" s="565"/>
      <c r="Y960" s="565"/>
      <c r="Z960" s="565"/>
      <c r="AA960" s="565"/>
      <c r="AB960" s="565"/>
      <c r="AC960" s="565"/>
      <c r="AD960" s="565"/>
      <c r="AE960" s="565"/>
      <c r="AF960" s="565"/>
      <c r="AG960" s="565"/>
      <c r="AH960" s="565"/>
      <c r="AI960" s="565"/>
      <c r="AJ960" s="565"/>
      <c r="AK960" s="565"/>
      <c r="AL960" s="565"/>
      <c r="AM960" s="565"/>
      <c r="AN960" s="565"/>
      <c r="AO960" s="565"/>
      <c r="AP960" s="565"/>
      <c r="AQ960" s="565"/>
      <c r="AR960" s="565"/>
      <c r="AS960" s="565"/>
      <c r="AT960" s="565"/>
      <c r="AU960" s="181"/>
      <c r="AV960" s="558"/>
    </row>
    <row r="961" ht="11.25" customHeight="1">
      <c r="A961" s="565"/>
      <c r="B961" s="181"/>
      <c r="C961" s="565"/>
      <c r="D961" s="565"/>
      <c r="E961" s="565"/>
      <c r="F961" s="565"/>
      <c r="G961" s="565"/>
      <c r="H961" s="565"/>
      <c r="I961" s="565"/>
      <c r="J961" s="565"/>
      <c r="K961" s="565"/>
      <c r="L961" s="565"/>
      <c r="M961" s="565"/>
      <c r="N961" s="565"/>
      <c r="O961" s="565"/>
      <c r="P961" s="565"/>
      <c r="Q961" s="565"/>
      <c r="R961" s="565"/>
      <c r="S961" s="565"/>
      <c r="T961" s="565"/>
      <c r="U961" s="565"/>
      <c r="V961" s="565"/>
      <c r="W961" s="565"/>
      <c r="X961" s="565"/>
      <c r="Y961" s="565"/>
      <c r="Z961" s="565"/>
      <c r="AA961" s="565"/>
      <c r="AB961" s="565"/>
      <c r="AC961" s="565"/>
      <c r="AD961" s="565"/>
      <c r="AE961" s="565"/>
      <c r="AF961" s="565"/>
      <c r="AG961" s="565"/>
      <c r="AH961" s="565"/>
      <c r="AI961" s="565"/>
      <c r="AJ961" s="565"/>
      <c r="AK961" s="565"/>
      <c r="AL961" s="565"/>
      <c r="AM961" s="565"/>
      <c r="AN961" s="565"/>
      <c r="AO961" s="565"/>
      <c r="AP961" s="565"/>
      <c r="AQ961" s="565"/>
      <c r="AR961" s="565"/>
      <c r="AS961" s="565"/>
      <c r="AT961" s="565"/>
      <c r="AU961" s="181"/>
      <c r="AV961" s="558"/>
    </row>
    <row r="962" ht="11.25" customHeight="1">
      <c r="A962" s="565"/>
      <c r="B962" s="181"/>
      <c r="C962" s="565"/>
      <c r="D962" s="565"/>
      <c r="E962" s="565"/>
      <c r="F962" s="565"/>
      <c r="G962" s="565"/>
      <c r="H962" s="565"/>
      <c r="I962" s="565"/>
      <c r="J962" s="565"/>
      <c r="K962" s="565"/>
      <c r="L962" s="565"/>
      <c r="M962" s="565"/>
      <c r="N962" s="565"/>
      <c r="O962" s="565"/>
      <c r="P962" s="565"/>
      <c r="Q962" s="565"/>
      <c r="R962" s="565"/>
      <c r="S962" s="565"/>
      <c r="T962" s="565"/>
      <c r="U962" s="565"/>
      <c r="V962" s="565"/>
      <c r="W962" s="565"/>
      <c r="X962" s="565"/>
      <c r="Y962" s="565"/>
      <c r="Z962" s="565"/>
      <c r="AA962" s="565"/>
      <c r="AB962" s="565"/>
      <c r="AC962" s="565"/>
      <c r="AD962" s="565"/>
      <c r="AE962" s="565"/>
      <c r="AF962" s="565"/>
      <c r="AG962" s="565"/>
      <c r="AH962" s="565"/>
      <c r="AI962" s="565"/>
      <c r="AJ962" s="565"/>
      <c r="AK962" s="565"/>
      <c r="AL962" s="565"/>
      <c r="AM962" s="565"/>
      <c r="AN962" s="565"/>
      <c r="AO962" s="565"/>
      <c r="AP962" s="565"/>
      <c r="AQ962" s="565"/>
      <c r="AR962" s="565"/>
      <c r="AS962" s="565"/>
      <c r="AT962" s="565"/>
      <c r="AU962" s="181"/>
      <c r="AV962" s="558"/>
    </row>
    <row r="963" ht="11.25" customHeight="1">
      <c r="A963" s="565"/>
      <c r="B963" s="181"/>
      <c r="C963" s="565"/>
      <c r="D963" s="565"/>
      <c r="E963" s="565"/>
      <c r="F963" s="565"/>
      <c r="G963" s="565"/>
      <c r="H963" s="565"/>
      <c r="I963" s="565"/>
      <c r="J963" s="565"/>
      <c r="K963" s="565"/>
      <c r="L963" s="565"/>
      <c r="M963" s="565"/>
      <c r="N963" s="565"/>
      <c r="O963" s="565"/>
      <c r="P963" s="565"/>
      <c r="Q963" s="565"/>
      <c r="R963" s="565"/>
      <c r="S963" s="565"/>
      <c r="T963" s="565"/>
      <c r="U963" s="565"/>
      <c r="V963" s="565"/>
      <c r="W963" s="565"/>
      <c r="X963" s="565"/>
      <c r="Y963" s="565"/>
      <c r="Z963" s="565"/>
      <c r="AA963" s="565"/>
      <c r="AB963" s="565"/>
      <c r="AC963" s="565"/>
      <c r="AD963" s="565"/>
      <c r="AE963" s="565"/>
      <c r="AF963" s="565"/>
      <c r="AG963" s="565"/>
      <c r="AH963" s="565"/>
      <c r="AI963" s="565"/>
      <c r="AJ963" s="565"/>
      <c r="AK963" s="565"/>
      <c r="AL963" s="565"/>
      <c r="AM963" s="565"/>
      <c r="AN963" s="565"/>
      <c r="AO963" s="565"/>
      <c r="AP963" s="565"/>
      <c r="AQ963" s="565"/>
      <c r="AR963" s="565"/>
      <c r="AS963" s="565"/>
      <c r="AT963" s="565"/>
      <c r="AU963" s="181"/>
      <c r="AV963" s="558"/>
    </row>
    <row r="964" ht="11.25" customHeight="1">
      <c r="A964" s="565"/>
      <c r="B964" s="181"/>
      <c r="C964" s="565"/>
      <c r="D964" s="565"/>
      <c r="E964" s="565"/>
      <c r="F964" s="565"/>
      <c r="G964" s="565"/>
      <c r="H964" s="565"/>
      <c r="I964" s="565"/>
      <c r="J964" s="565"/>
      <c r="K964" s="565"/>
      <c r="L964" s="565"/>
      <c r="M964" s="565"/>
      <c r="N964" s="565"/>
      <c r="O964" s="565"/>
      <c r="P964" s="565"/>
      <c r="Q964" s="565"/>
      <c r="R964" s="565"/>
      <c r="S964" s="565"/>
      <c r="T964" s="565"/>
      <c r="U964" s="565"/>
      <c r="V964" s="565"/>
      <c r="W964" s="565"/>
      <c r="X964" s="565"/>
      <c r="Y964" s="565"/>
      <c r="Z964" s="565"/>
      <c r="AA964" s="565"/>
      <c r="AB964" s="565"/>
      <c r="AC964" s="565"/>
      <c r="AD964" s="565"/>
      <c r="AE964" s="565"/>
      <c r="AF964" s="565"/>
      <c r="AG964" s="565"/>
      <c r="AH964" s="565"/>
      <c r="AI964" s="565"/>
      <c r="AJ964" s="565"/>
      <c r="AK964" s="565"/>
      <c r="AL964" s="565"/>
      <c r="AM964" s="565"/>
      <c r="AN964" s="565"/>
      <c r="AO964" s="565"/>
      <c r="AP964" s="565"/>
      <c r="AQ964" s="565"/>
      <c r="AR964" s="565"/>
      <c r="AS964" s="565"/>
      <c r="AT964" s="565"/>
      <c r="AU964" s="181"/>
      <c r="AV964" s="558"/>
    </row>
    <row r="965" ht="11.25" customHeight="1">
      <c r="A965" s="565"/>
      <c r="B965" s="181"/>
      <c r="C965" s="565"/>
      <c r="D965" s="565"/>
      <c r="E965" s="565"/>
      <c r="F965" s="565"/>
      <c r="G965" s="565"/>
      <c r="H965" s="565"/>
      <c r="I965" s="565"/>
      <c r="J965" s="565"/>
      <c r="K965" s="565"/>
      <c r="L965" s="565"/>
      <c r="M965" s="565"/>
      <c r="N965" s="565"/>
      <c r="O965" s="565"/>
      <c r="P965" s="565"/>
      <c r="Q965" s="565"/>
      <c r="R965" s="565"/>
      <c r="S965" s="565"/>
      <c r="T965" s="565"/>
      <c r="U965" s="565"/>
      <c r="V965" s="565"/>
      <c r="W965" s="565"/>
      <c r="X965" s="565"/>
      <c r="Y965" s="565"/>
      <c r="Z965" s="565"/>
      <c r="AA965" s="565"/>
      <c r="AB965" s="565"/>
      <c r="AC965" s="565"/>
      <c r="AD965" s="565"/>
      <c r="AE965" s="565"/>
      <c r="AF965" s="565"/>
      <c r="AG965" s="565"/>
      <c r="AH965" s="565"/>
      <c r="AI965" s="565"/>
      <c r="AJ965" s="565"/>
      <c r="AK965" s="565"/>
      <c r="AL965" s="565"/>
      <c r="AM965" s="565"/>
      <c r="AN965" s="565"/>
      <c r="AO965" s="565"/>
      <c r="AP965" s="565"/>
      <c r="AQ965" s="565"/>
      <c r="AR965" s="565"/>
      <c r="AS965" s="565"/>
      <c r="AT965" s="565"/>
      <c r="AU965" s="181"/>
      <c r="AV965" s="558"/>
    </row>
    <row r="966" ht="11.25" customHeight="1">
      <c r="A966" s="565"/>
      <c r="B966" s="181"/>
      <c r="C966" s="565"/>
      <c r="D966" s="565"/>
      <c r="E966" s="565"/>
      <c r="F966" s="565"/>
      <c r="G966" s="565"/>
      <c r="H966" s="565"/>
      <c r="I966" s="565"/>
      <c r="J966" s="565"/>
      <c r="K966" s="565"/>
      <c r="L966" s="565"/>
      <c r="M966" s="565"/>
      <c r="N966" s="565"/>
      <c r="O966" s="565"/>
      <c r="P966" s="565"/>
      <c r="Q966" s="565"/>
      <c r="R966" s="565"/>
      <c r="S966" s="565"/>
      <c r="T966" s="565"/>
      <c r="U966" s="565"/>
      <c r="V966" s="565"/>
      <c r="W966" s="565"/>
      <c r="X966" s="565"/>
      <c r="Y966" s="565"/>
      <c r="Z966" s="565"/>
      <c r="AA966" s="565"/>
      <c r="AB966" s="565"/>
      <c r="AC966" s="565"/>
      <c r="AD966" s="565"/>
      <c r="AE966" s="565"/>
      <c r="AF966" s="565"/>
      <c r="AG966" s="565"/>
      <c r="AH966" s="565"/>
      <c r="AI966" s="565"/>
      <c r="AJ966" s="565"/>
      <c r="AK966" s="565"/>
      <c r="AL966" s="565"/>
      <c r="AM966" s="565"/>
      <c r="AN966" s="565"/>
      <c r="AO966" s="565"/>
      <c r="AP966" s="565"/>
      <c r="AQ966" s="565"/>
      <c r="AR966" s="565"/>
      <c r="AS966" s="565"/>
      <c r="AT966" s="565"/>
      <c r="AU966" s="181"/>
      <c r="AV966" s="558"/>
    </row>
    <row r="967" ht="11.25" customHeight="1">
      <c r="A967" s="565"/>
      <c r="B967" s="181"/>
      <c r="C967" s="565"/>
      <c r="D967" s="565"/>
      <c r="E967" s="565"/>
      <c r="F967" s="565"/>
      <c r="G967" s="565"/>
      <c r="H967" s="565"/>
      <c r="I967" s="565"/>
      <c r="J967" s="565"/>
      <c r="K967" s="565"/>
      <c r="L967" s="565"/>
      <c r="M967" s="565"/>
      <c r="N967" s="565"/>
      <c r="O967" s="565"/>
      <c r="P967" s="565"/>
      <c r="Q967" s="565"/>
      <c r="R967" s="565"/>
      <c r="S967" s="565"/>
      <c r="T967" s="565"/>
      <c r="U967" s="565"/>
      <c r="V967" s="565"/>
      <c r="W967" s="565"/>
      <c r="X967" s="565"/>
      <c r="Y967" s="565"/>
      <c r="Z967" s="565"/>
      <c r="AA967" s="565"/>
      <c r="AB967" s="565"/>
      <c r="AC967" s="565"/>
      <c r="AD967" s="565"/>
      <c r="AE967" s="565"/>
      <c r="AF967" s="565"/>
      <c r="AG967" s="565"/>
      <c r="AH967" s="565"/>
      <c r="AI967" s="565"/>
      <c r="AJ967" s="565"/>
      <c r="AK967" s="565"/>
      <c r="AL967" s="565"/>
      <c r="AM967" s="565"/>
      <c r="AN967" s="565"/>
      <c r="AO967" s="565"/>
      <c r="AP967" s="565"/>
      <c r="AQ967" s="565"/>
      <c r="AR967" s="565"/>
      <c r="AS967" s="565"/>
      <c r="AT967" s="565"/>
      <c r="AU967" s="181"/>
      <c r="AV967" s="558"/>
    </row>
    <row r="968" ht="11.25" customHeight="1">
      <c r="A968" s="565"/>
      <c r="B968" s="181"/>
      <c r="C968" s="565"/>
      <c r="D968" s="565"/>
      <c r="E968" s="565"/>
      <c r="F968" s="565"/>
      <c r="G968" s="565"/>
      <c r="H968" s="565"/>
      <c r="I968" s="565"/>
      <c r="J968" s="565"/>
      <c r="K968" s="565"/>
      <c r="L968" s="565"/>
      <c r="M968" s="565"/>
      <c r="N968" s="565"/>
      <c r="O968" s="565"/>
      <c r="P968" s="565"/>
      <c r="Q968" s="565"/>
      <c r="R968" s="565"/>
      <c r="S968" s="565"/>
      <c r="T968" s="565"/>
      <c r="U968" s="565"/>
      <c r="V968" s="565"/>
      <c r="W968" s="565"/>
      <c r="X968" s="565"/>
      <c r="Y968" s="565"/>
      <c r="Z968" s="565"/>
      <c r="AA968" s="565"/>
      <c r="AB968" s="565"/>
      <c r="AC968" s="565"/>
      <c r="AD968" s="565"/>
      <c r="AE968" s="565"/>
      <c r="AF968" s="565"/>
      <c r="AG968" s="565"/>
      <c r="AH968" s="565"/>
      <c r="AI968" s="565"/>
      <c r="AJ968" s="565"/>
      <c r="AK968" s="565"/>
      <c r="AL968" s="565"/>
      <c r="AM968" s="565"/>
      <c r="AN968" s="565"/>
      <c r="AO968" s="565"/>
      <c r="AP968" s="565"/>
      <c r="AQ968" s="565"/>
      <c r="AR968" s="565"/>
      <c r="AS968" s="565"/>
      <c r="AT968" s="565"/>
      <c r="AU968" s="181"/>
      <c r="AV968" s="558"/>
    </row>
    <row r="969" ht="11.25" customHeight="1">
      <c r="A969" s="565"/>
      <c r="B969" s="181"/>
      <c r="C969" s="565"/>
      <c r="D969" s="565"/>
      <c r="E969" s="565"/>
      <c r="F969" s="565"/>
      <c r="G969" s="565"/>
      <c r="H969" s="565"/>
      <c r="I969" s="565"/>
      <c r="J969" s="565"/>
      <c r="K969" s="565"/>
      <c r="L969" s="565"/>
      <c r="M969" s="565"/>
      <c r="N969" s="565"/>
      <c r="O969" s="565"/>
      <c r="P969" s="565"/>
      <c r="Q969" s="565"/>
      <c r="R969" s="565"/>
      <c r="S969" s="565"/>
      <c r="T969" s="565"/>
      <c r="U969" s="565"/>
      <c r="V969" s="565"/>
      <c r="W969" s="565"/>
      <c r="X969" s="565"/>
      <c r="Y969" s="565"/>
      <c r="Z969" s="565"/>
      <c r="AA969" s="565"/>
      <c r="AB969" s="565"/>
      <c r="AC969" s="565"/>
      <c r="AD969" s="565"/>
      <c r="AE969" s="565"/>
      <c r="AF969" s="565"/>
      <c r="AG969" s="565"/>
      <c r="AH969" s="565"/>
      <c r="AI969" s="565"/>
      <c r="AJ969" s="565"/>
      <c r="AK969" s="565"/>
      <c r="AL969" s="565"/>
      <c r="AM969" s="565"/>
      <c r="AN969" s="565"/>
      <c r="AO969" s="565"/>
      <c r="AP969" s="565"/>
      <c r="AQ969" s="565"/>
      <c r="AR969" s="565"/>
      <c r="AS969" s="565"/>
      <c r="AT969" s="565"/>
      <c r="AU969" s="181"/>
      <c r="AV969" s="558"/>
    </row>
    <row r="970" ht="11.25" customHeight="1">
      <c r="A970" s="565"/>
      <c r="B970" s="181"/>
      <c r="C970" s="565"/>
      <c r="D970" s="565"/>
      <c r="E970" s="565"/>
      <c r="F970" s="565"/>
      <c r="G970" s="565"/>
      <c r="H970" s="565"/>
      <c r="I970" s="565"/>
      <c r="J970" s="565"/>
      <c r="K970" s="565"/>
      <c r="L970" s="565"/>
      <c r="M970" s="565"/>
      <c r="N970" s="565"/>
      <c r="O970" s="565"/>
      <c r="P970" s="565"/>
      <c r="Q970" s="565"/>
      <c r="R970" s="565"/>
      <c r="S970" s="565"/>
      <c r="T970" s="565"/>
      <c r="U970" s="565"/>
      <c r="V970" s="565"/>
      <c r="W970" s="565"/>
      <c r="X970" s="565"/>
      <c r="Y970" s="565"/>
      <c r="Z970" s="565"/>
      <c r="AA970" s="565"/>
      <c r="AB970" s="565"/>
      <c r="AC970" s="565"/>
      <c r="AD970" s="565"/>
      <c r="AE970" s="565"/>
      <c r="AF970" s="565"/>
      <c r="AG970" s="565"/>
      <c r="AH970" s="565"/>
      <c r="AI970" s="565"/>
      <c r="AJ970" s="565"/>
      <c r="AK970" s="565"/>
      <c r="AL970" s="565"/>
      <c r="AM970" s="565"/>
      <c r="AN970" s="565"/>
      <c r="AO970" s="565"/>
      <c r="AP970" s="565"/>
      <c r="AQ970" s="565"/>
      <c r="AR970" s="565"/>
      <c r="AS970" s="565"/>
      <c r="AT970" s="565"/>
      <c r="AU970" s="181"/>
      <c r="AV970" s="558"/>
    </row>
    <row r="971" ht="11.25" customHeight="1">
      <c r="A971" s="565"/>
      <c r="B971" s="181"/>
      <c r="C971" s="565"/>
      <c r="D971" s="565"/>
      <c r="E971" s="565"/>
      <c r="F971" s="565"/>
      <c r="G971" s="565"/>
      <c r="H971" s="565"/>
      <c r="I971" s="565"/>
      <c r="J971" s="565"/>
      <c r="K971" s="565"/>
      <c r="L971" s="565"/>
      <c r="M971" s="565"/>
      <c r="N971" s="565"/>
      <c r="O971" s="565"/>
      <c r="P971" s="565"/>
      <c r="Q971" s="565"/>
      <c r="R971" s="565"/>
      <c r="S971" s="565"/>
      <c r="T971" s="565"/>
      <c r="U971" s="565"/>
      <c r="V971" s="565"/>
      <c r="W971" s="565"/>
      <c r="X971" s="565"/>
      <c r="Y971" s="565"/>
      <c r="Z971" s="565"/>
      <c r="AA971" s="565"/>
      <c r="AB971" s="565"/>
      <c r="AC971" s="565"/>
      <c r="AD971" s="565"/>
      <c r="AE971" s="565"/>
      <c r="AF971" s="565"/>
      <c r="AG971" s="565"/>
      <c r="AH971" s="565"/>
      <c r="AI971" s="565"/>
      <c r="AJ971" s="565"/>
      <c r="AK971" s="565"/>
      <c r="AL971" s="565"/>
      <c r="AM971" s="565"/>
      <c r="AN971" s="565"/>
      <c r="AO971" s="565"/>
      <c r="AP971" s="565"/>
      <c r="AQ971" s="565"/>
      <c r="AR971" s="565"/>
      <c r="AS971" s="565"/>
      <c r="AT971" s="565"/>
      <c r="AU971" s="181"/>
      <c r="AV971" s="558"/>
    </row>
    <row r="972" ht="11.25" customHeight="1">
      <c r="A972" s="565"/>
      <c r="B972" s="181"/>
      <c r="C972" s="565"/>
      <c r="D972" s="565"/>
      <c r="E972" s="565"/>
      <c r="F972" s="565"/>
      <c r="G972" s="565"/>
      <c r="H972" s="565"/>
      <c r="I972" s="565"/>
      <c r="J972" s="565"/>
      <c r="K972" s="565"/>
      <c r="L972" s="565"/>
      <c r="M972" s="565"/>
      <c r="N972" s="565"/>
      <c r="O972" s="565"/>
      <c r="P972" s="565"/>
      <c r="Q972" s="565"/>
      <c r="R972" s="565"/>
      <c r="S972" s="565"/>
      <c r="T972" s="565"/>
      <c r="U972" s="565"/>
      <c r="V972" s="565"/>
      <c r="W972" s="565"/>
      <c r="X972" s="565"/>
      <c r="Y972" s="565"/>
      <c r="Z972" s="565"/>
      <c r="AA972" s="565"/>
      <c r="AB972" s="565"/>
      <c r="AC972" s="565"/>
      <c r="AD972" s="565"/>
      <c r="AE972" s="565"/>
      <c r="AF972" s="565"/>
      <c r="AG972" s="565"/>
      <c r="AH972" s="565"/>
      <c r="AI972" s="565"/>
      <c r="AJ972" s="565"/>
      <c r="AK972" s="565"/>
      <c r="AL972" s="565"/>
      <c r="AM972" s="565"/>
      <c r="AN972" s="565"/>
      <c r="AO972" s="565"/>
      <c r="AP972" s="565"/>
      <c r="AQ972" s="565"/>
      <c r="AR972" s="565"/>
      <c r="AS972" s="565"/>
      <c r="AT972" s="565"/>
      <c r="AU972" s="181"/>
      <c r="AV972" s="558"/>
    </row>
    <row r="973" ht="11.25" customHeight="1">
      <c r="A973" s="565"/>
      <c r="B973" s="181"/>
      <c r="C973" s="565"/>
      <c r="D973" s="565"/>
      <c r="E973" s="565"/>
      <c r="F973" s="565"/>
      <c r="G973" s="565"/>
      <c r="H973" s="565"/>
      <c r="I973" s="565"/>
      <c r="J973" s="565"/>
      <c r="K973" s="565"/>
      <c r="L973" s="565"/>
      <c r="M973" s="565"/>
      <c r="N973" s="565"/>
      <c r="O973" s="565"/>
      <c r="P973" s="565"/>
      <c r="Q973" s="565"/>
      <c r="R973" s="565"/>
      <c r="S973" s="565"/>
      <c r="T973" s="565"/>
      <c r="U973" s="565"/>
      <c r="V973" s="565"/>
      <c r="W973" s="565"/>
      <c r="X973" s="565"/>
      <c r="Y973" s="565"/>
      <c r="Z973" s="565"/>
      <c r="AA973" s="565"/>
      <c r="AB973" s="565"/>
      <c r="AC973" s="565"/>
      <c r="AD973" s="565"/>
      <c r="AE973" s="565"/>
      <c r="AF973" s="565"/>
      <c r="AG973" s="565"/>
      <c r="AH973" s="565"/>
      <c r="AI973" s="565"/>
      <c r="AJ973" s="565"/>
      <c r="AK973" s="565"/>
      <c r="AL973" s="565"/>
      <c r="AM973" s="565"/>
      <c r="AN973" s="565"/>
      <c r="AO973" s="565"/>
      <c r="AP973" s="565"/>
      <c r="AQ973" s="565"/>
      <c r="AR973" s="565"/>
      <c r="AS973" s="565"/>
      <c r="AT973" s="565"/>
      <c r="AU973" s="181"/>
      <c r="AV973" s="558"/>
    </row>
    <row r="974" ht="11.25" customHeight="1">
      <c r="A974" s="565"/>
      <c r="B974" s="181"/>
      <c r="C974" s="565"/>
      <c r="D974" s="565"/>
      <c r="E974" s="565"/>
      <c r="F974" s="565"/>
      <c r="G974" s="565"/>
      <c r="H974" s="565"/>
      <c r="I974" s="565"/>
      <c r="J974" s="565"/>
      <c r="K974" s="565"/>
      <c r="L974" s="565"/>
      <c r="M974" s="565"/>
      <c r="N974" s="565"/>
      <c r="O974" s="565"/>
      <c r="P974" s="565"/>
      <c r="Q974" s="565"/>
      <c r="R974" s="565"/>
      <c r="S974" s="565"/>
      <c r="T974" s="565"/>
      <c r="U974" s="565"/>
      <c r="V974" s="565"/>
      <c r="W974" s="565"/>
      <c r="X974" s="565"/>
      <c r="Y974" s="565"/>
      <c r="Z974" s="565"/>
      <c r="AA974" s="565"/>
      <c r="AB974" s="565"/>
      <c r="AC974" s="565"/>
      <c r="AD974" s="565"/>
      <c r="AE974" s="565"/>
      <c r="AF974" s="565"/>
      <c r="AG974" s="565"/>
      <c r="AH974" s="565"/>
      <c r="AI974" s="565"/>
      <c r="AJ974" s="565"/>
      <c r="AK974" s="565"/>
      <c r="AL974" s="565"/>
      <c r="AM974" s="565"/>
      <c r="AN974" s="565"/>
      <c r="AO974" s="565"/>
      <c r="AP974" s="565"/>
      <c r="AQ974" s="565"/>
      <c r="AR974" s="565"/>
      <c r="AS974" s="565"/>
      <c r="AT974" s="565"/>
      <c r="AU974" s="181"/>
      <c r="AV974" s="558"/>
    </row>
    <row r="975" ht="11.25" customHeight="1">
      <c r="A975" s="565"/>
      <c r="B975" s="181"/>
      <c r="C975" s="565"/>
      <c r="D975" s="565"/>
      <c r="E975" s="565"/>
      <c r="F975" s="565"/>
      <c r="G975" s="565"/>
      <c r="H975" s="565"/>
      <c r="I975" s="565"/>
      <c r="J975" s="565"/>
      <c r="K975" s="565"/>
      <c r="L975" s="565"/>
      <c r="M975" s="565"/>
      <c r="N975" s="565"/>
      <c r="O975" s="565"/>
      <c r="P975" s="565"/>
      <c r="Q975" s="565"/>
      <c r="R975" s="565"/>
      <c r="S975" s="565"/>
      <c r="T975" s="565"/>
      <c r="U975" s="565"/>
      <c r="V975" s="565"/>
      <c r="W975" s="565"/>
      <c r="X975" s="565"/>
      <c r="Y975" s="565"/>
      <c r="Z975" s="565"/>
      <c r="AA975" s="565"/>
      <c r="AB975" s="565"/>
      <c r="AC975" s="565"/>
      <c r="AD975" s="565"/>
      <c r="AE975" s="565"/>
      <c r="AF975" s="565"/>
      <c r="AG975" s="565"/>
      <c r="AH975" s="565"/>
      <c r="AI975" s="565"/>
      <c r="AJ975" s="565"/>
      <c r="AK975" s="565"/>
      <c r="AL975" s="565"/>
      <c r="AM975" s="565"/>
      <c r="AN975" s="565"/>
      <c r="AO975" s="565"/>
      <c r="AP975" s="565"/>
      <c r="AQ975" s="565"/>
      <c r="AR975" s="565"/>
      <c r="AS975" s="565"/>
      <c r="AT975" s="565"/>
      <c r="AU975" s="181"/>
      <c r="AV975" s="558"/>
    </row>
    <row r="976" ht="11.25" customHeight="1">
      <c r="A976" s="565"/>
      <c r="B976" s="181"/>
      <c r="C976" s="565"/>
      <c r="D976" s="565"/>
      <c r="E976" s="565"/>
      <c r="F976" s="565"/>
      <c r="G976" s="565"/>
      <c r="H976" s="565"/>
      <c r="I976" s="565"/>
      <c r="J976" s="565"/>
      <c r="K976" s="565"/>
      <c r="L976" s="565"/>
      <c r="M976" s="565"/>
      <c r="N976" s="565"/>
      <c r="O976" s="565"/>
      <c r="P976" s="565"/>
      <c r="Q976" s="565"/>
      <c r="R976" s="565"/>
      <c r="S976" s="565"/>
      <c r="T976" s="565"/>
      <c r="U976" s="565"/>
      <c r="V976" s="565"/>
      <c r="W976" s="565"/>
      <c r="X976" s="565"/>
      <c r="Y976" s="565"/>
      <c r="Z976" s="565"/>
      <c r="AA976" s="565"/>
      <c r="AB976" s="565"/>
      <c r="AC976" s="565"/>
      <c r="AD976" s="565"/>
      <c r="AE976" s="565"/>
      <c r="AF976" s="565"/>
      <c r="AG976" s="565"/>
      <c r="AH976" s="565"/>
      <c r="AI976" s="565"/>
      <c r="AJ976" s="565"/>
      <c r="AK976" s="565"/>
      <c r="AL976" s="565"/>
      <c r="AM976" s="565"/>
      <c r="AN976" s="565"/>
      <c r="AO976" s="565"/>
      <c r="AP976" s="565"/>
      <c r="AQ976" s="565"/>
      <c r="AR976" s="565"/>
      <c r="AS976" s="565"/>
      <c r="AT976" s="565"/>
      <c r="AU976" s="181"/>
      <c r="AV976" s="558"/>
    </row>
    <row r="977" ht="11.25" customHeight="1">
      <c r="A977" s="565"/>
      <c r="B977" s="181"/>
      <c r="C977" s="565"/>
      <c r="D977" s="565"/>
      <c r="E977" s="565"/>
      <c r="F977" s="565"/>
      <c r="G977" s="565"/>
      <c r="H977" s="565"/>
      <c r="I977" s="565"/>
      <c r="J977" s="565"/>
      <c r="K977" s="565"/>
      <c r="L977" s="565"/>
      <c r="M977" s="565"/>
      <c r="N977" s="565"/>
      <c r="O977" s="565"/>
      <c r="P977" s="565"/>
      <c r="Q977" s="565"/>
      <c r="R977" s="565"/>
      <c r="S977" s="565"/>
      <c r="T977" s="565"/>
      <c r="U977" s="565"/>
      <c r="V977" s="565"/>
      <c r="W977" s="565"/>
      <c r="X977" s="565"/>
      <c r="Y977" s="565"/>
      <c r="Z977" s="565"/>
      <c r="AA977" s="565"/>
      <c r="AB977" s="565"/>
      <c r="AC977" s="565"/>
      <c r="AD977" s="565"/>
      <c r="AE977" s="565"/>
      <c r="AF977" s="565"/>
      <c r="AG977" s="565"/>
      <c r="AH977" s="565"/>
      <c r="AI977" s="565"/>
      <c r="AJ977" s="565"/>
      <c r="AK977" s="565"/>
      <c r="AL977" s="565"/>
      <c r="AM977" s="565"/>
      <c r="AN977" s="565"/>
      <c r="AO977" s="565"/>
      <c r="AP977" s="565"/>
      <c r="AQ977" s="565"/>
      <c r="AR977" s="565"/>
      <c r="AS977" s="565"/>
      <c r="AT977" s="565"/>
      <c r="AU977" s="181"/>
      <c r="AV977" s="558"/>
    </row>
    <row r="978" ht="11.25" customHeight="1">
      <c r="A978" s="565"/>
      <c r="B978" s="181"/>
      <c r="C978" s="565"/>
      <c r="D978" s="565"/>
      <c r="E978" s="565"/>
      <c r="F978" s="565"/>
      <c r="G978" s="565"/>
      <c r="H978" s="565"/>
      <c r="I978" s="565"/>
      <c r="J978" s="565"/>
      <c r="K978" s="565"/>
      <c r="L978" s="565"/>
      <c r="M978" s="565"/>
      <c r="N978" s="565"/>
      <c r="O978" s="565"/>
      <c r="P978" s="565"/>
      <c r="Q978" s="565"/>
      <c r="R978" s="565"/>
      <c r="S978" s="565"/>
      <c r="T978" s="565"/>
      <c r="U978" s="565"/>
      <c r="V978" s="565"/>
      <c r="W978" s="565"/>
      <c r="X978" s="565"/>
      <c r="Y978" s="565"/>
      <c r="Z978" s="565"/>
      <c r="AA978" s="565"/>
      <c r="AB978" s="565"/>
      <c r="AC978" s="565"/>
      <c r="AD978" s="565"/>
      <c r="AE978" s="565"/>
      <c r="AF978" s="565"/>
      <c r="AG978" s="565"/>
      <c r="AH978" s="565"/>
      <c r="AI978" s="565"/>
      <c r="AJ978" s="565"/>
      <c r="AK978" s="565"/>
      <c r="AL978" s="565"/>
      <c r="AM978" s="565"/>
      <c r="AN978" s="565"/>
      <c r="AO978" s="565"/>
      <c r="AP978" s="565"/>
      <c r="AQ978" s="565"/>
      <c r="AR978" s="565"/>
      <c r="AS978" s="565"/>
      <c r="AT978" s="565"/>
      <c r="AU978" s="181"/>
      <c r="AV978" s="558"/>
    </row>
    <row r="979" ht="11.25" customHeight="1">
      <c r="A979" s="565"/>
      <c r="B979" s="181"/>
      <c r="C979" s="565"/>
      <c r="D979" s="565"/>
      <c r="E979" s="565"/>
      <c r="F979" s="565"/>
      <c r="G979" s="565"/>
      <c r="H979" s="565"/>
      <c r="I979" s="565"/>
      <c r="J979" s="565"/>
      <c r="K979" s="565"/>
      <c r="L979" s="565"/>
      <c r="M979" s="565"/>
      <c r="N979" s="565"/>
      <c r="O979" s="565"/>
      <c r="P979" s="565"/>
      <c r="Q979" s="565"/>
      <c r="R979" s="565"/>
      <c r="S979" s="565"/>
      <c r="T979" s="565"/>
      <c r="U979" s="565"/>
      <c r="V979" s="565"/>
      <c r="W979" s="565"/>
      <c r="X979" s="565"/>
      <c r="Y979" s="565"/>
      <c r="Z979" s="565"/>
      <c r="AA979" s="565"/>
      <c r="AB979" s="565"/>
      <c r="AC979" s="565"/>
      <c r="AD979" s="565"/>
      <c r="AE979" s="565"/>
      <c r="AF979" s="565"/>
      <c r="AG979" s="565"/>
      <c r="AH979" s="565"/>
      <c r="AI979" s="565"/>
      <c r="AJ979" s="565"/>
      <c r="AK979" s="565"/>
      <c r="AL979" s="565"/>
      <c r="AM979" s="565"/>
      <c r="AN979" s="565"/>
      <c r="AO979" s="565"/>
      <c r="AP979" s="565"/>
      <c r="AQ979" s="565"/>
      <c r="AR979" s="565"/>
      <c r="AS979" s="565"/>
      <c r="AT979" s="565"/>
      <c r="AU979" s="181"/>
      <c r="AV979" s="558"/>
    </row>
    <row r="980" ht="11.25" customHeight="1">
      <c r="A980" s="565"/>
      <c r="B980" s="181"/>
      <c r="C980" s="565"/>
      <c r="D980" s="565"/>
      <c r="E980" s="565"/>
      <c r="F980" s="565"/>
      <c r="G980" s="565"/>
      <c r="H980" s="565"/>
      <c r="I980" s="565"/>
      <c r="J980" s="565"/>
      <c r="K980" s="565"/>
      <c r="L980" s="565"/>
      <c r="M980" s="565"/>
      <c r="N980" s="565"/>
      <c r="O980" s="565"/>
      <c r="P980" s="565"/>
      <c r="Q980" s="565"/>
      <c r="R980" s="565"/>
      <c r="S980" s="565"/>
      <c r="T980" s="565"/>
      <c r="U980" s="565"/>
      <c r="V980" s="565"/>
      <c r="W980" s="565"/>
      <c r="X980" s="565"/>
      <c r="Y980" s="565"/>
      <c r="Z980" s="565"/>
      <c r="AA980" s="565"/>
      <c r="AB980" s="565"/>
      <c r="AC980" s="565"/>
      <c r="AD980" s="565"/>
      <c r="AE980" s="565"/>
      <c r="AF980" s="565"/>
      <c r="AG980" s="565"/>
      <c r="AH980" s="565"/>
      <c r="AI980" s="565"/>
      <c r="AJ980" s="565"/>
      <c r="AK980" s="565"/>
      <c r="AL980" s="565"/>
      <c r="AM980" s="565"/>
      <c r="AN980" s="565"/>
      <c r="AO980" s="565"/>
      <c r="AP980" s="565"/>
      <c r="AQ980" s="565"/>
      <c r="AR980" s="565"/>
      <c r="AS980" s="565"/>
      <c r="AT980" s="565"/>
      <c r="AU980" s="181"/>
      <c r="AV980" s="558"/>
    </row>
    <row r="981" ht="11.25" customHeight="1">
      <c r="A981" s="565"/>
      <c r="B981" s="181"/>
      <c r="C981" s="565"/>
      <c r="D981" s="565"/>
      <c r="E981" s="565"/>
      <c r="F981" s="565"/>
      <c r="G981" s="565"/>
      <c r="H981" s="565"/>
      <c r="I981" s="565"/>
      <c r="J981" s="565"/>
      <c r="K981" s="565"/>
      <c r="L981" s="565"/>
      <c r="M981" s="565"/>
      <c r="N981" s="565"/>
      <c r="O981" s="565"/>
      <c r="P981" s="565"/>
      <c r="Q981" s="565"/>
      <c r="R981" s="565"/>
      <c r="S981" s="565"/>
      <c r="T981" s="565"/>
      <c r="U981" s="565"/>
      <c r="V981" s="565"/>
      <c r="W981" s="565"/>
      <c r="X981" s="565"/>
      <c r="Y981" s="565"/>
      <c r="Z981" s="565"/>
      <c r="AA981" s="565"/>
      <c r="AB981" s="565"/>
      <c r="AC981" s="565"/>
      <c r="AD981" s="565"/>
      <c r="AE981" s="565"/>
      <c r="AF981" s="565"/>
      <c r="AG981" s="565"/>
      <c r="AH981" s="565"/>
      <c r="AI981" s="565"/>
      <c r="AJ981" s="565"/>
      <c r="AK981" s="565"/>
      <c r="AL981" s="565"/>
      <c r="AM981" s="565"/>
      <c r="AN981" s="565"/>
      <c r="AO981" s="565"/>
      <c r="AP981" s="565"/>
      <c r="AQ981" s="565"/>
      <c r="AR981" s="565"/>
      <c r="AS981" s="565"/>
      <c r="AT981" s="565"/>
      <c r="AU981" s="181"/>
      <c r="AV981" s="558"/>
    </row>
    <row r="982" ht="11.25" customHeight="1">
      <c r="A982" s="565"/>
      <c r="B982" s="181"/>
      <c r="C982" s="565"/>
      <c r="D982" s="565"/>
      <c r="E982" s="565"/>
      <c r="F982" s="565"/>
      <c r="G982" s="565"/>
      <c r="H982" s="565"/>
      <c r="I982" s="565"/>
      <c r="J982" s="565"/>
      <c r="K982" s="565"/>
      <c r="L982" s="565"/>
      <c r="M982" s="565"/>
      <c r="N982" s="565"/>
      <c r="O982" s="565"/>
      <c r="P982" s="565"/>
      <c r="Q982" s="565"/>
      <c r="R982" s="565"/>
      <c r="S982" s="565"/>
      <c r="T982" s="565"/>
      <c r="U982" s="565"/>
      <c r="V982" s="565"/>
      <c r="W982" s="565"/>
      <c r="X982" s="565"/>
      <c r="Y982" s="565"/>
      <c r="Z982" s="565"/>
      <c r="AA982" s="565"/>
      <c r="AB982" s="565"/>
      <c r="AC982" s="565"/>
      <c r="AD982" s="565"/>
      <c r="AE982" s="565"/>
      <c r="AF982" s="565"/>
      <c r="AG982" s="565"/>
      <c r="AH982" s="565"/>
      <c r="AI982" s="565"/>
      <c r="AJ982" s="565"/>
      <c r="AK982" s="565"/>
      <c r="AL982" s="565"/>
      <c r="AM982" s="565"/>
      <c r="AN982" s="565"/>
      <c r="AO982" s="565"/>
      <c r="AP982" s="565"/>
      <c r="AQ982" s="565"/>
      <c r="AR982" s="565"/>
      <c r="AS982" s="565"/>
      <c r="AT982" s="565"/>
      <c r="AU982" s="181"/>
      <c r="AV982" s="558"/>
    </row>
    <row r="983" ht="11.25" customHeight="1">
      <c r="A983" s="565"/>
      <c r="B983" s="181"/>
      <c r="C983" s="565"/>
      <c r="D983" s="565"/>
      <c r="E983" s="565"/>
      <c r="F983" s="565"/>
      <c r="G983" s="565"/>
      <c r="H983" s="565"/>
      <c r="I983" s="565"/>
      <c r="J983" s="565"/>
      <c r="K983" s="565"/>
      <c r="L983" s="565"/>
      <c r="M983" s="565"/>
      <c r="N983" s="565"/>
      <c r="O983" s="565"/>
      <c r="P983" s="565"/>
      <c r="Q983" s="565"/>
      <c r="R983" s="565"/>
      <c r="S983" s="565"/>
      <c r="T983" s="565"/>
      <c r="U983" s="565"/>
      <c r="V983" s="565"/>
      <c r="W983" s="565"/>
      <c r="X983" s="565"/>
      <c r="Y983" s="565"/>
      <c r="Z983" s="565"/>
      <c r="AA983" s="565"/>
      <c r="AB983" s="565"/>
      <c r="AC983" s="565"/>
      <c r="AD983" s="565"/>
      <c r="AE983" s="565"/>
      <c r="AF983" s="565"/>
      <c r="AG983" s="565"/>
      <c r="AH983" s="565"/>
      <c r="AI983" s="565"/>
      <c r="AJ983" s="565"/>
      <c r="AK983" s="565"/>
      <c r="AL983" s="565"/>
      <c r="AM983" s="565"/>
      <c r="AN983" s="565"/>
      <c r="AO983" s="565"/>
      <c r="AP983" s="565"/>
      <c r="AQ983" s="565"/>
      <c r="AR983" s="565"/>
      <c r="AS983" s="565"/>
      <c r="AT983" s="565"/>
      <c r="AU983" s="181"/>
      <c r="AV983" s="558"/>
    </row>
    <row r="984" ht="11.25" customHeight="1">
      <c r="A984" s="565"/>
      <c r="B984" s="181"/>
      <c r="C984" s="565"/>
      <c r="D984" s="565"/>
      <c r="E984" s="565"/>
      <c r="F984" s="565"/>
      <c r="G984" s="565"/>
      <c r="H984" s="565"/>
      <c r="I984" s="565"/>
      <c r="J984" s="565"/>
      <c r="K984" s="565"/>
      <c r="L984" s="565"/>
      <c r="M984" s="565"/>
      <c r="N984" s="565"/>
      <c r="O984" s="565"/>
      <c r="P984" s="565"/>
      <c r="Q984" s="565"/>
      <c r="R984" s="565"/>
      <c r="S984" s="565"/>
      <c r="T984" s="565"/>
      <c r="U984" s="565"/>
      <c r="V984" s="565"/>
      <c r="W984" s="565"/>
      <c r="X984" s="565"/>
      <c r="Y984" s="565"/>
      <c r="Z984" s="565"/>
      <c r="AA984" s="565"/>
      <c r="AB984" s="565"/>
      <c r="AC984" s="565"/>
      <c r="AD984" s="565"/>
      <c r="AE984" s="565"/>
      <c r="AF984" s="565"/>
      <c r="AG984" s="565"/>
      <c r="AH984" s="565"/>
      <c r="AI984" s="565"/>
      <c r="AJ984" s="565"/>
      <c r="AK984" s="565"/>
      <c r="AL984" s="565"/>
      <c r="AM984" s="565"/>
      <c r="AN984" s="565"/>
      <c r="AO984" s="565"/>
      <c r="AP984" s="565"/>
      <c r="AQ984" s="565"/>
      <c r="AR984" s="565"/>
      <c r="AS984" s="565"/>
      <c r="AT984" s="565"/>
      <c r="AU984" s="181"/>
      <c r="AV984" s="558"/>
    </row>
    <row r="985" ht="11.25" customHeight="1">
      <c r="A985" s="565"/>
      <c r="B985" s="181"/>
      <c r="C985" s="565"/>
      <c r="D985" s="565"/>
      <c r="E985" s="565"/>
      <c r="F985" s="565"/>
      <c r="G985" s="565"/>
      <c r="H985" s="565"/>
      <c r="I985" s="565"/>
      <c r="J985" s="565"/>
      <c r="K985" s="565"/>
      <c r="L985" s="565"/>
      <c r="M985" s="565"/>
      <c r="N985" s="565"/>
      <c r="O985" s="565"/>
      <c r="P985" s="565"/>
      <c r="Q985" s="565"/>
      <c r="R985" s="565"/>
      <c r="S985" s="565"/>
      <c r="T985" s="565"/>
      <c r="U985" s="565"/>
      <c r="V985" s="565"/>
      <c r="W985" s="565"/>
      <c r="X985" s="565"/>
      <c r="Y985" s="565"/>
      <c r="Z985" s="565"/>
      <c r="AA985" s="565"/>
      <c r="AB985" s="565"/>
      <c r="AC985" s="565"/>
      <c r="AD985" s="565"/>
      <c r="AE985" s="565"/>
      <c r="AF985" s="565"/>
      <c r="AG985" s="565"/>
      <c r="AH985" s="565"/>
      <c r="AI985" s="565"/>
      <c r="AJ985" s="565"/>
      <c r="AK985" s="565"/>
      <c r="AL985" s="565"/>
      <c r="AM985" s="565"/>
      <c r="AN985" s="565"/>
      <c r="AO985" s="565"/>
      <c r="AP985" s="565"/>
      <c r="AQ985" s="565"/>
      <c r="AR985" s="565"/>
      <c r="AS985" s="565"/>
      <c r="AT985" s="565"/>
      <c r="AU985" s="181"/>
      <c r="AV985" s="558"/>
    </row>
    <row r="986" ht="11.25" customHeight="1">
      <c r="A986" s="565"/>
      <c r="B986" s="181"/>
      <c r="C986" s="565"/>
      <c r="D986" s="565"/>
      <c r="E986" s="565"/>
      <c r="F986" s="565"/>
      <c r="G986" s="565"/>
      <c r="H986" s="565"/>
      <c r="I986" s="565"/>
      <c r="J986" s="565"/>
      <c r="K986" s="565"/>
      <c r="L986" s="565"/>
      <c r="M986" s="565"/>
      <c r="N986" s="565"/>
      <c r="O986" s="565"/>
      <c r="P986" s="565"/>
      <c r="Q986" s="565"/>
      <c r="R986" s="565"/>
      <c r="S986" s="565"/>
      <c r="T986" s="565"/>
      <c r="U986" s="565"/>
      <c r="V986" s="565"/>
      <c r="W986" s="565"/>
      <c r="X986" s="565"/>
      <c r="Y986" s="565"/>
      <c r="Z986" s="565"/>
      <c r="AA986" s="565"/>
      <c r="AB986" s="565"/>
      <c r="AC986" s="565"/>
      <c r="AD986" s="565"/>
      <c r="AE986" s="565"/>
      <c r="AF986" s="565"/>
      <c r="AG986" s="565"/>
      <c r="AH986" s="565"/>
      <c r="AI986" s="565"/>
      <c r="AJ986" s="565"/>
      <c r="AK986" s="565"/>
      <c r="AL986" s="565"/>
      <c r="AM986" s="565"/>
      <c r="AN986" s="565"/>
      <c r="AO986" s="565"/>
      <c r="AP986" s="565"/>
      <c r="AQ986" s="565"/>
      <c r="AR986" s="565"/>
      <c r="AS986" s="565"/>
      <c r="AT986" s="565"/>
      <c r="AU986" s="181"/>
      <c r="AV986" s="558"/>
    </row>
    <row r="987" ht="11.25" customHeight="1">
      <c r="A987" s="565"/>
      <c r="B987" s="181"/>
      <c r="C987" s="565"/>
      <c r="D987" s="565"/>
      <c r="E987" s="565"/>
      <c r="F987" s="565"/>
      <c r="G987" s="565"/>
      <c r="H987" s="565"/>
      <c r="I987" s="565"/>
      <c r="J987" s="565"/>
      <c r="K987" s="565"/>
      <c r="L987" s="565"/>
      <c r="M987" s="565"/>
      <c r="N987" s="565"/>
      <c r="O987" s="565"/>
      <c r="P987" s="565"/>
      <c r="Q987" s="565"/>
      <c r="R987" s="565"/>
      <c r="S987" s="565"/>
      <c r="T987" s="565"/>
      <c r="U987" s="565"/>
      <c r="V987" s="565"/>
      <c r="W987" s="565"/>
      <c r="X987" s="565"/>
      <c r="Y987" s="565"/>
      <c r="Z987" s="565"/>
      <c r="AA987" s="565"/>
      <c r="AB987" s="565"/>
      <c r="AC987" s="565"/>
      <c r="AD987" s="565"/>
      <c r="AE987" s="565"/>
      <c r="AF987" s="565"/>
      <c r="AG987" s="565"/>
      <c r="AH987" s="565"/>
      <c r="AI987" s="565"/>
      <c r="AJ987" s="565"/>
      <c r="AK987" s="565"/>
      <c r="AL987" s="565"/>
      <c r="AM987" s="565"/>
      <c r="AN987" s="565"/>
      <c r="AO987" s="565"/>
      <c r="AP987" s="565"/>
      <c r="AQ987" s="565"/>
      <c r="AR987" s="565"/>
      <c r="AS987" s="565"/>
      <c r="AT987" s="565"/>
      <c r="AU987" s="181"/>
      <c r="AV987" s="558"/>
    </row>
    <row r="988" ht="11.25" customHeight="1">
      <c r="A988" s="565"/>
      <c r="B988" s="181"/>
      <c r="C988" s="565"/>
      <c r="D988" s="565"/>
      <c r="E988" s="565"/>
      <c r="F988" s="565"/>
      <c r="G988" s="565"/>
      <c r="H988" s="565"/>
      <c r="I988" s="565"/>
      <c r="J988" s="565"/>
      <c r="K988" s="565"/>
      <c r="L988" s="565"/>
      <c r="M988" s="565"/>
      <c r="N988" s="565"/>
      <c r="O988" s="565"/>
      <c r="P988" s="565"/>
      <c r="Q988" s="565"/>
      <c r="R988" s="565"/>
      <c r="S988" s="565"/>
      <c r="T988" s="565"/>
      <c r="U988" s="565"/>
      <c r="V988" s="565"/>
      <c r="W988" s="565"/>
      <c r="X988" s="565"/>
      <c r="Y988" s="565"/>
      <c r="Z988" s="565"/>
      <c r="AA988" s="565"/>
      <c r="AB988" s="565"/>
      <c r="AC988" s="565"/>
      <c r="AD988" s="565"/>
      <c r="AE988" s="565"/>
      <c r="AF988" s="565"/>
      <c r="AG988" s="565"/>
      <c r="AH988" s="565"/>
      <c r="AI988" s="565"/>
      <c r="AJ988" s="565"/>
      <c r="AK988" s="565"/>
      <c r="AL988" s="565"/>
      <c r="AM988" s="565"/>
      <c r="AN988" s="565"/>
      <c r="AO988" s="565"/>
      <c r="AP988" s="565"/>
      <c r="AQ988" s="565"/>
      <c r="AR988" s="565"/>
      <c r="AS988" s="565"/>
      <c r="AT988" s="565"/>
      <c r="AU988" s="181"/>
      <c r="AV988" s="558"/>
    </row>
    <row r="989" ht="11.25" customHeight="1">
      <c r="A989" s="565"/>
      <c r="B989" s="181"/>
      <c r="C989" s="565"/>
      <c r="D989" s="565"/>
      <c r="E989" s="565"/>
      <c r="F989" s="565"/>
      <c r="G989" s="565"/>
      <c r="H989" s="565"/>
      <c r="I989" s="565"/>
      <c r="J989" s="565"/>
      <c r="K989" s="565"/>
      <c r="L989" s="565"/>
      <c r="M989" s="565"/>
      <c r="N989" s="565"/>
      <c r="O989" s="565"/>
      <c r="P989" s="565"/>
      <c r="Q989" s="565"/>
      <c r="R989" s="565"/>
      <c r="S989" s="565"/>
      <c r="T989" s="565"/>
      <c r="U989" s="565"/>
      <c r="V989" s="565"/>
      <c r="W989" s="565"/>
      <c r="X989" s="565"/>
      <c r="Y989" s="565"/>
      <c r="Z989" s="565"/>
      <c r="AA989" s="565"/>
      <c r="AB989" s="565"/>
      <c r="AC989" s="565"/>
      <c r="AD989" s="565"/>
      <c r="AE989" s="565"/>
      <c r="AF989" s="565"/>
      <c r="AG989" s="565"/>
      <c r="AH989" s="565"/>
      <c r="AI989" s="565"/>
      <c r="AJ989" s="565"/>
      <c r="AK989" s="565"/>
      <c r="AL989" s="565"/>
      <c r="AM989" s="565"/>
      <c r="AN989" s="565"/>
      <c r="AO989" s="565"/>
      <c r="AP989" s="565"/>
      <c r="AQ989" s="565"/>
      <c r="AR989" s="565"/>
      <c r="AS989" s="565"/>
      <c r="AT989" s="565"/>
      <c r="AU989" s="181"/>
      <c r="AV989" s="558"/>
    </row>
    <row r="990" ht="11.25" customHeight="1">
      <c r="A990" s="565"/>
      <c r="B990" s="181"/>
      <c r="C990" s="565"/>
      <c r="D990" s="565"/>
      <c r="E990" s="565"/>
      <c r="F990" s="565"/>
      <c r="G990" s="565"/>
      <c r="H990" s="565"/>
      <c r="I990" s="565"/>
      <c r="J990" s="565"/>
      <c r="K990" s="565"/>
      <c r="L990" s="565"/>
      <c r="M990" s="565"/>
      <c r="N990" s="565"/>
      <c r="O990" s="565"/>
      <c r="P990" s="565"/>
      <c r="Q990" s="565"/>
      <c r="R990" s="565"/>
      <c r="S990" s="565"/>
      <c r="T990" s="565"/>
      <c r="U990" s="565"/>
      <c r="V990" s="565"/>
      <c r="W990" s="565"/>
      <c r="X990" s="565"/>
      <c r="Y990" s="565"/>
      <c r="Z990" s="565"/>
      <c r="AA990" s="565"/>
      <c r="AB990" s="565"/>
      <c r="AC990" s="565"/>
      <c r="AD990" s="565"/>
      <c r="AE990" s="565"/>
      <c r="AF990" s="565"/>
      <c r="AG990" s="565"/>
      <c r="AH990" s="565"/>
      <c r="AI990" s="565"/>
      <c r="AJ990" s="565"/>
      <c r="AK990" s="565"/>
      <c r="AL990" s="565"/>
      <c r="AM990" s="565"/>
      <c r="AN990" s="565"/>
      <c r="AO990" s="565"/>
      <c r="AP990" s="565"/>
      <c r="AQ990" s="565"/>
      <c r="AR990" s="565"/>
      <c r="AS990" s="565"/>
      <c r="AT990" s="565"/>
      <c r="AU990" s="181"/>
      <c r="AV990" s="558"/>
    </row>
    <row r="991" ht="11.25" customHeight="1">
      <c r="A991" s="565"/>
      <c r="B991" s="181"/>
      <c r="C991" s="565"/>
      <c r="D991" s="565"/>
      <c r="E991" s="565"/>
      <c r="F991" s="565"/>
      <c r="G991" s="565"/>
      <c r="H991" s="565"/>
      <c r="I991" s="565"/>
      <c r="J991" s="565"/>
      <c r="K991" s="565"/>
      <c r="L991" s="565"/>
      <c r="M991" s="565"/>
      <c r="N991" s="565"/>
      <c r="O991" s="565"/>
      <c r="P991" s="565"/>
      <c r="Q991" s="565"/>
      <c r="R991" s="565"/>
      <c r="S991" s="565"/>
      <c r="T991" s="565"/>
      <c r="U991" s="565"/>
      <c r="V991" s="565"/>
      <c r="W991" s="565"/>
      <c r="X991" s="565"/>
      <c r="Y991" s="565"/>
      <c r="Z991" s="565"/>
      <c r="AA991" s="565"/>
      <c r="AB991" s="565"/>
      <c r="AC991" s="565"/>
      <c r="AD991" s="565"/>
      <c r="AE991" s="565"/>
      <c r="AF991" s="565"/>
      <c r="AG991" s="565"/>
      <c r="AH991" s="565"/>
      <c r="AI991" s="565"/>
      <c r="AJ991" s="565"/>
      <c r="AK991" s="565"/>
      <c r="AL991" s="565"/>
      <c r="AM991" s="565"/>
      <c r="AN991" s="565"/>
      <c r="AO991" s="565"/>
      <c r="AP991" s="565"/>
      <c r="AQ991" s="565"/>
      <c r="AR991" s="565"/>
      <c r="AS991" s="565"/>
      <c r="AT991" s="565"/>
      <c r="AU991" s="181"/>
      <c r="AV991" s="558"/>
    </row>
    <row r="992" ht="11.25" customHeight="1">
      <c r="A992" s="565"/>
      <c r="B992" s="181"/>
      <c r="C992" s="565"/>
      <c r="D992" s="565"/>
      <c r="E992" s="565"/>
      <c r="F992" s="565"/>
      <c r="G992" s="565"/>
      <c r="H992" s="565"/>
      <c r="I992" s="565"/>
      <c r="J992" s="565"/>
      <c r="K992" s="565"/>
      <c r="L992" s="565"/>
      <c r="M992" s="565"/>
      <c r="N992" s="565"/>
      <c r="O992" s="565"/>
      <c r="P992" s="565"/>
      <c r="Q992" s="565"/>
      <c r="R992" s="565"/>
      <c r="S992" s="565"/>
      <c r="T992" s="565"/>
      <c r="U992" s="565"/>
      <c r="V992" s="565"/>
      <c r="W992" s="565"/>
      <c r="X992" s="565"/>
      <c r="Y992" s="565"/>
      <c r="Z992" s="565"/>
      <c r="AA992" s="565"/>
      <c r="AB992" s="565"/>
      <c r="AC992" s="565"/>
      <c r="AD992" s="565"/>
      <c r="AE992" s="565"/>
      <c r="AF992" s="565"/>
      <c r="AG992" s="565"/>
      <c r="AH992" s="565"/>
      <c r="AI992" s="565"/>
      <c r="AJ992" s="565"/>
      <c r="AK992" s="565"/>
      <c r="AL992" s="565"/>
      <c r="AM992" s="565"/>
      <c r="AN992" s="565"/>
      <c r="AO992" s="565"/>
      <c r="AP992" s="565"/>
      <c r="AQ992" s="565"/>
      <c r="AR992" s="565"/>
      <c r="AS992" s="565"/>
      <c r="AT992" s="565"/>
      <c r="AU992" s="181"/>
      <c r="AV992" s="558"/>
    </row>
    <row r="993" ht="11.25" customHeight="1">
      <c r="A993" s="565"/>
      <c r="B993" s="181"/>
      <c r="C993" s="565"/>
      <c r="D993" s="565"/>
      <c r="E993" s="565"/>
      <c r="F993" s="565"/>
      <c r="G993" s="565"/>
      <c r="H993" s="565"/>
      <c r="I993" s="565"/>
      <c r="J993" s="565"/>
      <c r="K993" s="565"/>
      <c r="L993" s="565"/>
      <c r="M993" s="565"/>
      <c r="N993" s="565"/>
      <c r="O993" s="565"/>
      <c r="P993" s="565"/>
      <c r="Q993" s="565"/>
      <c r="R993" s="565"/>
      <c r="S993" s="565"/>
      <c r="T993" s="565"/>
      <c r="U993" s="565"/>
      <c r="V993" s="565"/>
      <c r="W993" s="565"/>
      <c r="X993" s="565"/>
      <c r="Y993" s="565"/>
      <c r="Z993" s="565"/>
      <c r="AA993" s="565"/>
      <c r="AB993" s="565"/>
      <c r="AC993" s="565"/>
      <c r="AD993" s="565"/>
      <c r="AE993" s="565"/>
      <c r="AF993" s="565"/>
      <c r="AG993" s="565"/>
      <c r="AH993" s="565"/>
      <c r="AI993" s="565"/>
      <c r="AJ993" s="565"/>
      <c r="AK993" s="565"/>
      <c r="AL993" s="565"/>
      <c r="AM993" s="565"/>
      <c r="AN993" s="565"/>
      <c r="AO993" s="565"/>
      <c r="AP993" s="565"/>
      <c r="AQ993" s="565"/>
      <c r="AR993" s="565"/>
      <c r="AS993" s="565"/>
      <c r="AT993" s="565"/>
      <c r="AU993" s="181"/>
      <c r="AV993" s="558"/>
    </row>
    <row r="994" ht="11.25" customHeight="1">
      <c r="A994" s="565"/>
      <c r="B994" s="181"/>
      <c r="C994" s="565"/>
      <c r="D994" s="565"/>
      <c r="E994" s="565"/>
      <c r="F994" s="565"/>
      <c r="G994" s="565"/>
      <c r="H994" s="565"/>
      <c r="I994" s="565"/>
      <c r="J994" s="565"/>
      <c r="K994" s="565"/>
      <c r="L994" s="565"/>
      <c r="M994" s="565"/>
      <c r="N994" s="565"/>
      <c r="O994" s="565"/>
      <c r="P994" s="565"/>
      <c r="Q994" s="565"/>
      <c r="R994" s="565"/>
      <c r="S994" s="565"/>
      <c r="T994" s="565"/>
      <c r="U994" s="565"/>
      <c r="V994" s="565"/>
      <c r="W994" s="565"/>
      <c r="X994" s="565"/>
      <c r="Y994" s="565"/>
      <c r="Z994" s="565"/>
      <c r="AA994" s="565"/>
      <c r="AB994" s="565"/>
      <c r="AC994" s="565"/>
      <c r="AD994" s="565"/>
      <c r="AE994" s="565"/>
      <c r="AF994" s="565"/>
      <c r="AG994" s="565"/>
      <c r="AH994" s="565"/>
      <c r="AI994" s="565"/>
      <c r="AJ994" s="565"/>
      <c r="AK994" s="565"/>
      <c r="AL994" s="565"/>
      <c r="AM994" s="565"/>
      <c r="AN994" s="565"/>
      <c r="AO994" s="565"/>
      <c r="AP994" s="565"/>
      <c r="AQ994" s="565"/>
      <c r="AR994" s="565"/>
      <c r="AS994" s="565"/>
      <c r="AT994" s="565"/>
      <c r="AU994" s="181"/>
      <c r="AV994" s="558"/>
    </row>
    <row r="995" ht="11.25" customHeight="1">
      <c r="A995" s="565"/>
      <c r="B995" s="181"/>
      <c r="C995" s="565"/>
      <c r="D995" s="565"/>
      <c r="E995" s="565"/>
      <c r="F995" s="565"/>
      <c r="G995" s="565"/>
      <c r="H995" s="565"/>
      <c r="I995" s="565"/>
      <c r="J995" s="565"/>
      <c r="K995" s="565"/>
      <c r="L995" s="565"/>
      <c r="M995" s="565"/>
      <c r="N995" s="565"/>
      <c r="O995" s="565"/>
      <c r="P995" s="565"/>
      <c r="Q995" s="565"/>
      <c r="R995" s="565"/>
      <c r="S995" s="565"/>
      <c r="T995" s="565"/>
      <c r="U995" s="565"/>
      <c r="V995" s="565"/>
      <c r="W995" s="565"/>
      <c r="X995" s="565"/>
      <c r="Y995" s="565"/>
      <c r="Z995" s="565"/>
      <c r="AA995" s="565"/>
      <c r="AB995" s="565"/>
      <c r="AC995" s="565"/>
      <c r="AD995" s="565"/>
      <c r="AE995" s="565"/>
      <c r="AF995" s="565"/>
      <c r="AG995" s="565"/>
      <c r="AH995" s="565"/>
      <c r="AI995" s="565"/>
      <c r="AJ995" s="565"/>
      <c r="AK995" s="565"/>
      <c r="AL995" s="565"/>
      <c r="AM995" s="565"/>
      <c r="AN995" s="565"/>
      <c r="AO995" s="565"/>
      <c r="AP995" s="565"/>
      <c r="AQ995" s="565"/>
      <c r="AR995" s="565"/>
      <c r="AS995" s="565"/>
      <c r="AT995" s="565"/>
      <c r="AU995" s="181"/>
      <c r="AV995" s="558"/>
    </row>
    <row r="996" ht="11.25" customHeight="1">
      <c r="A996" s="565"/>
      <c r="B996" s="181"/>
      <c r="C996" s="565"/>
      <c r="D996" s="565"/>
      <c r="E996" s="565"/>
      <c r="F996" s="565"/>
      <c r="G996" s="565"/>
      <c r="H996" s="565"/>
      <c r="I996" s="565"/>
      <c r="J996" s="565"/>
      <c r="K996" s="565"/>
      <c r="L996" s="565"/>
      <c r="M996" s="565"/>
      <c r="N996" s="565"/>
      <c r="O996" s="565"/>
      <c r="P996" s="565"/>
      <c r="Q996" s="565"/>
      <c r="R996" s="565"/>
      <c r="S996" s="565"/>
      <c r="T996" s="565"/>
      <c r="U996" s="565"/>
      <c r="V996" s="565"/>
      <c r="W996" s="565"/>
      <c r="X996" s="565"/>
      <c r="Y996" s="565"/>
      <c r="Z996" s="565"/>
      <c r="AA996" s="565"/>
      <c r="AB996" s="565"/>
      <c r="AC996" s="565"/>
      <c r="AD996" s="565"/>
      <c r="AE996" s="565"/>
      <c r="AF996" s="565"/>
      <c r="AG996" s="565"/>
      <c r="AH996" s="565"/>
      <c r="AI996" s="565"/>
      <c r="AJ996" s="565"/>
      <c r="AK996" s="565"/>
      <c r="AL996" s="565"/>
      <c r="AM996" s="565"/>
      <c r="AN996" s="565"/>
      <c r="AO996" s="565"/>
      <c r="AP996" s="565"/>
      <c r="AQ996" s="565"/>
      <c r="AR996" s="565"/>
      <c r="AS996" s="565"/>
      <c r="AT996" s="565"/>
      <c r="AU996" s="181"/>
      <c r="AV996" s="558"/>
    </row>
    <row r="997" ht="11.25" customHeight="1">
      <c r="A997" s="565"/>
      <c r="B997" s="181"/>
      <c r="C997" s="565"/>
      <c r="D997" s="565"/>
      <c r="E997" s="565"/>
      <c r="F997" s="565"/>
      <c r="G997" s="565"/>
      <c r="H997" s="565"/>
      <c r="I997" s="565"/>
      <c r="J997" s="565"/>
      <c r="K997" s="565"/>
      <c r="L997" s="565"/>
      <c r="M997" s="565"/>
      <c r="N997" s="565"/>
      <c r="O997" s="565"/>
      <c r="P997" s="565"/>
      <c r="Q997" s="565"/>
      <c r="R997" s="565"/>
      <c r="S997" s="565"/>
      <c r="T997" s="565"/>
      <c r="U997" s="565"/>
      <c r="V997" s="565"/>
      <c r="W997" s="565"/>
      <c r="X997" s="565"/>
      <c r="Y997" s="565"/>
      <c r="Z997" s="565"/>
      <c r="AA997" s="565"/>
      <c r="AB997" s="565"/>
      <c r="AC997" s="565"/>
      <c r="AD997" s="565"/>
      <c r="AE997" s="565"/>
      <c r="AF997" s="565"/>
      <c r="AG997" s="565"/>
      <c r="AH997" s="565"/>
      <c r="AI997" s="565"/>
      <c r="AJ997" s="565"/>
      <c r="AK997" s="565"/>
      <c r="AL997" s="565"/>
      <c r="AM997" s="565"/>
      <c r="AN997" s="565"/>
      <c r="AO997" s="565"/>
      <c r="AP997" s="565"/>
      <c r="AQ997" s="565"/>
      <c r="AR997" s="565"/>
      <c r="AS997" s="565"/>
      <c r="AT997" s="565"/>
      <c r="AU997" s="181"/>
      <c r="AV997" s="558"/>
    </row>
    <row r="998" ht="11.25" customHeight="1">
      <c r="A998" s="565"/>
      <c r="B998" s="181"/>
      <c r="C998" s="565"/>
      <c r="D998" s="565"/>
      <c r="E998" s="565"/>
      <c r="F998" s="565"/>
      <c r="G998" s="565"/>
      <c r="H998" s="565"/>
      <c r="I998" s="565"/>
      <c r="J998" s="565"/>
      <c r="K998" s="565"/>
      <c r="L998" s="565"/>
      <c r="M998" s="565"/>
      <c r="N998" s="565"/>
      <c r="O998" s="565"/>
      <c r="P998" s="565"/>
      <c r="Q998" s="565"/>
      <c r="R998" s="565"/>
      <c r="S998" s="565"/>
      <c r="T998" s="565"/>
      <c r="U998" s="565"/>
      <c r="V998" s="565"/>
      <c r="W998" s="565"/>
      <c r="X998" s="565"/>
      <c r="Y998" s="565"/>
      <c r="Z998" s="565"/>
      <c r="AA998" s="565"/>
      <c r="AB998" s="565"/>
      <c r="AC998" s="565"/>
      <c r="AD998" s="565"/>
      <c r="AE998" s="565"/>
      <c r="AF998" s="565"/>
      <c r="AG998" s="565"/>
      <c r="AH998" s="565"/>
      <c r="AI998" s="565"/>
      <c r="AJ998" s="565"/>
      <c r="AK998" s="565"/>
      <c r="AL998" s="565"/>
      <c r="AM998" s="565"/>
      <c r="AN998" s="565"/>
      <c r="AO998" s="565"/>
      <c r="AP998" s="565"/>
      <c r="AQ998" s="565"/>
      <c r="AR998" s="565"/>
      <c r="AS998" s="565"/>
      <c r="AT998" s="565"/>
      <c r="AU998" s="181"/>
      <c r="AV998" s="558"/>
    </row>
    <row r="999" ht="11.25" customHeight="1">
      <c r="A999" s="565"/>
      <c r="B999" s="181"/>
      <c r="C999" s="565"/>
      <c r="D999" s="565"/>
      <c r="E999" s="565"/>
      <c r="F999" s="565"/>
      <c r="G999" s="565"/>
      <c r="H999" s="565"/>
      <c r="I999" s="565"/>
      <c r="J999" s="565"/>
      <c r="K999" s="565"/>
      <c r="L999" s="565"/>
      <c r="M999" s="565"/>
      <c r="N999" s="565"/>
      <c r="O999" s="565"/>
      <c r="P999" s="565"/>
      <c r="Q999" s="565"/>
      <c r="R999" s="565"/>
      <c r="S999" s="565"/>
      <c r="T999" s="565"/>
      <c r="U999" s="565"/>
      <c r="V999" s="565"/>
      <c r="W999" s="565"/>
      <c r="X999" s="565"/>
      <c r="Y999" s="565"/>
      <c r="Z999" s="565"/>
      <c r="AA999" s="565"/>
      <c r="AB999" s="565"/>
      <c r="AC999" s="565"/>
      <c r="AD999" s="565"/>
      <c r="AE999" s="565"/>
      <c r="AF999" s="565"/>
      <c r="AG999" s="565"/>
      <c r="AH999" s="565"/>
      <c r="AI999" s="565"/>
      <c r="AJ999" s="565"/>
      <c r="AK999" s="565"/>
      <c r="AL999" s="565"/>
      <c r="AM999" s="565"/>
      <c r="AN999" s="565"/>
      <c r="AO999" s="565"/>
      <c r="AP999" s="565"/>
      <c r="AQ999" s="565"/>
      <c r="AR999" s="565"/>
      <c r="AS999" s="565"/>
      <c r="AT999" s="565"/>
      <c r="AU999" s="181"/>
      <c r="AV999" s="558"/>
    </row>
    <row r="1000" ht="11.25" customHeight="1">
      <c r="A1000" s="565"/>
      <c r="B1000" s="181"/>
      <c r="C1000" s="565"/>
      <c r="D1000" s="565"/>
      <c r="E1000" s="565"/>
      <c r="F1000" s="565"/>
      <c r="G1000" s="565"/>
      <c r="H1000" s="565"/>
      <c r="I1000" s="565"/>
      <c r="J1000" s="565"/>
      <c r="K1000" s="565"/>
      <c r="L1000" s="565"/>
      <c r="M1000" s="565"/>
      <c r="N1000" s="565"/>
      <c r="O1000" s="565"/>
      <c r="P1000" s="565"/>
      <c r="Q1000" s="565"/>
      <c r="R1000" s="565"/>
      <c r="S1000" s="565"/>
      <c r="T1000" s="565"/>
      <c r="U1000" s="565"/>
      <c r="V1000" s="565"/>
      <c r="W1000" s="565"/>
      <c r="X1000" s="565"/>
      <c r="Y1000" s="565"/>
      <c r="Z1000" s="565"/>
      <c r="AA1000" s="565"/>
      <c r="AB1000" s="565"/>
      <c r="AC1000" s="565"/>
      <c r="AD1000" s="565"/>
      <c r="AE1000" s="565"/>
      <c r="AF1000" s="565"/>
      <c r="AG1000" s="565"/>
      <c r="AH1000" s="565"/>
      <c r="AI1000" s="565"/>
      <c r="AJ1000" s="565"/>
      <c r="AK1000" s="565"/>
      <c r="AL1000" s="565"/>
      <c r="AM1000" s="565"/>
      <c r="AN1000" s="565"/>
      <c r="AO1000" s="565"/>
      <c r="AP1000" s="565"/>
      <c r="AQ1000" s="565"/>
      <c r="AR1000" s="565"/>
      <c r="AS1000" s="565"/>
      <c r="AT1000" s="565"/>
      <c r="AU1000" s="181"/>
      <c r="AV1000" s="558"/>
    </row>
  </sheetData>
  <mergeCells count="30">
    <mergeCell ref="AH8:AJ8"/>
    <mergeCell ref="AL8:AL9"/>
    <mergeCell ref="AM8:AM9"/>
    <mergeCell ref="AN8:AN9"/>
    <mergeCell ref="AP8:AR8"/>
    <mergeCell ref="AS8:AS9"/>
    <mergeCell ref="AT8:AT9"/>
    <mergeCell ref="AU8:AU9"/>
    <mergeCell ref="E5:AP5"/>
    <mergeCell ref="B8:B9"/>
    <mergeCell ref="C8:C9"/>
    <mergeCell ref="D8:D9"/>
    <mergeCell ref="E8:E9"/>
    <mergeCell ref="F8:F9"/>
    <mergeCell ref="G8:H8"/>
    <mergeCell ref="AO8:AO9"/>
    <mergeCell ref="I8:K8"/>
    <mergeCell ref="L8:L9"/>
    <mergeCell ref="M8:M9"/>
    <mergeCell ref="N8:N9"/>
    <mergeCell ref="O8:O9"/>
    <mergeCell ref="P8:Q8"/>
    <mergeCell ref="R8:T8"/>
    <mergeCell ref="V8:V9"/>
    <mergeCell ref="W8:W9"/>
    <mergeCell ref="X8:Y8"/>
    <mergeCell ref="Z8:AB8"/>
    <mergeCell ref="AD8:AD9"/>
    <mergeCell ref="AE8:AE9"/>
    <mergeCell ref="AF8:AG8"/>
  </mergeCells>
  <printOptions/>
  <pageMargins bottom="0.75" footer="0.0" header="0.0" left="0.67" right="0.26" top="1.49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57"/>
    <col customWidth="1" min="2" max="2" width="13.71"/>
    <col customWidth="1" min="3" max="3" width="16.14"/>
    <col customWidth="1" min="4" max="4" width="41.86"/>
    <col customWidth="1" min="5" max="5" width="26.57"/>
    <col customWidth="1" min="6" max="6" width="13.0"/>
    <col customWidth="1" min="7" max="7" width="12.57"/>
    <col customWidth="1" min="8" max="8" width="13.0"/>
    <col customWidth="1" min="9" max="9" width="12.0"/>
    <col customWidth="1" min="10" max="26" width="11.43"/>
  </cols>
  <sheetData>
    <row r="1" ht="12.0" customHeight="1">
      <c r="A1" s="594" t="s">
        <v>539</v>
      </c>
      <c r="B1" s="178"/>
      <c r="C1" s="178"/>
      <c r="D1" s="178"/>
      <c r="E1" s="521"/>
      <c r="F1" s="595"/>
      <c r="G1" s="595" t="s">
        <v>540</v>
      </c>
      <c r="H1" s="59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</row>
    <row r="2" ht="12.0" customHeight="1">
      <c r="A2" s="596" t="s">
        <v>541</v>
      </c>
      <c r="B2" s="596" t="s">
        <v>542</v>
      </c>
      <c r="C2" s="596" t="s">
        <v>543</v>
      </c>
      <c r="D2" s="596" t="s">
        <v>544</v>
      </c>
      <c r="E2" s="596" t="s">
        <v>545</v>
      </c>
      <c r="F2" s="595" t="s">
        <v>546</v>
      </c>
      <c r="G2" s="595" t="s">
        <v>547</v>
      </c>
      <c r="H2" s="595" t="s">
        <v>548</v>
      </c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</row>
    <row r="3" ht="12.0" customHeight="1">
      <c r="A3" s="175"/>
      <c r="B3" s="175"/>
      <c r="C3" s="175"/>
      <c r="D3" s="175"/>
      <c r="E3" s="175"/>
      <c r="F3" s="597"/>
      <c r="G3" s="595" t="s">
        <v>549</v>
      </c>
      <c r="H3" s="595">
        <v>0.0</v>
      </c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</row>
    <row r="4" ht="12.0" customHeight="1">
      <c r="A4" s="175">
        <v>2444.0</v>
      </c>
      <c r="B4" s="598">
        <v>43131.0</v>
      </c>
      <c r="C4" s="175" t="s">
        <v>550</v>
      </c>
      <c r="D4" s="175" t="s">
        <v>551</v>
      </c>
      <c r="E4" s="175" t="s">
        <v>552</v>
      </c>
      <c r="F4" s="597">
        <v>4.639012664646E7</v>
      </c>
      <c r="G4" s="597"/>
      <c r="H4" s="597">
        <v>4.639012664646E7</v>
      </c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</row>
    <row r="5" ht="12.0" customHeight="1">
      <c r="A5" s="175">
        <v>2446.0</v>
      </c>
      <c r="B5" s="598">
        <v>43157.0</v>
      </c>
      <c r="C5" s="175" t="s">
        <v>550</v>
      </c>
      <c r="D5" s="175" t="s">
        <v>553</v>
      </c>
      <c r="E5" s="175" t="s">
        <v>552</v>
      </c>
      <c r="F5" s="597">
        <v>4.360198672394E7</v>
      </c>
      <c r="G5" s="597"/>
      <c r="H5" s="597">
        <v>8.99921133704E7</v>
      </c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</row>
    <row r="6" ht="12.0" customHeight="1">
      <c r="A6" s="175">
        <v>2580.0</v>
      </c>
      <c r="B6" s="598">
        <v>43185.0</v>
      </c>
      <c r="C6" s="175" t="s">
        <v>550</v>
      </c>
      <c r="D6" s="175" t="s">
        <v>554</v>
      </c>
      <c r="E6" s="175" t="s">
        <v>552</v>
      </c>
      <c r="F6" s="597">
        <v>593760.0</v>
      </c>
      <c r="G6" s="597"/>
      <c r="H6" s="597">
        <v>9.05858733704E7</v>
      </c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</row>
    <row r="7" ht="12.0" customHeight="1">
      <c r="A7" s="175">
        <v>2580.0</v>
      </c>
      <c r="B7" s="598">
        <v>43185.0</v>
      </c>
      <c r="C7" s="175" t="s">
        <v>550</v>
      </c>
      <c r="D7" s="175" t="s">
        <v>554</v>
      </c>
      <c r="E7" s="175" t="s">
        <v>552</v>
      </c>
      <c r="F7" s="597">
        <v>4.239470301237E7</v>
      </c>
      <c r="G7" s="597"/>
      <c r="H7" s="597">
        <v>1.3298057638277E8</v>
      </c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</row>
    <row r="8" ht="12.0" customHeight="1">
      <c r="A8" s="175">
        <v>2811.0</v>
      </c>
      <c r="B8" s="598">
        <v>43216.0</v>
      </c>
      <c r="C8" s="175" t="s">
        <v>550</v>
      </c>
      <c r="D8" s="175" t="s">
        <v>555</v>
      </c>
      <c r="E8" s="175" t="s">
        <v>552</v>
      </c>
      <c r="F8" s="597">
        <v>4.938928377213E7</v>
      </c>
      <c r="G8" s="597"/>
      <c r="H8" s="597">
        <v>1.823698601549E8</v>
      </c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</row>
    <row r="9" ht="12.0" customHeight="1">
      <c r="A9" s="175">
        <v>2900.0</v>
      </c>
      <c r="B9" s="598">
        <v>43248.0</v>
      </c>
      <c r="C9" s="175" t="s">
        <v>550</v>
      </c>
      <c r="D9" s="175" t="s">
        <v>556</v>
      </c>
      <c r="E9" s="175" t="s">
        <v>552</v>
      </c>
      <c r="F9" s="597">
        <v>4.508944353202E7</v>
      </c>
      <c r="G9" s="597"/>
      <c r="H9" s="597">
        <v>2.2745930368692E8</v>
      </c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</row>
    <row r="10" ht="12.0" customHeight="1">
      <c r="A10" s="175">
        <v>3344.0</v>
      </c>
      <c r="B10" s="598">
        <v>43276.0</v>
      </c>
      <c r="C10" s="175" t="s">
        <v>550</v>
      </c>
      <c r="D10" s="175" t="s">
        <v>557</v>
      </c>
      <c r="E10" s="175" t="s">
        <v>552</v>
      </c>
      <c r="F10" s="597">
        <v>4.688677445218E7</v>
      </c>
      <c r="G10" s="597"/>
      <c r="H10" s="597">
        <v>2.743460781391E8</v>
      </c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</row>
    <row r="11" ht="12.0" customHeight="1">
      <c r="A11" s="175">
        <v>3830.0</v>
      </c>
      <c r="B11" s="598">
        <v>43283.0</v>
      </c>
      <c r="C11" s="175" t="s">
        <v>558</v>
      </c>
      <c r="D11" s="175" t="s">
        <v>559</v>
      </c>
      <c r="E11" s="175" t="s">
        <v>552</v>
      </c>
      <c r="F11" s="597"/>
      <c r="G11" s="597">
        <v>2000000.0</v>
      </c>
      <c r="H11" s="597">
        <v>2.723460781391E8</v>
      </c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</row>
    <row r="12" ht="12.0" customHeight="1">
      <c r="A12" s="175">
        <v>3451.0</v>
      </c>
      <c r="B12" s="598">
        <v>43306.0</v>
      </c>
      <c r="C12" s="175" t="s">
        <v>550</v>
      </c>
      <c r="D12" s="175" t="s">
        <v>560</v>
      </c>
      <c r="E12" s="175" t="s">
        <v>552</v>
      </c>
      <c r="F12" s="597">
        <v>4.59505565793E7</v>
      </c>
      <c r="G12" s="597"/>
      <c r="H12" s="597">
        <v>3.182966347184E8</v>
      </c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</row>
    <row r="13" ht="12.0" customHeight="1">
      <c r="A13" s="175">
        <v>3778.0</v>
      </c>
      <c r="B13" s="598">
        <v>43336.0</v>
      </c>
      <c r="C13" s="175" t="s">
        <v>550</v>
      </c>
      <c r="D13" s="175" t="s">
        <v>561</v>
      </c>
      <c r="E13" s="175" t="s">
        <v>552</v>
      </c>
      <c r="F13" s="597">
        <v>2.6418861318495E8</v>
      </c>
      <c r="G13" s="597"/>
      <c r="H13" s="597">
        <v>5.8248524790335E8</v>
      </c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ht="12.0" customHeight="1">
      <c r="A14" s="175">
        <v>4050.0</v>
      </c>
      <c r="B14" s="598">
        <v>43368.0</v>
      </c>
      <c r="C14" s="175" t="s">
        <v>550</v>
      </c>
      <c r="D14" s="175" t="s">
        <v>562</v>
      </c>
      <c r="E14" s="175" t="s">
        <v>552</v>
      </c>
      <c r="F14" s="597">
        <v>4.901720153E7</v>
      </c>
      <c r="G14" s="597"/>
      <c r="H14" s="597">
        <v>6.3150244943335E8</v>
      </c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</row>
    <row r="15" ht="12.0" customHeight="1">
      <c r="A15" s="175">
        <v>4325.0</v>
      </c>
      <c r="B15" s="598">
        <v>43399.0</v>
      </c>
      <c r="C15" s="175" t="s">
        <v>550</v>
      </c>
      <c r="D15" s="175" t="s">
        <v>563</v>
      </c>
      <c r="E15" s="175" t="s">
        <v>552</v>
      </c>
      <c r="F15" s="597">
        <v>8.701081859087E7</v>
      </c>
      <c r="G15" s="597"/>
      <c r="H15" s="597">
        <v>7.1851326802422E8</v>
      </c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</row>
    <row r="16" ht="12.0" customHeight="1">
      <c r="A16" s="175">
        <v>4511.0</v>
      </c>
      <c r="B16" s="598">
        <v>43427.0</v>
      </c>
      <c r="C16" s="175" t="s">
        <v>550</v>
      </c>
      <c r="D16" s="175" t="s">
        <v>564</v>
      </c>
      <c r="E16" s="175" t="s">
        <v>552</v>
      </c>
      <c r="F16" s="597">
        <v>4.838158084727E7</v>
      </c>
      <c r="G16" s="597"/>
      <c r="H16" s="597">
        <v>7.6689484887149E8</v>
      </c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</row>
    <row r="17" ht="12.0" customHeight="1">
      <c r="A17" s="175">
        <v>4833.0</v>
      </c>
      <c r="B17" s="598">
        <v>43460.0</v>
      </c>
      <c r="C17" s="175" t="s">
        <v>550</v>
      </c>
      <c r="D17" s="175" t="s">
        <v>565</v>
      </c>
      <c r="E17" s="175" t="s">
        <v>552</v>
      </c>
      <c r="F17" s="597">
        <v>6.156678221571E7</v>
      </c>
      <c r="G17" s="597"/>
      <c r="H17" s="597">
        <v>8.284616310872E8</v>
      </c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ht="12.0" customHeight="1">
      <c r="A18" s="175"/>
      <c r="B18" s="175"/>
      <c r="C18" s="175"/>
      <c r="D18" s="175"/>
      <c r="E18" s="175"/>
      <c r="F18" s="595">
        <v>8.304616310872E8</v>
      </c>
      <c r="G18" s="595">
        <v>2000000.0</v>
      </c>
      <c r="H18" s="599">
        <v>8.284616310872E8</v>
      </c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</row>
    <row r="19" ht="12.0" customHeight="1">
      <c r="A19" s="175"/>
      <c r="B19" s="175"/>
      <c r="C19" s="175"/>
      <c r="D19" s="175"/>
      <c r="E19" s="175"/>
      <c r="F19" s="597"/>
      <c r="G19" s="597"/>
      <c r="H19" s="597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</row>
    <row r="20" ht="12.0" customHeight="1">
      <c r="A20" s="175"/>
      <c r="B20" s="175"/>
      <c r="C20" s="175"/>
      <c r="D20" s="175"/>
      <c r="E20" s="175"/>
      <c r="F20" s="597"/>
      <c r="G20" s="597"/>
      <c r="H20" s="597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</row>
    <row r="21" ht="12.0" customHeight="1">
      <c r="A21" s="175"/>
      <c r="B21" s="175"/>
      <c r="C21" s="175"/>
      <c r="D21" s="175"/>
      <c r="E21" s="175"/>
      <c r="F21" s="597"/>
      <c r="G21" s="597"/>
      <c r="H21" s="597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ht="12.0" customHeight="1">
      <c r="A22" s="175"/>
      <c r="B22" s="175"/>
      <c r="C22" s="175"/>
      <c r="D22" s="175"/>
      <c r="E22" s="175"/>
      <c r="F22" s="597"/>
      <c r="G22" s="597"/>
      <c r="H22" s="597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ht="12.0" customHeight="1">
      <c r="A23" s="594" t="s">
        <v>566</v>
      </c>
      <c r="B23" s="178"/>
      <c r="C23" s="178"/>
      <c r="D23" s="178"/>
      <c r="E23" s="521"/>
      <c r="F23" s="595"/>
      <c r="G23" s="595" t="s">
        <v>540</v>
      </c>
      <c r="H23" s="59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</row>
    <row r="24" ht="12.0" customHeight="1">
      <c r="A24" s="596" t="s">
        <v>541</v>
      </c>
      <c r="B24" s="596" t="s">
        <v>542</v>
      </c>
      <c r="C24" s="596" t="s">
        <v>543</v>
      </c>
      <c r="D24" s="596" t="s">
        <v>544</v>
      </c>
      <c r="E24" s="596" t="s">
        <v>545</v>
      </c>
      <c r="F24" s="595" t="s">
        <v>546</v>
      </c>
      <c r="G24" s="595" t="s">
        <v>547</v>
      </c>
      <c r="H24" s="595" t="s">
        <v>548</v>
      </c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</row>
    <row r="25" ht="12.0" customHeight="1">
      <c r="A25" s="175"/>
      <c r="B25" s="175"/>
      <c r="C25" s="175"/>
      <c r="D25" s="175"/>
      <c r="E25" s="175"/>
      <c r="F25" s="597"/>
      <c r="G25" s="595" t="s">
        <v>549</v>
      </c>
      <c r="H25" s="595">
        <v>0.0</v>
      </c>
      <c r="I25" s="597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</row>
    <row r="26" ht="12.0" customHeight="1">
      <c r="A26" s="175">
        <v>2444.0</v>
      </c>
      <c r="B26" s="598">
        <v>43131.0</v>
      </c>
      <c r="C26" s="175" t="s">
        <v>550</v>
      </c>
      <c r="D26" s="175" t="s">
        <v>551</v>
      </c>
      <c r="E26" s="175" t="s">
        <v>552</v>
      </c>
      <c r="F26" s="597">
        <v>5512290.90358</v>
      </c>
      <c r="G26" s="597"/>
      <c r="H26" s="597">
        <v>5512290.90358</v>
      </c>
      <c r="I26" s="597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</row>
    <row r="27" ht="12.0" customHeight="1">
      <c r="A27" s="175">
        <v>2446.0</v>
      </c>
      <c r="B27" s="598">
        <v>43157.0</v>
      </c>
      <c r="C27" s="175" t="s">
        <v>550</v>
      </c>
      <c r="D27" s="175" t="s">
        <v>553</v>
      </c>
      <c r="E27" s="175" t="s">
        <v>552</v>
      </c>
      <c r="F27" s="597">
        <v>5214839.11287</v>
      </c>
      <c r="G27" s="597"/>
      <c r="H27" s="597">
        <v>1.072713001645E7</v>
      </c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</row>
    <row r="28" ht="12.0" customHeight="1">
      <c r="A28" s="175">
        <v>2580.0</v>
      </c>
      <c r="B28" s="598">
        <v>43185.0</v>
      </c>
      <c r="C28" s="175" t="s">
        <v>550</v>
      </c>
      <c r="D28" s="175" t="s">
        <v>554</v>
      </c>
      <c r="E28" s="175" t="s">
        <v>552</v>
      </c>
      <c r="F28" s="597">
        <v>5069965.06748</v>
      </c>
      <c r="G28" s="597"/>
      <c r="H28" s="597">
        <v>1.579709508393E7</v>
      </c>
      <c r="I28" s="597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</row>
    <row r="29" ht="12.0" customHeight="1">
      <c r="A29" s="175">
        <v>2811.0</v>
      </c>
      <c r="B29" s="598">
        <v>43216.0</v>
      </c>
      <c r="C29" s="175" t="s">
        <v>550</v>
      </c>
      <c r="D29" s="175" t="s">
        <v>555</v>
      </c>
      <c r="E29" s="175" t="s">
        <v>552</v>
      </c>
      <c r="F29" s="597">
        <v>5909314.75866</v>
      </c>
      <c r="G29" s="597"/>
      <c r="H29" s="597">
        <v>2.170640984259E7</v>
      </c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</row>
    <row r="30" ht="12.0" customHeight="1">
      <c r="A30" s="175">
        <v>2900.0</v>
      </c>
      <c r="B30" s="598">
        <v>43248.0</v>
      </c>
      <c r="C30" s="175" t="s">
        <v>550</v>
      </c>
      <c r="D30" s="175" t="s">
        <v>556</v>
      </c>
      <c r="E30" s="175" t="s">
        <v>552</v>
      </c>
      <c r="F30" s="597">
        <v>5393333.92984</v>
      </c>
      <c r="G30" s="597"/>
      <c r="H30" s="597">
        <v>2.709974377243E7</v>
      </c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</row>
    <row r="31" ht="12.0" customHeight="1">
      <c r="A31" s="175">
        <v>3344.0</v>
      </c>
      <c r="B31" s="598">
        <v>43276.0</v>
      </c>
      <c r="C31" s="175" t="s">
        <v>550</v>
      </c>
      <c r="D31" s="175" t="s">
        <v>557</v>
      </c>
      <c r="E31" s="175" t="s">
        <v>552</v>
      </c>
      <c r="F31" s="597">
        <v>5609013.64026</v>
      </c>
      <c r="G31" s="597"/>
      <c r="H31" s="597">
        <v>3.270875741269E7</v>
      </c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</row>
    <row r="32" ht="12.0" customHeight="1">
      <c r="A32" s="175">
        <v>3830.0</v>
      </c>
      <c r="B32" s="598">
        <v>43283.0</v>
      </c>
      <c r="C32" s="175" t="s">
        <v>567</v>
      </c>
      <c r="D32" s="175" t="s">
        <v>559</v>
      </c>
      <c r="E32" s="175" t="s">
        <v>552</v>
      </c>
      <c r="F32" s="597"/>
      <c r="G32" s="597">
        <v>240000.0</v>
      </c>
      <c r="H32" s="597">
        <v>3.246875741269E7</v>
      </c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</row>
    <row r="33" ht="12.0" customHeight="1">
      <c r="A33" s="175">
        <v>3451.0</v>
      </c>
      <c r="B33" s="598">
        <v>43306.0</v>
      </c>
      <c r="C33" s="175" t="s">
        <v>550</v>
      </c>
      <c r="D33" s="175" t="s">
        <v>560</v>
      </c>
      <c r="E33" s="175" t="s">
        <v>552</v>
      </c>
      <c r="F33" s="597">
        <v>5496667.49552</v>
      </c>
      <c r="G33" s="597"/>
      <c r="H33" s="597">
        <v>3.796542490821E7</v>
      </c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</row>
    <row r="34" ht="12.0" customHeight="1">
      <c r="A34" s="175">
        <v>3778.0</v>
      </c>
      <c r="B34" s="598">
        <v>43336.0</v>
      </c>
      <c r="C34" s="175" t="s">
        <v>550</v>
      </c>
      <c r="D34" s="175" t="s">
        <v>561</v>
      </c>
      <c r="E34" s="175" t="s">
        <v>552</v>
      </c>
      <c r="F34" s="597">
        <v>3.168523428819E7</v>
      </c>
      <c r="G34" s="597"/>
      <c r="H34" s="597">
        <v>6.96506591964E7</v>
      </c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</row>
    <row r="35" ht="12.0" customHeight="1">
      <c r="A35" s="175">
        <v>4050.0</v>
      </c>
      <c r="B35" s="598">
        <v>43368.0</v>
      </c>
      <c r="C35" s="175" t="s">
        <v>550</v>
      </c>
      <c r="D35" s="175" t="s">
        <v>562</v>
      </c>
      <c r="E35" s="175" t="s">
        <v>552</v>
      </c>
      <c r="F35" s="597">
        <v>5864664.8896</v>
      </c>
      <c r="G35" s="597"/>
      <c r="H35" s="597">
        <v>7.5515324086E7</v>
      </c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</row>
    <row r="36" ht="12.0" customHeight="1">
      <c r="A36" s="175">
        <v>4325.0</v>
      </c>
      <c r="B36" s="598">
        <v>43399.0</v>
      </c>
      <c r="C36" s="175" t="s">
        <v>550</v>
      </c>
      <c r="D36" s="175" t="s">
        <v>563</v>
      </c>
      <c r="E36" s="175" t="s">
        <v>552</v>
      </c>
      <c r="F36" s="597">
        <v>1.03824147249E7</v>
      </c>
      <c r="G36" s="597"/>
      <c r="H36" s="597">
        <v>8.58977388109E7</v>
      </c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</row>
    <row r="37" ht="12.0" customHeight="1">
      <c r="A37" s="175">
        <v>4511.0</v>
      </c>
      <c r="B37" s="598">
        <v>43427.0</v>
      </c>
      <c r="C37" s="175" t="s">
        <v>550</v>
      </c>
      <c r="D37" s="175" t="s">
        <v>564</v>
      </c>
      <c r="E37" s="175" t="s">
        <v>552</v>
      </c>
      <c r="F37" s="597">
        <v>5788390.40767</v>
      </c>
      <c r="G37" s="597"/>
      <c r="H37" s="597">
        <v>9.168612921857E7</v>
      </c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</row>
    <row r="38" ht="12.0" customHeight="1">
      <c r="A38" s="175">
        <v>4833.0</v>
      </c>
      <c r="B38" s="598">
        <v>43460.0</v>
      </c>
      <c r="C38" s="175" t="s">
        <v>550</v>
      </c>
      <c r="D38" s="175" t="s">
        <v>565</v>
      </c>
      <c r="E38" s="175" t="s">
        <v>552</v>
      </c>
      <c r="F38" s="597">
        <v>7334060.72629</v>
      </c>
      <c r="G38" s="597"/>
      <c r="H38" s="597">
        <v>9.902018994486E7</v>
      </c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</row>
    <row r="39" ht="12.0" customHeight="1">
      <c r="A39" s="175"/>
      <c r="B39" s="175"/>
      <c r="C39" s="175"/>
      <c r="D39" s="175"/>
      <c r="E39" s="175"/>
      <c r="F39" s="595">
        <v>9.926018994486E7</v>
      </c>
      <c r="G39" s="595">
        <v>240000.0</v>
      </c>
      <c r="H39" s="595">
        <v>9.902018994486E7</v>
      </c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</row>
    <row r="40" ht="12.0" customHeight="1">
      <c r="A40" s="175"/>
      <c r="B40" s="175"/>
      <c r="C40" s="175"/>
      <c r="D40" s="175"/>
      <c r="E40" s="175"/>
      <c r="F40" s="597"/>
      <c r="G40" s="597"/>
      <c r="H40" s="597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</row>
    <row r="41" ht="12.0" customHeight="1">
      <c r="A41" s="175"/>
      <c r="B41" s="175"/>
      <c r="C41" s="175"/>
      <c r="D41" s="175"/>
      <c r="E41" s="175"/>
      <c r="F41" s="597"/>
      <c r="G41" s="597"/>
      <c r="H41" s="597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</row>
    <row r="42" ht="12.0" customHeight="1">
      <c r="A42" s="175"/>
      <c r="B42" s="175"/>
      <c r="C42" s="175"/>
      <c r="D42" s="175"/>
      <c r="E42" s="175"/>
      <c r="F42" s="597"/>
      <c r="G42" s="597"/>
      <c r="H42" s="597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</row>
    <row r="43" ht="12.0" customHeight="1">
      <c r="A43" s="594" t="s">
        <v>568</v>
      </c>
      <c r="B43" s="178"/>
      <c r="C43" s="178"/>
      <c r="D43" s="178"/>
      <c r="E43" s="521"/>
      <c r="F43" s="595"/>
      <c r="G43" s="595" t="s">
        <v>540</v>
      </c>
      <c r="H43" s="59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</row>
    <row r="44" ht="12.0" customHeight="1">
      <c r="A44" s="596" t="s">
        <v>541</v>
      </c>
      <c r="B44" s="596" t="s">
        <v>542</v>
      </c>
      <c r="C44" s="596" t="s">
        <v>543</v>
      </c>
      <c r="D44" s="596" t="s">
        <v>544</v>
      </c>
      <c r="E44" s="596" t="s">
        <v>545</v>
      </c>
      <c r="F44" s="595" t="s">
        <v>546</v>
      </c>
      <c r="G44" s="595" t="s">
        <v>547</v>
      </c>
      <c r="H44" s="595" t="s">
        <v>548</v>
      </c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</row>
    <row r="45" ht="12.0" customHeight="1">
      <c r="A45" s="175"/>
      <c r="B45" s="175"/>
      <c r="C45" s="175"/>
      <c r="D45" s="175"/>
      <c r="E45" s="175"/>
      <c r="F45" s="597"/>
      <c r="G45" s="595" t="s">
        <v>549</v>
      </c>
      <c r="H45" s="595">
        <v>-0.00181</v>
      </c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</row>
    <row r="46" ht="12.0" customHeight="1">
      <c r="A46" s="175">
        <v>2444.0</v>
      </c>
      <c r="B46" s="598">
        <v>43131.0</v>
      </c>
      <c r="C46" s="175" t="s">
        <v>567</v>
      </c>
      <c r="D46" s="175" t="s">
        <v>551</v>
      </c>
      <c r="E46" s="175" t="s">
        <v>552</v>
      </c>
      <c r="F46" s="597"/>
      <c r="G46" s="597">
        <v>7796565.51069</v>
      </c>
      <c r="H46" s="597">
        <v>7796565.50888</v>
      </c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</row>
    <row r="47" ht="12.0" customHeight="1">
      <c r="A47" s="175">
        <v>2359.0</v>
      </c>
      <c r="B47" s="598">
        <v>43132.0</v>
      </c>
      <c r="C47" s="175" t="s">
        <v>567</v>
      </c>
      <c r="D47" s="175" t="s">
        <v>569</v>
      </c>
      <c r="E47" s="175" t="s">
        <v>570</v>
      </c>
      <c r="F47" s="597">
        <v>7880803.62</v>
      </c>
      <c r="G47" s="597"/>
      <c r="H47" s="597">
        <v>-84238.11112</v>
      </c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</row>
    <row r="48" ht="12.0" customHeight="1">
      <c r="A48" s="175">
        <v>2446.0</v>
      </c>
      <c r="B48" s="598">
        <v>43157.0</v>
      </c>
      <c r="C48" s="175" t="s">
        <v>567</v>
      </c>
      <c r="D48" s="175" t="s">
        <v>553</v>
      </c>
      <c r="E48" s="175" t="s">
        <v>552</v>
      </c>
      <c r="F48" s="597"/>
      <c r="G48" s="597">
        <v>7302739.65998</v>
      </c>
      <c r="H48" s="597">
        <v>7218501.54886</v>
      </c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</row>
    <row r="49" ht="12.0" customHeight="1">
      <c r="A49" s="175">
        <v>2573.0</v>
      </c>
      <c r="B49" s="598">
        <v>43174.0</v>
      </c>
      <c r="C49" s="175" t="s">
        <v>567</v>
      </c>
      <c r="D49" s="175" t="s">
        <v>571</v>
      </c>
      <c r="E49" s="175" t="s">
        <v>570</v>
      </c>
      <c r="F49" s="597">
        <v>7218501.34</v>
      </c>
      <c r="G49" s="597"/>
      <c r="H49" s="597">
        <v>0.20886</v>
      </c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</row>
    <row r="50" ht="12.0" customHeight="1">
      <c r="A50" s="175">
        <v>2580.0</v>
      </c>
      <c r="B50" s="598">
        <v>43185.0</v>
      </c>
      <c r="C50" s="175" t="s">
        <v>567</v>
      </c>
      <c r="D50" s="175" t="s">
        <v>554</v>
      </c>
      <c r="E50" s="175" t="s">
        <v>552</v>
      </c>
      <c r="F50" s="597"/>
      <c r="G50" s="597">
        <v>7045072.4071</v>
      </c>
      <c r="H50" s="597">
        <v>7045072.61596</v>
      </c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</row>
    <row r="51" ht="12.0" customHeight="1">
      <c r="A51" s="175">
        <v>2695.0</v>
      </c>
      <c r="B51" s="598">
        <v>43188.0</v>
      </c>
      <c r="C51" s="175" t="s">
        <v>567</v>
      </c>
      <c r="D51" s="175" t="s">
        <v>572</v>
      </c>
      <c r="E51" s="175" t="s">
        <v>570</v>
      </c>
      <c r="F51" s="597">
        <v>7045072.38</v>
      </c>
      <c r="G51" s="597"/>
      <c r="H51" s="597">
        <v>0.23596</v>
      </c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</row>
    <row r="52" ht="12.0" customHeight="1">
      <c r="A52" s="175">
        <v>2811.0</v>
      </c>
      <c r="B52" s="598">
        <v>43216.0</v>
      </c>
      <c r="C52" s="175" t="s">
        <v>567</v>
      </c>
      <c r="D52" s="175" t="s">
        <v>555</v>
      </c>
      <c r="E52" s="175" t="s">
        <v>552</v>
      </c>
      <c r="F52" s="597"/>
      <c r="G52" s="597">
        <v>8336956.94074</v>
      </c>
      <c r="H52" s="597">
        <v>8336957.1767</v>
      </c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</row>
    <row r="53" ht="12.0" customHeight="1">
      <c r="A53" s="175">
        <v>2966.0</v>
      </c>
      <c r="B53" s="598">
        <v>43222.0</v>
      </c>
      <c r="C53" s="175" t="s">
        <v>567</v>
      </c>
      <c r="D53" s="175" t="s">
        <v>573</v>
      </c>
      <c r="E53" s="175" t="s">
        <v>570</v>
      </c>
      <c r="F53" s="597">
        <v>7567151.83</v>
      </c>
      <c r="G53" s="597"/>
      <c r="H53" s="597">
        <v>769805.3467</v>
      </c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</row>
    <row r="54" ht="12.0" customHeight="1">
      <c r="A54" s="175">
        <v>2900.0</v>
      </c>
      <c r="B54" s="598">
        <v>43248.0</v>
      </c>
      <c r="C54" s="175" t="s">
        <v>567</v>
      </c>
      <c r="D54" s="175" t="s">
        <v>556</v>
      </c>
      <c r="E54" s="175" t="s">
        <v>552</v>
      </c>
      <c r="F54" s="597"/>
      <c r="G54" s="597">
        <v>7547648.37806</v>
      </c>
      <c r="H54" s="597">
        <v>8317453.72476</v>
      </c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</row>
    <row r="55" ht="12.0" customHeight="1">
      <c r="A55" s="175">
        <v>3219.0</v>
      </c>
      <c r="B55" s="598">
        <v>43251.0</v>
      </c>
      <c r="C55" s="175" t="s">
        <v>567</v>
      </c>
      <c r="D55" s="175" t="s">
        <v>574</v>
      </c>
      <c r="E55" s="175" t="s">
        <v>552</v>
      </c>
      <c r="F55" s="597">
        <v>105661.95</v>
      </c>
      <c r="G55" s="597"/>
      <c r="H55" s="597">
        <v>8211791.77476</v>
      </c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</row>
    <row r="56" ht="12.0" customHeight="1">
      <c r="A56" s="175">
        <v>3266.0</v>
      </c>
      <c r="B56" s="598">
        <v>43257.0</v>
      </c>
      <c r="C56" s="175" t="s">
        <v>567</v>
      </c>
      <c r="D56" s="175" t="s">
        <v>575</v>
      </c>
      <c r="E56" s="175" t="s">
        <v>570</v>
      </c>
      <c r="F56" s="597">
        <v>5000000.0</v>
      </c>
      <c r="G56" s="597"/>
      <c r="H56" s="597">
        <v>3211791.77476</v>
      </c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</row>
    <row r="57" ht="12.0" customHeight="1">
      <c r="A57" s="175">
        <v>3344.0</v>
      </c>
      <c r="B57" s="598">
        <v>43276.0</v>
      </c>
      <c r="C57" s="175" t="s">
        <v>567</v>
      </c>
      <c r="D57" s="175" t="s">
        <v>557</v>
      </c>
      <c r="E57" s="175" t="s">
        <v>552</v>
      </c>
      <c r="F57" s="597"/>
      <c r="G57" s="597">
        <v>8029918.9097</v>
      </c>
      <c r="H57" s="597">
        <v>1.124171068446E7</v>
      </c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</row>
    <row r="58" ht="12.0" customHeight="1">
      <c r="A58" s="175">
        <v>3830.0</v>
      </c>
      <c r="B58" s="598">
        <v>43283.0</v>
      </c>
      <c r="C58" s="175" t="s">
        <v>567</v>
      </c>
      <c r="D58" s="175" t="s">
        <v>559</v>
      </c>
      <c r="E58" s="175" t="s">
        <v>552</v>
      </c>
      <c r="F58" s="597">
        <v>460000.0</v>
      </c>
      <c r="G58" s="597"/>
      <c r="H58" s="597">
        <v>1.078171068446E7</v>
      </c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</row>
    <row r="59" ht="12.0" customHeight="1">
      <c r="A59" s="175">
        <v>3451.0</v>
      </c>
      <c r="B59" s="598">
        <v>43306.0</v>
      </c>
      <c r="C59" s="175" t="s">
        <v>567</v>
      </c>
      <c r="D59" s="175" t="s">
        <v>560</v>
      </c>
      <c r="E59" s="175" t="s">
        <v>552</v>
      </c>
      <c r="F59" s="597"/>
      <c r="G59" s="597">
        <v>7743251.60386</v>
      </c>
      <c r="H59" s="597">
        <v>1.852496228832E7</v>
      </c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</row>
    <row r="60" ht="12.0" customHeight="1">
      <c r="A60" s="175">
        <v>3724.0</v>
      </c>
      <c r="B60" s="598">
        <v>43320.0</v>
      </c>
      <c r="C60" s="175" t="s">
        <v>567</v>
      </c>
      <c r="D60" s="175" t="s">
        <v>576</v>
      </c>
      <c r="E60" s="175" t="s">
        <v>570</v>
      </c>
      <c r="F60" s="597">
        <v>1.9E7</v>
      </c>
      <c r="G60" s="597"/>
      <c r="H60" s="597">
        <v>-475037.71168</v>
      </c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</row>
    <row r="61" ht="12.0" customHeight="1">
      <c r="A61" s="175">
        <v>3778.0</v>
      </c>
      <c r="B61" s="598">
        <v>43336.0</v>
      </c>
      <c r="C61" s="175" t="s">
        <v>567</v>
      </c>
      <c r="D61" s="175" t="s">
        <v>561</v>
      </c>
      <c r="E61" s="175" t="s">
        <v>552</v>
      </c>
      <c r="F61" s="597"/>
      <c r="G61" s="597">
        <v>3.384551106527E7</v>
      </c>
      <c r="H61" s="597">
        <v>3.337047335359E7</v>
      </c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</row>
    <row r="62" ht="12.0" customHeight="1">
      <c r="A62" s="175">
        <v>3948.0</v>
      </c>
      <c r="B62" s="598">
        <v>43347.0</v>
      </c>
      <c r="C62" s="175" t="s">
        <v>567</v>
      </c>
      <c r="D62" s="175" t="s">
        <v>577</v>
      </c>
      <c r="E62" s="175" t="s">
        <v>570</v>
      </c>
      <c r="F62" s="597">
        <v>3.3E7</v>
      </c>
      <c r="G62" s="597"/>
      <c r="H62" s="597">
        <v>370473.35359</v>
      </c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</row>
    <row r="63" ht="12.0" customHeight="1">
      <c r="A63" s="175">
        <v>4050.0</v>
      </c>
      <c r="B63" s="598">
        <v>43368.0</v>
      </c>
      <c r="C63" s="175" t="s">
        <v>567</v>
      </c>
      <c r="D63" s="175" t="s">
        <v>562</v>
      </c>
      <c r="E63" s="175" t="s">
        <v>552</v>
      </c>
      <c r="F63" s="597"/>
      <c r="G63" s="597">
        <v>8355992.7176</v>
      </c>
      <c r="H63" s="597">
        <v>8726466.07119</v>
      </c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</row>
    <row r="64" ht="12.0" customHeight="1">
      <c r="A64" s="175">
        <v>4096.0</v>
      </c>
      <c r="B64" s="598">
        <v>43373.0</v>
      </c>
      <c r="C64" s="175" t="s">
        <v>567</v>
      </c>
      <c r="D64" s="175" t="s">
        <v>578</v>
      </c>
      <c r="E64" s="175" t="s">
        <v>552</v>
      </c>
      <c r="F64" s="597">
        <v>111492.4</v>
      </c>
      <c r="G64" s="597"/>
      <c r="H64" s="597">
        <v>8614973.67119</v>
      </c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</row>
    <row r="65" ht="12.0" customHeight="1">
      <c r="A65" s="175">
        <v>4325.0</v>
      </c>
      <c r="B65" s="598">
        <v>43399.0</v>
      </c>
      <c r="C65" s="175" t="s">
        <v>567</v>
      </c>
      <c r="D65" s="175" t="s">
        <v>563</v>
      </c>
      <c r="E65" s="175" t="s">
        <v>552</v>
      </c>
      <c r="F65" s="597"/>
      <c r="G65" s="597">
        <v>1.26871512689E7</v>
      </c>
      <c r="H65" s="597">
        <v>2.130212494009E7</v>
      </c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</row>
    <row r="66" ht="12.0" customHeight="1">
      <c r="A66" s="175">
        <v>4443.0</v>
      </c>
      <c r="B66" s="598">
        <v>43411.0</v>
      </c>
      <c r="C66" s="175" t="s">
        <v>567</v>
      </c>
      <c r="D66" s="175" t="s">
        <v>575</v>
      </c>
      <c r="E66" s="175" t="s">
        <v>570</v>
      </c>
      <c r="F66" s="597">
        <v>2.2E7</v>
      </c>
      <c r="G66" s="597"/>
      <c r="H66" s="597">
        <v>-697875.05991</v>
      </c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</row>
    <row r="67" ht="12.0" customHeight="1">
      <c r="A67" s="175">
        <v>4511.0</v>
      </c>
      <c r="B67" s="598">
        <v>43427.0</v>
      </c>
      <c r="C67" s="175" t="s">
        <v>567</v>
      </c>
      <c r="D67" s="175" t="s">
        <v>564</v>
      </c>
      <c r="E67" s="175" t="s">
        <v>552</v>
      </c>
      <c r="F67" s="597"/>
      <c r="G67" s="597">
        <v>7942218.91057</v>
      </c>
      <c r="H67" s="597">
        <v>7244343.85066</v>
      </c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</row>
    <row r="68" ht="12.0" customHeight="1">
      <c r="A68" s="175">
        <v>4663.0</v>
      </c>
      <c r="B68" s="598">
        <v>43434.0</v>
      </c>
      <c r="C68" s="175" t="s">
        <v>567</v>
      </c>
      <c r="D68" s="175" t="s">
        <v>575</v>
      </c>
      <c r="E68" s="175" t="s">
        <v>570</v>
      </c>
      <c r="F68" s="597">
        <v>7500000.0</v>
      </c>
      <c r="G68" s="597"/>
      <c r="H68" s="597">
        <v>-255656.14934</v>
      </c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</row>
    <row r="69" ht="12.0" customHeight="1">
      <c r="A69" s="175">
        <v>4833.0</v>
      </c>
      <c r="B69" s="598">
        <v>43460.0</v>
      </c>
      <c r="C69" s="175" t="s">
        <v>567</v>
      </c>
      <c r="D69" s="175" t="s">
        <v>565</v>
      </c>
      <c r="E69" s="175" t="s">
        <v>552</v>
      </c>
      <c r="F69" s="597"/>
      <c r="G69" s="597">
        <v>9642854.3247</v>
      </c>
      <c r="H69" s="597">
        <v>9387198.17536</v>
      </c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</row>
    <row r="70" ht="12.0" customHeight="1">
      <c r="A70" s="175"/>
      <c r="B70" s="175"/>
      <c r="C70" s="175"/>
      <c r="D70" s="175"/>
      <c r="E70" s="175"/>
      <c r="F70" s="595">
        <v>1.1688868352E8</v>
      </c>
      <c r="G70" s="595">
        <v>1.2627588169717E8</v>
      </c>
      <c r="H70" s="595">
        <v>9387198.17536</v>
      </c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</row>
    <row r="71" ht="12.0" customHeight="1">
      <c r="A71" s="175"/>
      <c r="B71" s="175"/>
      <c r="C71" s="175"/>
      <c r="D71" s="175"/>
      <c r="E71" s="175"/>
      <c r="F71" s="597"/>
      <c r="G71" s="597">
        <f>+G70-H39</f>
        <v>27255691.75</v>
      </c>
      <c r="H71" s="597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</row>
    <row r="72" ht="12.0" customHeight="1">
      <c r="A72" s="175"/>
      <c r="B72" s="175"/>
      <c r="C72" s="175"/>
      <c r="D72" s="175"/>
      <c r="E72" s="175"/>
      <c r="F72" s="597"/>
      <c r="G72" s="597"/>
      <c r="H72" s="597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</row>
    <row r="73" ht="12.0" customHeight="1">
      <c r="A73" s="175"/>
      <c r="B73" s="175"/>
      <c r="C73" s="175"/>
      <c r="D73" s="175"/>
      <c r="E73" s="175"/>
      <c r="F73" s="597"/>
      <c r="G73" s="597"/>
      <c r="H73" s="597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</row>
    <row r="74" ht="12.0" customHeight="1">
      <c r="A74" s="175"/>
      <c r="B74" s="175"/>
      <c r="C74" s="175"/>
      <c r="D74" s="175"/>
      <c r="E74" s="175"/>
      <c r="F74" s="597"/>
      <c r="G74" s="597"/>
      <c r="H74" s="597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</row>
    <row r="75" ht="12.0" customHeight="1">
      <c r="A75" s="175"/>
      <c r="B75" s="175"/>
      <c r="C75" s="175"/>
      <c r="D75" s="175"/>
      <c r="E75" s="175"/>
      <c r="F75" s="597"/>
      <c r="G75" s="597"/>
      <c r="H75" s="597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</row>
    <row r="76" ht="12.0" customHeight="1">
      <c r="A76" s="594" t="s">
        <v>579</v>
      </c>
      <c r="B76" s="178"/>
      <c r="C76" s="178"/>
      <c r="D76" s="178"/>
      <c r="E76" s="521"/>
      <c r="F76" s="595"/>
      <c r="G76" s="595" t="s">
        <v>540</v>
      </c>
      <c r="H76" s="59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</row>
    <row r="77" ht="12.0" customHeight="1">
      <c r="A77" s="596" t="s">
        <v>541</v>
      </c>
      <c r="B77" s="596" t="s">
        <v>542</v>
      </c>
      <c r="C77" s="596" t="s">
        <v>543</v>
      </c>
      <c r="D77" s="596" t="s">
        <v>544</v>
      </c>
      <c r="E77" s="596" t="s">
        <v>545</v>
      </c>
      <c r="F77" s="595" t="s">
        <v>546</v>
      </c>
      <c r="G77" s="595" t="s">
        <v>547</v>
      </c>
      <c r="H77" s="595" t="s">
        <v>548</v>
      </c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</row>
    <row r="78" ht="12.0" customHeight="1">
      <c r="A78" s="175"/>
      <c r="B78" s="175"/>
      <c r="C78" s="175"/>
      <c r="D78" s="175"/>
      <c r="E78" s="175"/>
      <c r="F78" s="597"/>
      <c r="G78" s="595" t="s">
        <v>549</v>
      </c>
      <c r="H78" s="595">
        <v>-0.00725</v>
      </c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</row>
    <row r="79" ht="12.0" customHeight="1">
      <c r="A79" s="175">
        <v>2444.0</v>
      </c>
      <c r="B79" s="598">
        <v>43131.0</v>
      </c>
      <c r="C79" s="175" t="s">
        <v>580</v>
      </c>
      <c r="D79" s="175" t="s">
        <v>551</v>
      </c>
      <c r="E79" s="175" t="s">
        <v>552</v>
      </c>
      <c r="F79" s="597"/>
      <c r="G79" s="597">
        <v>4267519.72154</v>
      </c>
      <c r="H79" s="597">
        <v>4267519.71429</v>
      </c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</row>
    <row r="80" ht="12.0" customHeight="1">
      <c r="A80" s="175">
        <v>2446.0</v>
      </c>
      <c r="B80" s="598">
        <v>43157.0</v>
      </c>
      <c r="C80" s="175" t="s">
        <v>580</v>
      </c>
      <c r="D80" s="175" t="s">
        <v>553</v>
      </c>
      <c r="E80" s="175" t="s">
        <v>552</v>
      </c>
      <c r="F80" s="597"/>
      <c r="G80" s="597">
        <v>4044280.63528</v>
      </c>
      <c r="H80" s="597">
        <v>8311800.34957</v>
      </c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</row>
    <row r="81" ht="12.0" customHeight="1">
      <c r="A81" s="175">
        <v>2580.0</v>
      </c>
      <c r="B81" s="598">
        <v>43185.0</v>
      </c>
      <c r="C81" s="175" t="s">
        <v>580</v>
      </c>
      <c r="D81" s="175" t="s">
        <v>554</v>
      </c>
      <c r="E81" s="175" t="s">
        <v>552</v>
      </c>
      <c r="F81" s="597"/>
      <c r="G81" s="597">
        <v>3928164.91488</v>
      </c>
      <c r="H81" s="597">
        <v>1.223996526445E7</v>
      </c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</row>
    <row r="82" ht="12.0" customHeight="1">
      <c r="A82" s="175">
        <v>2648.0</v>
      </c>
      <c r="B82" s="598">
        <v>43185.0</v>
      </c>
      <c r="C82" s="175" t="s">
        <v>580</v>
      </c>
      <c r="D82" s="175" t="s">
        <v>581</v>
      </c>
      <c r="E82" s="175" t="s">
        <v>570</v>
      </c>
      <c r="F82" s="597">
        <v>1.23E7</v>
      </c>
      <c r="G82" s="597"/>
      <c r="H82" s="597">
        <v>-60034.73555</v>
      </c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</row>
    <row r="83" ht="12.0" customHeight="1">
      <c r="A83" s="175">
        <v>2811.0</v>
      </c>
      <c r="B83" s="598">
        <v>43216.0</v>
      </c>
      <c r="C83" s="175" t="s">
        <v>580</v>
      </c>
      <c r="D83" s="175" t="s">
        <v>555</v>
      </c>
      <c r="E83" s="175" t="s">
        <v>552</v>
      </c>
      <c r="F83" s="597"/>
      <c r="G83" s="597">
        <v>4594036.1766</v>
      </c>
      <c r="H83" s="597">
        <v>4534001.44105</v>
      </c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</row>
    <row r="84" ht="12.0" customHeight="1">
      <c r="A84" s="175">
        <v>2900.0</v>
      </c>
      <c r="B84" s="598">
        <v>43248.0</v>
      </c>
      <c r="C84" s="175" t="s">
        <v>580</v>
      </c>
      <c r="D84" s="175" t="s">
        <v>556</v>
      </c>
      <c r="E84" s="175" t="s">
        <v>552</v>
      </c>
      <c r="F84" s="597"/>
      <c r="G84" s="597">
        <v>4178051.58598</v>
      </c>
      <c r="H84" s="597">
        <v>8712053.02703</v>
      </c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</row>
    <row r="85" ht="12.0" customHeight="1">
      <c r="A85" s="175">
        <v>3344.0</v>
      </c>
      <c r="B85" s="598">
        <v>43276.0</v>
      </c>
      <c r="C85" s="175" t="s">
        <v>580</v>
      </c>
      <c r="D85" s="175" t="s">
        <v>557</v>
      </c>
      <c r="E85" s="175" t="s">
        <v>552</v>
      </c>
      <c r="F85" s="597"/>
      <c r="G85" s="597">
        <v>4307792.26587</v>
      </c>
      <c r="H85" s="597">
        <v>1.30198452929E7</v>
      </c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</row>
    <row r="86" ht="12.0" customHeight="1">
      <c r="A86" s="175">
        <v>3830.0</v>
      </c>
      <c r="B86" s="598">
        <v>43283.0</v>
      </c>
      <c r="C86" s="175" t="s">
        <v>580</v>
      </c>
      <c r="D86" s="175" t="s">
        <v>559</v>
      </c>
      <c r="E86" s="175" t="s">
        <v>552</v>
      </c>
      <c r="F86" s="597">
        <v>169666.67</v>
      </c>
      <c r="G86" s="597"/>
      <c r="H86" s="597">
        <v>1.28501786229E7</v>
      </c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</row>
    <row r="87" ht="12.0" customHeight="1">
      <c r="A87" s="175">
        <v>3451.0</v>
      </c>
      <c r="B87" s="598">
        <v>43306.0</v>
      </c>
      <c r="C87" s="175" t="s">
        <v>580</v>
      </c>
      <c r="D87" s="175" t="s">
        <v>560</v>
      </c>
      <c r="E87" s="175" t="s">
        <v>552</v>
      </c>
      <c r="F87" s="597"/>
      <c r="G87" s="597">
        <v>4246602.5947</v>
      </c>
      <c r="H87" s="597">
        <v>1.70967812176E7</v>
      </c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</row>
    <row r="88" ht="12.0" customHeight="1">
      <c r="A88" s="175">
        <v>3778.0</v>
      </c>
      <c r="B88" s="598">
        <v>43336.0</v>
      </c>
      <c r="C88" s="175" t="s">
        <v>580</v>
      </c>
      <c r="D88" s="175" t="s">
        <v>561</v>
      </c>
      <c r="E88" s="175" t="s">
        <v>552</v>
      </c>
      <c r="F88" s="597"/>
      <c r="G88" s="597">
        <v>2.608403898839E7</v>
      </c>
      <c r="H88" s="597">
        <v>4.318082020599E7</v>
      </c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</row>
    <row r="89" ht="12.0" customHeight="1">
      <c r="A89" s="175">
        <v>3864.0</v>
      </c>
      <c r="B89" s="598">
        <v>43342.0</v>
      </c>
      <c r="C89" s="175" t="s">
        <v>580</v>
      </c>
      <c r="D89" s="175" t="s">
        <v>581</v>
      </c>
      <c r="E89" s="175" t="s">
        <v>582</v>
      </c>
      <c r="F89" s="597">
        <v>1.8E7</v>
      </c>
      <c r="G89" s="597"/>
      <c r="H89" s="597">
        <v>2.518082020599E7</v>
      </c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</row>
    <row r="90" ht="12.0" customHeight="1">
      <c r="A90" s="175">
        <v>4050.0</v>
      </c>
      <c r="B90" s="598">
        <v>43368.0</v>
      </c>
      <c r="C90" s="175" t="s">
        <v>580</v>
      </c>
      <c r="D90" s="175" t="s">
        <v>562</v>
      </c>
      <c r="E90" s="175" t="s">
        <v>552</v>
      </c>
      <c r="F90" s="597"/>
      <c r="G90" s="597">
        <v>4533792.7178</v>
      </c>
      <c r="H90" s="597">
        <v>2.971461292379E7</v>
      </c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</row>
    <row r="91" ht="12.0" customHeight="1">
      <c r="A91" s="175">
        <v>4325.0</v>
      </c>
      <c r="B91" s="598">
        <v>43399.0</v>
      </c>
      <c r="C91" s="175" t="s">
        <v>580</v>
      </c>
      <c r="D91" s="175" t="s">
        <v>563</v>
      </c>
      <c r="E91" s="175" t="s">
        <v>552</v>
      </c>
      <c r="F91" s="597"/>
      <c r="G91" s="597">
        <v>8198175.96709</v>
      </c>
      <c r="H91" s="597">
        <v>3.791278889088E7</v>
      </c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</row>
    <row r="92" ht="12.0" customHeight="1">
      <c r="A92" s="175">
        <v>4545.0</v>
      </c>
      <c r="B92" s="598">
        <v>43421.0</v>
      </c>
      <c r="C92" s="175" t="s">
        <v>580</v>
      </c>
      <c r="D92" s="175" t="s">
        <v>581</v>
      </c>
      <c r="E92" s="175" t="s">
        <v>582</v>
      </c>
      <c r="F92" s="597">
        <v>3.0E7</v>
      </c>
      <c r="G92" s="597"/>
      <c r="H92" s="597">
        <v>7912788.89088</v>
      </c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</row>
    <row r="93" ht="12.0" customHeight="1">
      <c r="A93" s="175">
        <v>4511.0</v>
      </c>
      <c r="B93" s="598">
        <v>43427.0</v>
      </c>
      <c r="C93" s="175" t="s">
        <v>580</v>
      </c>
      <c r="D93" s="175" t="s">
        <v>564</v>
      </c>
      <c r="E93" s="175" t="s">
        <v>552</v>
      </c>
      <c r="F93" s="597"/>
      <c r="G93" s="597">
        <v>4505647.25204</v>
      </c>
      <c r="H93" s="597">
        <v>1.241843614292E7</v>
      </c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</row>
    <row r="94" ht="12.0" customHeight="1">
      <c r="A94" s="175">
        <v>4833.0</v>
      </c>
      <c r="B94" s="598">
        <v>43460.0</v>
      </c>
      <c r="C94" s="175" t="s">
        <v>580</v>
      </c>
      <c r="D94" s="175" t="s">
        <v>565</v>
      </c>
      <c r="E94" s="175" t="s">
        <v>552</v>
      </c>
      <c r="F94" s="597"/>
      <c r="G94" s="597">
        <v>5786542.67133</v>
      </c>
      <c r="H94" s="597">
        <v>1.820497881425E7</v>
      </c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</row>
    <row r="95" ht="12.0" customHeight="1">
      <c r="A95" s="175">
        <v>4880.0</v>
      </c>
      <c r="B95" s="598">
        <v>43460.0</v>
      </c>
      <c r="C95" s="175" t="s">
        <v>580</v>
      </c>
      <c r="D95" s="175" t="s">
        <v>583</v>
      </c>
      <c r="E95" s="175" t="s">
        <v>584</v>
      </c>
      <c r="F95" s="597"/>
      <c r="G95" s="597">
        <v>73325.33</v>
      </c>
      <c r="H95" s="597">
        <v>1.827830414425E7</v>
      </c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</row>
    <row r="96" ht="12.0" customHeight="1">
      <c r="A96" s="175"/>
      <c r="B96" s="175"/>
      <c r="C96" s="175"/>
      <c r="D96" s="175"/>
      <c r="E96" s="175"/>
      <c r="F96" s="595">
        <f t="shared" ref="F96:G96" si="1">SUM(F79:F95)</f>
        <v>60469666.67</v>
      </c>
      <c r="G96" s="595">
        <f t="shared" si="1"/>
        <v>78747970.82</v>
      </c>
      <c r="H96" s="595">
        <f>+G96-F96</f>
        <v>18278304.15</v>
      </c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</row>
    <row r="97" ht="12.0" customHeight="1">
      <c r="A97" s="175"/>
      <c r="B97" s="175"/>
      <c r="C97" s="175"/>
      <c r="D97" s="175"/>
      <c r="E97" s="175"/>
      <c r="F97" s="597"/>
      <c r="G97" s="597"/>
      <c r="H97" s="597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</row>
    <row r="98" ht="12.0" customHeight="1">
      <c r="A98" s="175"/>
      <c r="B98" s="175"/>
      <c r="C98" s="175"/>
      <c r="D98" s="175"/>
      <c r="E98" s="175"/>
      <c r="F98" s="597"/>
      <c r="G98" s="597"/>
      <c r="H98" s="597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</row>
    <row r="99" ht="12.0" customHeight="1">
      <c r="A99" s="175"/>
      <c r="B99" s="175"/>
      <c r="C99" s="175"/>
      <c r="D99" s="175"/>
      <c r="E99" s="175"/>
      <c r="F99" s="597"/>
      <c r="G99" s="597"/>
      <c r="H99" s="597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</row>
    <row r="100" ht="12.0" customHeight="1">
      <c r="A100" s="175"/>
      <c r="B100" s="175"/>
      <c r="C100" s="175"/>
      <c r="D100" s="175"/>
      <c r="E100" s="175"/>
      <c r="F100" s="597"/>
      <c r="G100" s="597"/>
      <c r="H100" s="597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</row>
    <row r="101" ht="12.0" customHeight="1">
      <c r="A101" s="175"/>
      <c r="B101" s="175"/>
      <c r="C101" s="175"/>
      <c r="D101" s="175"/>
      <c r="E101" s="175"/>
      <c r="F101" s="597"/>
      <c r="G101" s="597"/>
      <c r="H101" s="597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</row>
    <row r="102" ht="12.0" customHeight="1">
      <c r="A102" s="175"/>
      <c r="B102" s="175"/>
      <c r="C102" s="175"/>
      <c r="D102" s="175"/>
      <c r="E102" s="175"/>
      <c r="F102" s="597"/>
      <c r="G102" s="597"/>
      <c r="H102" s="597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</row>
    <row r="103" ht="12.0" customHeight="1">
      <c r="A103" s="175"/>
      <c r="B103" s="175"/>
      <c r="C103" s="175"/>
      <c r="D103" s="175"/>
      <c r="E103" s="175"/>
      <c r="F103" s="597"/>
      <c r="G103" s="597"/>
      <c r="H103" s="597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</row>
    <row r="104" ht="12.0" customHeight="1">
      <c r="A104" s="175"/>
      <c r="B104" s="175"/>
      <c r="C104" s="175"/>
      <c r="D104" s="175"/>
      <c r="E104" s="175"/>
      <c r="F104" s="597"/>
      <c r="G104" s="597"/>
      <c r="H104" s="597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</row>
    <row r="105" ht="12.0" customHeight="1">
      <c r="A105" s="175"/>
      <c r="B105" s="175"/>
      <c r="C105" s="175"/>
      <c r="D105" s="175"/>
      <c r="E105" s="175"/>
      <c r="F105" s="597"/>
      <c r="G105" s="597"/>
      <c r="H105" s="597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</row>
    <row r="106" ht="12.0" customHeight="1">
      <c r="A106" s="175"/>
      <c r="B106" s="175"/>
      <c r="C106" s="175"/>
      <c r="D106" s="175"/>
      <c r="E106" s="175"/>
      <c r="F106" s="597"/>
      <c r="G106" s="597"/>
      <c r="H106" s="597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</row>
    <row r="107" ht="12.0" customHeight="1">
      <c r="A107" s="175"/>
      <c r="B107" s="175"/>
      <c r="C107" s="175"/>
      <c r="D107" s="175"/>
      <c r="E107" s="175"/>
      <c r="F107" s="597"/>
      <c r="G107" s="597"/>
      <c r="H107" s="597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</row>
    <row r="108" ht="12.0" customHeight="1">
      <c r="A108" s="175"/>
      <c r="B108" s="175"/>
      <c r="C108" s="175"/>
      <c r="D108" s="175"/>
      <c r="E108" s="175"/>
      <c r="F108" s="597"/>
      <c r="G108" s="597"/>
      <c r="H108" s="597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</row>
    <row r="109" ht="12.0" customHeight="1">
      <c r="A109" s="175"/>
      <c r="B109" s="175"/>
      <c r="C109" s="175"/>
      <c r="D109" s="175"/>
      <c r="E109" s="175"/>
      <c r="F109" s="597"/>
      <c r="G109" s="597"/>
      <c r="H109" s="597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</row>
    <row r="110" ht="12.0" customHeight="1">
      <c r="A110" s="175"/>
      <c r="B110" s="175"/>
      <c r="C110" s="175"/>
      <c r="D110" s="175"/>
      <c r="E110" s="175"/>
      <c r="F110" s="597"/>
      <c r="G110" s="597"/>
      <c r="H110" s="597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</row>
    <row r="111" ht="12.0" customHeight="1">
      <c r="A111" s="175"/>
      <c r="B111" s="175"/>
      <c r="C111" s="175"/>
      <c r="D111" s="175"/>
      <c r="E111" s="175"/>
      <c r="F111" s="597"/>
      <c r="G111" s="597"/>
      <c r="H111" s="597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</row>
    <row r="112" ht="12.0" customHeight="1">
      <c r="A112" s="175"/>
      <c r="B112" s="175"/>
      <c r="C112" s="175"/>
      <c r="D112" s="175"/>
      <c r="E112" s="175"/>
      <c r="F112" s="597"/>
      <c r="G112" s="597"/>
      <c r="H112" s="597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</row>
    <row r="113" ht="12.0" customHeight="1">
      <c r="A113" s="175"/>
      <c r="B113" s="175"/>
      <c r="C113" s="175"/>
      <c r="D113" s="175"/>
      <c r="E113" s="175"/>
      <c r="F113" s="597"/>
      <c r="G113" s="597"/>
      <c r="H113" s="597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</row>
    <row r="114" ht="12.0" customHeight="1">
      <c r="A114" s="175"/>
      <c r="B114" s="175"/>
      <c r="C114" s="175"/>
      <c r="D114" s="175"/>
      <c r="E114" s="175"/>
      <c r="F114" s="597"/>
      <c r="G114" s="597"/>
      <c r="H114" s="597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</row>
    <row r="115" ht="12.0" customHeight="1">
      <c r="A115" s="175"/>
      <c r="B115" s="175"/>
      <c r="C115" s="175"/>
      <c r="D115" s="175"/>
      <c r="E115" s="175"/>
      <c r="F115" s="597"/>
      <c r="G115" s="597"/>
      <c r="H115" s="597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</row>
    <row r="116" ht="12.0" customHeight="1">
      <c r="A116" s="175"/>
      <c r="B116" s="175"/>
      <c r="C116" s="175"/>
      <c r="D116" s="175"/>
      <c r="E116" s="175"/>
      <c r="F116" s="597"/>
      <c r="G116" s="597"/>
      <c r="H116" s="597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</row>
    <row r="117" ht="12.0" customHeight="1">
      <c r="A117" s="175"/>
      <c r="B117" s="175"/>
      <c r="C117" s="175"/>
      <c r="D117" s="175"/>
      <c r="E117" s="175"/>
      <c r="F117" s="597"/>
      <c r="G117" s="597"/>
      <c r="H117" s="597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</row>
    <row r="118" ht="12.0" customHeight="1">
      <c r="A118" s="175"/>
      <c r="B118" s="175"/>
      <c r="C118" s="175"/>
      <c r="D118" s="175"/>
      <c r="E118" s="175"/>
      <c r="F118" s="597"/>
      <c r="G118" s="597"/>
      <c r="H118" s="597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</row>
    <row r="119" ht="12.0" customHeight="1">
      <c r="A119" s="175"/>
      <c r="B119" s="175"/>
      <c r="C119" s="175"/>
      <c r="D119" s="175"/>
      <c r="E119" s="175"/>
      <c r="F119" s="597"/>
      <c r="G119" s="597"/>
      <c r="H119" s="597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</row>
    <row r="120" ht="12.0" customHeight="1">
      <c r="A120" s="175"/>
      <c r="B120" s="175"/>
      <c r="C120" s="175"/>
      <c r="D120" s="175"/>
      <c r="E120" s="175"/>
      <c r="F120" s="597"/>
      <c r="G120" s="597"/>
      <c r="H120" s="597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</row>
    <row r="121" ht="12.0" customHeight="1">
      <c r="A121" s="175"/>
      <c r="B121" s="175"/>
      <c r="C121" s="175"/>
      <c r="D121" s="175"/>
      <c r="E121" s="175"/>
      <c r="F121" s="597"/>
      <c r="G121" s="597"/>
      <c r="H121" s="597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</row>
    <row r="122" ht="12.0" customHeight="1">
      <c r="A122" s="175"/>
      <c r="B122" s="175"/>
      <c r="C122" s="175"/>
      <c r="D122" s="175"/>
      <c r="E122" s="175"/>
      <c r="F122" s="597"/>
      <c r="G122" s="597"/>
      <c r="H122" s="597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</row>
    <row r="123" ht="12.0" customHeight="1">
      <c r="A123" s="175"/>
      <c r="B123" s="175"/>
      <c r="C123" s="175"/>
      <c r="D123" s="175"/>
      <c r="E123" s="175"/>
      <c r="F123" s="597"/>
      <c r="G123" s="597"/>
      <c r="H123" s="597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</row>
    <row r="124" ht="12.0" customHeight="1">
      <c r="A124" s="175"/>
      <c r="B124" s="175"/>
      <c r="C124" s="175"/>
      <c r="D124" s="175"/>
      <c r="E124" s="175"/>
      <c r="F124" s="597"/>
      <c r="G124" s="597"/>
      <c r="H124" s="597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</row>
    <row r="125" ht="12.0" customHeight="1">
      <c r="A125" s="175"/>
      <c r="B125" s="175"/>
      <c r="C125" s="175"/>
      <c r="D125" s="175"/>
      <c r="E125" s="175"/>
      <c r="F125" s="597"/>
      <c r="G125" s="597"/>
      <c r="H125" s="597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</row>
    <row r="126" ht="12.0" customHeight="1">
      <c r="A126" s="175"/>
      <c r="B126" s="175"/>
      <c r="C126" s="175"/>
      <c r="D126" s="175"/>
      <c r="E126" s="175"/>
      <c r="F126" s="597"/>
      <c r="G126" s="597"/>
      <c r="H126" s="597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</row>
    <row r="127" ht="12.0" customHeight="1">
      <c r="A127" s="175"/>
      <c r="B127" s="175"/>
      <c r="C127" s="175"/>
      <c r="D127" s="175"/>
      <c r="E127" s="175"/>
      <c r="F127" s="597"/>
      <c r="G127" s="597"/>
      <c r="H127" s="597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</row>
    <row r="128" ht="12.0" customHeight="1">
      <c r="A128" s="175"/>
      <c r="B128" s="175"/>
      <c r="C128" s="175"/>
      <c r="D128" s="175"/>
      <c r="E128" s="175"/>
      <c r="F128" s="597"/>
      <c r="G128" s="597"/>
      <c r="H128" s="597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</row>
    <row r="129" ht="12.0" customHeight="1">
      <c r="A129" s="175"/>
      <c r="B129" s="175"/>
      <c r="C129" s="175"/>
      <c r="D129" s="175"/>
      <c r="E129" s="175"/>
      <c r="F129" s="597"/>
      <c r="G129" s="597"/>
      <c r="H129" s="597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</row>
    <row r="130" ht="12.0" customHeight="1">
      <c r="A130" s="175"/>
      <c r="B130" s="175"/>
      <c r="C130" s="175"/>
      <c r="D130" s="175"/>
      <c r="E130" s="175"/>
      <c r="F130" s="597"/>
      <c r="G130" s="597"/>
      <c r="H130" s="597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</row>
    <row r="131" ht="12.0" customHeight="1">
      <c r="A131" s="175"/>
      <c r="B131" s="175"/>
      <c r="C131" s="175"/>
      <c r="D131" s="175"/>
      <c r="E131" s="175"/>
      <c r="F131" s="597"/>
      <c r="G131" s="597"/>
      <c r="H131" s="597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</row>
    <row r="132" ht="12.0" customHeight="1">
      <c r="A132" s="175"/>
      <c r="B132" s="175"/>
      <c r="C132" s="175"/>
      <c r="D132" s="175"/>
      <c r="E132" s="175"/>
      <c r="F132" s="597"/>
      <c r="G132" s="597"/>
      <c r="H132" s="597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</row>
    <row r="133" ht="12.0" customHeight="1">
      <c r="A133" s="175"/>
      <c r="B133" s="175"/>
      <c r="C133" s="175"/>
      <c r="D133" s="175"/>
      <c r="E133" s="175"/>
      <c r="F133" s="597"/>
      <c r="G133" s="597"/>
      <c r="H133" s="597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</row>
    <row r="134" ht="12.0" customHeight="1">
      <c r="A134" s="175"/>
      <c r="B134" s="175"/>
      <c r="C134" s="175"/>
      <c r="D134" s="175"/>
      <c r="E134" s="175"/>
      <c r="F134" s="597"/>
      <c r="G134" s="597"/>
      <c r="H134" s="597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</row>
    <row r="135" ht="12.0" customHeight="1">
      <c r="A135" s="175"/>
      <c r="B135" s="175"/>
      <c r="C135" s="175"/>
      <c r="D135" s="175"/>
      <c r="E135" s="175"/>
      <c r="F135" s="597"/>
      <c r="G135" s="597"/>
      <c r="H135" s="597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</row>
    <row r="136" ht="12.0" customHeight="1">
      <c r="A136" s="175"/>
      <c r="B136" s="175"/>
      <c r="C136" s="175"/>
      <c r="D136" s="175"/>
      <c r="E136" s="175"/>
      <c r="F136" s="597"/>
      <c r="G136" s="597"/>
      <c r="H136" s="597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</row>
    <row r="137" ht="12.0" customHeight="1">
      <c r="A137" s="175"/>
      <c r="B137" s="175"/>
      <c r="C137" s="175"/>
      <c r="D137" s="175"/>
      <c r="E137" s="175"/>
      <c r="F137" s="597"/>
      <c r="G137" s="597"/>
      <c r="H137" s="597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</row>
    <row r="138" ht="12.0" customHeight="1">
      <c r="A138" s="175"/>
      <c r="B138" s="175"/>
      <c r="C138" s="175"/>
      <c r="D138" s="175"/>
      <c r="E138" s="175"/>
      <c r="F138" s="597"/>
      <c r="G138" s="597"/>
      <c r="H138" s="597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</row>
    <row r="139" ht="12.0" customHeight="1">
      <c r="A139" s="175"/>
      <c r="B139" s="175"/>
      <c r="C139" s="175"/>
      <c r="D139" s="175"/>
      <c r="E139" s="175"/>
      <c r="F139" s="597"/>
      <c r="G139" s="597"/>
      <c r="H139" s="597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</row>
    <row r="140" ht="12.0" customHeight="1">
      <c r="A140" s="175"/>
      <c r="B140" s="175"/>
      <c r="C140" s="175"/>
      <c r="D140" s="175"/>
      <c r="E140" s="175"/>
      <c r="F140" s="597"/>
      <c r="G140" s="597"/>
      <c r="H140" s="597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</row>
    <row r="141" ht="12.0" customHeight="1">
      <c r="A141" s="175"/>
      <c r="B141" s="175"/>
      <c r="C141" s="175"/>
      <c r="D141" s="175"/>
      <c r="E141" s="175"/>
      <c r="F141" s="597"/>
      <c r="G141" s="597"/>
      <c r="H141" s="597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</row>
    <row r="142" ht="12.0" customHeight="1">
      <c r="A142" s="175"/>
      <c r="B142" s="175"/>
      <c r="C142" s="175"/>
      <c r="D142" s="175"/>
      <c r="E142" s="175"/>
      <c r="F142" s="597"/>
      <c r="G142" s="597"/>
      <c r="H142" s="597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</row>
    <row r="143" ht="12.0" customHeight="1">
      <c r="A143" s="175"/>
      <c r="B143" s="175"/>
      <c r="C143" s="175"/>
      <c r="D143" s="175"/>
      <c r="E143" s="175"/>
      <c r="F143" s="597"/>
      <c r="G143" s="597"/>
      <c r="H143" s="597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</row>
    <row r="144" ht="12.0" customHeight="1">
      <c r="A144" s="175"/>
      <c r="B144" s="175"/>
      <c r="C144" s="175"/>
      <c r="D144" s="175"/>
      <c r="E144" s="175"/>
      <c r="F144" s="597"/>
      <c r="G144" s="597"/>
      <c r="H144" s="597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</row>
    <row r="145" ht="12.0" customHeight="1">
      <c r="A145" s="175"/>
      <c r="B145" s="175"/>
      <c r="C145" s="175"/>
      <c r="D145" s="175"/>
      <c r="E145" s="175"/>
      <c r="F145" s="597"/>
      <c r="G145" s="597"/>
      <c r="H145" s="597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</row>
    <row r="146" ht="12.0" customHeight="1">
      <c r="A146" s="175"/>
      <c r="B146" s="175"/>
      <c r="C146" s="175"/>
      <c r="D146" s="175"/>
      <c r="E146" s="175"/>
      <c r="F146" s="597"/>
      <c r="G146" s="597"/>
      <c r="H146" s="597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</row>
    <row r="147" ht="12.0" customHeight="1">
      <c r="A147" s="175"/>
      <c r="B147" s="175"/>
      <c r="C147" s="175"/>
      <c r="D147" s="175"/>
      <c r="E147" s="175"/>
      <c r="F147" s="597"/>
      <c r="G147" s="597"/>
      <c r="H147" s="597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</row>
    <row r="148" ht="12.0" customHeight="1">
      <c r="A148" s="175"/>
      <c r="B148" s="175"/>
      <c r="C148" s="175"/>
      <c r="D148" s="175"/>
      <c r="E148" s="175"/>
      <c r="F148" s="597"/>
      <c r="G148" s="597"/>
      <c r="H148" s="597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</row>
    <row r="149" ht="12.0" customHeight="1">
      <c r="A149" s="175"/>
      <c r="B149" s="175"/>
      <c r="C149" s="175"/>
      <c r="D149" s="175"/>
      <c r="E149" s="175"/>
      <c r="F149" s="597"/>
      <c r="G149" s="597"/>
      <c r="H149" s="597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</row>
    <row r="150" ht="12.0" customHeight="1">
      <c r="A150" s="175"/>
      <c r="B150" s="175"/>
      <c r="C150" s="175"/>
      <c r="D150" s="175"/>
      <c r="E150" s="175"/>
      <c r="F150" s="597"/>
      <c r="G150" s="597"/>
      <c r="H150" s="597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</row>
    <row r="151" ht="12.0" customHeight="1">
      <c r="A151" s="175"/>
      <c r="B151" s="175"/>
      <c r="C151" s="175"/>
      <c r="D151" s="175"/>
      <c r="E151" s="175"/>
      <c r="F151" s="597"/>
      <c r="G151" s="597"/>
      <c r="H151" s="597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</row>
    <row r="152" ht="12.0" customHeight="1">
      <c r="A152" s="175"/>
      <c r="B152" s="175"/>
      <c r="C152" s="175"/>
      <c r="D152" s="175"/>
      <c r="E152" s="175"/>
      <c r="F152" s="597"/>
      <c r="G152" s="597"/>
      <c r="H152" s="597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</row>
    <row r="153" ht="12.0" customHeight="1">
      <c r="A153" s="175"/>
      <c r="B153" s="175"/>
      <c r="C153" s="175"/>
      <c r="D153" s="175"/>
      <c r="E153" s="175"/>
      <c r="F153" s="597"/>
      <c r="G153" s="597"/>
      <c r="H153" s="597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</row>
    <row r="154" ht="12.0" customHeight="1">
      <c r="A154" s="175"/>
      <c r="B154" s="175"/>
      <c r="C154" s="175"/>
      <c r="D154" s="175"/>
      <c r="E154" s="175"/>
      <c r="F154" s="597"/>
      <c r="G154" s="597"/>
      <c r="H154" s="597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</row>
    <row r="155" ht="12.0" customHeight="1">
      <c r="A155" s="175"/>
      <c r="B155" s="175"/>
      <c r="C155" s="175"/>
      <c r="D155" s="175"/>
      <c r="E155" s="175"/>
      <c r="F155" s="597"/>
      <c r="G155" s="597"/>
      <c r="H155" s="597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</row>
    <row r="156" ht="12.0" customHeight="1">
      <c r="A156" s="175"/>
      <c r="B156" s="175"/>
      <c r="C156" s="175"/>
      <c r="D156" s="175"/>
      <c r="E156" s="175"/>
      <c r="F156" s="597"/>
      <c r="G156" s="597"/>
      <c r="H156" s="597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</row>
    <row r="157" ht="12.0" customHeight="1">
      <c r="A157" s="175"/>
      <c r="B157" s="175"/>
      <c r="C157" s="175"/>
      <c r="D157" s="175"/>
      <c r="E157" s="175"/>
      <c r="F157" s="597"/>
      <c r="G157" s="597"/>
      <c r="H157" s="597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</row>
    <row r="158" ht="12.0" customHeight="1">
      <c r="A158" s="175"/>
      <c r="B158" s="175"/>
      <c r="C158" s="175"/>
      <c r="D158" s="175"/>
      <c r="E158" s="175"/>
      <c r="F158" s="597"/>
      <c r="G158" s="597"/>
      <c r="H158" s="597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</row>
    <row r="159" ht="12.0" customHeight="1">
      <c r="A159" s="175"/>
      <c r="B159" s="175"/>
      <c r="C159" s="175"/>
      <c r="D159" s="175"/>
      <c r="E159" s="175"/>
      <c r="F159" s="597"/>
      <c r="G159" s="597"/>
      <c r="H159" s="597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</row>
    <row r="160" ht="12.0" customHeight="1">
      <c r="A160" s="175"/>
      <c r="B160" s="175"/>
      <c r="C160" s="175"/>
      <c r="D160" s="175"/>
      <c r="E160" s="175"/>
      <c r="F160" s="597"/>
      <c r="G160" s="597"/>
      <c r="H160" s="597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</row>
    <row r="161" ht="12.0" customHeight="1">
      <c r="A161" s="175"/>
      <c r="B161" s="175"/>
      <c r="C161" s="175"/>
      <c r="D161" s="175"/>
      <c r="E161" s="175"/>
      <c r="F161" s="597"/>
      <c r="G161" s="597"/>
      <c r="H161" s="597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</row>
    <row r="162" ht="12.0" customHeight="1">
      <c r="A162" s="175"/>
      <c r="B162" s="175"/>
      <c r="C162" s="175"/>
      <c r="D162" s="175"/>
      <c r="E162" s="175"/>
      <c r="F162" s="597"/>
      <c r="G162" s="597"/>
      <c r="H162" s="597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</row>
    <row r="163" ht="12.0" customHeight="1">
      <c r="A163" s="175"/>
      <c r="B163" s="175"/>
      <c r="C163" s="175"/>
      <c r="D163" s="175"/>
      <c r="E163" s="175"/>
      <c r="F163" s="597"/>
      <c r="G163" s="597"/>
      <c r="H163" s="597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</row>
    <row r="164" ht="12.0" customHeight="1">
      <c r="A164" s="175"/>
      <c r="B164" s="175"/>
      <c r="C164" s="175"/>
      <c r="D164" s="175"/>
      <c r="E164" s="175"/>
      <c r="F164" s="597"/>
      <c r="G164" s="597"/>
      <c r="H164" s="597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</row>
    <row r="165" ht="12.0" customHeight="1">
      <c r="A165" s="175"/>
      <c r="B165" s="175"/>
      <c r="C165" s="175"/>
      <c r="D165" s="175"/>
      <c r="E165" s="175"/>
      <c r="F165" s="597"/>
      <c r="G165" s="597"/>
      <c r="H165" s="597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</row>
    <row r="166" ht="12.0" customHeight="1">
      <c r="A166" s="175"/>
      <c r="B166" s="175"/>
      <c r="C166" s="175"/>
      <c r="D166" s="175"/>
      <c r="E166" s="175"/>
      <c r="F166" s="597"/>
      <c r="G166" s="597"/>
      <c r="H166" s="597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</row>
    <row r="167" ht="12.0" customHeight="1">
      <c r="A167" s="175"/>
      <c r="B167" s="175"/>
      <c r="C167" s="175"/>
      <c r="D167" s="175"/>
      <c r="E167" s="175"/>
      <c r="F167" s="597"/>
      <c r="G167" s="597"/>
      <c r="H167" s="597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</row>
    <row r="168" ht="12.0" customHeight="1">
      <c r="A168" s="175"/>
      <c r="B168" s="175"/>
      <c r="C168" s="175"/>
      <c r="D168" s="175"/>
      <c r="E168" s="175"/>
      <c r="F168" s="597"/>
      <c r="G168" s="597"/>
      <c r="H168" s="597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</row>
    <row r="169" ht="12.0" customHeight="1">
      <c r="A169" s="175"/>
      <c r="B169" s="175"/>
      <c r="C169" s="175"/>
      <c r="D169" s="175"/>
      <c r="E169" s="175"/>
      <c r="F169" s="597"/>
      <c r="G169" s="597"/>
      <c r="H169" s="597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</row>
    <row r="170" ht="12.0" customHeight="1">
      <c r="A170" s="175"/>
      <c r="B170" s="175"/>
      <c r="C170" s="175"/>
      <c r="D170" s="175"/>
      <c r="E170" s="175"/>
      <c r="F170" s="597"/>
      <c r="G170" s="597"/>
      <c r="H170" s="597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</row>
    <row r="171" ht="12.0" customHeight="1">
      <c r="A171" s="175"/>
      <c r="B171" s="175"/>
      <c r="C171" s="175"/>
      <c r="D171" s="175"/>
      <c r="E171" s="175"/>
      <c r="F171" s="597"/>
      <c r="G171" s="597"/>
      <c r="H171" s="597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</row>
    <row r="172" ht="12.0" customHeight="1">
      <c r="A172" s="175"/>
      <c r="B172" s="175"/>
      <c r="C172" s="175"/>
      <c r="D172" s="175"/>
      <c r="E172" s="175"/>
      <c r="F172" s="597"/>
      <c r="G172" s="597"/>
      <c r="H172" s="597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</row>
    <row r="173" ht="12.0" customHeight="1">
      <c r="A173" s="175"/>
      <c r="B173" s="175"/>
      <c r="C173" s="175"/>
      <c r="D173" s="175"/>
      <c r="E173" s="175"/>
      <c r="F173" s="597"/>
      <c r="G173" s="597"/>
      <c r="H173" s="597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</row>
    <row r="174" ht="12.0" customHeight="1">
      <c r="A174" s="175"/>
      <c r="B174" s="175"/>
      <c r="C174" s="175"/>
      <c r="D174" s="175"/>
      <c r="E174" s="175"/>
      <c r="F174" s="597"/>
      <c r="G174" s="597"/>
      <c r="H174" s="597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</row>
    <row r="175" ht="12.0" customHeight="1">
      <c r="A175" s="175"/>
      <c r="B175" s="175"/>
      <c r="C175" s="175"/>
      <c r="D175" s="175"/>
      <c r="E175" s="175"/>
      <c r="F175" s="597"/>
      <c r="G175" s="597"/>
      <c r="H175" s="597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</row>
    <row r="176" ht="12.0" customHeight="1">
      <c r="A176" s="175"/>
      <c r="B176" s="175"/>
      <c r="C176" s="175"/>
      <c r="D176" s="175"/>
      <c r="E176" s="175"/>
      <c r="F176" s="597"/>
      <c r="G176" s="597"/>
      <c r="H176" s="597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</row>
    <row r="177" ht="12.0" customHeight="1">
      <c r="A177" s="175"/>
      <c r="B177" s="175"/>
      <c r="C177" s="175"/>
      <c r="D177" s="175"/>
      <c r="E177" s="175"/>
      <c r="F177" s="597"/>
      <c r="G177" s="597"/>
      <c r="H177" s="597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</row>
    <row r="178" ht="12.0" customHeight="1">
      <c r="A178" s="175"/>
      <c r="B178" s="175"/>
      <c r="C178" s="175"/>
      <c r="D178" s="175"/>
      <c r="E178" s="175"/>
      <c r="F178" s="597"/>
      <c r="G178" s="597"/>
      <c r="H178" s="597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</row>
    <row r="179" ht="12.0" customHeight="1">
      <c r="A179" s="175"/>
      <c r="B179" s="175"/>
      <c r="C179" s="175"/>
      <c r="D179" s="175"/>
      <c r="E179" s="175"/>
      <c r="F179" s="597"/>
      <c r="G179" s="597"/>
      <c r="H179" s="597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</row>
    <row r="180" ht="12.0" customHeight="1">
      <c r="A180" s="175"/>
      <c r="B180" s="175"/>
      <c r="C180" s="175"/>
      <c r="D180" s="175"/>
      <c r="E180" s="175"/>
      <c r="F180" s="597"/>
      <c r="G180" s="597"/>
      <c r="H180" s="597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</row>
    <row r="181" ht="12.0" customHeight="1">
      <c r="A181" s="175"/>
      <c r="B181" s="175"/>
      <c r="C181" s="175"/>
      <c r="D181" s="175"/>
      <c r="E181" s="175"/>
      <c r="F181" s="597"/>
      <c r="G181" s="597"/>
      <c r="H181" s="597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</row>
    <row r="182" ht="12.0" customHeight="1">
      <c r="A182" s="175"/>
      <c r="B182" s="175"/>
      <c r="C182" s="175"/>
      <c r="D182" s="175"/>
      <c r="E182" s="175"/>
      <c r="F182" s="597"/>
      <c r="G182" s="597"/>
      <c r="H182" s="597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</row>
    <row r="183" ht="12.0" customHeight="1">
      <c r="A183" s="175"/>
      <c r="B183" s="175"/>
      <c r="C183" s="175"/>
      <c r="D183" s="175"/>
      <c r="E183" s="175"/>
      <c r="F183" s="597"/>
      <c r="G183" s="597"/>
      <c r="H183" s="597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</row>
    <row r="184" ht="12.0" customHeight="1">
      <c r="A184" s="175"/>
      <c r="B184" s="175"/>
      <c r="C184" s="175"/>
      <c r="D184" s="175"/>
      <c r="E184" s="175"/>
      <c r="F184" s="597"/>
      <c r="G184" s="597"/>
      <c r="H184" s="597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</row>
    <row r="185" ht="12.0" customHeight="1">
      <c r="A185" s="175"/>
      <c r="B185" s="175"/>
      <c r="C185" s="175"/>
      <c r="D185" s="175"/>
      <c r="E185" s="175"/>
      <c r="F185" s="597"/>
      <c r="G185" s="597"/>
      <c r="H185" s="597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</row>
    <row r="186" ht="12.0" customHeight="1">
      <c r="A186" s="175"/>
      <c r="B186" s="175"/>
      <c r="C186" s="175"/>
      <c r="D186" s="175"/>
      <c r="E186" s="175"/>
      <c r="F186" s="597"/>
      <c r="G186" s="597"/>
      <c r="H186" s="597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</row>
    <row r="187" ht="12.0" customHeight="1">
      <c r="A187" s="175"/>
      <c r="B187" s="175"/>
      <c r="C187" s="175"/>
      <c r="D187" s="175"/>
      <c r="E187" s="175"/>
      <c r="F187" s="597"/>
      <c r="G187" s="597"/>
      <c r="H187" s="597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</row>
    <row r="188" ht="12.0" customHeight="1">
      <c r="A188" s="175"/>
      <c r="B188" s="175"/>
      <c r="C188" s="175"/>
      <c r="D188" s="175"/>
      <c r="E188" s="175"/>
      <c r="F188" s="597"/>
      <c r="G188" s="597"/>
      <c r="H188" s="597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</row>
    <row r="189" ht="12.0" customHeight="1">
      <c r="A189" s="175"/>
      <c r="B189" s="175"/>
      <c r="C189" s="175"/>
      <c r="D189" s="175"/>
      <c r="E189" s="175"/>
      <c r="F189" s="597"/>
      <c r="G189" s="597"/>
      <c r="H189" s="597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</row>
    <row r="190" ht="12.0" customHeight="1">
      <c r="A190" s="175"/>
      <c r="B190" s="175"/>
      <c r="C190" s="175"/>
      <c r="D190" s="175"/>
      <c r="E190" s="175"/>
      <c r="F190" s="597"/>
      <c r="G190" s="597"/>
      <c r="H190" s="597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</row>
    <row r="191" ht="12.0" customHeight="1">
      <c r="A191" s="175"/>
      <c r="B191" s="175"/>
      <c r="C191" s="175"/>
      <c r="D191" s="175"/>
      <c r="E191" s="175"/>
      <c r="F191" s="597"/>
      <c r="G191" s="597"/>
      <c r="H191" s="597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</row>
    <row r="192" ht="12.0" customHeight="1">
      <c r="A192" s="175"/>
      <c r="B192" s="175"/>
      <c r="C192" s="175"/>
      <c r="D192" s="175"/>
      <c r="E192" s="175"/>
      <c r="F192" s="597"/>
      <c r="G192" s="597"/>
      <c r="H192" s="597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</row>
    <row r="193" ht="12.0" customHeight="1">
      <c r="A193" s="175"/>
      <c r="B193" s="175"/>
      <c r="C193" s="175"/>
      <c r="D193" s="175"/>
      <c r="E193" s="175"/>
      <c r="F193" s="597"/>
      <c r="G193" s="597"/>
      <c r="H193" s="597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</row>
    <row r="194" ht="12.0" customHeight="1">
      <c r="A194" s="175"/>
      <c r="B194" s="175"/>
      <c r="C194" s="175"/>
      <c r="D194" s="175"/>
      <c r="E194" s="175"/>
      <c r="F194" s="597"/>
      <c r="G194" s="597"/>
      <c r="H194" s="597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</row>
    <row r="195" ht="12.0" customHeight="1">
      <c r="A195" s="175"/>
      <c r="B195" s="175"/>
      <c r="C195" s="175"/>
      <c r="D195" s="175"/>
      <c r="E195" s="175"/>
      <c r="F195" s="597"/>
      <c r="G195" s="597"/>
      <c r="H195" s="597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</row>
    <row r="196" ht="12.0" customHeight="1">
      <c r="A196" s="175"/>
      <c r="B196" s="175"/>
      <c r="C196" s="175"/>
      <c r="D196" s="175"/>
      <c r="E196" s="175"/>
      <c r="F196" s="597"/>
      <c r="G196" s="597"/>
      <c r="H196" s="597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</row>
    <row r="197" ht="12.0" customHeight="1">
      <c r="A197" s="175"/>
      <c r="B197" s="175"/>
      <c r="C197" s="175"/>
      <c r="D197" s="175"/>
      <c r="E197" s="175"/>
      <c r="F197" s="597"/>
      <c r="G197" s="597"/>
      <c r="H197" s="597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</row>
    <row r="198" ht="12.0" customHeight="1">
      <c r="A198" s="175"/>
      <c r="B198" s="175"/>
      <c r="C198" s="175"/>
      <c r="D198" s="175"/>
      <c r="E198" s="175"/>
      <c r="F198" s="597"/>
      <c r="G198" s="597"/>
      <c r="H198" s="597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</row>
    <row r="199" ht="12.0" customHeight="1">
      <c r="A199" s="175"/>
      <c r="B199" s="175"/>
      <c r="C199" s="175"/>
      <c r="D199" s="175"/>
      <c r="E199" s="175"/>
      <c r="F199" s="597"/>
      <c r="G199" s="597"/>
      <c r="H199" s="597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</row>
    <row r="200" ht="12.0" customHeight="1">
      <c r="A200" s="175"/>
      <c r="B200" s="175"/>
      <c r="C200" s="175"/>
      <c r="D200" s="175"/>
      <c r="E200" s="175"/>
      <c r="F200" s="597"/>
      <c r="G200" s="597"/>
      <c r="H200" s="597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</row>
    <row r="201" ht="12.0" customHeight="1">
      <c r="A201" s="175"/>
      <c r="B201" s="175"/>
      <c r="C201" s="175"/>
      <c r="D201" s="175"/>
      <c r="E201" s="175"/>
      <c r="F201" s="597"/>
      <c r="G201" s="597"/>
      <c r="H201" s="597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</row>
    <row r="202" ht="12.0" customHeight="1">
      <c r="A202" s="175"/>
      <c r="B202" s="175"/>
      <c r="C202" s="175"/>
      <c r="D202" s="175"/>
      <c r="E202" s="175"/>
      <c r="F202" s="597"/>
      <c r="G202" s="597"/>
      <c r="H202" s="597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</row>
    <row r="203" ht="12.0" customHeight="1">
      <c r="A203" s="175"/>
      <c r="B203" s="175"/>
      <c r="C203" s="175"/>
      <c r="D203" s="175"/>
      <c r="E203" s="175"/>
      <c r="F203" s="597"/>
      <c r="G203" s="597"/>
      <c r="H203" s="597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</row>
    <row r="204" ht="12.0" customHeight="1">
      <c r="A204" s="175"/>
      <c r="B204" s="175"/>
      <c r="C204" s="175"/>
      <c r="D204" s="175"/>
      <c r="E204" s="175"/>
      <c r="F204" s="597"/>
      <c r="G204" s="597"/>
      <c r="H204" s="597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</row>
    <row r="205" ht="12.0" customHeight="1">
      <c r="A205" s="175"/>
      <c r="B205" s="175"/>
      <c r="C205" s="175"/>
      <c r="D205" s="175"/>
      <c r="E205" s="175"/>
      <c r="F205" s="597"/>
      <c r="G205" s="597"/>
      <c r="H205" s="597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</row>
    <row r="206" ht="12.0" customHeight="1">
      <c r="A206" s="175"/>
      <c r="B206" s="175"/>
      <c r="C206" s="175"/>
      <c r="D206" s="175"/>
      <c r="E206" s="175"/>
      <c r="F206" s="597"/>
      <c r="G206" s="597"/>
      <c r="H206" s="597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</row>
    <row r="207" ht="12.0" customHeight="1">
      <c r="A207" s="175"/>
      <c r="B207" s="175"/>
      <c r="C207" s="175"/>
      <c r="D207" s="175"/>
      <c r="E207" s="175"/>
      <c r="F207" s="597"/>
      <c r="G207" s="597"/>
      <c r="H207" s="597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</row>
    <row r="208" ht="12.0" customHeight="1">
      <c r="A208" s="175"/>
      <c r="B208" s="175"/>
      <c r="C208" s="175"/>
      <c r="D208" s="175"/>
      <c r="E208" s="175"/>
      <c r="F208" s="597"/>
      <c r="G208" s="597"/>
      <c r="H208" s="597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</row>
    <row r="209" ht="12.0" customHeight="1">
      <c r="A209" s="175"/>
      <c r="B209" s="175"/>
      <c r="C209" s="175"/>
      <c r="D209" s="175"/>
      <c r="E209" s="175"/>
      <c r="F209" s="597"/>
      <c r="G209" s="597"/>
      <c r="H209" s="597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</row>
    <row r="210" ht="12.0" customHeight="1">
      <c r="A210" s="175"/>
      <c r="B210" s="175"/>
      <c r="C210" s="175"/>
      <c r="D210" s="175"/>
      <c r="E210" s="175"/>
      <c r="F210" s="597"/>
      <c r="G210" s="597"/>
      <c r="H210" s="597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</row>
    <row r="211" ht="12.0" customHeight="1">
      <c r="A211" s="175"/>
      <c r="B211" s="175"/>
      <c r="C211" s="175"/>
      <c r="D211" s="175"/>
      <c r="E211" s="175"/>
      <c r="F211" s="597"/>
      <c r="G211" s="597"/>
      <c r="H211" s="597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</row>
    <row r="212" ht="12.0" customHeight="1">
      <c r="A212" s="175"/>
      <c r="B212" s="175"/>
      <c r="C212" s="175"/>
      <c r="D212" s="175"/>
      <c r="E212" s="175"/>
      <c r="F212" s="597"/>
      <c r="G212" s="597"/>
      <c r="H212" s="597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</row>
    <row r="213" ht="12.0" customHeight="1">
      <c r="A213" s="175"/>
      <c r="B213" s="175"/>
      <c r="C213" s="175"/>
      <c r="D213" s="175"/>
      <c r="E213" s="175"/>
      <c r="F213" s="597"/>
      <c r="G213" s="597"/>
      <c r="H213" s="597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</row>
    <row r="214" ht="12.0" customHeight="1">
      <c r="A214" s="175"/>
      <c r="B214" s="175"/>
      <c r="C214" s="175"/>
      <c r="D214" s="175"/>
      <c r="E214" s="175"/>
      <c r="F214" s="597"/>
      <c r="G214" s="597"/>
      <c r="H214" s="597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</row>
    <row r="215" ht="12.0" customHeight="1">
      <c r="A215" s="175"/>
      <c r="B215" s="175"/>
      <c r="C215" s="175"/>
      <c r="D215" s="175"/>
      <c r="E215" s="175"/>
      <c r="F215" s="597"/>
      <c r="G215" s="597"/>
      <c r="H215" s="597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</row>
    <row r="216" ht="12.0" customHeight="1">
      <c r="A216" s="175"/>
      <c r="B216" s="175"/>
      <c r="C216" s="175"/>
      <c r="D216" s="175"/>
      <c r="E216" s="175"/>
      <c r="F216" s="597"/>
      <c r="G216" s="597"/>
      <c r="H216" s="597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</row>
    <row r="217" ht="12.0" customHeight="1">
      <c r="A217" s="175"/>
      <c r="B217" s="175"/>
      <c r="C217" s="175"/>
      <c r="D217" s="175"/>
      <c r="E217" s="175"/>
      <c r="F217" s="597"/>
      <c r="G217" s="597"/>
      <c r="H217" s="597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</row>
    <row r="218" ht="12.0" customHeight="1">
      <c r="A218" s="175"/>
      <c r="B218" s="175"/>
      <c r="C218" s="175"/>
      <c r="D218" s="175"/>
      <c r="E218" s="175"/>
      <c r="F218" s="597"/>
      <c r="G218" s="597"/>
      <c r="H218" s="597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</row>
    <row r="219" ht="12.0" customHeight="1">
      <c r="A219" s="175"/>
      <c r="B219" s="175"/>
      <c r="C219" s="175"/>
      <c r="D219" s="175"/>
      <c r="E219" s="175"/>
      <c r="F219" s="597"/>
      <c r="G219" s="597"/>
      <c r="H219" s="597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</row>
    <row r="220" ht="12.0" customHeight="1">
      <c r="A220" s="175"/>
      <c r="B220" s="175"/>
      <c r="C220" s="175"/>
      <c r="D220" s="175"/>
      <c r="E220" s="175"/>
      <c r="F220" s="597"/>
      <c r="G220" s="597"/>
      <c r="H220" s="597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</row>
    <row r="221" ht="12.0" customHeight="1">
      <c r="A221" s="175"/>
      <c r="B221" s="175"/>
      <c r="C221" s="175"/>
      <c r="D221" s="175"/>
      <c r="E221" s="175"/>
      <c r="F221" s="597"/>
      <c r="G221" s="597"/>
      <c r="H221" s="597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</row>
    <row r="222" ht="12.0" customHeight="1">
      <c r="A222" s="175"/>
      <c r="B222" s="175"/>
      <c r="C222" s="175"/>
      <c r="D222" s="175"/>
      <c r="E222" s="175"/>
      <c r="F222" s="597"/>
      <c r="G222" s="597"/>
      <c r="H222" s="597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</row>
    <row r="223" ht="12.0" customHeight="1">
      <c r="A223" s="175"/>
      <c r="B223" s="175"/>
      <c r="C223" s="175"/>
      <c r="D223" s="175"/>
      <c r="E223" s="175"/>
      <c r="F223" s="597"/>
      <c r="G223" s="597"/>
      <c r="H223" s="597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</row>
    <row r="224" ht="12.0" customHeight="1">
      <c r="A224" s="175"/>
      <c r="B224" s="175"/>
      <c r="C224" s="175"/>
      <c r="D224" s="175"/>
      <c r="E224" s="175"/>
      <c r="F224" s="597"/>
      <c r="G224" s="597"/>
      <c r="H224" s="597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</row>
    <row r="225" ht="12.0" customHeight="1">
      <c r="A225" s="175"/>
      <c r="B225" s="175"/>
      <c r="C225" s="175"/>
      <c r="D225" s="175"/>
      <c r="E225" s="175"/>
      <c r="F225" s="597"/>
      <c r="G225" s="597"/>
      <c r="H225" s="597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</row>
    <row r="226" ht="12.0" customHeight="1">
      <c r="A226" s="175"/>
      <c r="B226" s="175"/>
      <c r="C226" s="175"/>
      <c r="D226" s="175"/>
      <c r="E226" s="175"/>
      <c r="F226" s="597"/>
      <c r="G226" s="597"/>
      <c r="H226" s="597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</row>
    <row r="227" ht="12.0" customHeight="1">
      <c r="A227" s="175"/>
      <c r="B227" s="175"/>
      <c r="C227" s="175"/>
      <c r="D227" s="175"/>
      <c r="E227" s="175"/>
      <c r="F227" s="597"/>
      <c r="G227" s="597"/>
      <c r="H227" s="597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</row>
    <row r="228" ht="12.0" customHeight="1">
      <c r="A228" s="175"/>
      <c r="B228" s="175"/>
      <c r="C228" s="175"/>
      <c r="D228" s="175"/>
      <c r="E228" s="175"/>
      <c r="F228" s="597"/>
      <c r="G228" s="597"/>
      <c r="H228" s="597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</row>
    <row r="229" ht="12.0" customHeight="1">
      <c r="A229" s="175"/>
      <c r="B229" s="175"/>
      <c r="C229" s="175"/>
      <c r="D229" s="175"/>
      <c r="E229" s="175"/>
      <c r="F229" s="597"/>
      <c r="G229" s="597"/>
      <c r="H229" s="597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</row>
    <row r="230" ht="12.0" customHeight="1">
      <c r="A230" s="175"/>
      <c r="B230" s="175"/>
      <c r="C230" s="175"/>
      <c r="D230" s="175"/>
      <c r="E230" s="175"/>
      <c r="F230" s="597"/>
      <c r="G230" s="597"/>
      <c r="H230" s="597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</row>
    <row r="231" ht="12.0" customHeight="1">
      <c r="A231" s="175"/>
      <c r="B231" s="175"/>
      <c r="C231" s="175"/>
      <c r="D231" s="175"/>
      <c r="E231" s="175"/>
      <c r="F231" s="597"/>
      <c r="G231" s="597"/>
      <c r="H231" s="597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</row>
    <row r="232" ht="12.0" customHeight="1">
      <c r="A232" s="175"/>
      <c r="B232" s="175"/>
      <c r="C232" s="175"/>
      <c r="D232" s="175"/>
      <c r="E232" s="175"/>
      <c r="F232" s="597"/>
      <c r="G232" s="597"/>
      <c r="H232" s="597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</row>
    <row r="233" ht="12.0" customHeight="1">
      <c r="A233" s="175"/>
      <c r="B233" s="175"/>
      <c r="C233" s="175"/>
      <c r="D233" s="175"/>
      <c r="E233" s="175"/>
      <c r="F233" s="597"/>
      <c r="G233" s="597"/>
      <c r="H233" s="597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</row>
    <row r="234" ht="12.0" customHeight="1">
      <c r="A234" s="175"/>
      <c r="B234" s="175"/>
      <c r="C234" s="175"/>
      <c r="D234" s="175"/>
      <c r="E234" s="175"/>
      <c r="F234" s="597"/>
      <c r="G234" s="597"/>
      <c r="H234" s="597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</row>
    <row r="235" ht="12.0" customHeight="1">
      <c r="A235" s="175"/>
      <c r="B235" s="175"/>
      <c r="C235" s="175"/>
      <c r="D235" s="175"/>
      <c r="E235" s="175"/>
      <c r="F235" s="597"/>
      <c r="G235" s="597"/>
      <c r="H235" s="597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</row>
    <row r="236" ht="12.0" customHeight="1">
      <c r="A236" s="175"/>
      <c r="B236" s="175"/>
      <c r="C236" s="175"/>
      <c r="D236" s="175"/>
      <c r="E236" s="175"/>
      <c r="F236" s="597"/>
      <c r="G236" s="597"/>
      <c r="H236" s="597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</row>
    <row r="237" ht="12.0" customHeight="1">
      <c r="A237" s="175"/>
      <c r="B237" s="175"/>
      <c r="C237" s="175"/>
      <c r="D237" s="175"/>
      <c r="E237" s="175"/>
      <c r="F237" s="597"/>
      <c r="G237" s="597"/>
      <c r="H237" s="597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</row>
    <row r="238" ht="12.0" customHeight="1">
      <c r="A238" s="175"/>
      <c r="B238" s="175"/>
      <c r="C238" s="175"/>
      <c r="D238" s="175"/>
      <c r="E238" s="175"/>
      <c r="F238" s="597"/>
      <c r="G238" s="597"/>
      <c r="H238" s="597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</row>
    <row r="239" ht="12.0" customHeight="1">
      <c r="A239" s="175"/>
      <c r="B239" s="175"/>
      <c r="C239" s="175"/>
      <c r="D239" s="175"/>
      <c r="E239" s="175"/>
      <c r="F239" s="597"/>
      <c r="G239" s="597"/>
      <c r="H239" s="597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</row>
    <row r="240" ht="12.0" customHeight="1">
      <c r="A240" s="175"/>
      <c r="B240" s="175"/>
      <c r="C240" s="175"/>
      <c r="D240" s="175"/>
      <c r="E240" s="175"/>
      <c r="F240" s="597"/>
      <c r="G240" s="597"/>
      <c r="H240" s="597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</row>
    <row r="241" ht="12.0" customHeight="1">
      <c r="A241" s="175"/>
      <c r="B241" s="175"/>
      <c r="C241" s="175"/>
      <c r="D241" s="175"/>
      <c r="E241" s="175"/>
      <c r="F241" s="597"/>
      <c r="G241" s="597"/>
      <c r="H241" s="597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</row>
    <row r="242" ht="12.0" customHeight="1">
      <c r="A242" s="175"/>
      <c r="B242" s="175"/>
      <c r="C242" s="175"/>
      <c r="D242" s="175"/>
      <c r="E242" s="175"/>
      <c r="F242" s="597"/>
      <c r="G242" s="597"/>
      <c r="H242" s="597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</row>
    <row r="243" ht="12.0" customHeight="1">
      <c r="A243" s="175"/>
      <c r="B243" s="175"/>
      <c r="C243" s="175"/>
      <c r="D243" s="175"/>
      <c r="E243" s="175"/>
      <c r="F243" s="597"/>
      <c r="G243" s="597"/>
      <c r="H243" s="597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</row>
    <row r="244" ht="12.0" customHeight="1">
      <c r="A244" s="175"/>
      <c r="B244" s="175"/>
      <c r="C244" s="175"/>
      <c r="D244" s="175"/>
      <c r="E244" s="175"/>
      <c r="F244" s="597"/>
      <c r="G244" s="597"/>
      <c r="H244" s="597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</row>
    <row r="245" ht="12.0" customHeight="1">
      <c r="A245" s="175"/>
      <c r="B245" s="175"/>
      <c r="C245" s="175"/>
      <c r="D245" s="175"/>
      <c r="E245" s="175"/>
      <c r="F245" s="597"/>
      <c r="G245" s="597"/>
      <c r="H245" s="597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</row>
    <row r="246" ht="12.0" customHeight="1">
      <c r="A246" s="175"/>
      <c r="B246" s="175"/>
      <c r="C246" s="175"/>
      <c r="D246" s="175"/>
      <c r="E246" s="175"/>
      <c r="F246" s="597"/>
      <c r="G246" s="597"/>
      <c r="H246" s="597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</row>
    <row r="247" ht="12.0" customHeight="1">
      <c r="A247" s="175"/>
      <c r="B247" s="175"/>
      <c r="C247" s="175"/>
      <c r="D247" s="175"/>
      <c r="E247" s="175"/>
      <c r="F247" s="597"/>
      <c r="G247" s="597"/>
      <c r="H247" s="597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</row>
    <row r="248" ht="12.0" customHeight="1">
      <c r="A248" s="175"/>
      <c r="B248" s="175"/>
      <c r="C248" s="175"/>
      <c r="D248" s="175"/>
      <c r="E248" s="175"/>
      <c r="F248" s="597"/>
      <c r="G248" s="597"/>
      <c r="H248" s="597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</row>
    <row r="249" ht="12.0" customHeight="1">
      <c r="A249" s="175"/>
      <c r="B249" s="175"/>
      <c r="C249" s="175"/>
      <c r="D249" s="175"/>
      <c r="E249" s="175"/>
      <c r="F249" s="597"/>
      <c r="G249" s="597"/>
      <c r="H249" s="597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</row>
    <row r="250" ht="12.0" customHeight="1">
      <c r="A250" s="175"/>
      <c r="B250" s="175"/>
      <c r="C250" s="175"/>
      <c r="D250" s="175"/>
      <c r="E250" s="175"/>
      <c r="F250" s="597"/>
      <c r="G250" s="597"/>
      <c r="H250" s="597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</row>
    <row r="251" ht="12.0" customHeight="1">
      <c r="A251" s="175"/>
      <c r="B251" s="175"/>
      <c r="C251" s="175"/>
      <c r="D251" s="175"/>
      <c r="E251" s="175"/>
      <c r="F251" s="597"/>
      <c r="G251" s="597"/>
      <c r="H251" s="597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</row>
    <row r="252" ht="12.0" customHeight="1">
      <c r="A252" s="175"/>
      <c r="B252" s="175"/>
      <c r="C252" s="175"/>
      <c r="D252" s="175"/>
      <c r="E252" s="175"/>
      <c r="F252" s="597"/>
      <c r="G252" s="597"/>
      <c r="H252" s="597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</row>
    <row r="253" ht="12.0" customHeight="1">
      <c r="A253" s="175"/>
      <c r="B253" s="175"/>
      <c r="C253" s="175"/>
      <c r="D253" s="175"/>
      <c r="E253" s="175"/>
      <c r="F253" s="597"/>
      <c r="G253" s="597"/>
      <c r="H253" s="597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</row>
    <row r="254" ht="12.0" customHeight="1">
      <c r="A254" s="175"/>
      <c r="B254" s="175"/>
      <c r="C254" s="175"/>
      <c r="D254" s="175"/>
      <c r="E254" s="175"/>
      <c r="F254" s="597"/>
      <c r="G254" s="597"/>
      <c r="H254" s="597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</row>
    <row r="255" ht="12.0" customHeight="1">
      <c r="A255" s="175"/>
      <c r="B255" s="175"/>
      <c r="C255" s="175"/>
      <c r="D255" s="175"/>
      <c r="E255" s="175"/>
      <c r="F255" s="597"/>
      <c r="G255" s="597"/>
      <c r="H255" s="597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</row>
    <row r="256" ht="12.0" customHeight="1">
      <c r="A256" s="175"/>
      <c r="B256" s="175"/>
      <c r="C256" s="175"/>
      <c r="D256" s="175"/>
      <c r="E256" s="175"/>
      <c r="F256" s="597"/>
      <c r="G256" s="597"/>
      <c r="H256" s="597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</row>
    <row r="257" ht="12.0" customHeight="1">
      <c r="A257" s="175"/>
      <c r="B257" s="175"/>
      <c r="C257" s="175"/>
      <c r="D257" s="175"/>
      <c r="E257" s="175"/>
      <c r="F257" s="597"/>
      <c r="G257" s="597"/>
      <c r="H257" s="597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</row>
    <row r="258" ht="12.0" customHeight="1">
      <c r="A258" s="175"/>
      <c r="B258" s="175"/>
      <c r="C258" s="175"/>
      <c r="D258" s="175"/>
      <c r="E258" s="175"/>
      <c r="F258" s="597"/>
      <c r="G258" s="597"/>
      <c r="H258" s="597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</row>
    <row r="259" ht="12.0" customHeight="1">
      <c r="A259" s="175"/>
      <c r="B259" s="175"/>
      <c r="C259" s="175"/>
      <c r="D259" s="175"/>
      <c r="E259" s="175"/>
      <c r="F259" s="597"/>
      <c r="G259" s="597"/>
      <c r="H259" s="597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</row>
    <row r="260" ht="12.0" customHeight="1">
      <c r="A260" s="175"/>
      <c r="B260" s="175"/>
      <c r="C260" s="175"/>
      <c r="D260" s="175"/>
      <c r="E260" s="175"/>
      <c r="F260" s="597"/>
      <c r="G260" s="597"/>
      <c r="H260" s="597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</row>
    <row r="261" ht="12.0" customHeight="1">
      <c r="A261" s="175"/>
      <c r="B261" s="175"/>
      <c r="C261" s="175"/>
      <c r="D261" s="175"/>
      <c r="E261" s="175"/>
      <c r="F261" s="597"/>
      <c r="G261" s="597"/>
      <c r="H261" s="597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</row>
    <row r="262" ht="12.0" customHeight="1">
      <c r="A262" s="175"/>
      <c r="B262" s="175"/>
      <c r="C262" s="175"/>
      <c r="D262" s="175"/>
      <c r="E262" s="175"/>
      <c r="F262" s="597"/>
      <c r="G262" s="597"/>
      <c r="H262" s="597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</row>
    <row r="263" ht="12.0" customHeight="1">
      <c r="A263" s="175"/>
      <c r="B263" s="175"/>
      <c r="C263" s="175"/>
      <c r="D263" s="175"/>
      <c r="E263" s="175"/>
      <c r="F263" s="597"/>
      <c r="G263" s="597"/>
      <c r="H263" s="597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</row>
    <row r="264" ht="12.0" customHeight="1">
      <c r="A264" s="175"/>
      <c r="B264" s="175"/>
      <c r="C264" s="175"/>
      <c r="D264" s="175"/>
      <c r="E264" s="175"/>
      <c r="F264" s="597"/>
      <c r="G264" s="597"/>
      <c r="H264" s="597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</row>
    <row r="265" ht="12.0" customHeight="1">
      <c r="A265" s="175"/>
      <c r="B265" s="175"/>
      <c r="C265" s="175"/>
      <c r="D265" s="175"/>
      <c r="E265" s="175"/>
      <c r="F265" s="597"/>
      <c r="G265" s="597"/>
      <c r="H265" s="597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</row>
    <row r="266" ht="12.0" customHeight="1">
      <c r="A266" s="175"/>
      <c r="B266" s="175"/>
      <c r="C266" s="175"/>
      <c r="D266" s="175"/>
      <c r="E266" s="175"/>
      <c r="F266" s="597"/>
      <c r="G266" s="597"/>
      <c r="H266" s="597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</row>
    <row r="267" ht="12.0" customHeight="1">
      <c r="A267" s="175"/>
      <c r="B267" s="175"/>
      <c r="C267" s="175"/>
      <c r="D267" s="175"/>
      <c r="E267" s="175"/>
      <c r="F267" s="597"/>
      <c r="G267" s="597"/>
      <c r="H267" s="597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</row>
    <row r="268" ht="12.0" customHeight="1">
      <c r="A268" s="175"/>
      <c r="B268" s="175"/>
      <c r="C268" s="175"/>
      <c r="D268" s="175"/>
      <c r="E268" s="175"/>
      <c r="F268" s="597"/>
      <c r="G268" s="597"/>
      <c r="H268" s="597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</row>
    <row r="269" ht="12.0" customHeight="1">
      <c r="A269" s="175"/>
      <c r="B269" s="175"/>
      <c r="C269" s="175"/>
      <c r="D269" s="175"/>
      <c r="E269" s="175"/>
      <c r="F269" s="597"/>
      <c r="G269" s="597"/>
      <c r="H269" s="597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</row>
    <row r="270" ht="12.0" customHeight="1">
      <c r="A270" s="175"/>
      <c r="B270" s="175"/>
      <c r="C270" s="175"/>
      <c r="D270" s="175"/>
      <c r="E270" s="175"/>
      <c r="F270" s="597"/>
      <c r="G270" s="597"/>
      <c r="H270" s="597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</row>
    <row r="271" ht="12.0" customHeight="1">
      <c r="A271" s="175"/>
      <c r="B271" s="175"/>
      <c r="C271" s="175"/>
      <c r="D271" s="175"/>
      <c r="E271" s="175"/>
      <c r="F271" s="597"/>
      <c r="G271" s="597"/>
      <c r="H271" s="597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</row>
    <row r="272" ht="12.0" customHeight="1">
      <c r="A272" s="175"/>
      <c r="B272" s="175"/>
      <c r="C272" s="175"/>
      <c r="D272" s="175"/>
      <c r="E272" s="175"/>
      <c r="F272" s="597"/>
      <c r="G272" s="597"/>
      <c r="H272" s="597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</row>
    <row r="273" ht="12.0" customHeight="1">
      <c r="A273" s="175"/>
      <c r="B273" s="175"/>
      <c r="C273" s="175"/>
      <c r="D273" s="175"/>
      <c r="E273" s="175"/>
      <c r="F273" s="597"/>
      <c r="G273" s="597"/>
      <c r="H273" s="597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</row>
    <row r="274" ht="12.0" customHeight="1">
      <c r="A274" s="175"/>
      <c r="B274" s="175"/>
      <c r="C274" s="175"/>
      <c r="D274" s="175"/>
      <c r="E274" s="175"/>
      <c r="F274" s="597"/>
      <c r="G274" s="597"/>
      <c r="H274" s="597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</row>
    <row r="275" ht="12.0" customHeight="1">
      <c r="A275" s="175"/>
      <c r="B275" s="175"/>
      <c r="C275" s="175"/>
      <c r="D275" s="175"/>
      <c r="E275" s="175"/>
      <c r="F275" s="597"/>
      <c r="G275" s="597"/>
      <c r="H275" s="597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</row>
    <row r="276" ht="12.0" customHeight="1">
      <c r="A276" s="175"/>
      <c r="B276" s="175"/>
      <c r="C276" s="175"/>
      <c r="D276" s="175"/>
      <c r="E276" s="175"/>
      <c r="F276" s="597"/>
      <c r="G276" s="597"/>
      <c r="H276" s="597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</row>
    <row r="277" ht="12.0" customHeight="1">
      <c r="A277" s="175"/>
      <c r="B277" s="175"/>
      <c r="C277" s="175"/>
      <c r="D277" s="175"/>
      <c r="E277" s="175"/>
      <c r="F277" s="597"/>
      <c r="G277" s="597"/>
      <c r="H277" s="597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</row>
    <row r="278" ht="12.0" customHeight="1">
      <c r="A278" s="175"/>
      <c r="B278" s="175"/>
      <c r="C278" s="175"/>
      <c r="D278" s="175"/>
      <c r="E278" s="175"/>
      <c r="F278" s="597"/>
      <c r="G278" s="597"/>
      <c r="H278" s="597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</row>
    <row r="279" ht="12.0" customHeight="1">
      <c r="A279" s="175"/>
      <c r="B279" s="175"/>
      <c r="C279" s="175"/>
      <c r="D279" s="175"/>
      <c r="E279" s="175"/>
      <c r="F279" s="597"/>
      <c r="G279" s="597"/>
      <c r="H279" s="597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</row>
    <row r="280" ht="12.0" customHeight="1">
      <c r="A280" s="175"/>
      <c r="B280" s="175"/>
      <c r="C280" s="175"/>
      <c r="D280" s="175"/>
      <c r="E280" s="175"/>
      <c r="F280" s="597"/>
      <c r="G280" s="597"/>
      <c r="H280" s="597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</row>
    <row r="281" ht="12.0" customHeight="1">
      <c r="A281" s="175"/>
      <c r="B281" s="175"/>
      <c r="C281" s="175"/>
      <c r="D281" s="175"/>
      <c r="E281" s="175"/>
      <c r="F281" s="597"/>
      <c r="G281" s="597"/>
      <c r="H281" s="597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</row>
    <row r="282" ht="12.0" customHeight="1">
      <c r="A282" s="175"/>
      <c r="B282" s="175"/>
      <c r="C282" s="175"/>
      <c r="D282" s="175"/>
      <c r="E282" s="175"/>
      <c r="F282" s="597"/>
      <c r="G282" s="597"/>
      <c r="H282" s="597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</row>
    <row r="283" ht="12.0" customHeight="1">
      <c r="A283" s="175"/>
      <c r="B283" s="175"/>
      <c r="C283" s="175"/>
      <c r="D283" s="175"/>
      <c r="E283" s="175"/>
      <c r="F283" s="597"/>
      <c r="G283" s="597"/>
      <c r="H283" s="597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</row>
    <row r="284" ht="12.0" customHeight="1">
      <c r="A284" s="175"/>
      <c r="B284" s="175"/>
      <c r="C284" s="175"/>
      <c r="D284" s="175"/>
      <c r="E284" s="175"/>
      <c r="F284" s="597"/>
      <c r="G284" s="597"/>
      <c r="H284" s="597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</row>
    <row r="285" ht="12.0" customHeight="1">
      <c r="A285" s="175"/>
      <c r="B285" s="175"/>
      <c r="C285" s="175"/>
      <c r="D285" s="175"/>
      <c r="E285" s="175"/>
      <c r="F285" s="597"/>
      <c r="G285" s="597"/>
      <c r="H285" s="597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</row>
    <row r="286" ht="12.0" customHeight="1">
      <c r="A286" s="175"/>
      <c r="B286" s="175"/>
      <c r="C286" s="175"/>
      <c r="D286" s="175"/>
      <c r="E286" s="175"/>
      <c r="F286" s="597"/>
      <c r="G286" s="597"/>
      <c r="H286" s="597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</row>
    <row r="287" ht="12.0" customHeight="1">
      <c r="A287" s="175"/>
      <c r="B287" s="175"/>
      <c r="C287" s="175"/>
      <c r="D287" s="175"/>
      <c r="E287" s="175"/>
      <c r="F287" s="597"/>
      <c r="G287" s="597"/>
      <c r="H287" s="597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</row>
    <row r="288" ht="12.0" customHeight="1">
      <c r="A288" s="175"/>
      <c r="B288" s="175"/>
      <c r="C288" s="175"/>
      <c r="D288" s="175"/>
      <c r="E288" s="175"/>
      <c r="F288" s="597"/>
      <c r="G288" s="597"/>
      <c r="H288" s="597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</row>
    <row r="289" ht="12.0" customHeight="1">
      <c r="A289" s="175"/>
      <c r="B289" s="175"/>
      <c r="C289" s="175"/>
      <c r="D289" s="175"/>
      <c r="E289" s="175"/>
      <c r="F289" s="597"/>
      <c r="G289" s="597"/>
      <c r="H289" s="597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</row>
    <row r="290" ht="12.0" customHeight="1">
      <c r="A290" s="175"/>
      <c r="B290" s="175"/>
      <c r="C290" s="175"/>
      <c r="D290" s="175"/>
      <c r="E290" s="175"/>
      <c r="F290" s="597"/>
      <c r="G290" s="597"/>
      <c r="H290" s="597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</row>
    <row r="291" ht="12.0" customHeight="1">
      <c r="A291" s="175"/>
      <c r="B291" s="175"/>
      <c r="C291" s="175"/>
      <c r="D291" s="175"/>
      <c r="E291" s="175"/>
      <c r="F291" s="597"/>
      <c r="G291" s="597"/>
      <c r="H291" s="597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</row>
    <row r="292" ht="12.0" customHeight="1">
      <c r="A292" s="175"/>
      <c r="B292" s="175"/>
      <c r="C292" s="175"/>
      <c r="D292" s="175"/>
      <c r="E292" s="175"/>
      <c r="F292" s="597"/>
      <c r="G292" s="597"/>
      <c r="H292" s="597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</row>
    <row r="293" ht="12.0" customHeight="1">
      <c r="A293" s="175"/>
      <c r="B293" s="175"/>
      <c r="C293" s="175"/>
      <c r="D293" s="175"/>
      <c r="E293" s="175"/>
      <c r="F293" s="597"/>
      <c r="G293" s="597"/>
      <c r="H293" s="597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</row>
    <row r="294" ht="12.0" customHeight="1">
      <c r="A294" s="175"/>
      <c r="B294" s="175"/>
      <c r="C294" s="175"/>
      <c r="D294" s="175"/>
      <c r="E294" s="175"/>
      <c r="F294" s="597"/>
      <c r="G294" s="597"/>
      <c r="H294" s="597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</row>
    <row r="295" ht="12.0" customHeight="1">
      <c r="A295" s="175"/>
      <c r="B295" s="175"/>
      <c r="C295" s="175"/>
      <c r="D295" s="175"/>
      <c r="E295" s="175"/>
      <c r="F295" s="597"/>
      <c r="G295" s="597"/>
      <c r="H295" s="597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</row>
    <row r="296" ht="12.0" customHeight="1">
      <c r="A296" s="175"/>
      <c r="B296" s="175"/>
      <c r="C296" s="175"/>
      <c r="D296" s="175"/>
      <c r="E296" s="175"/>
      <c r="F296" s="597"/>
      <c r="G296" s="597"/>
      <c r="H296" s="597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</row>
    <row r="297" ht="12.0" customHeight="1">
      <c r="A297" s="175"/>
      <c r="B297" s="175"/>
      <c r="C297" s="175"/>
      <c r="D297" s="175"/>
      <c r="E297" s="175"/>
      <c r="F297" s="597"/>
      <c r="G297" s="597"/>
      <c r="H297" s="597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</row>
    <row r="298" ht="12.0" customHeight="1">
      <c r="A298" s="175"/>
      <c r="B298" s="175"/>
      <c r="C298" s="175"/>
      <c r="D298" s="175"/>
      <c r="E298" s="175"/>
      <c r="F298" s="597"/>
      <c r="G298" s="597"/>
      <c r="H298" s="597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</row>
    <row r="299" ht="12.0" customHeight="1">
      <c r="A299" s="175"/>
      <c r="B299" s="175"/>
      <c r="C299" s="175"/>
      <c r="D299" s="175"/>
      <c r="E299" s="175"/>
      <c r="F299" s="597"/>
      <c r="G299" s="597"/>
      <c r="H299" s="597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</row>
    <row r="300" ht="12.0" customHeight="1">
      <c r="A300" s="175"/>
      <c r="B300" s="175"/>
      <c r="C300" s="175"/>
      <c r="D300" s="175"/>
      <c r="E300" s="175"/>
      <c r="F300" s="597"/>
      <c r="G300" s="597"/>
      <c r="H300" s="597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</row>
    <row r="301" ht="12.0" customHeight="1">
      <c r="A301" s="175"/>
      <c r="B301" s="175"/>
      <c r="C301" s="175"/>
      <c r="D301" s="175"/>
      <c r="E301" s="175"/>
      <c r="F301" s="597"/>
      <c r="G301" s="597"/>
      <c r="H301" s="597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</row>
    <row r="302" ht="12.0" customHeight="1">
      <c r="A302" s="175"/>
      <c r="B302" s="175"/>
      <c r="C302" s="175"/>
      <c r="D302" s="175"/>
      <c r="E302" s="175"/>
      <c r="F302" s="597"/>
      <c r="G302" s="597"/>
      <c r="H302" s="597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</row>
    <row r="303" ht="12.0" customHeight="1">
      <c r="A303" s="175"/>
      <c r="B303" s="175"/>
      <c r="C303" s="175"/>
      <c r="D303" s="175"/>
      <c r="E303" s="175"/>
      <c r="F303" s="597"/>
      <c r="G303" s="597"/>
      <c r="H303" s="597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</row>
    <row r="304" ht="12.0" customHeight="1">
      <c r="A304" s="175"/>
      <c r="B304" s="175"/>
      <c r="C304" s="175"/>
      <c r="D304" s="175"/>
      <c r="E304" s="175"/>
      <c r="F304" s="597"/>
      <c r="G304" s="597"/>
      <c r="H304" s="597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</row>
    <row r="305" ht="12.0" customHeight="1">
      <c r="A305" s="175"/>
      <c r="B305" s="175"/>
      <c r="C305" s="175"/>
      <c r="D305" s="175"/>
      <c r="E305" s="175"/>
      <c r="F305" s="597"/>
      <c r="G305" s="597"/>
      <c r="H305" s="597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</row>
    <row r="306" ht="12.0" customHeight="1">
      <c r="A306" s="175"/>
      <c r="B306" s="175"/>
      <c r="C306" s="175"/>
      <c r="D306" s="175"/>
      <c r="E306" s="175"/>
      <c r="F306" s="597"/>
      <c r="G306" s="597"/>
      <c r="H306" s="597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</row>
    <row r="307" ht="12.0" customHeight="1">
      <c r="A307" s="175"/>
      <c r="B307" s="175"/>
      <c r="C307" s="175"/>
      <c r="D307" s="175"/>
      <c r="E307" s="175"/>
      <c r="F307" s="597"/>
      <c r="G307" s="597"/>
      <c r="H307" s="597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</row>
    <row r="308" ht="12.0" customHeight="1">
      <c r="A308" s="175"/>
      <c r="B308" s="175"/>
      <c r="C308" s="175"/>
      <c r="D308" s="175"/>
      <c r="E308" s="175"/>
      <c r="F308" s="597"/>
      <c r="G308" s="597"/>
      <c r="H308" s="597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</row>
    <row r="309" ht="12.0" customHeight="1">
      <c r="A309" s="175"/>
      <c r="B309" s="175"/>
      <c r="C309" s="175"/>
      <c r="D309" s="175"/>
      <c r="E309" s="175"/>
      <c r="F309" s="597"/>
      <c r="G309" s="597"/>
      <c r="H309" s="597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</row>
    <row r="310" ht="12.0" customHeight="1">
      <c r="A310" s="175"/>
      <c r="B310" s="175"/>
      <c r="C310" s="175"/>
      <c r="D310" s="175"/>
      <c r="E310" s="175"/>
      <c r="F310" s="597"/>
      <c r="G310" s="597"/>
      <c r="H310" s="597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</row>
    <row r="311" ht="12.0" customHeight="1">
      <c r="A311" s="175"/>
      <c r="B311" s="175"/>
      <c r="C311" s="175"/>
      <c r="D311" s="175"/>
      <c r="E311" s="175"/>
      <c r="F311" s="597"/>
      <c r="G311" s="597"/>
      <c r="H311" s="597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</row>
    <row r="312" ht="12.0" customHeight="1">
      <c r="A312" s="175"/>
      <c r="B312" s="175"/>
      <c r="C312" s="175"/>
      <c r="D312" s="175"/>
      <c r="E312" s="175"/>
      <c r="F312" s="597"/>
      <c r="G312" s="597"/>
      <c r="H312" s="597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</row>
    <row r="313" ht="12.0" customHeight="1">
      <c r="A313" s="175"/>
      <c r="B313" s="175"/>
      <c r="C313" s="175"/>
      <c r="D313" s="175"/>
      <c r="E313" s="175"/>
      <c r="F313" s="597"/>
      <c r="G313" s="597"/>
      <c r="H313" s="597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</row>
    <row r="314" ht="12.0" customHeight="1">
      <c r="A314" s="175"/>
      <c r="B314" s="175"/>
      <c r="C314" s="175"/>
      <c r="D314" s="175"/>
      <c r="E314" s="175"/>
      <c r="F314" s="597"/>
      <c r="G314" s="597"/>
      <c r="H314" s="597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</row>
    <row r="315" ht="12.0" customHeight="1">
      <c r="A315" s="175"/>
      <c r="B315" s="175"/>
      <c r="C315" s="175"/>
      <c r="D315" s="175"/>
      <c r="E315" s="175"/>
      <c r="F315" s="597"/>
      <c r="G315" s="597"/>
      <c r="H315" s="597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</row>
    <row r="316" ht="12.0" customHeight="1">
      <c r="A316" s="175"/>
      <c r="B316" s="175"/>
      <c r="C316" s="175"/>
      <c r="D316" s="175"/>
      <c r="E316" s="175"/>
      <c r="F316" s="597"/>
      <c r="G316" s="597"/>
      <c r="H316" s="597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</row>
    <row r="317" ht="12.0" customHeight="1">
      <c r="A317" s="175"/>
      <c r="B317" s="175"/>
      <c r="C317" s="175"/>
      <c r="D317" s="175"/>
      <c r="E317" s="175"/>
      <c r="F317" s="597"/>
      <c r="G317" s="597"/>
      <c r="H317" s="597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</row>
    <row r="318" ht="12.0" customHeight="1">
      <c r="A318" s="175"/>
      <c r="B318" s="175"/>
      <c r="C318" s="175"/>
      <c r="D318" s="175"/>
      <c r="E318" s="175"/>
      <c r="F318" s="597"/>
      <c r="G318" s="597"/>
      <c r="H318" s="597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</row>
    <row r="319" ht="12.0" customHeight="1">
      <c r="A319" s="175"/>
      <c r="B319" s="175"/>
      <c r="C319" s="175"/>
      <c r="D319" s="175"/>
      <c r="E319" s="175"/>
      <c r="F319" s="597"/>
      <c r="G319" s="597"/>
      <c r="H319" s="597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</row>
    <row r="320" ht="12.0" customHeight="1">
      <c r="A320" s="175"/>
      <c r="B320" s="175"/>
      <c r="C320" s="175"/>
      <c r="D320" s="175"/>
      <c r="E320" s="175"/>
      <c r="F320" s="597"/>
      <c r="G320" s="597"/>
      <c r="H320" s="597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</row>
    <row r="321" ht="12.0" customHeight="1">
      <c r="A321" s="175"/>
      <c r="B321" s="175"/>
      <c r="C321" s="175"/>
      <c r="D321" s="175"/>
      <c r="E321" s="175"/>
      <c r="F321" s="597"/>
      <c r="G321" s="597"/>
      <c r="H321" s="597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</row>
    <row r="322" ht="12.0" customHeight="1">
      <c r="A322" s="175"/>
      <c r="B322" s="175"/>
      <c r="C322" s="175"/>
      <c r="D322" s="175"/>
      <c r="E322" s="175"/>
      <c r="F322" s="597"/>
      <c r="G322" s="597"/>
      <c r="H322" s="597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</row>
    <row r="323" ht="12.0" customHeight="1">
      <c r="A323" s="175"/>
      <c r="B323" s="175"/>
      <c r="C323" s="175"/>
      <c r="D323" s="175"/>
      <c r="E323" s="175"/>
      <c r="F323" s="597"/>
      <c r="G323" s="597"/>
      <c r="H323" s="597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</row>
    <row r="324" ht="12.0" customHeight="1">
      <c r="A324" s="175"/>
      <c r="B324" s="175"/>
      <c r="C324" s="175"/>
      <c r="D324" s="175"/>
      <c r="E324" s="175"/>
      <c r="F324" s="597"/>
      <c r="G324" s="597"/>
      <c r="H324" s="597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</row>
    <row r="325" ht="12.0" customHeight="1">
      <c r="A325" s="175"/>
      <c r="B325" s="175"/>
      <c r="C325" s="175"/>
      <c r="D325" s="175"/>
      <c r="E325" s="175"/>
      <c r="F325" s="597"/>
      <c r="G325" s="597"/>
      <c r="H325" s="597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</row>
    <row r="326" ht="12.0" customHeight="1">
      <c r="A326" s="175"/>
      <c r="B326" s="175"/>
      <c r="C326" s="175"/>
      <c r="D326" s="175"/>
      <c r="E326" s="175"/>
      <c r="F326" s="597"/>
      <c r="G326" s="597"/>
      <c r="H326" s="597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</row>
    <row r="327" ht="12.0" customHeight="1">
      <c r="A327" s="175"/>
      <c r="B327" s="175"/>
      <c r="C327" s="175"/>
      <c r="D327" s="175"/>
      <c r="E327" s="175"/>
      <c r="F327" s="597"/>
      <c r="G327" s="597"/>
      <c r="H327" s="597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</row>
    <row r="328" ht="12.0" customHeight="1">
      <c r="A328" s="175"/>
      <c r="B328" s="175"/>
      <c r="C328" s="175"/>
      <c r="D328" s="175"/>
      <c r="E328" s="175"/>
      <c r="F328" s="597"/>
      <c r="G328" s="597"/>
      <c r="H328" s="597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</row>
    <row r="329" ht="12.0" customHeight="1">
      <c r="A329" s="175"/>
      <c r="B329" s="175"/>
      <c r="C329" s="175"/>
      <c r="D329" s="175"/>
      <c r="E329" s="175"/>
      <c r="F329" s="597"/>
      <c r="G329" s="597"/>
      <c r="H329" s="597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</row>
    <row r="330" ht="12.0" customHeight="1">
      <c r="A330" s="175"/>
      <c r="B330" s="175"/>
      <c r="C330" s="175"/>
      <c r="D330" s="175"/>
      <c r="E330" s="175"/>
      <c r="F330" s="597"/>
      <c r="G330" s="597"/>
      <c r="H330" s="597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</row>
    <row r="331" ht="12.0" customHeight="1">
      <c r="A331" s="175"/>
      <c r="B331" s="175"/>
      <c r="C331" s="175"/>
      <c r="D331" s="175"/>
      <c r="E331" s="175"/>
      <c r="F331" s="597"/>
      <c r="G331" s="597"/>
      <c r="H331" s="597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</row>
    <row r="332" ht="12.0" customHeight="1">
      <c r="A332" s="175"/>
      <c r="B332" s="175"/>
      <c r="C332" s="175"/>
      <c r="D332" s="175"/>
      <c r="E332" s="175"/>
      <c r="F332" s="597"/>
      <c r="G332" s="597"/>
      <c r="H332" s="597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</row>
    <row r="333" ht="12.0" customHeight="1">
      <c r="A333" s="175"/>
      <c r="B333" s="175"/>
      <c r="C333" s="175"/>
      <c r="D333" s="175"/>
      <c r="E333" s="175"/>
      <c r="F333" s="597"/>
      <c r="G333" s="597"/>
      <c r="H333" s="597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</row>
    <row r="334" ht="12.0" customHeight="1">
      <c r="A334" s="175"/>
      <c r="B334" s="175"/>
      <c r="C334" s="175"/>
      <c r="D334" s="175"/>
      <c r="E334" s="175"/>
      <c r="F334" s="597"/>
      <c r="G334" s="597"/>
      <c r="H334" s="597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</row>
    <row r="335" ht="12.0" customHeight="1">
      <c r="A335" s="175"/>
      <c r="B335" s="175"/>
      <c r="C335" s="175"/>
      <c r="D335" s="175"/>
      <c r="E335" s="175"/>
      <c r="F335" s="597"/>
      <c r="G335" s="597"/>
      <c r="H335" s="597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</row>
    <row r="336" ht="12.0" customHeight="1">
      <c r="A336" s="175"/>
      <c r="B336" s="175"/>
      <c r="C336" s="175"/>
      <c r="D336" s="175"/>
      <c r="E336" s="175"/>
      <c r="F336" s="597"/>
      <c r="G336" s="597"/>
      <c r="H336" s="597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</row>
    <row r="337" ht="12.0" customHeight="1">
      <c r="A337" s="175"/>
      <c r="B337" s="175"/>
      <c r="C337" s="175"/>
      <c r="D337" s="175"/>
      <c r="E337" s="175"/>
      <c r="F337" s="597"/>
      <c r="G337" s="597"/>
      <c r="H337" s="597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</row>
    <row r="338" ht="12.0" customHeight="1">
      <c r="A338" s="175"/>
      <c r="B338" s="175"/>
      <c r="C338" s="175"/>
      <c r="D338" s="175"/>
      <c r="E338" s="175"/>
      <c r="F338" s="597"/>
      <c r="G338" s="597"/>
      <c r="H338" s="597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</row>
    <row r="339" ht="12.0" customHeight="1">
      <c r="A339" s="175"/>
      <c r="B339" s="175"/>
      <c r="C339" s="175"/>
      <c r="D339" s="175"/>
      <c r="E339" s="175"/>
      <c r="F339" s="597"/>
      <c r="G339" s="597"/>
      <c r="H339" s="597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</row>
    <row r="340" ht="12.0" customHeight="1">
      <c r="A340" s="175"/>
      <c r="B340" s="175"/>
      <c r="C340" s="175"/>
      <c r="D340" s="175"/>
      <c r="E340" s="175"/>
      <c r="F340" s="597"/>
      <c r="G340" s="597"/>
      <c r="H340" s="597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</row>
    <row r="341" ht="12.0" customHeight="1">
      <c r="A341" s="175"/>
      <c r="B341" s="175"/>
      <c r="C341" s="175"/>
      <c r="D341" s="175"/>
      <c r="E341" s="175"/>
      <c r="F341" s="597"/>
      <c r="G341" s="597"/>
      <c r="H341" s="597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</row>
    <row r="342" ht="12.0" customHeight="1">
      <c r="A342" s="175"/>
      <c r="B342" s="175"/>
      <c r="C342" s="175"/>
      <c r="D342" s="175"/>
      <c r="E342" s="175"/>
      <c r="F342" s="597"/>
      <c r="G342" s="597"/>
      <c r="H342" s="597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</row>
    <row r="343" ht="12.0" customHeight="1">
      <c r="A343" s="175"/>
      <c r="B343" s="175"/>
      <c r="C343" s="175"/>
      <c r="D343" s="175"/>
      <c r="E343" s="175"/>
      <c r="F343" s="597"/>
      <c r="G343" s="597"/>
      <c r="H343" s="597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</row>
    <row r="344" ht="12.0" customHeight="1">
      <c r="A344" s="175"/>
      <c r="B344" s="175"/>
      <c r="C344" s="175"/>
      <c r="D344" s="175"/>
      <c r="E344" s="175"/>
      <c r="F344" s="597"/>
      <c r="G344" s="597"/>
      <c r="H344" s="597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</row>
    <row r="345" ht="12.0" customHeight="1">
      <c r="A345" s="175"/>
      <c r="B345" s="175"/>
      <c r="C345" s="175"/>
      <c r="D345" s="175"/>
      <c r="E345" s="175"/>
      <c r="F345" s="597"/>
      <c r="G345" s="597"/>
      <c r="H345" s="597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</row>
    <row r="346" ht="12.0" customHeight="1">
      <c r="A346" s="175"/>
      <c r="B346" s="175"/>
      <c r="C346" s="175"/>
      <c r="D346" s="175"/>
      <c r="E346" s="175"/>
      <c r="F346" s="597"/>
      <c r="G346" s="597"/>
      <c r="H346" s="597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</row>
    <row r="347" ht="12.0" customHeight="1">
      <c r="A347" s="175"/>
      <c r="B347" s="175"/>
      <c r="C347" s="175"/>
      <c r="D347" s="175"/>
      <c r="E347" s="175"/>
      <c r="F347" s="597"/>
      <c r="G347" s="597"/>
      <c r="H347" s="597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</row>
    <row r="348" ht="12.0" customHeight="1">
      <c r="A348" s="175"/>
      <c r="B348" s="175"/>
      <c r="C348" s="175"/>
      <c r="D348" s="175"/>
      <c r="E348" s="175"/>
      <c r="F348" s="597"/>
      <c r="G348" s="597"/>
      <c r="H348" s="597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</row>
    <row r="349" ht="12.0" customHeight="1">
      <c r="A349" s="175"/>
      <c r="B349" s="175"/>
      <c r="C349" s="175"/>
      <c r="D349" s="175"/>
      <c r="E349" s="175"/>
      <c r="F349" s="597"/>
      <c r="G349" s="597"/>
      <c r="H349" s="597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</row>
    <row r="350" ht="12.0" customHeight="1">
      <c r="A350" s="175"/>
      <c r="B350" s="175"/>
      <c r="C350" s="175"/>
      <c r="D350" s="175"/>
      <c r="E350" s="175"/>
      <c r="F350" s="597"/>
      <c r="G350" s="597"/>
      <c r="H350" s="597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</row>
    <row r="351" ht="12.0" customHeight="1">
      <c r="A351" s="175"/>
      <c r="B351" s="175"/>
      <c r="C351" s="175"/>
      <c r="D351" s="175"/>
      <c r="E351" s="175"/>
      <c r="F351" s="597"/>
      <c r="G351" s="597"/>
      <c r="H351" s="597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</row>
    <row r="352" ht="12.0" customHeight="1">
      <c r="A352" s="175"/>
      <c r="B352" s="175"/>
      <c r="C352" s="175"/>
      <c r="D352" s="175"/>
      <c r="E352" s="175"/>
      <c r="F352" s="597"/>
      <c r="G352" s="597"/>
      <c r="H352" s="597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</row>
    <row r="353" ht="12.0" customHeight="1">
      <c r="A353" s="175"/>
      <c r="B353" s="175"/>
      <c r="C353" s="175"/>
      <c r="D353" s="175"/>
      <c r="E353" s="175"/>
      <c r="F353" s="597"/>
      <c r="G353" s="597"/>
      <c r="H353" s="597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</row>
    <row r="354" ht="12.0" customHeight="1">
      <c r="A354" s="175"/>
      <c r="B354" s="175"/>
      <c r="C354" s="175"/>
      <c r="D354" s="175"/>
      <c r="E354" s="175"/>
      <c r="F354" s="597"/>
      <c r="G354" s="597"/>
      <c r="H354" s="597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</row>
    <row r="355" ht="12.0" customHeight="1">
      <c r="A355" s="175"/>
      <c r="B355" s="175"/>
      <c r="C355" s="175"/>
      <c r="D355" s="175"/>
      <c r="E355" s="175"/>
      <c r="F355" s="597"/>
      <c r="G355" s="597"/>
      <c r="H355" s="597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</row>
    <row r="356" ht="12.0" customHeight="1">
      <c r="A356" s="175"/>
      <c r="B356" s="175"/>
      <c r="C356" s="175"/>
      <c r="D356" s="175"/>
      <c r="E356" s="175"/>
      <c r="F356" s="597"/>
      <c r="G356" s="597"/>
      <c r="H356" s="597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</row>
    <row r="357" ht="12.0" customHeight="1">
      <c r="A357" s="175"/>
      <c r="B357" s="175"/>
      <c r="C357" s="175"/>
      <c r="D357" s="175"/>
      <c r="E357" s="175"/>
      <c r="F357" s="597"/>
      <c r="G357" s="597"/>
      <c r="H357" s="597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</row>
    <row r="358" ht="12.0" customHeight="1">
      <c r="A358" s="175"/>
      <c r="B358" s="175"/>
      <c r="C358" s="175"/>
      <c r="D358" s="175"/>
      <c r="E358" s="175"/>
      <c r="F358" s="597"/>
      <c r="G358" s="597"/>
      <c r="H358" s="597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</row>
    <row r="359" ht="12.0" customHeight="1">
      <c r="A359" s="175"/>
      <c r="B359" s="175"/>
      <c r="C359" s="175"/>
      <c r="D359" s="175"/>
      <c r="E359" s="175"/>
      <c r="F359" s="597"/>
      <c r="G359" s="597"/>
      <c r="H359" s="597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</row>
    <row r="360" ht="12.0" customHeight="1">
      <c r="A360" s="175"/>
      <c r="B360" s="175"/>
      <c r="C360" s="175"/>
      <c r="D360" s="175"/>
      <c r="E360" s="175"/>
      <c r="F360" s="597"/>
      <c r="G360" s="597"/>
      <c r="H360" s="597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</row>
    <row r="361" ht="12.0" customHeight="1">
      <c r="A361" s="175"/>
      <c r="B361" s="175"/>
      <c r="C361" s="175"/>
      <c r="D361" s="175"/>
      <c r="E361" s="175"/>
      <c r="F361" s="597"/>
      <c r="G361" s="597"/>
      <c r="H361" s="597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</row>
    <row r="362" ht="12.0" customHeight="1">
      <c r="A362" s="175"/>
      <c r="B362" s="175"/>
      <c r="C362" s="175"/>
      <c r="D362" s="175"/>
      <c r="E362" s="175"/>
      <c r="F362" s="597"/>
      <c r="G362" s="597"/>
      <c r="H362" s="597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</row>
    <row r="363" ht="12.0" customHeight="1">
      <c r="A363" s="175"/>
      <c r="B363" s="175"/>
      <c r="C363" s="175"/>
      <c r="D363" s="175"/>
      <c r="E363" s="175"/>
      <c r="F363" s="597"/>
      <c r="G363" s="597"/>
      <c r="H363" s="597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</row>
    <row r="364" ht="12.0" customHeight="1">
      <c r="A364" s="175"/>
      <c r="B364" s="175"/>
      <c r="C364" s="175"/>
      <c r="D364" s="175"/>
      <c r="E364" s="175"/>
      <c r="F364" s="597"/>
      <c r="G364" s="597"/>
      <c r="H364" s="597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</row>
    <row r="365" ht="12.0" customHeight="1">
      <c r="A365" s="175"/>
      <c r="B365" s="175"/>
      <c r="C365" s="175"/>
      <c r="D365" s="175"/>
      <c r="E365" s="175"/>
      <c r="F365" s="597"/>
      <c r="G365" s="597"/>
      <c r="H365" s="597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</row>
    <row r="366" ht="12.0" customHeight="1">
      <c r="A366" s="175"/>
      <c r="B366" s="175"/>
      <c r="C366" s="175"/>
      <c r="D366" s="175"/>
      <c r="E366" s="175"/>
      <c r="F366" s="597"/>
      <c r="G366" s="597"/>
      <c r="H366" s="597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</row>
    <row r="367" ht="12.0" customHeight="1">
      <c r="A367" s="175"/>
      <c r="B367" s="175"/>
      <c r="C367" s="175"/>
      <c r="D367" s="175"/>
      <c r="E367" s="175"/>
      <c r="F367" s="597"/>
      <c r="G367" s="597"/>
      <c r="H367" s="597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</row>
    <row r="368" ht="12.0" customHeight="1">
      <c r="A368" s="175"/>
      <c r="B368" s="175"/>
      <c r="C368" s="175"/>
      <c r="D368" s="175"/>
      <c r="E368" s="175"/>
      <c r="F368" s="597"/>
      <c r="G368" s="597"/>
      <c r="H368" s="597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</row>
    <row r="369" ht="12.0" customHeight="1">
      <c r="A369" s="175"/>
      <c r="B369" s="175"/>
      <c r="C369" s="175"/>
      <c r="D369" s="175"/>
      <c r="E369" s="175"/>
      <c r="F369" s="597"/>
      <c r="G369" s="597"/>
      <c r="H369" s="597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</row>
    <row r="370" ht="12.0" customHeight="1">
      <c r="A370" s="175"/>
      <c r="B370" s="175"/>
      <c r="C370" s="175"/>
      <c r="D370" s="175"/>
      <c r="E370" s="175"/>
      <c r="F370" s="597"/>
      <c r="G370" s="597"/>
      <c r="H370" s="597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</row>
    <row r="371" ht="12.0" customHeight="1">
      <c r="A371" s="175"/>
      <c r="B371" s="175"/>
      <c r="C371" s="175"/>
      <c r="D371" s="175"/>
      <c r="E371" s="175"/>
      <c r="F371" s="597"/>
      <c r="G371" s="597"/>
      <c r="H371" s="597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</row>
    <row r="372" ht="12.0" customHeight="1">
      <c r="A372" s="175"/>
      <c r="B372" s="175"/>
      <c r="C372" s="175"/>
      <c r="D372" s="175"/>
      <c r="E372" s="175"/>
      <c r="F372" s="597"/>
      <c r="G372" s="597"/>
      <c r="H372" s="597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</row>
    <row r="373" ht="12.0" customHeight="1">
      <c r="A373" s="175"/>
      <c r="B373" s="175"/>
      <c r="C373" s="175"/>
      <c r="D373" s="175"/>
      <c r="E373" s="175"/>
      <c r="F373" s="597"/>
      <c r="G373" s="597"/>
      <c r="H373" s="597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</row>
    <row r="374" ht="12.0" customHeight="1">
      <c r="A374" s="175"/>
      <c r="B374" s="175"/>
      <c r="C374" s="175"/>
      <c r="D374" s="175"/>
      <c r="E374" s="175"/>
      <c r="F374" s="597"/>
      <c r="G374" s="597"/>
      <c r="H374" s="597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</row>
    <row r="375" ht="12.0" customHeight="1">
      <c r="A375" s="175"/>
      <c r="B375" s="175"/>
      <c r="C375" s="175"/>
      <c r="D375" s="175"/>
      <c r="E375" s="175"/>
      <c r="F375" s="597"/>
      <c r="G375" s="597"/>
      <c r="H375" s="597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</row>
    <row r="376" ht="12.0" customHeight="1">
      <c r="A376" s="175"/>
      <c r="B376" s="175"/>
      <c r="C376" s="175"/>
      <c r="D376" s="175"/>
      <c r="E376" s="175"/>
      <c r="F376" s="597"/>
      <c r="G376" s="597"/>
      <c r="H376" s="597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</row>
    <row r="377" ht="12.0" customHeight="1">
      <c r="A377" s="175"/>
      <c r="B377" s="175"/>
      <c r="C377" s="175"/>
      <c r="D377" s="175"/>
      <c r="E377" s="175"/>
      <c r="F377" s="597"/>
      <c r="G377" s="597"/>
      <c r="H377" s="597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</row>
    <row r="378" ht="12.0" customHeight="1">
      <c r="A378" s="175"/>
      <c r="B378" s="175"/>
      <c r="C378" s="175"/>
      <c r="D378" s="175"/>
      <c r="E378" s="175"/>
      <c r="F378" s="597"/>
      <c r="G378" s="597"/>
      <c r="H378" s="597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</row>
    <row r="379" ht="12.0" customHeight="1">
      <c r="A379" s="175"/>
      <c r="B379" s="175"/>
      <c r="C379" s="175"/>
      <c r="D379" s="175"/>
      <c r="E379" s="175"/>
      <c r="F379" s="597"/>
      <c r="G379" s="597"/>
      <c r="H379" s="597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</row>
    <row r="380" ht="12.0" customHeight="1">
      <c r="A380" s="175"/>
      <c r="B380" s="175"/>
      <c r="C380" s="175"/>
      <c r="D380" s="175"/>
      <c r="E380" s="175"/>
      <c r="F380" s="597"/>
      <c r="G380" s="597"/>
      <c r="H380" s="597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</row>
    <row r="381" ht="12.0" customHeight="1">
      <c r="A381" s="175"/>
      <c r="B381" s="175"/>
      <c r="C381" s="175"/>
      <c r="D381" s="175"/>
      <c r="E381" s="175"/>
      <c r="F381" s="597"/>
      <c r="G381" s="597"/>
      <c r="H381" s="597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</row>
    <row r="382" ht="12.0" customHeight="1">
      <c r="A382" s="175"/>
      <c r="B382" s="175"/>
      <c r="C382" s="175"/>
      <c r="D382" s="175"/>
      <c r="E382" s="175"/>
      <c r="F382" s="597"/>
      <c r="G382" s="597"/>
      <c r="H382" s="597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</row>
    <row r="383" ht="12.0" customHeight="1">
      <c r="A383" s="175"/>
      <c r="B383" s="175"/>
      <c r="C383" s="175"/>
      <c r="D383" s="175"/>
      <c r="E383" s="175"/>
      <c r="F383" s="597"/>
      <c r="G383" s="597"/>
      <c r="H383" s="597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</row>
    <row r="384" ht="12.0" customHeight="1">
      <c r="A384" s="175"/>
      <c r="B384" s="175"/>
      <c r="C384" s="175"/>
      <c r="D384" s="175"/>
      <c r="E384" s="175"/>
      <c r="F384" s="597"/>
      <c r="G384" s="597"/>
      <c r="H384" s="597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</row>
    <row r="385" ht="12.0" customHeight="1">
      <c r="A385" s="175"/>
      <c r="B385" s="175"/>
      <c r="C385" s="175"/>
      <c r="D385" s="175"/>
      <c r="E385" s="175"/>
      <c r="F385" s="597"/>
      <c r="G385" s="597"/>
      <c r="H385" s="597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</row>
    <row r="386" ht="12.0" customHeight="1">
      <c r="A386" s="175"/>
      <c r="B386" s="175"/>
      <c r="C386" s="175"/>
      <c r="D386" s="175"/>
      <c r="E386" s="175"/>
      <c r="F386" s="597"/>
      <c r="G386" s="597"/>
      <c r="H386" s="597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</row>
    <row r="387" ht="12.0" customHeight="1">
      <c r="A387" s="175"/>
      <c r="B387" s="175"/>
      <c r="C387" s="175"/>
      <c r="D387" s="175"/>
      <c r="E387" s="175"/>
      <c r="F387" s="597"/>
      <c r="G387" s="597"/>
      <c r="H387" s="597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</row>
    <row r="388" ht="12.0" customHeight="1">
      <c r="A388" s="175"/>
      <c r="B388" s="175"/>
      <c r="C388" s="175"/>
      <c r="D388" s="175"/>
      <c r="E388" s="175"/>
      <c r="F388" s="597"/>
      <c r="G388" s="597"/>
      <c r="H388" s="597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</row>
    <row r="389" ht="12.0" customHeight="1">
      <c r="A389" s="175"/>
      <c r="B389" s="175"/>
      <c r="C389" s="175"/>
      <c r="D389" s="175"/>
      <c r="E389" s="175"/>
      <c r="F389" s="597"/>
      <c r="G389" s="597"/>
      <c r="H389" s="597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</row>
    <row r="390" ht="12.0" customHeight="1">
      <c r="A390" s="175"/>
      <c r="B390" s="175"/>
      <c r="C390" s="175"/>
      <c r="D390" s="175"/>
      <c r="E390" s="175"/>
      <c r="F390" s="597"/>
      <c r="G390" s="597"/>
      <c r="H390" s="597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</row>
    <row r="391" ht="12.0" customHeight="1">
      <c r="A391" s="175"/>
      <c r="B391" s="175"/>
      <c r="C391" s="175"/>
      <c r="D391" s="175"/>
      <c r="E391" s="175"/>
      <c r="F391" s="597"/>
      <c r="G391" s="597"/>
      <c r="H391" s="597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</row>
    <row r="392" ht="12.0" customHeight="1">
      <c r="A392" s="175"/>
      <c r="B392" s="175"/>
      <c r="C392" s="175"/>
      <c r="D392" s="175"/>
      <c r="E392" s="175"/>
      <c r="F392" s="597"/>
      <c r="G392" s="597"/>
      <c r="H392" s="597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</row>
    <row r="393" ht="12.0" customHeight="1">
      <c r="A393" s="175"/>
      <c r="B393" s="175"/>
      <c r="C393" s="175"/>
      <c r="D393" s="175"/>
      <c r="E393" s="175"/>
      <c r="F393" s="597"/>
      <c r="G393" s="597"/>
      <c r="H393" s="597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</row>
    <row r="394" ht="12.0" customHeight="1">
      <c r="A394" s="175"/>
      <c r="B394" s="175"/>
      <c r="C394" s="175"/>
      <c r="D394" s="175"/>
      <c r="E394" s="175"/>
      <c r="F394" s="597"/>
      <c r="G394" s="597"/>
      <c r="H394" s="597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</row>
    <row r="395" ht="12.0" customHeight="1">
      <c r="A395" s="175"/>
      <c r="B395" s="175"/>
      <c r="C395" s="175"/>
      <c r="D395" s="175"/>
      <c r="E395" s="175"/>
      <c r="F395" s="597"/>
      <c r="G395" s="597"/>
      <c r="H395" s="597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</row>
    <row r="396" ht="12.0" customHeight="1">
      <c r="A396" s="175"/>
      <c r="B396" s="175"/>
      <c r="C396" s="175"/>
      <c r="D396" s="175"/>
      <c r="E396" s="175"/>
      <c r="F396" s="597"/>
      <c r="G396" s="597"/>
      <c r="H396" s="597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</row>
    <row r="397" ht="12.0" customHeight="1">
      <c r="A397" s="175"/>
      <c r="B397" s="175"/>
      <c r="C397" s="175"/>
      <c r="D397" s="175"/>
      <c r="E397" s="175"/>
      <c r="F397" s="597"/>
      <c r="G397" s="597"/>
      <c r="H397" s="597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</row>
    <row r="398" ht="12.0" customHeight="1">
      <c r="A398" s="175"/>
      <c r="B398" s="175"/>
      <c r="C398" s="175"/>
      <c r="D398" s="175"/>
      <c r="E398" s="175"/>
      <c r="F398" s="597"/>
      <c r="G398" s="597"/>
      <c r="H398" s="597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</row>
    <row r="399" ht="12.0" customHeight="1">
      <c r="A399" s="175"/>
      <c r="B399" s="175"/>
      <c r="C399" s="175"/>
      <c r="D399" s="175"/>
      <c r="E399" s="175"/>
      <c r="F399" s="597"/>
      <c r="G399" s="597"/>
      <c r="H399" s="597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</row>
    <row r="400" ht="12.0" customHeight="1">
      <c r="A400" s="175"/>
      <c r="B400" s="175"/>
      <c r="C400" s="175"/>
      <c r="D400" s="175"/>
      <c r="E400" s="175"/>
      <c r="F400" s="597"/>
      <c r="G400" s="597"/>
      <c r="H400" s="597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</row>
    <row r="401" ht="12.0" customHeight="1">
      <c r="A401" s="175"/>
      <c r="B401" s="175"/>
      <c r="C401" s="175"/>
      <c r="D401" s="175"/>
      <c r="E401" s="175"/>
      <c r="F401" s="597"/>
      <c r="G401" s="597"/>
      <c r="H401" s="597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</row>
    <row r="402" ht="12.0" customHeight="1">
      <c r="A402" s="175"/>
      <c r="B402" s="175"/>
      <c r="C402" s="175"/>
      <c r="D402" s="175"/>
      <c r="E402" s="175"/>
      <c r="F402" s="597"/>
      <c r="G402" s="597"/>
      <c r="H402" s="597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</row>
    <row r="403" ht="12.0" customHeight="1">
      <c r="A403" s="175"/>
      <c r="B403" s="175"/>
      <c r="C403" s="175"/>
      <c r="D403" s="175"/>
      <c r="E403" s="175"/>
      <c r="F403" s="597"/>
      <c r="G403" s="597"/>
      <c r="H403" s="597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</row>
    <row r="404" ht="12.0" customHeight="1">
      <c r="A404" s="175"/>
      <c r="B404" s="175"/>
      <c r="C404" s="175"/>
      <c r="D404" s="175"/>
      <c r="E404" s="175"/>
      <c r="F404" s="597"/>
      <c r="G404" s="597"/>
      <c r="H404" s="597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</row>
    <row r="405" ht="12.0" customHeight="1">
      <c r="A405" s="175"/>
      <c r="B405" s="175"/>
      <c r="C405" s="175"/>
      <c r="D405" s="175"/>
      <c r="E405" s="175"/>
      <c r="F405" s="597"/>
      <c r="G405" s="597"/>
      <c r="H405" s="597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</row>
    <row r="406" ht="12.0" customHeight="1">
      <c r="A406" s="175"/>
      <c r="B406" s="175"/>
      <c r="C406" s="175"/>
      <c r="D406" s="175"/>
      <c r="E406" s="175"/>
      <c r="F406" s="597"/>
      <c r="G406" s="597"/>
      <c r="H406" s="597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</row>
    <row r="407" ht="12.0" customHeight="1">
      <c r="A407" s="175"/>
      <c r="B407" s="175"/>
      <c r="C407" s="175"/>
      <c r="D407" s="175"/>
      <c r="E407" s="175"/>
      <c r="F407" s="597"/>
      <c r="G407" s="597"/>
      <c r="H407" s="597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</row>
    <row r="408" ht="12.0" customHeight="1">
      <c r="A408" s="175"/>
      <c r="B408" s="175"/>
      <c r="C408" s="175"/>
      <c r="D408" s="175"/>
      <c r="E408" s="175"/>
      <c r="F408" s="597"/>
      <c r="G408" s="597"/>
      <c r="H408" s="597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</row>
    <row r="409" ht="12.0" customHeight="1">
      <c r="A409" s="175"/>
      <c r="B409" s="175"/>
      <c r="C409" s="175"/>
      <c r="D409" s="175"/>
      <c r="E409" s="175"/>
      <c r="F409" s="597"/>
      <c r="G409" s="597"/>
      <c r="H409" s="597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</row>
    <row r="410" ht="12.0" customHeight="1">
      <c r="A410" s="175"/>
      <c r="B410" s="175"/>
      <c r="C410" s="175"/>
      <c r="D410" s="175"/>
      <c r="E410" s="175"/>
      <c r="F410" s="597"/>
      <c r="G410" s="597"/>
      <c r="H410" s="597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</row>
    <row r="411" ht="12.0" customHeight="1">
      <c r="A411" s="175"/>
      <c r="B411" s="175"/>
      <c r="C411" s="175"/>
      <c r="D411" s="175"/>
      <c r="E411" s="175"/>
      <c r="F411" s="597"/>
      <c r="G411" s="597"/>
      <c r="H411" s="597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</row>
    <row r="412" ht="12.0" customHeight="1">
      <c r="A412" s="175"/>
      <c r="B412" s="175"/>
      <c r="C412" s="175"/>
      <c r="D412" s="175"/>
      <c r="E412" s="175"/>
      <c r="F412" s="597"/>
      <c r="G412" s="597"/>
      <c r="H412" s="597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</row>
    <row r="413" ht="12.0" customHeight="1">
      <c r="A413" s="175"/>
      <c r="B413" s="175"/>
      <c r="C413" s="175"/>
      <c r="D413" s="175"/>
      <c r="E413" s="175"/>
      <c r="F413" s="597"/>
      <c r="G413" s="597"/>
      <c r="H413" s="597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</row>
    <row r="414" ht="12.0" customHeight="1">
      <c r="A414" s="175"/>
      <c r="B414" s="175"/>
      <c r="C414" s="175"/>
      <c r="D414" s="175"/>
      <c r="E414" s="175"/>
      <c r="F414" s="597"/>
      <c r="G414" s="597"/>
      <c r="H414" s="597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</row>
    <row r="415" ht="12.0" customHeight="1">
      <c r="A415" s="175"/>
      <c r="B415" s="175"/>
      <c r="C415" s="175"/>
      <c r="D415" s="175"/>
      <c r="E415" s="175"/>
      <c r="F415" s="597"/>
      <c r="G415" s="597"/>
      <c r="H415" s="597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</row>
    <row r="416" ht="12.0" customHeight="1">
      <c r="A416" s="175"/>
      <c r="B416" s="175"/>
      <c r="C416" s="175"/>
      <c r="D416" s="175"/>
      <c r="E416" s="175"/>
      <c r="F416" s="597"/>
      <c r="G416" s="597"/>
      <c r="H416" s="597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</row>
    <row r="417" ht="12.0" customHeight="1">
      <c r="A417" s="175"/>
      <c r="B417" s="175"/>
      <c r="C417" s="175"/>
      <c r="D417" s="175"/>
      <c r="E417" s="175"/>
      <c r="F417" s="597"/>
      <c r="G417" s="597"/>
      <c r="H417" s="597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</row>
    <row r="418" ht="12.0" customHeight="1">
      <c r="A418" s="175"/>
      <c r="B418" s="175"/>
      <c r="C418" s="175"/>
      <c r="D418" s="175"/>
      <c r="E418" s="175"/>
      <c r="F418" s="597"/>
      <c r="G418" s="597"/>
      <c r="H418" s="597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</row>
    <row r="419" ht="12.0" customHeight="1">
      <c r="A419" s="175"/>
      <c r="B419" s="175"/>
      <c r="C419" s="175"/>
      <c r="D419" s="175"/>
      <c r="E419" s="175"/>
      <c r="F419" s="597"/>
      <c r="G419" s="597"/>
      <c r="H419" s="597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</row>
    <row r="420" ht="12.0" customHeight="1">
      <c r="A420" s="175"/>
      <c r="B420" s="175"/>
      <c r="C420" s="175"/>
      <c r="D420" s="175"/>
      <c r="E420" s="175"/>
      <c r="F420" s="597"/>
      <c r="G420" s="597"/>
      <c r="H420" s="597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</row>
    <row r="421" ht="12.0" customHeight="1">
      <c r="A421" s="175"/>
      <c r="B421" s="175"/>
      <c r="C421" s="175"/>
      <c r="D421" s="175"/>
      <c r="E421" s="175"/>
      <c r="F421" s="597"/>
      <c r="G421" s="597"/>
      <c r="H421" s="597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</row>
    <row r="422" ht="12.0" customHeight="1">
      <c r="A422" s="175"/>
      <c r="B422" s="175"/>
      <c r="C422" s="175"/>
      <c r="D422" s="175"/>
      <c r="E422" s="175"/>
      <c r="F422" s="597"/>
      <c r="G422" s="597"/>
      <c r="H422" s="597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</row>
    <row r="423" ht="12.0" customHeight="1">
      <c r="A423" s="175"/>
      <c r="B423" s="175"/>
      <c r="C423" s="175"/>
      <c r="D423" s="175"/>
      <c r="E423" s="175"/>
      <c r="F423" s="597"/>
      <c r="G423" s="597"/>
      <c r="H423" s="597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</row>
    <row r="424" ht="12.0" customHeight="1">
      <c r="A424" s="175"/>
      <c r="B424" s="175"/>
      <c r="C424" s="175"/>
      <c r="D424" s="175"/>
      <c r="E424" s="175"/>
      <c r="F424" s="597"/>
      <c r="G424" s="597"/>
      <c r="H424" s="597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</row>
    <row r="425" ht="12.0" customHeight="1">
      <c r="A425" s="175"/>
      <c r="B425" s="175"/>
      <c r="C425" s="175"/>
      <c r="D425" s="175"/>
      <c r="E425" s="175"/>
      <c r="F425" s="597"/>
      <c r="G425" s="597"/>
      <c r="H425" s="597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</row>
    <row r="426" ht="12.0" customHeight="1">
      <c r="A426" s="175"/>
      <c r="B426" s="175"/>
      <c r="C426" s="175"/>
      <c r="D426" s="175"/>
      <c r="E426" s="175"/>
      <c r="F426" s="597"/>
      <c r="G426" s="597"/>
      <c r="H426" s="597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</row>
    <row r="427" ht="12.0" customHeight="1">
      <c r="A427" s="175"/>
      <c r="B427" s="175"/>
      <c r="C427" s="175"/>
      <c r="D427" s="175"/>
      <c r="E427" s="175"/>
      <c r="F427" s="597"/>
      <c r="G427" s="597"/>
      <c r="H427" s="597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</row>
    <row r="428" ht="12.0" customHeight="1">
      <c r="A428" s="175"/>
      <c r="B428" s="175"/>
      <c r="C428" s="175"/>
      <c r="D428" s="175"/>
      <c r="E428" s="175"/>
      <c r="F428" s="597"/>
      <c r="G428" s="597"/>
      <c r="H428" s="597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</row>
    <row r="429" ht="12.0" customHeight="1">
      <c r="A429" s="175"/>
      <c r="B429" s="175"/>
      <c r="C429" s="175"/>
      <c r="D429" s="175"/>
      <c r="E429" s="175"/>
      <c r="F429" s="597"/>
      <c r="G429" s="597"/>
      <c r="H429" s="597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</row>
    <row r="430" ht="12.0" customHeight="1">
      <c r="A430" s="175"/>
      <c r="B430" s="175"/>
      <c r="C430" s="175"/>
      <c r="D430" s="175"/>
      <c r="E430" s="175"/>
      <c r="F430" s="597"/>
      <c r="G430" s="597"/>
      <c r="H430" s="597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</row>
    <row r="431" ht="12.0" customHeight="1">
      <c r="A431" s="175"/>
      <c r="B431" s="175"/>
      <c r="C431" s="175"/>
      <c r="D431" s="175"/>
      <c r="E431" s="175"/>
      <c r="F431" s="597"/>
      <c r="G431" s="597"/>
      <c r="H431" s="597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</row>
    <row r="432" ht="12.0" customHeight="1">
      <c r="A432" s="175"/>
      <c r="B432" s="175"/>
      <c r="C432" s="175"/>
      <c r="D432" s="175"/>
      <c r="E432" s="175"/>
      <c r="F432" s="597"/>
      <c r="G432" s="597"/>
      <c r="H432" s="597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</row>
    <row r="433" ht="12.0" customHeight="1">
      <c r="A433" s="175"/>
      <c r="B433" s="175"/>
      <c r="C433" s="175"/>
      <c r="D433" s="175"/>
      <c r="E433" s="175"/>
      <c r="F433" s="597"/>
      <c r="G433" s="597"/>
      <c r="H433" s="597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</row>
    <row r="434" ht="12.0" customHeight="1">
      <c r="A434" s="175"/>
      <c r="B434" s="175"/>
      <c r="C434" s="175"/>
      <c r="D434" s="175"/>
      <c r="E434" s="175"/>
      <c r="F434" s="597"/>
      <c r="G434" s="597"/>
      <c r="H434" s="597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</row>
    <row r="435" ht="12.0" customHeight="1">
      <c r="A435" s="175"/>
      <c r="B435" s="175"/>
      <c r="C435" s="175"/>
      <c r="D435" s="175"/>
      <c r="E435" s="175"/>
      <c r="F435" s="597"/>
      <c r="G435" s="597"/>
      <c r="H435" s="597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</row>
    <row r="436" ht="12.0" customHeight="1">
      <c r="A436" s="175"/>
      <c r="B436" s="175"/>
      <c r="C436" s="175"/>
      <c r="D436" s="175"/>
      <c r="E436" s="175"/>
      <c r="F436" s="597"/>
      <c r="G436" s="597"/>
      <c r="H436" s="597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</row>
    <row r="437" ht="12.0" customHeight="1">
      <c r="A437" s="175"/>
      <c r="B437" s="175"/>
      <c r="C437" s="175"/>
      <c r="D437" s="175"/>
      <c r="E437" s="175"/>
      <c r="F437" s="597"/>
      <c r="G437" s="597"/>
      <c r="H437" s="597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</row>
    <row r="438" ht="12.0" customHeight="1">
      <c r="A438" s="175"/>
      <c r="B438" s="175"/>
      <c r="C438" s="175"/>
      <c r="D438" s="175"/>
      <c r="E438" s="175"/>
      <c r="F438" s="597"/>
      <c r="G438" s="597"/>
      <c r="H438" s="597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</row>
    <row r="439" ht="12.0" customHeight="1">
      <c r="A439" s="175"/>
      <c r="B439" s="175"/>
      <c r="C439" s="175"/>
      <c r="D439" s="175"/>
      <c r="E439" s="175"/>
      <c r="F439" s="597"/>
      <c r="G439" s="597"/>
      <c r="H439" s="597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</row>
    <row r="440" ht="12.0" customHeight="1">
      <c r="A440" s="175"/>
      <c r="B440" s="175"/>
      <c r="C440" s="175"/>
      <c r="D440" s="175"/>
      <c r="E440" s="175"/>
      <c r="F440" s="597"/>
      <c r="G440" s="597"/>
      <c r="H440" s="597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</row>
    <row r="441" ht="12.0" customHeight="1">
      <c r="A441" s="175"/>
      <c r="B441" s="175"/>
      <c r="C441" s="175"/>
      <c r="D441" s="175"/>
      <c r="E441" s="175"/>
      <c r="F441" s="597"/>
      <c r="G441" s="597"/>
      <c r="H441" s="597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</row>
    <row r="442" ht="12.0" customHeight="1">
      <c r="A442" s="175"/>
      <c r="B442" s="175"/>
      <c r="C442" s="175"/>
      <c r="D442" s="175"/>
      <c r="E442" s="175"/>
      <c r="F442" s="597"/>
      <c r="G442" s="597"/>
      <c r="H442" s="597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</row>
    <row r="443" ht="12.0" customHeight="1">
      <c r="A443" s="175"/>
      <c r="B443" s="175"/>
      <c r="C443" s="175"/>
      <c r="D443" s="175"/>
      <c r="E443" s="175"/>
      <c r="F443" s="597"/>
      <c r="G443" s="597"/>
      <c r="H443" s="597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</row>
    <row r="444" ht="12.0" customHeight="1">
      <c r="A444" s="175"/>
      <c r="B444" s="175"/>
      <c r="C444" s="175"/>
      <c r="D444" s="175"/>
      <c r="E444" s="175"/>
      <c r="F444" s="597"/>
      <c r="G444" s="597"/>
      <c r="H444" s="597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</row>
    <row r="445" ht="12.0" customHeight="1">
      <c r="A445" s="175"/>
      <c r="B445" s="175"/>
      <c r="C445" s="175"/>
      <c r="D445" s="175"/>
      <c r="E445" s="175"/>
      <c r="F445" s="597"/>
      <c r="G445" s="597"/>
      <c r="H445" s="597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</row>
    <row r="446" ht="12.0" customHeight="1">
      <c r="A446" s="175"/>
      <c r="B446" s="175"/>
      <c r="C446" s="175"/>
      <c r="D446" s="175"/>
      <c r="E446" s="175"/>
      <c r="F446" s="597"/>
      <c r="G446" s="597"/>
      <c r="H446" s="597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</row>
    <row r="447" ht="12.0" customHeight="1">
      <c r="A447" s="175"/>
      <c r="B447" s="175"/>
      <c r="C447" s="175"/>
      <c r="D447" s="175"/>
      <c r="E447" s="175"/>
      <c r="F447" s="597"/>
      <c r="G447" s="597"/>
      <c r="H447" s="597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</row>
    <row r="448" ht="12.0" customHeight="1">
      <c r="A448" s="175"/>
      <c r="B448" s="175"/>
      <c r="C448" s="175"/>
      <c r="D448" s="175"/>
      <c r="E448" s="175"/>
      <c r="F448" s="597"/>
      <c r="G448" s="597"/>
      <c r="H448" s="597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</row>
    <row r="449" ht="12.0" customHeight="1">
      <c r="A449" s="175"/>
      <c r="B449" s="175"/>
      <c r="C449" s="175"/>
      <c r="D449" s="175"/>
      <c r="E449" s="175"/>
      <c r="F449" s="597"/>
      <c r="G449" s="597"/>
      <c r="H449" s="597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</row>
    <row r="450" ht="12.0" customHeight="1">
      <c r="A450" s="175"/>
      <c r="B450" s="175"/>
      <c r="C450" s="175"/>
      <c r="D450" s="175"/>
      <c r="E450" s="175"/>
      <c r="F450" s="597"/>
      <c r="G450" s="597"/>
      <c r="H450" s="597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</row>
    <row r="451" ht="12.0" customHeight="1">
      <c r="A451" s="175"/>
      <c r="B451" s="175"/>
      <c r="C451" s="175"/>
      <c r="D451" s="175"/>
      <c r="E451" s="175"/>
      <c r="F451" s="597"/>
      <c r="G451" s="597"/>
      <c r="H451" s="597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</row>
    <row r="452" ht="12.0" customHeight="1">
      <c r="A452" s="175"/>
      <c r="B452" s="175"/>
      <c r="C452" s="175"/>
      <c r="D452" s="175"/>
      <c r="E452" s="175"/>
      <c r="F452" s="597"/>
      <c r="G452" s="597"/>
      <c r="H452" s="597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</row>
    <row r="453" ht="12.0" customHeight="1">
      <c r="A453" s="175"/>
      <c r="B453" s="175"/>
      <c r="C453" s="175"/>
      <c r="D453" s="175"/>
      <c r="E453" s="175"/>
      <c r="F453" s="597"/>
      <c r="G453" s="597"/>
      <c r="H453" s="597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</row>
    <row r="454" ht="12.0" customHeight="1">
      <c r="A454" s="175"/>
      <c r="B454" s="175"/>
      <c r="C454" s="175"/>
      <c r="D454" s="175"/>
      <c r="E454" s="175"/>
      <c r="F454" s="597"/>
      <c r="G454" s="597"/>
      <c r="H454" s="597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</row>
    <row r="455" ht="12.0" customHeight="1">
      <c r="A455" s="175"/>
      <c r="B455" s="175"/>
      <c r="C455" s="175"/>
      <c r="D455" s="175"/>
      <c r="E455" s="175"/>
      <c r="F455" s="597"/>
      <c r="G455" s="597"/>
      <c r="H455" s="597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</row>
    <row r="456" ht="12.0" customHeight="1">
      <c r="A456" s="175"/>
      <c r="B456" s="175"/>
      <c r="C456" s="175"/>
      <c r="D456" s="175"/>
      <c r="E456" s="175"/>
      <c r="F456" s="597"/>
      <c r="G456" s="597"/>
      <c r="H456" s="597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</row>
    <row r="457" ht="12.0" customHeight="1">
      <c r="A457" s="175"/>
      <c r="B457" s="175"/>
      <c r="C457" s="175"/>
      <c r="D457" s="175"/>
      <c r="E457" s="175"/>
      <c r="F457" s="597"/>
      <c r="G457" s="597"/>
      <c r="H457" s="597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</row>
    <row r="458" ht="12.0" customHeight="1">
      <c r="A458" s="175"/>
      <c r="B458" s="175"/>
      <c r="C458" s="175"/>
      <c r="D458" s="175"/>
      <c r="E458" s="175"/>
      <c r="F458" s="597"/>
      <c r="G458" s="597"/>
      <c r="H458" s="597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</row>
    <row r="459" ht="12.0" customHeight="1">
      <c r="A459" s="175"/>
      <c r="B459" s="175"/>
      <c r="C459" s="175"/>
      <c r="D459" s="175"/>
      <c r="E459" s="175"/>
      <c r="F459" s="597"/>
      <c r="G459" s="597"/>
      <c r="H459" s="597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</row>
    <row r="460" ht="12.0" customHeight="1">
      <c r="A460" s="175"/>
      <c r="B460" s="175"/>
      <c r="C460" s="175"/>
      <c r="D460" s="175"/>
      <c r="E460" s="175"/>
      <c r="F460" s="597"/>
      <c r="G460" s="597"/>
      <c r="H460" s="597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</row>
    <row r="461" ht="12.0" customHeight="1">
      <c r="A461" s="175"/>
      <c r="B461" s="175"/>
      <c r="C461" s="175"/>
      <c r="D461" s="175"/>
      <c r="E461" s="175"/>
      <c r="F461" s="597"/>
      <c r="G461" s="597"/>
      <c r="H461" s="597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</row>
    <row r="462" ht="12.0" customHeight="1">
      <c r="A462" s="175"/>
      <c r="B462" s="175"/>
      <c r="C462" s="175"/>
      <c r="D462" s="175"/>
      <c r="E462" s="175"/>
      <c r="F462" s="597"/>
      <c r="G462" s="597"/>
      <c r="H462" s="597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</row>
    <row r="463" ht="12.0" customHeight="1">
      <c r="A463" s="175"/>
      <c r="B463" s="175"/>
      <c r="C463" s="175"/>
      <c r="D463" s="175"/>
      <c r="E463" s="175"/>
      <c r="F463" s="597"/>
      <c r="G463" s="597"/>
      <c r="H463" s="597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</row>
    <row r="464" ht="12.0" customHeight="1">
      <c r="A464" s="175"/>
      <c r="B464" s="175"/>
      <c r="C464" s="175"/>
      <c r="D464" s="175"/>
      <c r="E464" s="175"/>
      <c r="F464" s="597"/>
      <c r="G464" s="597"/>
      <c r="H464" s="597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</row>
    <row r="465" ht="12.0" customHeight="1">
      <c r="A465" s="175"/>
      <c r="B465" s="175"/>
      <c r="C465" s="175"/>
      <c r="D465" s="175"/>
      <c r="E465" s="175"/>
      <c r="F465" s="597"/>
      <c r="G465" s="597"/>
      <c r="H465" s="597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</row>
    <row r="466" ht="12.0" customHeight="1">
      <c r="A466" s="175"/>
      <c r="B466" s="175"/>
      <c r="C466" s="175"/>
      <c r="D466" s="175"/>
      <c r="E466" s="175"/>
      <c r="F466" s="597"/>
      <c r="G466" s="597"/>
      <c r="H466" s="597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</row>
    <row r="467" ht="12.0" customHeight="1">
      <c r="A467" s="175"/>
      <c r="B467" s="175"/>
      <c r="C467" s="175"/>
      <c r="D467" s="175"/>
      <c r="E467" s="175"/>
      <c r="F467" s="597"/>
      <c r="G467" s="597"/>
      <c r="H467" s="597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</row>
    <row r="468" ht="12.0" customHeight="1">
      <c r="A468" s="175"/>
      <c r="B468" s="175"/>
      <c r="C468" s="175"/>
      <c r="D468" s="175"/>
      <c r="E468" s="175"/>
      <c r="F468" s="597"/>
      <c r="G468" s="597"/>
      <c r="H468" s="597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</row>
    <row r="469" ht="12.0" customHeight="1">
      <c r="A469" s="175"/>
      <c r="B469" s="175"/>
      <c r="C469" s="175"/>
      <c r="D469" s="175"/>
      <c r="E469" s="175"/>
      <c r="F469" s="597"/>
      <c r="G469" s="597"/>
      <c r="H469" s="597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</row>
    <row r="470" ht="12.0" customHeight="1">
      <c r="A470" s="175"/>
      <c r="B470" s="175"/>
      <c r="C470" s="175"/>
      <c r="D470" s="175"/>
      <c r="E470" s="175"/>
      <c r="F470" s="597"/>
      <c r="G470" s="597"/>
      <c r="H470" s="597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</row>
    <row r="471" ht="12.0" customHeight="1">
      <c r="A471" s="175"/>
      <c r="B471" s="175"/>
      <c r="C471" s="175"/>
      <c r="D471" s="175"/>
      <c r="E471" s="175"/>
      <c r="F471" s="597"/>
      <c r="G471" s="597"/>
      <c r="H471" s="597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</row>
    <row r="472" ht="12.0" customHeight="1">
      <c r="A472" s="175"/>
      <c r="B472" s="175"/>
      <c r="C472" s="175"/>
      <c r="D472" s="175"/>
      <c r="E472" s="175"/>
      <c r="F472" s="597"/>
      <c r="G472" s="597"/>
      <c r="H472" s="597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</row>
    <row r="473" ht="12.0" customHeight="1">
      <c r="A473" s="175"/>
      <c r="B473" s="175"/>
      <c r="C473" s="175"/>
      <c r="D473" s="175"/>
      <c r="E473" s="175"/>
      <c r="F473" s="597"/>
      <c r="G473" s="597"/>
      <c r="H473" s="597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</row>
    <row r="474" ht="12.0" customHeight="1">
      <c r="A474" s="175"/>
      <c r="B474" s="175"/>
      <c r="C474" s="175"/>
      <c r="D474" s="175"/>
      <c r="E474" s="175"/>
      <c r="F474" s="597"/>
      <c r="G474" s="597"/>
      <c r="H474" s="597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</row>
    <row r="475" ht="12.0" customHeight="1">
      <c r="A475" s="175"/>
      <c r="B475" s="175"/>
      <c r="C475" s="175"/>
      <c r="D475" s="175"/>
      <c r="E475" s="175"/>
      <c r="F475" s="597"/>
      <c r="G475" s="597"/>
      <c r="H475" s="597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</row>
    <row r="476" ht="12.0" customHeight="1">
      <c r="A476" s="175"/>
      <c r="B476" s="175"/>
      <c r="C476" s="175"/>
      <c r="D476" s="175"/>
      <c r="E476" s="175"/>
      <c r="F476" s="597"/>
      <c r="G476" s="597"/>
      <c r="H476" s="597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</row>
    <row r="477" ht="12.0" customHeight="1">
      <c r="A477" s="175"/>
      <c r="B477" s="175"/>
      <c r="C477" s="175"/>
      <c r="D477" s="175"/>
      <c r="E477" s="175"/>
      <c r="F477" s="597"/>
      <c r="G477" s="597"/>
      <c r="H477" s="597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</row>
    <row r="478" ht="12.0" customHeight="1">
      <c r="A478" s="175"/>
      <c r="B478" s="175"/>
      <c r="C478" s="175"/>
      <c r="D478" s="175"/>
      <c r="E478" s="175"/>
      <c r="F478" s="597"/>
      <c r="G478" s="597"/>
      <c r="H478" s="597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</row>
    <row r="479" ht="12.0" customHeight="1">
      <c r="A479" s="175"/>
      <c r="B479" s="175"/>
      <c r="C479" s="175"/>
      <c r="D479" s="175"/>
      <c r="E479" s="175"/>
      <c r="F479" s="597"/>
      <c r="G479" s="597"/>
      <c r="H479" s="597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</row>
    <row r="480" ht="12.0" customHeight="1">
      <c r="A480" s="175"/>
      <c r="B480" s="175"/>
      <c r="C480" s="175"/>
      <c r="D480" s="175"/>
      <c r="E480" s="175"/>
      <c r="F480" s="597"/>
      <c r="G480" s="597"/>
      <c r="H480" s="597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</row>
    <row r="481" ht="12.0" customHeight="1">
      <c r="A481" s="175"/>
      <c r="B481" s="175"/>
      <c r="C481" s="175"/>
      <c r="D481" s="175"/>
      <c r="E481" s="175"/>
      <c r="F481" s="597"/>
      <c r="G481" s="597"/>
      <c r="H481" s="597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</row>
    <row r="482" ht="12.0" customHeight="1">
      <c r="A482" s="175"/>
      <c r="B482" s="175"/>
      <c r="C482" s="175"/>
      <c r="D482" s="175"/>
      <c r="E482" s="175"/>
      <c r="F482" s="597"/>
      <c r="G482" s="597"/>
      <c r="H482" s="597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</row>
    <row r="483" ht="12.0" customHeight="1">
      <c r="A483" s="175"/>
      <c r="B483" s="175"/>
      <c r="C483" s="175"/>
      <c r="D483" s="175"/>
      <c r="E483" s="175"/>
      <c r="F483" s="597"/>
      <c r="G483" s="597"/>
      <c r="H483" s="597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</row>
    <row r="484" ht="12.0" customHeight="1">
      <c r="A484" s="175"/>
      <c r="B484" s="175"/>
      <c r="C484" s="175"/>
      <c r="D484" s="175"/>
      <c r="E484" s="175"/>
      <c r="F484" s="597"/>
      <c r="G484" s="597"/>
      <c r="H484" s="597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</row>
    <row r="485" ht="12.0" customHeight="1">
      <c r="A485" s="175"/>
      <c r="B485" s="175"/>
      <c r="C485" s="175"/>
      <c r="D485" s="175"/>
      <c r="E485" s="175"/>
      <c r="F485" s="597"/>
      <c r="G485" s="597"/>
      <c r="H485" s="597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</row>
    <row r="486" ht="12.0" customHeight="1">
      <c r="A486" s="175"/>
      <c r="B486" s="175"/>
      <c r="C486" s="175"/>
      <c r="D486" s="175"/>
      <c r="E486" s="175"/>
      <c r="F486" s="597"/>
      <c r="G486" s="597"/>
      <c r="H486" s="597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</row>
    <row r="487" ht="12.0" customHeight="1">
      <c r="A487" s="175"/>
      <c r="B487" s="175"/>
      <c r="C487" s="175"/>
      <c r="D487" s="175"/>
      <c r="E487" s="175"/>
      <c r="F487" s="597"/>
      <c r="G487" s="597"/>
      <c r="H487" s="597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</row>
    <row r="488" ht="12.0" customHeight="1">
      <c r="A488" s="175"/>
      <c r="B488" s="175"/>
      <c r="C488" s="175"/>
      <c r="D488" s="175"/>
      <c r="E488" s="175"/>
      <c r="F488" s="597"/>
      <c r="G488" s="597"/>
      <c r="H488" s="597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</row>
    <row r="489" ht="12.0" customHeight="1">
      <c r="A489" s="175"/>
      <c r="B489" s="175"/>
      <c r="C489" s="175"/>
      <c r="D489" s="175"/>
      <c r="E489" s="175"/>
      <c r="F489" s="597"/>
      <c r="G489" s="597"/>
      <c r="H489" s="597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</row>
    <row r="490" ht="12.0" customHeight="1">
      <c r="A490" s="175"/>
      <c r="B490" s="175"/>
      <c r="C490" s="175"/>
      <c r="D490" s="175"/>
      <c r="E490" s="175"/>
      <c r="F490" s="597"/>
      <c r="G490" s="597"/>
      <c r="H490" s="597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</row>
    <row r="491" ht="12.0" customHeight="1">
      <c r="A491" s="175"/>
      <c r="B491" s="175"/>
      <c r="C491" s="175"/>
      <c r="D491" s="175"/>
      <c r="E491" s="175"/>
      <c r="F491" s="597"/>
      <c r="G491" s="597"/>
      <c r="H491" s="597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</row>
    <row r="492" ht="12.0" customHeight="1">
      <c r="A492" s="175"/>
      <c r="B492" s="175"/>
      <c r="C492" s="175"/>
      <c r="D492" s="175"/>
      <c r="E492" s="175"/>
      <c r="F492" s="597"/>
      <c r="G492" s="597"/>
      <c r="H492" s="597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</row>
    <row r="493" ht="12.0" customHeight="1">
      <c r="A493" s="175"/>
      <c r="B493" s="175"/>
      <c r="C493" s="175"/>
      <c r="D493" s="175"/>
      <c r="E493" s="175"/>
      <c r="F493" s="597"/>
      <c r="G493" s="597"/>
      <c r="H493" s="597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</row>
    <row r="494" ht="12.0" customHeight="1">
      <c r="A494" s="175"/>
      <c r="B494" s="175"/>
      <c r="C494" s="175"/>
      <c r="D494" s="175"/>
      <c r="E494" s="175"/>
      <c r="F494" s="597"/>
      <c r="G494" s="597"/>
      <c r="H494" s="597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</row>
    <row r="495" ht="12.0" customHeight="1">
      <c r="A495" s="175"/>
      <c r="B495" s="175"/>
      <c r="C495" s="175"/>
      <c r="D495" s="175"/>
      <c r="E495" s="175"/>
      <c r="F495" s="597"/>
      <c r="G495" s="597"/>
      <c r="H495" s="597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</row>
    <row r="496" ht="12.0" customHeight="1">
      <c r="A496" s="175"/>
      <c r="B496" s="175"/>
      <c r="C496" s="175"/>
      <c r="D496" s="175"/>
      <c r="E496" s="175"/>
      <c r="F496" s="597"/>
      <c r="G496" s="597"/>
      <c r="H496" s="597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</row>
    <row r="497" ht="12.0" customHeight="1">
      <c r="A497" s="175"/>
      <c r="B497" s="175"/>
      <c r="C497" s="175"/>
      <c r="D497" s="175"/>
      <c r="E497" s="175"/>
      <c r="F497" s="597"/>
      <c r="G497" s="597"/>
      <c r="H497" s="597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</row>
    <row r="498" ht="12.0" customHeight="1">
      <c r="A498" s="175"/>
      <c r="B498" s="175"/>
      <c r="C498" s="175"/>
      <c r="D498" s="175"/>
      <c r="E498" s="175"/>
      <c r="F498" s="597"/>
      <c r="G498" s="597"/>
      <c r="H498" s="597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</row>
    <row r="499" ht="12.0" customHeight="1">
      <c r="A499" s="175"/>
      <c r="B499" s="175"/>
      <c r="C499" s="175"/>
      <c r="D499" s="175"/>
      <c r="E499" s="175"/>
      <c r="F499" s="597"/>
      <c r="G499" s="597"/>
      <c r="H499" s="597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</row>
    <row r="500" ht="12.0" customHeight="1">
      <c r="A500" s="175"/>
      <c r="B500" s="175"/>
      <c r="C500" s="175"/>
      <c r="D500" s="175"/>
      <c r="E500" s="175"/>
      <c r="F500" s="597"/>
      <c r="G500" s="597"/>
      <c r="H500" s="597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</row>
    <row r="501" ht="12.0" customHeight="1">
      <c r="A501" s="175"/>
      <c r="B501" s="175"/>
      <c r="C501" s="175"/>
      <c r="D501" s="175"/>
      <c r="E501" s="175"/>
      <c r="F501" s="597"/>
      <c r="G501" s="597"/>
      <c r="H501" s="597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</row>
    <row r="502" ht="12.0" customHeight="1">
      <c r="A502" s="175"/>
      <c r="B502" s="175"/>
      <c r="C502" s="175"/>
      <c r="D502" s="175"/>
      <c r="E502" s="175"/>
      <c r="F502" s="597"/>
      <c r="G502" s="597"/>
      <c r="H502" s="597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</row>
    <row r="503" ht="12.0" customHeight="1">
      <c r="A503" s="175"/>
      <c r="B503" s="175"/>
      <c r="C503" s="175"/>
      <c r="D503" s="175"/>
      <c r="E503" s="175"/>
      <c r="F503" s="597"/>
      <c r="G503" s="597"/>
      <c r="H503" s="597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</row>
    <row r="504" ht="12.0" customHeight="1">
      <c r="A504" s="175"/>
      <c r="B504" s="175"/>
      <c r="C504" s="175"/>
      <c r="D504" s="175"/>
      <c r="E504" s="175"/>
      <c r="F504" s="597"/>
      <c r="G504" s="597"/>
      <c r="H504" s="597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</row>
    <row r="505" ht="12.0" customHeight="1">
      <c r="A505" s="175"/>
      <c r="B505" s="175"/>
      <c r="C505" s="175"/>
      <c r="D505" s="175"/>
      <c r="E505" s="175"/>
      <c r="F505" s="597"/>
      <c r="G505" s="597"/>
      <c r="H505" s="597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</row>
    <row r="506" ht="12.0" customHeight="1">
      <c r="A506" s="175"/>
      <c r="B506" s="175"/>
      <c r="C506" s="175"/>
      <c r="D506" s="175"/>
      <c r="E506" s="175"/>
      <c r="F506" s="597"/>
      <c r="G506" s="597"/>
      <c r="H506" s="597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</row>
    <row r="507" ht="12.0" customHeight="1">
      <c r="A507" s="175"/>
      <c r="B507" s="175"/>
      <c r="C507" s="175"/>
      <c r="D507" s="175"/>
      <c r="E507" s="175"/>
      <c r="F507" s="597"/>
      <c r="G507" s="597"/>
      <c r="H507" s="597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</row>
    <row r="508" ht="12.0" customHeight="1">
      <c r="A508" s="175"/>
      <c r="B508" s="175"/>
      <c r="C508" s="175"/>
      <c r="D508" s="175"/>
      <c r="E508" s="175"/>
      <c r="F508" s="597"/>
      <c r="G508" s="597"/>
      <c r="H508" s="597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</row>
    <row r="509" ht="12.0" customHeight="1">
      <c r="A509" s="175"/>
      <c r="B509" s="175"/>
      <c r="C509" s="175"/>
      <c r="D509" s="175"/>
      <c r="E509" s="175"/>
      <c r="F509" s="597"/>
      <c r="G509" s="597"/>
      <c r="H509" s="597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</row>
    <row r="510" ht="12.0" customHeight="1">
      <c r="A510" s="175"/>
      <c r="B510" s="175"/>
      <c r="C510" s="175"/>
      <c r="D510" s="175"/>
      <c r="E510" s="175"/>
      <c r="F510" s="597"/>
      <c r="G510" s="597"/>
      <c r="H510" s="597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</row>
    <row r="511" ht="12.0" customHeight="1">
      <c r="A511" s="175"/>
      <c r="B511" s="175"/>
      <c r="C511" s="175"/>
      <c r="D511" s="175"/>
      <c r="E511" s="175"/>
      <c r="F511" s="597"/>
      <c r="G511" s="597"/>
      <c r="H511" s="597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</row>
    <row r="512" ht="12.0" customHeight="1">
      <c r="A512" s="175"/>
      <c r="B512" s="175"/>
      <c r="C512" s="175"/>
      <c r="D512" s="175"/>
      <c r="E512" s="175"/>
      <c r="F512" s="597"/>
      <c r="G512" s="597"/>
      <c r="H512" s="597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</row>
    <row r="513" ht="12.0" customHeight="1">
      <c r="A513" s="175"/>
      <c r="B513" s="175"/>
      <c r="C513" s="175"/>
      <c r="D513" s="175"/>
      <c r="E513" s="175"/>
      <c r="F513" s="597"/>
      <c r="G513" s="597"/>
      <c r="H513" s="597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</row>
    <row r="514" ht="12.0" customHeight="1">
      <c r="A514" s="175"/>
      <c r="B514" s="175"/>
      <c r="C514" s="175"/>
      <c r="D514" s="175"/>
      <c r="E514" s="175"/>
      <c r="F514" s="597"/>
      <c r="G514" s="597"/>
      <c r="H514" s="597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</row>
    <row r="515" ht="12.0" customHeight="1">
      <c r="A515" s="175"/>
      <c r="B515" s="175"/>
      <c r="C515" s="175"/>
      <c r="D515" s="175"/>
      <c r="E515" s="175"/>
      <c r="F515" s="597"/>
      <c r="G515" s="597"/>
      <c r="H515" s="597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</row>
    <row r="516" ht="12.0" customHeight="1">
      <c r="A516" s="175"/>
      <c r="B516" s="175"/>
      <c r="C516" s="175"/>
      <c r="D516" s="175"/>
      <c r="E516" s="175"/>
      <c r="F516" s="597"/>
      <c r="G516" s="597"/>
      <c r="H516" s="597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</row>
    <row r="517" ht="12.0" customHeight="1">
      <c r="A517" s="175"/>
      <c r="B517" s="175"/>
      <c r="C517" s="175"/>
      <c r="D517" s="175"/>
      <c r="E517" s="175"/>
      <c r="F517" s="597"/>
      <c r="G517" s="597"/>
      <c r="H517" s="597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</row>
    <row r="518" ht="12.0" customHeight="1">
      <c r="A518" s="175"/>
      <c r="B518" s="175"/>
      <c r="C518" s="175"/>
      <c r="D518" s="175"/>
      <c r="E518" s="175"/>
      <c r="F518" s="597"/>
      <c r="G518" s="597"/>
      <c r="H518" s="597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</row>
    <row r="519" ht="12.0" customHeight="1">
      <c r="A519" s="175"/>
      <c r="B519" s="175"/>
      <c r="C519" s="175"/>
      <c r="D519" s="175"/>
      <c r="E519" s="175"/>
      <c r="F519" s="597"/>
      <c r="G519" s="597"/>
      <c r="H519" s="597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</row>
    <row r="520" ht="12.0" customHeight="1">
      <c r="A520" s="175"/>
      <c r="B520" s="175"/>
      <c r="C520" s="175"/>
      <c r="D520" s="175"/>
      <c r="E520" s="175"/>
      <c r="F520" s="597"/>
      <c r="G520" s="597"/>
      <c r="H520" s="597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</row>
    <row r="521" ht="12.0" customHeight="1">
      <c r="A521" s="175"/>
      <c r="B521" s="175"/>
      <c r="C521" s="175"/>
      <c r="D521" s="175"/>
      <c r="E521" s="175"/>
      <c r="F521" s="597"/>
      <c r="G521" s="597"/>
      <c r="H521" s="597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</row>
    <row r="522" ht="12.0" customHeight="1">
      <c r="A522" s="175"/>
      <c r="B522" s="175"/>
      <c r="C522" s="175"/>
      <c r="D522" s="175"/>
      <c r="E522" s="175"/>
      <c r="F522" s="597"/>
      <c r="G522" s="597"/>
      <c r="H522" s="597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</row>
    <row r="523" ht="12.0" customHeight="1">
      <c r="A523" s="175"/>
      <c r="B523" s="175"/>
      <c r="C523" s="175"/>
      <c r="D523" s="175"/>
      <c r="E523" s="175"/>
      <c r="F523" s="597"/>
      <c r="G523" s="597"/>
      <c r="H523" s="597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</row>
    <row r="524" ht="12.0" customHeight="1">
      <c r="A524" s="175"/>
      <c r="B524" s="175"/>
      <c r="C524" s="175"/>
      <c r="D524" s="175"/>
      <c r="E524" s="175"/>
      <c r="F524" s="597"/>
      <c r="G524" s="597"/>
      <c r="H524" s="597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</row>
    <row r="525" ht="12.0" customHeight="1">
      <c r="A525" s="175"/>
      <c r="B525" s="175"/>
      <c r="C525" s="175"/>
      <c r="D525" s="175"/>
      <c r="E525" s="175"/>
      <c r="F525" s="597"/>
      <c r="G525" s="597"/>
      <c r="H525" s="597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</row>
    <row r="526" ht="12.0" customHeight="1">
      <c r="A526" s="175"/>
      <c r="B526" s="175"/>
      <c r="C526" s="175"/>
      <c r="D526" s="175"/>
      <c r="E526" s="175"/>
      <c r="F526" s="597"/>
      <c r="G526" s="597"/>
      <c r="H526" s="597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</row>
    <row r="527" ht="12.0" customHeight="1">
      <c r="A527" s="175"/>
      <c r="B527" s="175"/>
      <c r="C527" s="175"/>
      <c r="D527" s="175"/>
      <c r="E527" s="175"/>
      <c r="F527" s="597"/>
      <c r="G527" s="597"/>
      <c r="H527" s="597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</row>
    <row r="528" ht="12.0" customHeight="1">
      <c r="A528" s="175"/>
      <c r="B528" s="175"/>
      <c r="C528" s="175"/>
      <c r="D528" s="175"/>
      <c r="E528" s="175"/>
      <c r="F528" s="597"/>
      <c r="G528" s="597"/>
      <c r="H528" s="597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</row>
    <row r="529" ht="12.0" customHeight="1">
      <c r="A529" s="175"/>
      <c r="B529" s="175"/>
      <c r="C529" s="175"/>
      <c r="D529" s="175"/>
      <c r="E529" s="175"/>
      <c r="F529" s="597"/>
      <c r="G529" s="597"/>
      <c r="H529" s="597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</row>
    <row r="530" ht="12.0" customHeight="1">
      <c r="A530" s="175"/>
      <c r="B530" s="175"/>
      <c r="C530" s="175"/>
      <c r="D530" s="175"/>
      <c r="E530" s="175"/>
      <c r="F530" s="597"/>
      <c r="G530" s="597"/>
      <c r="H530" s="597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</row>
    <row r="531" ht="12.0" customHeight="1">
      <c r="A531" s="175"/>
      <c r="B531" s="175"/>
      <c r="C531" s="175"/>
      <c r="D531" s="175"/>
      <c r="E531" s="175"/>
      <c r="F531" s="597"/>
      <c r="G531" s="597"/>
      <c r="H531" s="597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</row>
    <row r="532" ht="12.0" customHeight="1">
      <c r="A532" s="175"/>
      <c r="B532" s="175"/>
      <c r="C532" s="175"/>
      <c r="D532" s="175"/>
      <c r="E532" s="175"/>
      <c r="F532" s="597"/>
      <c r="G532" s="597"/>
      <c r="H532" s="597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</row>
    <row r="533" ht="12.0" customHeight="1">
      <c r="A533" s="175"/>
      <c r="B533" s="175"/>
      <c r="C533" s="175"/>
      <c r="D533" s="175"/>
      <c r="E533" s="175"/>
      <c r="F533" s="597"/>
      <c r="G533" s="597"/>
      <c r="H533" s="597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</row>
    <row r="534" ht="12.0" customHeight="1">
      <c r="A534" s="175"/>
      <c r="B534" s="175"/>
      <c r="C534" s="175"/>
      <c r="D534" s="175"/>
      <c r="E534" s="175"/>
      <c r="F534" s="597"/>
      <c r="G534" s="597"/>
      <c r="H534" s="597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</row>
    <row r="535" ht="12.0" customHeight="1">
      <c r="A535" s="175"/>
      <c r="B535" s="175"/>
      <c r="C535" s="175"/>
      <c r="D535" s="175"/>
      <c r="E535" s="175"/>
      <c r="F535" s="597"/>
      <c r="G535" s="597"/>
      <c r="H535" s="597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</row>
    <row r="536" ht="12.0" customHeight="1">
      <c r="A536" s="175"/>
      <c r="B536" s="175"/>
      <c r="C536" s="175"/>
      <c r="D536" s="175"/>
      <c r="E536" s="175"/>
      <c r="F536" s="597"/>
      <c r="G536" s="597"/>
      <c r="H536" s="597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</row>
    <row r="537" ht="12.0" customHeight="1">
      <c r="A537" s="175"/>
      <c r="B537" s="175"/>
      <c r="C537" s="175"/>
      <c r="D537" s="175"/>
      <c r="E537" s="175"/>
      <c r="F537" s="597"/>
      <c r="G537" s="597"/>
      <c r="H537" s="597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</row>
    <row r="538" ht="12.0" customHeight="1">
      <c r="A538" s="175"/>
      <c r="B538" s="175"/>
      <c r="C538" s="175"/>
      <c r="D538" s="175"/>
      <c r="E538" s="175"/>
      <c r="F538" s="597"/>
      <c r="G538" s="597"/>
      <c r="H538" s="597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</row>
    <row r="539" ht="12.0" customHeight="1">
      <c r="A539" s="175"/>
      <c r="B539" s="175"/>
      <c r="C539" s="175"/>
      <c r="D539" s="175"/>
      <c r="E539" s="175"/>
      <c r="F539" s="597"/>
      <c r="G539" s="597"/>
      <c r="H539" s="597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</row>
    <row r="540" ht="12.0" customHeight="1">
      <c r="A540" s="175"/>
      <c r="B540" s="175"/>
      <c r="C540" s="175"/>
      <c r="D540" s="175"/>
      <c r="E540" s="175"/>
      <c r="F540" s="597"/>
      <c r="G540" s="597"/>
      <c r="H540" s="597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</row>
    <row r="541" ht="12.0" customHeight="1">
      <c r="A541" s="175"/>
      <c r="B541" s="175"/>
      <c r="C541" s="175"/>
      <c r="D541" s="175"/>
      <c r="E541" s="175"/>
      <c r="F541" s="597"/>
      <c r="G541" s="597"/>
      <c r="H541" s="597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</row>
    <row r="542" ht="12.0" customHeight="1">
      <c r="A542" s="175"/>
      <c r="B542" s="175"/>
      <c r="C542" s="175"/>
      <c r="D542" s="175"/>
      <c r="E542" s="175"/>
      <c r="F542" s="597"/>
      <c r="G542" s="597"/>
      <c r="H542" s="597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</row>
    <row r="543" ht="12.0" customHeight="1">
      <c r="A543" s="175"/>
      <c r="B543" s="175"/>
      <c r="C543" s="175"/>
      <c r="D543" s="175"/>
      <c r="E543" s="175"/>
      <c r="F543" s="597"/>
      <c r="G543" s="597"/>
      <c r="H543" s="597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</row>
    <row r="544" ht="12.0" customHeight="1">
      <c r="A544" s="175"/>
      <c r="B544" s="175"/>
      <c r="C544" s="175"/>
      <c r="D544" s="175"/>
      <c r="E544" s="175"/>
      <c r="F544" s="597"/>
      <c r="G544" s="597"/>
      <c r="H544" s="597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</row>
    <row r="545" ht="12.0" customHeight="1">
      <c r="A545" s="175"/>
      <c r="B545" s="175"/>
      <c r="C545" s="175"/>
      <c r="D545" s="175"/>
      <c r="E545" s="175"/>
      <c r="F545" s="597"/>
      <c r="G545" s="597"/>
      <c r="H545" s="597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</row>
    <row r="546" ht="12.0" customHeight="1">
      <c r="A546" s="175"/>
      <c r="B546" s="175"/>
      <c r="C546" s="175"/>
      <c r="D546" s="175"/>
      <c r="E546" s="175"/>
      <c r="F546" s="597"/>
      <c r="G546" s="597"/>
      <c r="H546" s="597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</row>
    <row r="547" ht="12.0" customHeight="1">
      <c r="A547" s="175"/>
      <c r="B547" s="175"/>
      <c r="C547" s="175"/>
      <c r="D547" s="175"/>
      <c r="E547" s="175"/>
      <c r="F547" s="597"/>
      <c r="G547" s="597"/>
      <c r="H547" s="597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</row>
    <row r="548" ht="12.0" customHeight="1">
      <c r="A548" s="175"/>
      <c r="B548" s="175"/>
      <c r="C548" s="175"/>
      <c r="D548" s="175"/>
      <c r="E548" s="175"/>
      <c r="F548" s="597"/>
      <c r="G548" s="597"/>
      <c r="H548" s="597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</row>
    <row r="549" ht="12.0" customHeight="1">
      <c r="A549" s="175"/>
      <c r="B549" s="175"/>
      <c r="C549" s="175"/>
      <c r="D549" s="175"/>
      <c r="E549" s="175"/>
      <c r="F549" s="597"/>
      <c r="G549" s="597"/>
      <c r="H549" s="597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</row>
    <row r="550" ht="12.0" customHeight="1">
      <c r="A550" s="175"/>
      <c r="B550" s="175"/>
      <c r="C550" s="175"/>
      <c r="D550" s="175"/>
      <c r="E550" s="175"/>
      <c r="F550" s="597"/>
      <c r="G550" s="597"/>
      <c r="H550" s="597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</row>
    <row r="551" ht="12.0" customHeight="1">
      <c r="A551" s="175"/>
      <c r="B551" s="175"/>
      <c r="C551" s="175"/>
      <c r="D551" s="175"/>
      <c r="E551" s="175"/>
      <c r="F551" s="597"/>
      <c r="G551" s="597"/>
      <c r="H551" s="597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</row>
    <row r="552" ht="12.0" customHeight="1">
      <c r="A552" s="175"/>
      <c r="B552" s="175"/>
      <c r="C552" s="175"/>
      <c r="D552" s="175"/>
      <c r="E552" s="175"/>
      <c r="F552" s="597"/>
      <c r="G552" s="597"/>
      <c r="H552" s="597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</row>
    <row r="553" ht="12.0" customHeight="1">
      <c r="A553" s="175"/>
      <c r="B553" s="175"/>
      <c r="C553" s="175"/>
      <c r="D553" s="175"/>
      <c r="E553" s="175"/>
      <c r="F553" s="597"/>
      <c r="G553" s="597"/>
      <c r="H553" s="597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</row>
    <row r="554" ht="12.0" customHeight="1">
      <c r="A554" s="175"/>
      <c r="B554" s="175"/>
      <c r="C554" s="175"/>
      <c r="D554" s="175"/>
      <c r="E554" s="175"/>
      <c r="F554" s="597"/>
      <c r="G554" s="597"/>
      <c r="H554" s="597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</row>
    <row r="555" ht="12.0" customHeight="1">
      <c r="A555" s="175"/>
      <c r="B555" s="175"/>
      <c r="C555" s="175"/>
      <c r="D555" s="175"/>
      <c r="E555" s="175"/>
      <c r="F555" s="597"/>
      <c r="G555" s="597"/>
      <c r="H555" s="597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</row>
    <row r="556" ht="12.0" customHeight="1">
      <c r="A556" s="175"/>
      <c r="B556" s="175"/>
      <c r="C556" s="175"/>
      <c r="D556" s="175"/>
      <c r="E556" s="175"/>
      <c r="F556" s="597"/>
      <c r="G556" s="597"/>
      <c r="H556" s="597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</row>
    <row r="557" ht="12.0" customHeight="1">
      <c r="A557" s="175"/>
      <c r="B557" s="175"/>
      <c r="C557" s="175"/>
      <c r="D557" s="175"/>
      <c r="E557" s="175"/>
      <c r="F557" s="597"/>
      <c r="G557" s="597"/>
      <c r="H557" s="597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</row>
    <row r="558" ht="12.0" customHeight="1">
      <c r="A558" s="175"/>
      <c r="B558" s="175"/>
      <c r="C558" s="175"/>
      <c r="D558" s="175"/>
      <c r="E558" s="175"/>
      <c r="F558" s="597"/>
      <c r="G558" s="597"/>
      <c r="H558" s="597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</row>
    <row r="559" ht="12.0" customHeight="1">
      <c r="A559" s="175"/>
      <c r="B559" s="175"/>
      <c r="C559" s="175"/>
      <c r="D559" s="175"/>
      <c r="E559" s="175"/>
      <c r="F559" s="597"/>
      <c r="G559" s="597"/>
      <c r="H559" s="597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</row>
    <row r="560" ht="12.0" customHeight="1">
      <c r="A560" s="175"/>
      <c r="B560" s="175"/>
      <c r="C560" s="175"/>
      <c r="D560" s="175"/>
      <c r="E560" s="175"/>
      <c r="F560" s="597"/>
      <c r="G560" s="597"/>
      <c r="H560" s="597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</row>
    <row r="561" ht="12.0" customHeight="1">
      <c r="A561" s="175"/>
      <c r="B561" s="175"/>
      <c r="C561" s="175"/>
      <c r="D561" s="175"/>
      <c r="E561" s="175"/>
      <c r="F561" s="597"/>
      <c r="G561" s="597"/>
      <c r="H561" s="597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</row>
    <row r="562" ht="12.0" customHeight="1">
      <c r="A562" s="175"/>
      <c r="B562" s="175"/>
      <c r="C562" s="175"/>
      <c r="D562" s="175"/>
      <c r="E562" s="175"/>
      <c r="F562" s="597"/>
      <c r="G562" s="597"/>
      <c r="H562" s="597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</row>
    <row r="563" ht="12.0" customHeight="1">
      <c r="A563" s="175"/>
      <c r="B563" s="175"/>
      <c r="C563" s="175"/>
      <c r="D563" s="175"/>
      <c r="E563" s="175"/>
      <c r="F563" s="597"/>
      <c r="G563" s="597"/>
      <c r="H563" s="597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</row>
    <row r="564" ht="12.0" customHeight="1">
      <c r="A564" s="175"/>
      <c r="B564" s="175"/>
      <c r="C564" s="175"/>
      <c r="D564" s="175"/>
      <c r="E564" s="175"/>
      <c r="F564" s="597"/>
      <c r="G564" s="597"/>
      <c r="H564" s="597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</row>
    <row r="565" ht="12.0" customHeight="1">
      <c r="A565" s="175"/>
      <c r="B565" s="175"/>
      <c r="C565" s="175"/>
      <c r="D565" s="175"/>
      <c r="E565" s="175"/>
      <c r="F565" s="597"/>
      <c r="G565" s="597"/>
      <c r="H565" s="597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</row>
    <row r="566" ht="12.0" customHeight="1">
      <c r="A566" s="175"/>
      <c r="B566" s="175"/>
      <c r="C566" s="175"/>
      <c r="D566" s="175"/>
      <c r="E566" s="175"/>
      <c r="F566" s="597"/>
      <c r="G566" s="597"/>
      <c r="H566" s="597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</row>
    <row r="567" ht="12.0" customHeight="1">
      <c r="A567" s="175"/>
      <c r="B567" s="175"/>
      <c r="C567" s="175"/>
      <c r="D567" s="175"/>
      <c r="E567" s="175"/>
      <c r="F567" s="597"/>
      <c r="G567" s="597"/>
      <c r="H567" s="597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</row>
    <row r="568" ht="12.0" customHeight="1">
      <c r="A568" s="175"/>
      <c r="B568" s="175"/>
      <c r="C568" s="175"/>
      <c r="D568" s="175"/>
      <c r="E568" s="175"/>
      <c r="F568" s="597"/>
      <c r="G568" s="597"/>
      <c r="H568" s="597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</row>
    <row r="569" ht="12.0" customHeight="1">
      <c r="A569" s="175"/>
      <c r="B569" s="175"/>
      <c r="C569" s="175"/>
      <c r="D569" s="175"/>
      <c r="E569" s="175"/>
      <c r="F569" s="597"/>
      <c r="G569" s="597"/>
      <c r="H569" s="597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</row>
    <row r="570" ht="12.0" customHeight="1">
      <c r="A570" s="175"/>
      <c r="B570" s="175"/>
      <c r="C570" s="175"/>
      <c r="D570" s="175"/>
      <c r="E570" s="175"/>
      <c r="F570" s="597"/>
      <c r="G570" s="597"/>
      <c r="H570" s="597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</row>
    <row r="571" ht="12.0" customHeight="1">
      <c r="A571" s="175"/>
      <c r="B571" s="175"/>
      <c r="C571" s="175"/>
      <c r="D571" s="175"/>
      <c r="E571" s="175"/>
      <c r="F571" s="597"/>
      <c r="G571" s="597"/>
      <c r="H571" s="597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</row>
    <row r="572" ht="12.0" customHeight="1">
      <c r="A572" s="175"/>
      <c r="B572" s="175"/>
      <c r="C572" s="175"/>
      <c r="D572" s="175"/>
      <c r="E572" s="175"/>
      <c r="F572" s="597"/>
      <c r="G572" s="597"/>
      <c r="H572" s="597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</row>
    <row r="573" ht="12.0" customHeight="1">
      <c r="A573" s="175"/>
      <c r="B573" s="175"/>
      <c r="C573" s="175"/>
      <c r="D573" s="175"/>
      <c r="E573" s="175"/>
      <c r="F573" s="597"/>
      <c r="G573" s="597"/>
      <c r="H573" s="597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</row>
    <row r="574" ht="12.0" customHeight="1">
      <c r="A574" s="175"/>
      <c r="B574" s="175"/>
      <c r="C574" s="175"/>
      <c r="D574" s="175"/>
      <c r="E574" s="175"/>
      <c r="F574" s="597"/>
      <c r="G574" s="597"/>
      <c r="H574" s="597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</row>
    <row r="575" ht="12.0" customHeight="1">
      <c r="A575" s="175"/>
      <c r="B575" s="175"/>
      <c r="C575" s="175"/>
      <c r="D575" s="175"/>
      <c r="E575" s="175"/>
      <c r="F575" s="597"/>
      <c r="G575" s="597"/>
      <c r="H575" s="597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</row>
    <row r="576" ht="12.0" customHeight="1">
      <c r="A576" s="175"/>
      <c r="B576" s="175"/>
      <c r="C576" s="175"/>
      <c r="D576" s="175"/>
      <c r="E576" s="175"/>
      <c r="F576" s="597"/>
      <c r="G576" s="597"/>
      <c r="H576" s="597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</row>
    <row r="577" ht="12.0" customHeight="1">
      <c r="A577" s="175"/>
      <c r="B577" s="175"/>
      <c r="C577" s="175"/>
      <c r="D577" s="175"/>
      <c r="E577" s="175"/>
      <c r="F577" s="597"/>
      <c r="G577" s="597"/>
      <c r="H577" s="597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</row>
    <row r="578" ht="12.0" customHeight="1">
      <c r="A578" s="175"/>
      <c r="B578" s="175"/>
      <c r="C578" s="175"/>
      <c r="D578" s="175"/>
      <c r="E578" s="175"/>
      <c r="F578" s="597"/>
      <c r="G578" s="597"/>
      <c r="H578" s="597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</row>
    <row r="579" ht="12.0" customHeight="1">
      <c r="A579" s="175"/>
      <c r="B579" s="175"/>
      <c r="C579" s="175"/>
      <c r="D579" s="175"/>
      <c r="E579" s="175"/>
      <c r="F579" s="597"/>
      <c r="G579" s="597"/>
      <c r="H579" s="597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</row>
    <row r="580" ht="12.0" customHeight="1">
      <c r="A580" s="175"/>
      <c r="B580" s="175"/>
      <c r="C580" s="175"/>
      <c r="D580" s="175"/>
      <c r="E580" s="175"/>
      <c r="F580" s="597"/>
      <c r="G580" s="597"/>
      <c r="H580" s="597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</row>
    <row r="581" ht="12.0" customHeight="1">
      <c r="A581" s="175"/>
      <c r="B581" s="175"/>
      <c r="C581" s="175"/>
      <c r="D581" s="175"/>
      <c r="E581" s="175"/>
      <c r="F581" s="597"/>
      <c r="G581" s="597"/>
      <c r="H581" s="597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</row>
    <row r="582" ht="12.0" customHeight="1">
      <c r="A582" s="175"/>
      <c r="B582" s="175"/>
      <c r="C582" s="175"/>
      <c r="D582" s="175"/>
      <c r="E582" s="175"/>
      <c r="F582" s="597"/>
      <c r="G582" s="597"/>
      <c r="H582" s="597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</row>
    <row r="583" ht="12.0" customHeight="1">
      <c r="A583" s="175"/>
      <c r="B583" s="175"/>
      <c r="C583" s="175"/>
      <c r="D583" s="175"/>
      <c r="E583" s="175"/>
      <c r="F583" s="597"/>
      <c r="G583" s="597"/>
      <c r="H583" s="597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</row>
    <row r="584" ht="12.0" customHeight="1">
      <c r="A584" s="175"/>
      <c r="B584" s="175"/>
      <c r="C584" s="175"/>
      <c r="D584" s="175"/>
      <c r="E584" s="175"/>
      <c r="F584" s="597"/>
      <c r="G584" s="597"/>
      <c r="H584" s="597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</row>
    <row r="585" ht="12.0" customHeight="1">
      <c r="A585" s="175"/>
      <c r="B585" s="175"/>
      <c r="C585" s="175"/>
      <c r="D585" s="175"/>
      <c r="E585" s="175"/>
      <c r="F585" s="597"/>
      <c r="G585" s="597"/>
      <c r="H585" s="597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</row>
    <row r="586" ht="12.0" customHeight="1">
      <c r="A586" s="175"/>
      <c r="B586" s="175"/>
      <c r="C586" s="175"/>
      <c r="D586" s="175"/>
      <c r="E586" s="175"/>
      <c r="F586" s="597"/>
      <c r="G586" s="597"/>
      <c r="H586" s="597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</row>
    <row r="587" ht="12.0" customHeight="1">
      <c r="A587" s="175"/>
      <c r="B587" s="175"/>
      <c r="C587" s="175"/>
      <c r="D587" s="175"/>
      <c r="E587" s="175"/>
      <c r="F587" s="597"/>
      <c r="G587" s="597"/>
      <c r="H587" s="597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</row>
    <row r="588" ht="12.0" customHeight="1">
      <c r="A588" s="175"/>
      <c r="B588" s="175"/>
      <c r="C588" s="175"/>
      <c r="D588" s="175"/>
      <c r="E588" s="175"/>
      <c r="F588" s="597"/>
      <c r="G588" s="597"/>
      <c r="H588" s="597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</row>
    <row r="589" ht="12.0" customHeight="1">
      <c r="A589" s="175"/>
      <c r="B589" s="175"/>
      <c r="C589" s="175"/>
      <c r="D589" s="175"/>
      <c r="E589" s="175"/>
      <c r="F589" s="597"/>
      <c r="G589" s="597"/>
      <c r="H589" s="597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</row>
    <row r="590" ht="12.0" customHeight="1">
      <c r="A590" s="175"/>
      <c r="B590" s="175"/>
      <c r="C590" s="175"/>
      <c r="D590" s="175"/>
      <c r="E590" s="175"/>
      <c r="F590" s="597"/>
      <c r="G590" s="597"/>
      <c r="H590" s="597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</row>
    <row r="591" ht="12.0" customHeight="1">
      <c r="A591" s="175"/>
      <c r="B591" s="175"/>
      <c r="C591" s="175"/>
      <c r="D591" s="175"/>
      <c r="E591" s="175"/>
      <c r="F591" s="597"/>
      <c r="G591" s="597"/>
      <c r="H591" s="597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</row>
    <row r="592" ht="12.0" customHeight="1">
      <c r="A592" s="175"/>
      <c r="B592" s="175"/>
      <c r="C592" s="175"/>
      <c r="D592" s="175"/>
      <c r="E592" s="175"/>
      <c r="F592" s="597"/>
      <c r="G592" s="597"/>
      <c r="H592" s="597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</row>
    <row r="593" ht="12.0" customHeight="1">
      <c r="A593" s="175"/>
      <c r="B593" s="175"/>
      <c r="C593" s="175"/>
      <c r="D593" s="175"/>
      <c r="E593" s="175"/>
      <c r="F593" s="597"/>
      <c r="G593" s="597"/>
      <c r="H593" s="597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</row>
    <row r="594" ht="12.0" customHeight="1">
      <c r="A594" s="175"/>
      <c r="B594" s="175"/>
      <c r="C594" s="175"/>
      <c r="D594" s="175"/>
      <c r="E594" s="175"/>
      <c r="F594" s="597"/>
      <c r="G594" s="597"/>
      <c r="H594" s="597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</row>
    <row r="595" ht="12.0" customHeight="1">
      <c r="A595" s="175"/>
      <c r="B595" s="175"/>
      <c r="C595" s="175"/>
      <c r="D595" s="175"/>
      <c r="E595" s="175"/>
      <c r="F595" s="597"/>
      <c r="G595" s="597"/>
      <c r="H595" s="597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</row>
    <row r="596" ht="12.0" customHeight="1">
      <c r="A596" s="175"/>
      <c r="B596" s="175"/>
      <c r="C596" s="175"/>
      <c r="D596" s="175"/>
      <c r="E596" s="175"/>
      <c r="F596" s="597"/>
      <c r="G596" s="597"/>
      <c r="H596" s="597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</row>
    <row r="597" ht="12.0" customHeight="1">
      <c r="A597" s="175"/>
      <c r="B597" s="175"/>
      <c r="C597" s="175"/>
      <c r="D597" s="175"/>
      <c r="E597" s="175"/>
      <c r="F597" s="597"/>
      <c r="G597" s="597"/>
      <c r="H597" s="597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</row>
    <row r="598" ht="12.0" customHeight="1">
      <c r="A598" s="175"/>
      <c r="B598" s="175"/>
      <c r="C598" s="175"/>
      <c r="D598" s="175"/>
      <c r="E598" s="175"/>
      <c r="F598" s="597"/>
      <c r="G598" s="597"/>
      <c r="H598" s="597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</row>
    <row r="599" ht="12.0" customHeight="1">
      <c r="A599" s="175"/>
      <c r="B599" s="175"/>
      <c r="C599" s="175"/>
      <c r="D599" s="175"/>
      <c r="E599" s="175"/>
      <c r="F599" s="597"/>
      <c r="G599" s="597"/>
      <c r="H599" s="597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</row>
    <row r="600" ht="12.0" customHeight="1">
      <c r="A600" s="175"/>
      <c r="B600" s="175"/>
      <c r="C600" s="175"/>
      <c r="D600" s="175"/>
      <c r="E600" s="175"/>
      <c r="F600" s="597"/>
      <c r="G600" s="597"/>
      <c r="H600" s="597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</row>
    <row r="601" ht="12.0" customHeight="1">
      <c r="A601" s="175"/>
      <c r="B601" s="175"/>
      <c r="C601" s="175"/>
      <c r="D601" s="175"/>
      <c r="E601" s="175"/>
      <c r="F601" s="597"/>
      <c r="G601" s="597"/>
      <c r="H601" s="597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</row>
    <row r="602" ht="12.0" customHeight="1">
      <c r="A602" s="175"/>
      <c r="B602" s="175"/>
      <c r="C602" s="175"/>
      <c r="D602" s="175"/>
      <c r="E602" s="175"/>
      <c r="F602" s="597"/>
      <c r="G602" s="597"/>
      <c r="H602" s="597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</row>
    <row r="603" ht="12.0" customHeight="1">
      <c r="A603" s="175"/>
      <c r="B603" s="175"/>
      <c r="C603" s="175"/>
      <c r="D603" s="175"/>
      <c r="E603" s="175"/>
      <c r="F603" s="597"/>
      <c r="G603" s="597"/>
      <c r="H603" s="597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</row>
    <row r="604" ht="12.0" customHeight="1">
      <c r="A604" s="175"/>
      <c r="B604" s="175"/>
      <c r="C604" s="175"/>
      <c r="D604" s="175"/>
      <c r="E604" s="175"/>
      <c r="F604" s="597"/>
      <c r="G604" s="597"/>
      <c r="H604" s="597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</row>
    <row r="605" ht="12.0" customHeight="1">
      <c r="A605" s="175"/>
      <c r="B605" s="175"/>
      <c r="C605" s="175"/>
      <c r="D605" s="175"/>
      <c r="E605" s="175"/>
      <c r="F605" s="597"/>
      <c r="G605" s="597"/>
      <c r="H605" s="597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</row>
    <row r="606" ht="12.0" customHeight="1">
      <c r="A606" s="175"/>
      <c r="B606" s="175"/>
      <c r="C606" s="175"/>
      <c r="D606" s="175"/>
      <c r="E606" s="175"/>
      <c r="F606" s="597"/>
      <c r="G606" s="597"/>
      <c r="H606" s="597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</row>
    <row r="607" ht="12.0" customHeight="1">
      <c r="A607" s="175"/>
      <c r="B607" s="175"/>
      <c r="C607" s="175"/>
      <c r="D607" s="175"/>
      <c r="E607" s="175"/>
      <c r="F607" s="597"/>
      <c r="G607" s="597"/>
      <c r="H607" s="597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</row>
    <row r="608" ht="12.0" customHeight="1">
      <c r="A608" s="175"/>
      <c r="B608" s="175"/>
      <c r="C608" s="175"/>
      <c r="D608" s="175"/>
      <c r="E608" s="175"/>
      <c r="F608" s="597"/>
      <c r="G608" s="597"/>
      <c r="H608" s="597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</row>
    <row r="609" ht="12.0" customHeight="1">
      <c r="A609" s="175"/>
      <c r="B609" s="175"/>
      <c r="C609" s="175"/>
      <c r="D609" s="175"/>
      <c r="E609" s="175"/>
      <c r="F609" s="597"/>
      <c r="G609" s="597"/>
      <c r="H609" s="597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</row>
    <row r="610" ht="12.0" customHeight="1">
      <c r="A610" s="175"/>
      <c r="B610" s="175"/>
      <c r="C610" s="175"/>
      <c r="D610" s="175"/>
      <c r="E610" s="175"/>
      <c r="F610" s="597"/>
      <c r="G610" s="597"/>
      <c r="H610" s="597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</row>
    <row r="611" ht="12.0" customHeight="1">
      <c r="A611" s="175"/>
      <c r="B611" s="175"/>
      <c r="C611" s="175"/>
      <c r="D611" s="175"/>
      <c r="E611" s="175"/>
      <c r="F611" s="597"/>
      <c r="G611" s="597"/>
      <c r="H611" s="597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</row>
    <row r="612" ht="12.0" customHeight="1">
      <c r="A612" s="175"/>
      <c r="B612" s="175"/>
      <c r="C612" s="175"/>
      <c r="D612" s="175"/>
      <c r="E612" s="175"/>
      <c r="F612" s="597"/>
      <c r="G612" s="597"/>
      <c r="H612" s="597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</row>
    <row r="613" ht="12.0" customHeight="1">
      <c r="A613" s="175"/>
      <c r="B613" s="175"/>
      <c r="C613" s="175"/>
      <c r="D613" s="175"/>
      <c r="E613" s="175"/>
      <c r="F613" s="597"/>
      <c r="G613" s="597"/>
      <c r="H613" s="597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</row>
    <row r="614" ht="12.0" customHeight="1">
      <c r="A614" s="175"/>
      <c r="B614" s="175"/>
      <c r="C614" s="175"/>
      <c r="D614" s="175"/>
      <c r="E614" s="175"/>
      <c r="F614" s="597"/>
      <c r="G614" s="597"/>
      <c r="H614" s="597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</row>
    <row r="615" ht="12.0" customHeight="1">
      <c r="A615" s="175"/>
      <c r="B615" s="175"/>
      <c r="C615" s="175"/>
      <c r="D615" s="175"/>
      <c r="E615" s="175"/>
      <c r="F615" s="597"/>
      <c r="G615" s="597"/>
      <c r="H615" s="597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</row>
    <row r="616" ht="12.0" customHeight="1">
      <c r="A616" s="175"/>
      <c r="B616" s="175"/>
      <c r="C616" s="175"/>
      <c r="D616" s="175"/>
      <c r="E616" s="175"/>
      <c r="F616" s="597"/>
      <c r="G616" s="597"/>
      <c r="H616" s="597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</row>
    <row r="617" ht="12.0" customHeight="1">
      <c r="A617" s="175"/>
      <c r="B617" s="175"/>
      <c r="C617" s="175"/>
      <c r="D617" s="175"/>
      <c r="E617" s="175"/>
      <c r="F617" s="597"/>
      <c r="G617" s="597"/>
      <c r="H617" s="597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</row>
    <row r="618" ht="12.0" customHeight="1">
      <c r="A618" s="175"/>
      <c r="B618" s="175"/>
      <c r="C618" s="175"/>
      <c r="D618" s="175"/>
      <c r="E618" s="175"/>
      <c r="F618" s="597"/>
      <c r="G618" s="597"/>
      <c r="H618" s="597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</row>
    <row r="619" ht="12.0" customHeight="1">
      <c r="A619" s="175"/>
      <c r="B619" s="175"/>
      <c r="C619" s="175"/>
      <c r="D619" s="175"/>
      <c r="E619" s="175"/>
      <c r="F619" s="597"/>
      <c r="G619" s="597"/>
      <c r="H619" s="597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</row>
    <row r="620" ht="12.0" customHeight="1">
      <c r="A620" s="175"/>
      <c r="B620" s="175"/>
      <c r="C620" s="175"/>
      <c r="D620" s="175"/>
      <c r="E620" s="175"/>
      <c r="F620" s="597"/>
      <c r="G620" s="597"/>
      <c r="H620" s="597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</row>
    <row r="621" ht="12.0" customHeight="1">
      <c r="A621" s="175"/>
      <c r="B621" s="175"/>
      <c r="C621" s="175"/>
      <c r="D621" s="175"/>
      <c r="E621" s="175"/>
      <c r="F621" s="597"/>
      <c r="G621" s="597"/>
      <c r="H621" s="597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</row>
    <row r="622" ht="12.0" customHeight="1">
      <c r="A622" s="175"/>
      <c r="B622" s="175"/>
      <c r="C622" s="175"/>
      <c r="D622" s="175"/>
      <c r="E622" s="175"/>
      <c r="F622" s="597"/>
      <c r="G622" s="597"/>
      <c r="H622" s="597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</row>
    <row r="623" ht="12.0" customHeight="1">
      <c r="A623" s="175"/>
      <c r="B623" s="175"/>
      <c r="C623" s="175"/>
      <c r="D623" s="175"/>
      <c r="E623" s="175"/>
      <c r="F623" s="597"/>
      <c r="G623" s="597"/>
      <c r="H623" s="597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</row>
    <row r="624" ht="12.0" customHeight="1">
      <c r="A624" s="175"/>
      <c r="B624" s="175"/>
      <c r="C624" s="175"/>
      <c r="D624" s="175"/>
      <c r="E624" s="175"/>
      <c r="F624" s="597"/>
      <c r="G624" s="597"/>
      <c r="H624" s="597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</row>
    <row r="625" ht="12.0" customHeight="1">
      <c r="A625" s="175"/>
      <c r="B625" s="175"/>
      <c r="C625" s="175"/>
      <c r="D625" s="175"/>
      <c r="E625" s="175"/>
      <c r="F625" s="597"/>
      <c r="G625" s="597"/>
      <c r="H625" s="597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</row>
    <row r="626" ht="12.0" customHeight="1">
      <c r="A626" s="175"/>
      <c r="B626" s="175"/>
      <c r="C626" s="175"/>
      <c r="D626" s="175"/>
      <c r="E626" s="175"/>
      <c r="F626" s="597"/>
      <c r="G626" s="597"/>
      <c r="H626" s="597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</row>
    <row r="627" ht="12.0" customHeight="1">
      <c r="A627" s="175"/>
      <c r="B627" s="175"/>
      <c r="C627" s="175"/>
      <c r="D627" s="175"/>
      <c r="E627" s="175"/>
      <c r="F627" s="597"/>
      <c r="G627" s="597"/>
      <c r="H627" s="597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</row>
    <row r="628" ht="12.0" customHeight="1">
      <c r="A628" s="175"/>
      <c r="B628" s="175"/>
      <c r="C628" s="175"/>
      <c r="D628" s="175"/>
      <c r="E628" s="175"/>
      <c r="F628" s="597"/>
      <c r="G628" s="597"/>
      <c r="H628" s="597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</row>
    <row r="629" ht="12.0" customHeight="1">
      <c r="A629" s="175"/>
      <c r="B629" s="175"/>
      <c r="C629" s="175"/>
      <c r="D629" s="175"/>
      <c r="E629" s="175"/>
      <c r="F629" s="597"/>
      <c r="G629" s="597"/>
      <c r="H629" s="597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</row>
    <row r="630" ht="12.0" customHeight="1">
      <c r="A630" s="175"/>
      <c r="B630" s="175"/>
      <c r="C630" s="175"/>
      <c r="D630" s="175"/>
      <c r="E630" s="175"/>
      <c r="F630" s="597"/>
      <c r="G630" s="597"/>
      <c r="H630" s="597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</row>
    <row r="631" ht="12.0" customHeight="1">
      <c r="A631" s="175"/>
      <c r="B631" s="175"/>
      <c r="C631" s="175"/>
      <c r="D631" s="175"/>
      <c r="E631" s="175"/>
      <c r="F631" s="597"/>
      <c r="G631" s="597"/>
      <c r="H631" s="597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</row>
    <row r="632" ht="12.0" customHeight="1">
      <c r="A632" s="175"/>
      <c r="B632" s="175"/>
      <c r="C632" s="175"/>
      <c r="D632" s="175"/>
      <c r="E632" s="175"/>
      <c r="F632" s="597"/>
      <c r="G632" s="597"/>
      <c r="H632" s="597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</row>
    <row r="633" ht="12.0" customHeight="1">
      <c r="A633" s="175"/>
      <c r="B633" s="175"/>
      <c r="C633" s="175"/>
      <c r="D633" s="175"/>
      <c r="E633" s="175"/>
      <c r="F633" s="597"/>
      <c r="G633" s="597"/>
      <c r="H633" s="597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</row>
    <row r="634" ht="12.0" customHeight="1">
      <c r="A634" s="175"/>
      <c r="B634" s="175"/>
      <c r="C634" s="175"/>
      <c r="D634" s="175"/>
      <c r="E634" s="175"/>
      <c r="F634" s="597"/>
      <c r="G634" s="597"/>
      <c r="H634" s="597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</row>
    <row r="635" ht="12.0" customHeight="1">
      <c r="A635" s="175"/>
      <c r="B635" s="175"/>
      <c r="C635" s="175"/>
      <c r="D635" s="175"/>
      <c r="E635" s="175"/>
      <c r="F635" s="597"/>
      <c r="G635" s="597"/>
      <c r="H635" s="597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</row>
    <row r="636" ht="12.0" customHeight="1">
      <c r="A636" s="175"/>
      <c r="B636" s="175"/>
      <c r="C636" s="175"/>
      <c r="D636" s="175"/>
      <c r="E636" s="175"/>
      <c r="F636" s="597"/>
      <c r="G636" s="597"/>
      <c r="H636" s="597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</row>
    <row r="637" ht="12.0" customHeight="1">
      <c r="A637" s="175"/>
      <c r="B637" s="175"/>
      <c r="C637" s="175"/>
      <c r="D637" s="175"/>
      <c r="E637" s="175"/>
      <c r="F637" s="597"/>
      <c r="G637" s="597"/>
      <c r="H637" s="597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</row>
    <row r="638" ht="12.0" customHeight="1">
      <c r="A638" s="175"/>
      <c r="B638" s="175"/>
      <c r="C638" s="175"/>
      <c r="D638" s="175"/>
      <c r="E638" s="175"/>
      <c r="F638" s="597"/>
      <c r="G638" s="597"/>
      <c r="H638" s="597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</row>
    <row r="639" ht="12.0" customHeight="1">
      <c r="A639" s="175"/>
      <c r="B639" s="175"/>
      <c r="C639" s="175"/>
      <c r="D639" s="175"/>
      <c r="E639" s="175"/>
      <c r="F639" s="597"/>
      <c r="G639" s="597"/>
      <c r="H639" s="597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</row>
    <row r="640" ht="12.0" customHeight="1">
      <c r="A640" s="175"/>
      <c r="B640" s="175"/>
      <c r="C640" s="175"/>
      <c r="D640" s="175"/>
      <c r="E640" s="175"/>
      <c r="F640" s="597"/>
      <c r="G640" s="597"/>
      <c r="H640" s="597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</row>
    <row r="641" ht="12.0" customHeight="1">
      <c r="A641" s="175"/>
      <c r="B641" s="175"/>
      <c r="C641" s="175"/>
      <c r="D641" s="175"/>
      <c r="E641" s="175"/>
      <c r="F641" s="597"/>
      <c r="G641" s="597"/>
      <c r="H641" s="597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</row>
    <row r="642" ht="12.0" customHeight="1">
      <c r="A642" s="175"/>
      <c r="B642" s="175"/>
      <c r="C642" s="175"/>
      <c r="D642" s="175"/>
      <c r="E642" s="175"/>
      <c r="F642" s="597"/>
      <c r="G642" s="597"/>
      <c r="H642" s="597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</row>
    <row r="643" ht="12.0" customHeight="1">
      <c r="A643" s="175"/>
      <c r="B643" s="175"/>
      <c r="C643" s="175"/>
      <c r="D643" s="175"/>
      <c r="E643" s="175"/>
      <c r="F643" s="597"/>
      <c r="G643" s="597"/>
      <c r="H643" s="597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</row>
    <row r="644" ht="12.0" customHeight="1">
      <c r="A644" s="175"/>
      <c r="B644" s="175"/>
      <c r="C644" s="175"/>
      <c r="D644" s="175"/>
      <c r="E644" s="175"/>
      <c r="F644" s="597"/>
      <c r="G644" s="597"/>
      <c r="H644" s="597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</row>
    <row r="645" ht="12.0" customHeight="1">
      <c r="A645" s="175"/>
      <c r="B645" s="175"/>
      <c r="C645" s="175"/>
      <c r="D645" s="175"/>
      <c r="E645" s="175"/>
      <c r="F645" s="597"/>
      <c r="G645" s="597"/>
      <c r="H645" s="597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</row>
    <row r="646" ht="12.0" customHeight="1">
      <c r="A646" s="175"/>
      <c r="B646" s="175"/>
      <c r="C646" s="175"/>
      <c r="D646" s="175"/>
      <c r="E646" s="175"/>
      <c r="F646" s="597"/>
      <c r="G646" s="597"/>
      <c r="H646" s="597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</row>
    <row r="647" ht="12.0" customHeight="1">
      <c r="A647" s="175"/>
      <c r="B647" s="175"/>
      <c r="C647" s="175"/>
      <c r="D647" s="175"/>
      <c r="E647" s="175"/>
      <c r="F647" s="597"/>
      <c r="G647" s="597"/>
      <c r="H647" s="597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</row>
    <row r="648" ht="12.0" customHeight="1">
      <c r="A648" s="175"/>
      <c r="B648" s="175"/>
      <c r="C648" s="175"/>
      <c r="D648" s="175"/>
      <c r="E648" s="175"/>
      <c r="F648" s="597"/>
      <c r="G648" s="597"/>
      <c r="H648" s="597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</row>
    <row r="649" ht="12.0" customHeight="1">
      <c r="A649" s="175"/>
      <c r="B649" s="175"/>
      <c r="C649" s="175"/>
      <c r="D649" s="175"/>
      <c r="E649" s="175"/>
      <c r="F649" s="597"/>
      <c r="G649" s="597"/>
      <c r="H649" s="597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</row>
    <row r="650" ht="12.0" customHeight="1">
      <c r="A650" s="175"/>
      <c r="B650" s="175"/>
      <c r="C650" s="175"/>
      <c r="D650" s="175"/>
      <c r="E650" s="175"/>
      <c r="F650" s="597"/>
      <c r="G650" s="597"/>
      <c r="H650" s="597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</row>
    <row r="651" ht="12.0" customHeight="1">
      <c r="A651" s="175"/>
      <c r="B651" s="175"/>
      <c r="C651" s="175"/>
      <c r="D651" s="175"/>
      <c r="E651" s="175"/>
      <c r="F651" s="597"/>
      <c r="G651" s="597"/>
      <c r="H651" s="597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</row>
    <row r="652" ht="12.0" customHeight="1">
      <c r="A652" s="175"/>
      <c r="B652" s="175"/>
      <c r="C652" s="175"/>
      <c r="D652" s="175"/>
      <c r="E652" s="175"/>
      <c r="F652" s="597"/>
      <c r="G652" s="597"/>
      <c r="H652" s="597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</row>
    <row r="653" ht="12.0" customHeight="1">
      <c r="A653" s="175"/>
      <c r="B653" s="175"/>
      <c r="C653" s="175"/>
      <c r="D653" s="175"/>
      <c r="E653" s="175"/>
      <c r="F653" s="597"/>
      <c r="G653" s="597"/>
      <c r="H653" s="597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</row>
    <row r="654" ht="12.0" customHeight="1">
      <c r="A654" s="175"/>
      <c r="B654" s="175"/>
      <c r="C654" s="175"/>
      <c r="D654" s="175"/>
      <c r="E654" s="175"/>
      <c r="F654" s="597"/>
      <c r="G654" s="597"/>
      <c r="H654" s="597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</row>
    <row r="655" ht="12.0" customHeight="1">
      <c r="A655" s="175"/>
      <c r="B655" s="175"/>
      <c r="C655" s="175"/>
      <c r="D655" s="175"/>
      <c r="E655" s="175"/>
      <c r="F655" s="597"/>
      <c r="G655" s="597"/>
      <c r="H655" s="597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</row>
    <row r="656" ht="12.0" customHeight="1">
      <c r="A656" s="175"/>
      <c r="B656" s="175"/>
      <c r="C656" s="175"/>
      <c r="D656" s="175"/>
      <c r="E656" s="175"/>
      <c r="F656" s="597"/>
      <c r="G656" s="597"/>
      <c r="H656" s="597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</row>
    <row r="657" ht="12.0" customHeight="1">
      <c r="A657" s="175"/>
      <c r="B657" s="175"/>
      <c r="C657" s="175"/>
      <c r="D657" s="175"/>
      <c r="E657" s="175"/>
      <c r="F657" s="597"/>
      <c r="G657" s="597"/>
      <c r="H657" s="597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</row>
    <row r="658" ht="12.0" customHeight="1">
      <c r="A658" s="175"/>
      <c r="B658" s="175"/>
      <c r="C658" s="175"/>
      <c r="D658" s="175"/>
      <c r="E658" s="175"/>
      <c r="F658" s="597"/>
      <c r="G658" s="597"/>
      <c r="H658" s="597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</row>
    <row r="659" ht="12.0" customHeight="1">
      <c r="A659" s="175"/>
      <c r="B659" s="175"/>
      <c r="C659" s="175"/>
      <c r="D659" s="175"/>
      <c r="E659" s="175"/>
      <c r="F659" s="597"/>
      <c r="G659" s="597"/>
      <c r="H659" s="597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</row>
    <row r="660" ht="12.0" customHeight="1">
      <c r="A660" s="175"/>
      <c r="B660" s="175"/>
      <c r="C660" s="175"/>
      <c r="D660" s="175"/>
      <c r="E660" s="175"/>
      <c r="F660" s="597"/>
      <c r="G660" s="597"/>
      <c r="H660" s="597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</row>
    <row r="661" ht="12.0" customHeight="1">
      <c r="A661" s="175"/>
      <c r="B661" s="175"/>
      <c r="C661" s="175"/>
      <c r="D661" s="175"/>
      <c r="E661" s="175"/>
      <c r="F661" s="597"/>
      <c r="G661" s="597"/>
      <c r="H661" s="597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</row>
    <row r="662" ht="12.0" customHeight="1">
      <c r="A662" s="175"/>
      <c r="B662" s="175"/>
      <c r="C662" s="175"/>
      <c r="D662" s="175"/>
      <c r="E662" s="175"/>
      <c r="F662" s="597"/>
      <c r="G662" s="597"/>
      <c r="H662" s="597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</row>
    <row r="663" ht="12.0" customHeight="1">
      <c r="A663" s="175"/>
      <c r="B663" s="175"/>
      <c r="C663" s="175"/>
      <c r="D663" s="175"/>
      <c r="E663" s="175"/>
      <c r="F663" s="597"/>
      <c r="G663" s="597"/>
      <c r="H663" s="597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</row>
    <row r="664" ht="12.0" customHeight="1">
      <c r="A664" s="175"/>
      <c r="B664" s="175"/>
      <c r="C664" s="175"/>
      <c r="D664" s="175"/>
      <c r="E664" s="175"/>
      <c r="F664" s="597"/>
      <c r="G664" s="597"/>
      <c r="H664" s="597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</row>
    <row r="665" ht="12.0" customHeight="1">
      <c r="A665" s="175"/>
      <c r="B665" s="175"/>
      <c r="C665" s="175"/>
      <c r="D665" s="175"/>
      <c r="E665" s="175"/>
      <c r="F665" s="597"/>
      <c r="G665" s="597"/>
      <c r="H665" s="597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</row>
    <row r="666" ht="12.0" customHeight="1">
      <c r="A666" s="175"/>
      <c r="B666" s="175"/>
      <c r="C666" s="175"/>
      <c r="D666" s="175"/>
      <c r="E666" s="175"/>
      <c r="F666" s="597"/>
      <c r="G666" s="597"/>
      <c r="H666" s="597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</row>
    <row r="667" ht="12.0" customHeight="1">
      <c r="A667" s="175"/>
      <c r="B667" s="175"/>
      <c r="C667" s="175"/>
      <c r="D667" s="175"/>
      <c r="E667" s="175"/>
      <c r="F667" s="597"/>
      <c r="G667" s="597"/>
      <c r="H667" s="597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</row>
    <row r="668" ht="12.0" customHeight="1">
      <c r="A668" s="175"/>
      <c r="B668" s="175"/>
      <c r="C668" s="175"/>
      <c r="D668" s="175"/>
      <c r="E668" s="175"/>
      <c r="F668" s="597"/>
      <c r="G668" s="597"/>
      <c r="H668" s="597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</row>
    <row r="669" ht="12.0" customHeight="1">
      <c r="A669" s="175"/>
      <c r="B669" s="175"/>
      <c r="C669" s="175"/>
      <c r="D669" s="175"/>
      <c r="E669" s="175"/>
      <c r="F669" s="597"/>
      <c r="G669" s="597"/>
      <c r="H669" s="597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</row>
    <row r="670" ht="12.0" customHeight="1">
      <c r="A670" s="175"/>
      <c r="B670" s="175"/>
      <c r="C670" s="175"/>
      <c r="D670" s="175"/>
      <c r="E670" s="175"/>
      <c r="F670" s="597"/>
      <c r="G670" s="597"/>
      <c r="H670" s="597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</row>
    <row r="671" ht="12.0" customHeight="1">
      <c r="A671" s="175"/>
      <c r="B671" s="175"/>
      <c r="C671" s="175"/>
      <c r="D671" s="175"/>
      <c r="E671" s="175"/>
      <c r="F671" s="597"/>
      <c r="G671" s="597"/>
      <c r="H671" s="597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</row>
    <row r="672" ht="12.0" customHeight="1">
      <c r="A672" s="175"/>
      <c r="B672" s="175"/>
      <c r="C672" s="175"/>
      <c r="D672" s="175"/>
      <c r="E672" s="175"/>
      <c r="F672" s="597"/>
      <c r="G672" s="597"/>
      <c r="H672" s="597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</row>
    <row r="673" ht="12.0" customHeight="1">
      <c r="A673" s="175"/>
      <c r="B673" s="175"/>
      <c r="C673" s="175"/>
      <c r="D673" s="175"/>
      <c r="E673" s="175"/>
      <c r="F673" s="597"/>
      <c r="G673" s="597"/>
      <c r="H673" s="597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</row>
    <row r="674" ht="12.0" customHeight="1">
      <c r="A674" s="175"/>
      <c r="B674" s="175"/>
      <c r="C674" s="175"/>
      <c r="D674" s="175"/>
      <c r="E674" s="175"/>
      <c r="F674" s="597"/>
      <c r="G674" s="597"/>
      <c r="H674" s="597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</row>
    <row r="675" ht="12.0" customHeight="1">
      <c r="A675" s="175"/>
      <c r="B675" s="175"/>
      <c r="C675" s="175"/>
      <c r="D675" s="175"/>
      <c r="E675" s="175"/>
      <c r="F675" s="597"/>
      <c r="G675" s="597"/>
      <c r="H675" s="597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</row>
    <row r="676" ht="12.0" customHeight="1">
      <c r="A676" s="175"/>
      <c r="B676" s="175"/>
      <c r="C676" s="175"/>
      <c r="D676" s="175"/>
      <c r="E676" s="175"/>
      <c r="F676" s="597"/>
      <c r="G676" s="597"/>
      <c r="H676" s="597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</row>
    <row r="677" ht="12.0" customHeight="1">
      <c r="A677" s="175"/>
      <c r="B677" s="175"/>
      <c r="C677" s="175"/>
      <c r="D677" s="175"/>
      <c r="E677" s="175"/>
      <c r="F677" s="597"/>
      <c r="G677" s="597"/>
      <c r="H677" s="597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</row>
    <row r="678" ht="12.0" customHeight="1">
      <c r="A678" s="175"/>
      <c r="B678" s="175"/>
      <c r="C678" s="175"/>
      <c r="D678" s="175"/>
      <c r="E678" s="175"/>
      <c r="F678" s="597"/>
      <c r="G678" s="597"/>
      <c r="H678" s="597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</row>
    <row r="679" ht="12.0" customHeight="1">
      <c r="A679" s="175"/>
      <c r="B679" s="175"/>
      <c r="C679" s="175"/>
      <c r="D679" s="175"/>
      <c r="E679" s="175"/>
      <c r="F679" s="597"/>
      <c r="G679" s="597"/>
      <c r="H679" s="597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</row>
    <row r="680" ht="12.0" customHeight="1">
      <c r="A680" s="175"/>
      <c r="B680" s="175"/>
      <c r="C680" s="175"/>
      <c r="D680" s="175"/>
      <c r="E680" s="175"/>
      <c r="F680" s="597"/>
      <c r="G680" s="597"/>
      <c r="H680" s="597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</row>
    <row r="681" ht="12.0" customHeight="1">
      <c r="A681" s="175"/>
      <c r="B681" s="175"/>
      <c r="C681" s="175"/>
      <c r="D681" s="175"/>
      <c r="E681" s="175"/>
      <c r="F681" s="597"/>
      <c r="G681" s="597"/>
      <c r="H681" s="597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</row>
    <row r="682" ht="12.0" customHeight="1">
      <c r="A682" s="175"/>
      <c r="B682" s="175"/>
      <c r="C682" s="175"/>
      <c r="D682" s="175"/>
      <c r="E682" s="175"/>
      <c r="F682" s="597"/>
      <c r="G682" s="597"/>
      <c r="H682" s="597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</row>
    <row r="683" ht="12.0" customHeight="1">
      <c r="A683" s="175"/>
      <c r="B683" s="175"/>
      <c r="C683" s="175"/>
      <c r="D683" s="175"/>
      <c r="E683" s="175"/>
      <c r="F683" s="597"/>
      <c r="G683" s="597"/>
      <c r="H683" s="597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</row>
    <row r="684" ht="12.0" customHeight="1">
      <c r="A684" s="175"/>
      <c r="B684" s="175"/>
      <c r="C684" s="175"/>
      <c r="D684" s="175"/>
      <c r="E684" s="175"/>
      <c r="F684" s="597"/>
      <c r="G684" s="597"/>
      <c r="H684" s="597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</row>
    <row r="685" ht="12.0" customHeight="1">
      <c r="A685" s="175"/>
      <c r="B685" s="175"/>
      <c r="C685" s="175"/>
      <c r="D685" s="175"/>
      <c r="E685" s="175"/>
      <c r="F685" s="597"/>
      <c r="G685" s="597"/>
      <c r="H685" s="597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</row>
    <row r="686" ht="12.0" customHeight="1">
      <c r="A686" s="175"/>
      <c r="B686" s="175"/>
      <c r="C686" s="175"/>
      <c r="D686" s="175"/>
      <c r="E686" s="175"/>
      <c r="F686" s="597"/>
      <c r="G686" s="597"/>
      <c r="H686" s="597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</row>
    <row r="687" ht="12.0" customHeight="1">
      <c r="A687" s="175"/>
      <c r="B687" s="175"/>
      <c r="C687" s="175"/>
      <c r="D687" s="175"/>
      <c r="E687" s="175"/>
      <c r="F687" s="597"/>
      <c r="G687" s="597"/>
      <c r="H687" s="597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</row>
    <row r="688" ht="12.0" customHeight="1">
      <c r="A688" s="175"/>
      <c r="B688" s="175"/>
      <c r="C688" s="175"/>
      <c r="D688" s="175"/>
      <c r="E688" s="175"/>
      <c r="F688" s="597"/>
      <c r="G688" s="597"/>
      <c r="H688" s="597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</row>
    <row r="689" ht="12.0" customHeight="1">
      <c r="A689" s="175"/>
      <c r="B689" s="175"/>
      <c r="C689" s="175"/>
      <c r="D689" s="175"/>
      <c r="E689" s="175"/>
      <c r="F689" s="597"/>
      <c r="G689" s="597"/>
      <c r="H689" s="597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</row>
    <row r="690" ht="12.0" customHeight="1">
      <c r="A690" s="175"/>
      <c r="B690" s="175"/>
      <c r="C690" s="175"/>
      <c r="D690" s="175"/>
      <c r="E690" s="175"/>
      <c r="F690" s="597"/>
      <c r="G690" s="597"/>
      <c r="H690" s="597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</row>
    <row r="691" ht="12.0" customHeight="1">
      <c r="A691" s="175"/>
      <c r="B691" s="175"/>
      <c r="C691" s="175"/>
      <c r="D691" s="175"/>
      <c r="E691" s="175"/>
      <c r="F691" s="597"/>
      <c r="G691" s="597"/>
      <c r="H691" s="597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</row>
    <row r="692" ht="12.0" customHeight="1">
      <c r="A692" s="175"/>
      <c r="B692" s="175"/>
      <c r="C692" s="175"/>
      <c r="D692" s="175"/>
      <c r="E692" s="175"/>
      <c r="F692" s="597"/>
      <c r="G692" s="597"/>
      <c r="H692" s="597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</row>
    <row r="693" ht="12.0" customHeight="1">
      <c r="A693" s="175"/>
      <c r="B693" s="175"/>
      <c r="C693" s="175"/>
      <c r="D693" s="175"/>
      <c r="E693" s="175"/>
      <c r="F693" s="597"/>
      <c r="G693" s="597"/>
      <c r="H693" s="597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</row>
    <row r="694" ht="12.0" customHeight="1">
      <c r="A694" s="175"/>
      <c r="B694" s="175"/>
      <c r="C694" s="175"/>
      <c r="D694" s="175"/>
      <c r="E694" s="175"/>
      <c r="F694" s="597"/>
      <c r="G694" s="597"/>
      <c r="H694" s="597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</row>
    <row r="695" ht="12.0" customHeight="1">
      <c r="A695" s="175"/>
      <c r="B695" s="175"/>
      <c r="C695" s="175"/>
      <c r="D695" s="175"/>
      <c r="E695" s="175"/>
      <c r="F695" s="597"/>
      <c r="G695" s="597"/>
      <c r="H695" s="597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</row>
    <row r="696" ht="12.0" customHeight="1">
      <c r="A696" s="175"/>
      <c r="B696" s="175"/>
      <c r="C696" s="175"/>
      <c r="D696" s="175"/>
      <c r="E696" s="175"/>
      <c r="F696" s="597"/>
      <c r="G696" s="597"/>
      <c r="H696" s="597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</row>
    <row r="697" ht="12.0" customHeight="1">
      <c r="A697" s="175"/>
      <c r="B697" s="175"/>
      <c r="C697" s="175"/>
      <c r="D697" s="175"/>
      <c r="E697" s="175"/>
      <c r="F697" s="597"/>
      <c r="G697" s="597"/>
      <c r="H697" s="597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</row>
    <row r="698" ht="12.0" customHeight="1">
      <c r="A698" s="175"/>
      <c r="B698" s="175"/>
      <c r="C698" s="175"/>
      <c r="D698" s="175"/>
      <c r="E698" s="175"/>
      <c r="F698" s="597"/>
      <c r="G698" s="597"/>
      <c r="H698" s="597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</row>
    <row r="699" ht="12.0" customHeight="1">
      <c r="A699" s="175"/>
      <c r="B699" s="175"/>
      <c r="C699" s="175"/>
      <c r="D699" s="175"/>
      <c r="E699" s="175"/>
      <c r="F699" s="597"/>
      <c r="G699" s="597"/>
      <c r="H699" s="597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</row>
    <row r="700" ht="12.0" customHeight="1">
      <c r="A700" s="175"/>
      <c r="B700" s="175"/>
      <c r="C700" s="175"/>
      <c r="D700" s="175"/>
      <c r="E700" s="175"/>
      <c r="F700" s="597"/>
      <c r="G700" s="597"/>
      <c r="H700" s="597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</row>
    <row r="701" ht="12.0" customHeight="1">
      <c r="A701" s="175"/>
      <c r="B701" s="175"/>
      <c r="C701" s="175"/>
      <c r="D701" s="175"/>
      <c r="E701" s="175"/>
      <c r="F701" s="597"/>
      <c r="G701" s="597"/>
      <c r="H701" s="597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</row>
    <row r="702" ht="12.0" customHeight="1">
      <c r="A702" s="175"/>
      <c r="B702" s="175"/>
      <c r="C702" s="175"/>
      <c r="D702" s="175"/>
      <c r="E702" s="175"/>
      <c r="F702" s="597"/>
      <c r="G702" s="597"/>
      <c r="H702" s="597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</row>
    <row r="703" ht="12.0" customHeight="1">
      <c r="A703" s="175"/>
      <c r="B703" s="175"/>
      <c r="C703" s="175"/>
      <c r="D703" s="175"/>
      <c r="E703" s="175"/>
      <c r="F703" s="597"/>
      <c r="G703" s="597"/>
      <c r="H703" s="597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</row>
    <row r="704" ht="12.0" customHeight="1">
      <c r="A704" s="175"/>
      <c r="B704" s="175"/>
      <c r="C704" s="175"/>
      <c r="D704" s="175"/>
      <c r="E704" s="175"/>
      <c r="F704" s="597"/>
      <c r="G704" s="597"/>
      <c r="H704" s="597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</row>
    <row r="705" ht="12.0" customHeight="1">
      <c r="A705" s="175"/>
      <c r="B705" s="175"/>
      <c r="C705" s="175"/>
      <c r="D705" s="175"/>
      <c r="E705" s="175"/>
      <c r="F705" s="597"/>
      <c r="G705" s="597"/>
      <c r="H705" s="597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</row>
    <row r="706" ht="12.0" customHeight="1">
      <c r="A706" s="175"/>
      <c r="B706" s="175"/>
      <c r="C706" s="175"/>
      <c r="D706" s="175"/>
      <c r="E706" s="175"/>
      <c r="F706" s="597"/>
      <c r="G706" s="597"/>
      <c r="H706" s="597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</row>
    <row r="707" ht="12.0" customHeight="1">
      <c r="A707" s="175"/>
      <c r="B707" s="175"/>
      <c r="C707" s="175"/>
      <c r="D707" s="175"/>
      <c r="E707" s="175"/>
      <c r="F707" s="597"/>
      <c r="G707" s="597"/>
      <c r="H707" s="597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</row>
    <row r="708" ht="12.0" customHeight="1">
      <c r="A708" s="175"/>
      <c r="B708" s="175"/>
      <c r="C708" s="175"/>
      <c r="D708" s="175"/>
      <c r="E708" s="175"/>
      <c r="F708" s="597"/>
      <c r="G708" s="597"/>
      <c r="H708" s="597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</row>
    <row r="709" ht="12.0" customHeight="1">
      <c r="A709" s="175"/>
      <c r="B709" s="175"/>
      <c r="C709" s="175"/>
      <c r="D709" s="175"/>
      <c r="E709" s="175"/>
      <c r="F709" s="597"/>
      <c r="G709" s="597"/>
      <c r="H709" s="597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</row>
    <row r="710" ht="12.0" customHeight="1">
      <c r="A710" s="175"/>
      <c r="B710" s="175"/>
      <c r="C710" s="175"/>
      <c r="D710" s="175"/>
      <c r="E710" s="175"/>
      <c r="F710" s="597"/>
      <c r="G710" s="597"/>
      <c r="H710" s="597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</row>
    <row r="711" ht="12.0" customHeight="1">
      <c r="A711" s="175"/>
      <c r="B711" s="175"/>
      <c r="C711" s="175"/>
      <c r="D711" s="175"/>
      <c r="E711" s="175"/>
      <c r="F711" s="597"/>
      <c r="G711" s="597"/>
      <c r="H711" s="597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</row>
    <row r="712" ht="12.0" customHeight="1">
      <c r="A712" s="175"/>
      <c r="B712" s="175"/>
      <c r="C712" s="175"/>
      <c r="D712" s="175"/>
      <c r="E712" s="175"/>
      <c r="F712" s="597"/>
      <c r="G712" s="597"/>
      <c r="H712" s="597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</row>
    <row r="713" ht="12.0" customHeight="1">
      <c r="A713" s="175"/>
      <c r="B713" s="175"/>
      <c r="C713" s="175"/>
      <c r="D713" s="175"/>
      <c r="E713" s="175"/>
      <c r="F713" s="597"/>
      <c r="G713" s="597"/>
      <c r="H713" s="597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</row>
    <row r="714" ht="12.0" customHeight="1">
      <c r="A714" s="175"/>
      <c r="B714" s="175"/>
      <c r="C714" s="175"/>
      <c r="D714" s="175"/>
      <c r="E714" s="175"/>
      <c r="F714" s="597"/>
      <c r="G714" s="597"/>
      <c r="H714" s="597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</row>
    <row r="715" ht="12.0" customHeight="1">
      <c r="A715" s="175"/>
      <c r="B715" s="175"/>
      <c r="C715" s="175"/>
      <c r="D715" s="175"/>
      <c r="E715" s="175"/>
      <c r="F715" s="597"/>
      <c r="G715" s="597"/>
      <c r="H715" s="597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</row>
    <row r="716" ht="12.0" customHeight="1">
      <c r="A716" s="175"/>
      <c r="B716" s="175"/>
      <c r="C716" s="175"/>
      <c r="D716" s="175"/>
      <c r="E716" s="175"/>
      <c r="F716" s="597"/>
      <c r="G716" s="597"/>
      <c r="H716" s="597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</row>
    <row r="717" ht="12.0" customHeight="1">
      <c r="A717" s="175"/>
      <c r="B717" s="175"/>
      <c r="C717" s="175"/>
      <c r="D717" s="175"/>
      <c r="E717" s="175"/>
      <c r="F717" s="597"/>
      <c r="G717" s="597"/>
      <c r="H717" s="597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</row>
    <row r="718" ht="12.0" customHeight="1">
      <c r="A718" s="175"/>
      <c r="B718" s="175"/>
      <c r="C718" s="175"/>
      <c r="D718" s="175"/>
      <c r="E718" s="175"/>
      <c r="F718" s="597"/>
      <c r="G718" s="597"/>
      <c r="H718" s="597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</row>
    <row r="719" ht="12.0" customHeight="1">
      <c r="A719" s="175"/>
      <c r="B719" s="175"/>
      <c r="C719" s="175"/>
      <c r="D719" s="175"/>
      <c r="E719" s="175"/>
      <c r="F719" s="597"/>
      <c r="G719" s="597"/>
      <c r="H719" s="597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</row>
    <row r="720" ht="12.0" customHeight="1">
      <c r="A720" s="175"/>
      <c r="B720" s="175"/>
      <c r="C720" s="175"/>
      <c r="D720" s="175"/>
      <c r="E720" s="175"/>
      <c r="F720" s="597"/>
      <c r="G720" s="597"/>
      <c r="H720" s="597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</row>
    <row r="721" ht="12.0" customHeight="1">
      <c r="A721" s="175"/>
      <c r="B721" s="175"/>
      <c r="C721" s="175"/>
      <c r="D721" s="175"/>
      <c r="E721" s="175"/>
      <c r="F721" s="597"/>
      <c r="G721" s="597"/>
      <c r="H721" s="597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</row>
    <row r="722" ht="12.0" customHeight="1">
      <c r="A722" s="175"/>
      <c r="B722" s="175"/>
      <c r="C722" s="175"/>
      <c r="D722" s="175"/>
      <c r="E722" s="175"/>
      <c r="F722" s="597"/>
      <c r="G722" s="597"/>
      <c r="H722" s="597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</row>
    <row r="723" ht="12.0" customHeight="1">
      <c r="A723" s="175"/>
      <c r="B723" s="175"/>
      <c r="C723" s="175"/>
      <c r="D723" s="175"/>
      <c r="E723" s="175"/>
      <c r="F723" s="597"/>
      <c r="G723" s="597"/>
      <c r="H723" s="597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</row>
    <row r="724" ht="12.0" customHeight="1">
      <c r="A724" s="175"/>
      <c r="B724" s="175"/>
      <c r="C724" s="175"/>
      <c r="D724" s="175"/>
      <c r="E724" s="175"/>
      <c r="F724" s="597"/>
      <c r="G724" s="597"/>
      <c r="H724" s="597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</row>
    <row r="725" ht="12.0" customHeight="1">
      <c r="A725" s="175"/>
      <c r="B725" s="175"/>
      <c r="C725" s="175"/>
      <c r="D725" s="175"/>
      <c r="E725" s="175"/>
      <c r="F725" s="597"/>
      <c r="G725" s="597"/>
      <c r="H725" s="597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</row>
    <row r="726" ht="12.0" customHeight="1">
      <c r="A726" s="175"/>
      <c r="B726" s="175"/>
      <c r="C726" s="175"/>
      <c r="D726" s="175"/>
      <c r="E726" s="175"/>
      <c r="F726" s="597"/>
      <c r="G726" s="597"/>
      <c r="H726" s="597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</row>
    <row r="727" ht="12.0" customHeight="1">
      <c r="A727" s="175"/>
      <c r="B727" s="175"/>
      <c r="C727" s="175"/>
      <c r="D727" s="175"/>
      <c r="E727" s="175"/>
      <c r="F727" s="597"/>
      <c r="G727" s="597"/>
      <c r="H727" s="597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</row>
    <row r="728" ht="12.0" customHeight="1">
      <c r="A728" s="175"/>
      <c r="B728" s="175"/>
      <c r="C728" s="175"/>
      <c r="D728" s="175"/>
      <c r="E728" s="175"/>
      <c r="F728" s="597"/>
      <c r="G728" s="597"/>
      <c r="H728" s="597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</row>
    <row r="729" ht="12.0" customHeight="1">
      <c r="A729" s="175"/>
      <c r="B729" s="175"/>
      <c r="C729" s="175"/>
      <c r="D729" s="175"/>
      <c r="E729" s="175"/>
      <c r="F729" s="597"/>
      <c r="G729" s="597"/>
      <c r="H729" s="597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</row>
    <row r="730" ht="12.0" customHeight="1">
      <c r="A730" s="175"/>
      <c r="B730" s="175"/>
      <c r="C730" s="175"/>
      <c r="D730" s="175"/>
      <c r="E730" s="175"/>
      <c r="F730" s="597"/>
      <c r="G730" s="597"/>
      <c r="H730" s="597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</row>
    <row r="731" ht="12.0" customHeight="1">
      <c r="A731" s="175"/>
      <c r="B731" s="175"/>
      <c r="C731" s="175"/>
      <c r="D731" s="175"/>
      <c r="E731" s="175"/>
      <c r="F731" s="597"/>
      <c r="G731" s="597"/>
      <c r="H731" s="597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</row>
    <row r="732" ht="12.0" customHeight="1">
      <c r="A732" s="175"/>
      <c r="B732" s="175"/>
      <c r="C732" s="175"/>
      <c r="D732" s="175"/>
      <c r="E732" s="175"/>
      <c r="F732" s="597"/>
      <c r="G732" s="597"/>
      <c r="H732" s="597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</row>
    <row r="733" ht="12.0" customHeight="1">
      <c r="A733" s="175"/>
      <c r="B733" s="175"/>
      <c r="C733" s="175"/>
      <c r="D733" s="175"/>
      <c r="E733" s="175"/>
      <c r="F733" s="597"/>
      <c r="G733" s="597"/>
      <c r="H733" s="597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</row>
    <row r="734" ht="12.0" customHeight="1">
      <c r="A734" s="175"/>
      <c r="B734" s="175"/>
      <c r="C734" s="175"/>
      <c r="D734" s="175"/>
      <c r="E734" s="175"/>
      <c r="F734" s="597"/>
      <c r="G734" s="597"/>
      <c r="H734" s="597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</row>
    <row r="735" ht="12.0" customHeight="1">
      <c r="A735" s="175"/>
      <c r="B735" s="175"/>
      <c r="C735" s="175"/>
      <c r="D735" s="175"/>
      <c r="E735" s="175"/>
      <c r="F735" s="597"/>
      <c r="G735" s="597"/>
      <c r="H735" s="597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</row>
    <row r="736" ht="12.0" customHeight="1">
      <c r="A736" s="175"/>
      <c r="B736" s="175"/>
      <c r="C736" s="175"/>
      <c r="D736" s="175"/>
      <c r="E736" s="175"/>
      <c r="F736" s="597"/>
      <c r="G736" s="597"/>
      <c r="H736" s="597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</row>
    <row r="737" ht="12.0" customHeight="1">
      <c r="A737" s="175"/>
      <c r="B737" s="175"/>
      <c r="C737" s="175"/>
      <c r="D737" s="175"/>
      <c r="E737" s="175"/>
      <c r="F737" s="597"/>
      <c r="G737" s="597"/>
      <c r="H737" s="597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</row>
    <row r="738" ht="12.0" customHeight="1">
      <c r="A738" s="175"/>
      <c r="B738" s="175"/>
      <c r="C738" s="175"/>
      <c r="D738" s="175"/>
      <c r="E738" s="175"/>
      <c r="F738" s="597"/>
      <c r="G738" s="597"/>
      <c r="H738" s="597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</row>
    <row r="739" ht="12.0" customHeight="1">
      <c r="A739" s="175"/>
      <c r="B739" s="175"/>
      <c r="C739" s="175"/>
      <c r="D739" s="175"/>
      <c r="E739" s="175"/>
      <c r="F739" s="597"/>
      <c r="G739" s="597"/>
      <c r="H739" s="597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</row>
    <row r="740" ht="12.0" customHeight="1">
      <c r="A740" s="175"/>
      <c r="B740" s="175"/>
      <c r="C740" s="175"/>
      <c r="D740" s="175"/>
      <c r="E740" s="175"/>
      <c r="F740" s="597"/>
      <c r="G740" s="597"/>
      <c r="H740" s="597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</row>
    <row r="741" ht="12.0" customHeight="1">
      <c r="A741" s="175"/>
      <c r="B741" s="175"/>
      <c r="C741" s="175"/>
      <c r="D741" s="175"/>
      <c r="E741" s="175"/>
      <c r="F741" s="597"/>
      <c r="G741" s="597"/>
      <c r="H741" s="597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</row>
    <row r="742" ht="12.0" customHeight="1">
      <c r="A742" s="175"/>
      <c r="B742" s="175"/>
      <c r="C742" s="175"/>
      <c r="D742" s="175"/>
      <c r="E742" s="175"/>
      <c r="F742" s="597"/>
      <c r="G742" s="597"/>
      <c r="H742" s="597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</row>
    <row r="743" ht="12.0" customHeight="1">
      <c r="A743" s="175"/>
      <c r="B743" s="175"/>
      <c r="C743" s="175"/>
      <c r="D743" s="175"/>
      <c r="E743" s="175"/>
      <c r="F743" s="597"/>
      <c r="G743" s="597"/>
      <c r="H743" s="597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</row>
    <row r="744" ht="12.0" customHeight="1">
      <c r="A744" s="175"/>
      <c r="B744" s="175"/>
      <c r="C744" s="175"/>
      <c r="D744" s="175"/>
      <c r="E744" s="175"/>
      <c r="F744" s="597"/>
      <c r="G744" s="597"/>
      <c r="H744" s="597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</row>
    <row r="745" ht="12.0" customHeight="1">
      <c r="A745" s="175"/>
      <c r="B745" s="175"/>
      <c r="C745" s="175"/>
      <c r="D745" s="175"/>
      <c r="E745" s="175"/>
      <c r="F745" s="597"/>
      <c r="G745" s="597"/>
      <c r="H745" s="597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</row>
    <row r="746" ht="12.0" customHeight="1">
      <c r="A746" s="175"/>
      <c r="B746" s="175"/>
      <c r="C746" s="175"/>
      <c r="D746" s="175"/>
      <c r="E746" s="175"/>
      <c r="F746" s="597"/>
      <c r="G746" s="597"/>
      <c r="H746" s="597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</row>
    <row r="747" ht="12.0" customHeight="1">
      <c r="A747" s="175"/>
      <c r="B747" s="175"/>
      <c r="C747" s="175"/>
      <c r="D747" s="175"/>
      <c r="E747" s="175"/>
      <c r="F747" s="597"/>
      <c r="G747" s="597"/>
      <c r="H747" s="597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</row>
    <row r="748" ht="12.0" customHeight="1">
      <c r="A748" s="175"/>
      <c r="B748" s="175"/>
      <c r="C748" s="175"/>
      <c r="D748" s="175"/>
      <c r="E748" s="175"/>
      <c r="F748" s="597"/>
      <c r="G748" s="597"/>
      <c r="H748" s="597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</row>
    <row r="749" ht="12.0" customHeight="1">
      <c r="A749" s="175"/>
      <c r="B749" s="175"/>
      <c r="C749" s="175"/>
      <c r="D749" s="175"/>
      <c r="E749" s="175"/>
      <c r="F749" s="597"/>
      <c r="G749" s="597"/>
      <c r="H749" s="597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</row>
    <row r="750" ht="12.0" customHeight="1">
      <c r="A750" s="175"/>
      <c r="B750" s="175"/>
      <c r="C750" s="175"/>
      <c r="D750" s="175"/>
      <c r="E750" s="175"/>
      <c r="F750" s="597"/>
      <c r="G750" s="597"/>
      <c r="H750" s="597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</row>
    <row r="751" ht="12.0" customHeight="1">
      <c r="A751" s="175"/>
      <c r="B751" s="175"/>
      <c r="C751" s="175"/>
      <c r="D751" s="175"/>
      <c r="E751" s="175"/>
      <c r="F751" s="597"/>
      <c r="G751" s="597"/>
      <c r="H751" s="597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</row>
    <row r="752" ht="12.0" customHeight="1">
      <c r="A752" s="175"/>
      <c r="B752" s="175"/>
      <c r="C752" s="175"/>
      <c r="D752" s="175"/>
      <c r="E752" s="175"/>
      <c r="F752" s="597"/>
      <c r="G752" s="597"/>
      <c r="H752" s="597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</row>
    <row r="753" ht="12.0" customHeight="1">
      <c r="A753" s="175"/>
      <c r="B753" s="175"/>
      <c r="C753" s="175"/>
      <c r="D753" s="175"/>
      <c r="E753" s="175"/>
      <c r="F753" s="597"/>
      <c r="G753" s="597"/>
      <c r="H753" s="597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</row>
    <row r="754" ht="12.0" customHeight="1">
      <c r="A754" s="175"/>
      <c r="B754" s="175"/>
      <c r="C754" s="175"/>
      <c r="D754" s="175"/>
      <c r="E754" s="175"/>
      <c r="F754" s="597"/>
      <c r="G754" s="597"/>
      <c r="H754" s="597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</row>
    <row r="755" ht="12.0" customHeight="1">
      <c r="A755" s="175"/>
      <c r="B755" s="175"/>
      <c r="C755" s="175"/>
      <c r="D755" s="175"/>
      <c r="E755" s="175"/>
      <c r="F755" s="597"/>
      <c r="G755" s="597"/>
      <c r="H755" s="597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</row>
    <row r="756" ht="12.0" customHeight="1">
      <c r="A756" s="175"/>
      <c r="B756" s="175"/>
      <c r="C756" s="175"/>
      <c r="D756" s="175"/>
      <c r="E756" s="175"/>
      <c r="F756" s="597"/>
      <c r="G756" s="597"/>
      <c r="H756" s="597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</row>
    <row r="757" ht="12.0" customHeight="1">
      <c r="A757" s="175"/>
      <c r="B757" s="175"/>
      <c r="C757" s="175"/>
      <c r="D757" s="175"/>
      <c r="E757" s="175"/>
      <c r="F757" s="597"/>
      <c r="G757" s="597"/>
      <c r="H757" s="597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</row>
    <row r="758" ht="12.0" customHeight="1">
      <c r="A758" s="175"/>
      <c r="B758" s="175"/>
      <c r="C758" s="175"/>
      <c r="D758" s="175"/>
      <c r="E758" s="175"/>
      <c r="F758" s="597"/>
      <c r="G758" s="597"/>
      <c r="H758" s="597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</row>
    <row r="759" ht="12.0" customHeight="1">
      <c r="A759" s="175"/>
      <c r="B759" s="175"/>
      <c r="C759" s="175"/>
      <c r="D759" s="175"/>
      <c r="E759" s="175"/>
      <c r="F759" s="597"/>
      <c r="G759" s="597"/>
      <c r="H759" s="597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</row>
    <row r="760" ht="12.0" customHeight="1">
      <c r="A760" s="175"/>
      <c r="B760" s="175"/>
      <c r="C760" s="175"/>
      <c r="D760" s="175"/>
      <c r="E760" s="175"/>
      <c r="F760" s="597"/>
      <c r="G760" s="597"/>
      <c r="H760" s="597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</row>
    <row r="761" ht="12.0" customHeight="1">
      <c r="A761" s="175"/>
      <c r="B761" s="175"/>
      <c r="C761" s="175"/>
      <c r="D761" s="175"/>
      <c r="E761" s="175"/>
      <c r="F761" s="597"/>
      <c r="G761" s="597"/>
      <c r="H761" s="597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</row>
    <row r="762" ht="12.0" customHeight="1">
      <c r="A762" s="175"/>
      <c r="B762" s="175"/>
      <c r="C762" s="175"/>
      <c r="D762" s="175"/>
      <c r="E762" s="175"/>
      <c r="F762" s="597"/>
      <c r="G762" s="597"/>
      <c r="H762" s="597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</row>
    <row r="763" ht="12.0" customHeight="1">
      <c r="A763" s="175"/>
      <c r="B763" s="175"/>
      <c r="C763" s="175"/>
      <c r="D763" s="175"/>
      <c r="E763" s="175"/>
      <c r="F763" s="597"/>
      <c r="G763" s="597"/>
      <c r="H763" s="597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</row>
    <row r="764" ht="12.0" customHeight="1">
      <c r="A764" s="175"/>
      <c r="B764" s="175"/>
      <c r="C764" s="175"/>
      <c r="D764" s="175"/>
      <c r="E764" s="175"/>
      <c r="F764" s="597"/>
      <c r="G764" s="597"/>
      <c r="H764" s="597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</row>
    <row r="765" ht="12.0" customHeight="1">
      <c r="A765" s="175"/>
      <c r="B765" s="175"/>
      <c r="C765" s="175"/>
      <c r="D765" s="175"/>
      <c r="E765" s="175"/>
      <c r="F765" s="597"/>
      <c r="G765" s="597"/>
      <c r="H765" s="597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</row>
    <row r="766" ht="12.0" customHeight="1">
      <c r="A766" s="175"/>
      <c r="B766" s="175"/>
      <c r="C766" s="175"/>
      <c r="D766" s="175"/>
      <c r="E766" s="175"/>
      <c r="F766" s="597"/>
      <c r="G766" s="597"/>
      <c r="H766" s="597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</row>
    <row r="767" ht="12.0" customHeight="1">
      <c r="A767" s="175"/>
      <c r="B767" s="175"/>
      <c r="C767" s="175"/>
      <c r="D767" s="175"/>
      <c r="E767" s="175"/>
      <c r="F767" s="597"/>
      <c r="G767" s="597"/>
      <c r="H767" s="597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</row>
    <row r="768" ht="12.0" customHeight="1">
      <c r="A768" s="175"/>
      <c r="B768" s="175"/>
      <c r="C768" s="175"/>
      <c r="D768" s="175"/>
      <c r="E768" s="175"/>
      <c r="F768" s="597"/>
      <c r="G768" s="597"/>
      <c r="H768" s="597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</row>
    <row r="769" ht="12.0" customHeight="1">
      <c r="A769" s="175"/>
      <c r="B769" s="175"/>
      <c r="C769" s="175"/>
      <c r="D769" s="175"/>
      <c r="E769" s="175"/>
      <c r="F769" s="597"/>
      <c r="G769" s="597"/>
      <c r="H769" s="597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</row>
    <row r="770" ht="12.0" customHeight="1">
      <c r="A770" s="175"/>
      <c r="B770" s="175"/>
      <c r="C770" s="175"/>
      <c r="D770" s="175"/>
      <c r="E770" s="175"/>
      <c r="F770" s="597"/>
      <c r="G770" s="597"/>
      <c r="H770" s="597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</row>
    <row r="771" ht="12.0" customHeight="1">
      <c r="A771" s="175"/>
      <c r="B771" s="175"/>
      <c r="C771" s="175"/>
      <c r="D771" s="175"/>
      <c r="E771" s="175"/>
      <c r="F771" s="597"/>
      <c r="G771" s="597"/>
      <c r="H771" s="597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</row>
    <row r="772" ht="12.0" customHeight="1">
      <c r="A772" s="175"/>
      <c r="B772" s="175"/>
      <c r="C772" s="175"/>
      <c r="D772" s="175"/>
      <c r="E772" s="175"/>
      <c r="F772" s="597"/>
      <c r="G772" s="597"/>
      <c r="H772" s="597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</row>
    <row r="773" ht="12.0" customHeight="1">
      <c r="A773" s="175"/>
      <c r="B773" s="175"/>
      <c r="C773" s="175"/>
      <c r="D773" s="175"/>
      <c r="E773" s="175"/>
      <c r="F773" s="597"/>
      <c r="G773" s="597"/>
      <c r="H773" s="597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</row>
    <row r="774" ht="12.0" customHeight="1">
      <c r="A774" s="175"/>
      <c r="B774" s="175"/>
      <c r="C774" s="175"/>
      <c r="D774" s="175"/>
      <c r="E774" s="175"/>
      <c r="F774" s="597"/>
      <c r="G774" s="597"/>
      <c r="H774" s="597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</row>
    <row r="775" ht="12.0" customHeight="1">
      <c r="A775" s="175"/>
      <c r="B775" s="175"/>
      <c r="C775" s="175"/>
      <c r="D775" s="175"/>
      <c r="E775" s="175"/>
      <c r="F775" s="597"/>
      <c r="G775" s="597"/>
      <c r="H775" s="597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</row>
    <row r="776" ht="12.0" customHeight="1">
      <c r="A776" s="175"/>
      <c r="B776" s="175"/>
      <c r="C776" s="175"/>
      <c r="D776" s="175"/>
      <c r="E776" s="175"/>
      <c r="F776" s="597"/>
      <c r="G776" s="597"/>
      <c r="H776" s="597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</row>
    <row r="777" ht="12.0" customHeight="1">
      <c r="A777" s="175"/>
      <c r="B777" s="175"/>
      <c r="C777" s="175"/>
      <c r="D777" s="175"/>
      <c r="E777" s="175"/>
      <c r="F777" s="597"/>
      <c r="G777" s="597"/>
      <c r="H777" s="597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</row>
    <row r="778" ht="12.0" customHeight="1">
      <c r="A778" s="175"/>
      <c r="B778" s="175"/>
      <c r="C778" s="175"/>
      <c r="D778" s="175"/>
      <c r="E778" s="175"/>
      <c r="F778" s="597"/>
      <c r="G778" s="597"/>
      <c r="H778" s="597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</row>
    <row r="779" ht="12.0" customHeight="1">
      <c r="A779" s="175"/>
      <c r="B779" s="175"/>
      <c r="C779" s="175"/>
      <c r="D779" s="175"/>
      <c r="E779" s="175"/>
      <c r="F779" s="597"/>
      <c r="G779" s="597"/>
      <c r="H779" s="597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</row>
    <row r="780" ht="12.0" customHeight="1">
      <c r="A780" s="175"/>
      <c r="B780" s="175"/>
      <c r="C780" s="175"/>
      <c r="D780" s="175"/>
      <c r="E780" s="175"/>
      <c r="F780" s="597"/>
      <c r="G780" s="597"/>
      <c r="H780" s="597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</row>
    <row r="781" ht="12.0" customHeight="1">
      <c r="A781" s="175"/>
      <c r="B781" s="175"/>
      <c r="C781" s="175"/>
      <c r="D781" s="175"/>
      <c r="E781" s="175"/>
      <c r="F781" s="597"/>
      <c r="G781" s="597"/>
      <c r="H781" s="597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</row>
    <row r="782" ht="12.0" customHeight="1">
      <c r="A782" s="175"/>
      <c r="B782" s="175"/>
      <c r="C782" s="175"/>
      <c r="D782" s="175"/>
      <c r="E782" s="175"/>
      <c r="F782" s="597"/>
      <c r="G782" s="597"/>
      <c r="H782" s="597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</row>
    <row r="783" ht="12.0" customHeight="1">
      <c r="A783" s="175"/>
      <c r="B783" s="175"/>
      <c r="C783" s="175"/>
      <c r="D783" s="175"/>
      <c r="E783" s="175"/>
      <c r="F783" s="597"/>
      <c r="G783" s="597"/>
      <c r="H783" s="597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</row>
    <row r="784" ht="12.0" customHeight="1">
      <c r="A784" s="175"/>
      <c r="B784" s="175"/>
      <c r="C784" s="175"/>
      <c r="D784" s="175"/>
      <c r="E784" s="175"/>
      <c r="F784" s="597"/>
      <c r="G784" s="597"/>
      <c r="H784" s="597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</row>
    <row r="785" ht="12.0" customHeight="1">
      <c r="A785" s="175"/>
      <c r="B785" s="175"/>
      <c r="C785" s="175"/>
      <c r="D785" s="175"/>
      <c r="E785" s="175"/>
      <c r="F785" s="597"/>
      <c r="G785" s="597"/>
      <c r="H785" s="597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</row>
    <row r="786" ht="12.0" customHeight="1">
      <c r="A786" s="175"/>
      <c r="B786" s="175"/>
      <c r="C786" s="175"/>
      <c r="D786" s="175"/>
      <c r="E786" s="175"/>
      <c r="F786" s="597"/>
      <c r="G786" s="597"/>
      <c r="H786" s="597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</row>
    <row r="787" ht="12.0" customHeight="1">
      <c r="A787" s="175"/>
      <c r="B787" s="175"/>
      <c r="C787" s="175"/>
      <c r="D787" s="175"/>
      <c r="E787" s="175"/>
      <c r="F787" s="597"/>
      <c r="G787" s="597"/>
      <c r="H787" s="597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</row>
    <row r="788" ht="12.0" customHeight="1">
      <c r="A788" s="175"/>
      <c r="B788" s="175"/>
      <c r="C788" s="175"/>
      <c r="D788" s="175"/>
      <c r="E788" s="175"/>
      <c r="F788" s="597"/>
      <c r="G788" s="597"/>
      <c r="H788" s="597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</row>
    <row r="789" ht="12.0" customHeight="1">
      <c r="A789" s="175"/>
      <c r="B789" s="175"/>
      <c r="C789" s="175"/>
      <c r="D789" s="175"/>
      <c r="E789" s="175"/>
      <c r="F789" s="597"/>
      <c r="G789" s="597"/>
      <c r="H789" s="597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</row>
    <row r="790" ht="12.0" customHeight="1">
      <c r="A790" s="175"/>
      <c r="B790" s="175"/>
      <c r="C790" s="175"/>
      <c r="D790" s="175"/>
      <c r="E790" s="175"/>
      <c r="F790" s="597"/>
      <c r="G790" s="597"/>
      <c r="H790" s="597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</row>
    <row r="791" ht="12.0" customHeight="1">
      <c r="A791" s="175"/>
      <c r="B791" s="175"/>
      <c r="C791" s="175"/>
      <c r="D791" s="175"/>
      <c r="E791" s="175"/>
      <c r="F791" s="597"/>
      <c r="G791" s="597"/>
      <c r="H791" s="597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</row>
    <row r="792" ht="12.0" customHeight="1">
      <c r="A792" s="175"/>
      <c r="B792" s="175"/>
      <c r="C792" s="175"/>
      <c r="D792" s="175"/>
      <c r="E792" s="175"/>
      <c r="F792" s="597"/>
      <c r="G792" s="597"/>
      <c r="H792" s="597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</row>
    <row r="793" ht="12.0" customHeight="1">
      <c r="A793" s="175"/>
      <c r="B793" s="175"/>
      <c r="C793" s="175"/>
      <c r="D793" s="175"/>
      <c r="E793" s="175"/>
      <c r="F793" s="597"/>
      <c r="G793" s="597"/>
      <c r="H793" s="597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</row>
    <row r="794" ht="12.0" customHeight="1">
      <c r="A794" s="175"/>
      <c r="B794" s="175"/>
      <c r="C794" s="175"/>
      <c r="D794" s="175"/>
      <c r="E794" s="175"/>
      <c r="F794" s="597"/>
      <c r="G794" s="597"/>
      <c r="H794" s="597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</row>
    <row r="795" ht="12.0" customHeight="1">
      <c r="A795" s="175"/>
      <c r="B795" s="175"/>
      <c r="C795" s="175"/>
      <c r="D795" s="175"/>
      <c r="E795" s="175"/>
      <c r="F795" s="597"/>
      <c r="G795" s="597"/>
      <c r="H795" s="597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</row>
    <row r="796" ht="12.0" customHeight="1">
      <c r="A796" s="175"/>
      <c r="B796" s="175"/>
      <c r="C796" s="175"/>
      <c r="D796" s="175"/>
      <c r="E796" s="175"/>
      <c r="F796" s="597"/>
      <c r="G796" s="597"/>
      <c r="H796" s="597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</row>
    <row r="797" ht="12.0" customHeight="1">
      <c r="A797" s="175"/>
      <c r="B797" s="175"/>
      <c r="C797" s="175"/>
      <c r="D797" s="175"/>
      <c r="E797" s="175"/>
      <c r="F797" s="597"/>
      <c r="G797" s="597"/>
      <c r="H797" s="597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</row>
    <row r="798" ht="12.0" customHeight="1">
      <c r="A798" s="175"/>
      <c r="B798" s="175"/>
      <c r="C798" s="175"/>
      <c r="D798" s="175"/>
      <c r="E798" s="175"/>
      <c r="F798" s="597"/>
      <c r="G798" s="597"/>
      <c r="H798" s="597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</row>
    <row r="799" ht="12.0" customHeight="1">
      <c r="A799" s="175"/>
      <c r="B799" s="175"/>
      <c r="C799" s="175"/>
      <c r="D799" s="175"/>
      <c r="E799" s="175"/>
      <c r="F799" s="597"/>
      <c r="G799" s="597"/>
      <c r="H799" s="597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</row>
    <row r="800" ht="12.0" customHeight="1">
      <c r="A800" s="175"/>
      <c r="B800" s="175"/>
      <c r="C800" s="175"/>
      <c r="D800" s="175"/>
      <c r="E800" s="175"/>
      <c r="F800" s="597"/>
      <c r="G800" s="597"/>
      <c r="H800" s="597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</row>
    <row r="801" ht="12.0" customHeight="1">
      <c r="A801" s="175"/>
      <c r="B801" s="175"/>
      <c r="C801" s="175"/>
      <c r="D801" s="175"/>
      <c r="E801" s="175"/>
      <c r="F801" s="597"/>
      <c r="G801" s="597"/>
      <c r="H801" s="597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</row>
    <row r="802" ht="12.0" customHeight="1">
      <c r="A802" s="175"/>
      <c r="B802" s="175"/>
      <c r="C802" s="175"/>
      <c r="D802" s="175"/>
      <c r="E802" s="175"/>
      <c r="F802" s="597"/>
      <c r="G802" s="597"/>
      <c r="H802" s="597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</row>
    <row r="803" ht="12.0" customHeight="1">
      <c r="A803" s="175"/>
      <c r="B803" s="175"/>
      <c r="C803" s="175"/>
      <c r="D803" s="175"/>
      <c r="E803" s="175"/>
      <c r="F803" s="597"/>
      <c r="G803" s="597"/>
      <c r="H803" s="597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</row>
    <row r="804" ht="12.0" customHeight="1">
      <c r="A804" s="175"/>
      <c r="B804" s="175"/>
      <c r="C804" s="175"/>
      <c r="D804" s="175"/>
      <c r="E804" s="175"/>
      <c r="F804" s="597"/>
      <c r="G804" s="597"/>
      <c r="H804" s="597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</row>
    <row r="805" ht="12.0" customHeight="1">
      <c r="A805" s="175"/>
      <c r="B805" s="175"/>
      <c r="C805" s="175"/>
      <c r="D805" s="175"/>
      <c r="E805" s="175"/>
      <c r="F805" s="597"/>
      <c r="G805" s="597"/>
      <c r="H805" s="597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</row>
    <row r="806" ht="12.0" customHeight="1">
      <c r="A806" s="175"/>
      <c r="B806" s="175"/>
      <c r="C806" s="175"/>
      <c r="D806" s="175"/>
      <c r="E806" s="175"/>
      <c r="F806" s="597"/>
      <c r="G806" s="597"/>
      <c r="H806" s="597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</row>
    <row r="807" ht="12.0" customHeight="1">
      <c r="A807" s="175"/>
      <c r="B807" s="175"/>
      <c r="C807" s="175"/>
      <c r="D807" s="175"/>
      <c r="E807" s="175"/>
      <c r="F807" s="597"/>
      <c r="G807" s="597"/>
      <c r="H807" s="597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</row>
    <row r="808" ht="12.0" customHeight="1">
      <c r="A808" s="175"/>
      <c r="B808" s="175"/>
      <c r="C808" s="175"/>
      <c r="D808" s="175"/>
      <c r="E808" s="175"/>
      <c r="F808" s="597"/>
      <c r="G808" s="597"/>
      <c r="H808" s="597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</row>
    <row r="809" ht="12.0" customHeight="1">
      <c r="A809" s="175"/>
      <c r="B809" s="175"/>
      <c r="C809" s="175"/>
      <c r="D809" s="175"/>
      <c r="E809" s="175"/>
      <c r="F809" s="597"/>
      <c r="G809" s="597"/>
      <c r="H809" s="597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</row>
    <row r="810" ht="12.0" customHeight="1">
      <c r="A810" s="175"/>
      <c r="B810" s="175"/>
      <c r="C810" s="175"/>
      <c r="D810" s="175"/>
      <c r="E810" s="175"/>
      <c r="F810" s="597"/>
      <c r="G810" s="597"/>
      <c r="H810" s="597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</row>
    <row r="811" ht="12.0" customHeight="1">
      <c r="A811" s="175"/>
      <c r="B811" s="175"/>
      <c r="C811" s="175"/>
      <c r="D811" s="175"/>
      <c r="E811" s="175"/>
      <c r="F811" s="597"/>
      <c r="G811" s="597"/>
      <c r="H811" s="597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</row>
    <row r="812" ht="12.0" customHeight="1">
      <c r="A812" s="175"/>
      <c r="B812" s="175"/>
      <c r="C812" s="175"/>
      <c r="D812" s="175"/>
      <c r="E812" s="175"/>
      <c r="F812" s="597"/>
      <c r="G812" s="597"/>
      <c r="H812" s="597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</row>
    <row r="813" ht="12.0" customHeight="1">
      <c r="A813" s="175"/>
      <c r="B813" s="175"/>
      <c r="C813" s="175"/>
      <c r="D813" s="175"/>
      <c r="E813" s="175"/>
      <c r="F813" s="597"/>
      <c r="G813" s="597"/>
      <c r="H813" s="597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</row>
    <row r="814" ht="12.0" customHeight="1">
      <c r="A814" s="175"/>
      <c r="B814" s="175"/>
      <c r="C814" s="175"/>
      <c r="D814" s="175"/>
      <c r="E814" s="175"/>
      <c r="F814" s="597"/>
      <c r="G814" s="597"/>
      <c r="H814" s="597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</row>
    <row r="815" ht="12.0" customHeight="1">
      <c r="A815" s="175"/>
      <c r="B815" s="175"/>
      <c r="C815" s="175"/>
      <c r="D815" s="175"/>
      <c r="E815" s="175"/>
      <c r="F815" s="597"/>
      <c r="G815" s="597"/>
      <c r="H815" s="597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</row>
    <row r="816" ht="12.0" customHeight="1">
      <c r="A816" s="175"/>
      <c r="B816" s="175"/>
      <c r="C816" s="175"/>
      <c r="D816" s="175"/>
      <c r="E816" s="175"/>
      <c r="F816" s="597"/>
      <c r="G816" s="597"/>
      <c r="H816" s="597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</row>
    <row r="817" ht="12.0" customHeight="1">
      <c r="A817" s="175"/>
      <c r="B817" s="175"/>
      <c r="C817" s="175"/>
      <c r="D817" s="175"/>
      <c r="E817" s="175"/>
      <c r="F817" s="597"/>
      <c r="G817" s="597"/>
      <c r="H817" s="597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</row>
    <row r="818" ht="12.0" customHeight="1">
      <c r="A818" s="175"/>
      <c r="B818" s="175"/>
      <c r="C818" s="175"/>
      <c r="D818" s="175"/>
      <c r="E818" s="175"/>
      <c r="F818" s="597"/>
      <c r="G818" s="597"/>
      <c r="H818" s="597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</row>
    <row r="819" ht="12.0" customHeight="1">
      <c r="A819" s="175"/>
      <c r="B819" s="175"/>
      <c r="C819" s="175"/>
      <c r="D819" s="175"/>
      <c r="E819" s="175"/>
      <c r="F819" s="597"/>
      <c r="G819" s="597"/>
      <c r="H819" s="597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</row>
    <row r="820" ht="12.0" customHeight="1">
      <c r="A820" s="175"/>
      <c r="B820" s="175"/>
      <c r="C820" s="175"/>
      <c r="D820" s="175"/>
      <c r="E820" s="175"/>
      <c r="F820" s="597"/>
      <c r="G820" s="597"/>
      <c r="H820" s="597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</row>
    <row r="821" ht="12.0" customHeight="1">
      <c r="A821" s="175"/>
      <c r="B821" s="175"/>
      <c r="C821" s="175"/>
      <c r="D821" s="175"/>
      <c r="E821" s="175"/>
      <c r="F821" s="597"/>
      <c r="G821" s="597"/>
      <c r="H821" s="597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</row>
    <row r="822" ht="12.0" customHeight="1">
      <c r="A822" s="175"/>
      <c r="B822" s="175"/>
      <c r="C822" s="175"/>
      <c r="D822" s="175"/>
      <c r="E822" s="175"/>
      <c r="F822" s="597"/>
      <c r="G822" s="597"/>
      <c r="H822" s="597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</row>
    <row r="823" ht="12.0" customHeight="1">
      <c r="A823" s="175"/>
      <c r="B823" s="175"/>
      <c r="C823" s="175"/>
      <c r="D823" s="175"/>
      <c r="E823" s="175"/>
      <c r="F823" s="597"/>
      <c r="G823" s="597"/>
      <c r="H823" s="597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</row>
    <row r="824" ht="12.0" customHeight="1">
      <c r="A824" s="175"/>
      <c r="B824" s="175"/>
      <c r="C824" s="175"/>
      <c r="D824" s="175"/>
      <c r="E824" s="175"/>
      <c r="F824" s="597"/>
      <c r="G824" s="597"/>
      <c r="H824" s="597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</row>
    <row r="825" ht="12.0" customHeight="1">
      <c r="A825" s="175"/>
      <c r="B825" s="175"/>
      <c r="C825" s="175"/>
      <c r="D825" s="175"/>
      <c r="E825" s="175"/>
      <c r="F825" s="597"/>
      <c r="G825" s="597"/>
      <c r="H825" s="597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</row>
    <row r="826" ht="12.0" customHeight="1">
      <c r="A826" s="175"/>
      <c r="B826" s="175"/>
      <c r="C826" s="175"/>
      <c r="D826" s="175"/>
      <c r="E826" s="175"/>
      <c r="F826" s="597"/>
      <c r="G826" s="597"/>
      <c r="H826" s="597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</row>
    <row r="827" ht="12.0" customHeight="1">
      <c r="A827" s="175"/>
      <c r="B827" s="175"/>
      <c r="C827" s="175"/>
      <c r="D827" s="175"/>
      <c r="E827" s="175"/>
      <c r="F827" s="597"/>
      <c r="G827" s="597"/>
      <c r="H827" s="597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</row>
    <row r="828" ht="12.0" customHeight="1">
      <c r="A828" s="175"/>
      <c r="B828" s="175"/>
      <c r="C828" s="175"/>
      <c r="D828" s="175"/>
      <c r="E828" s="175"/>
      <c r="F828" s="597"/>
      <c r="G828" s="597"/>
      <c r="H828" s="597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</row>
    <row r="829" ht="12.0" customHeight="1">
      <c r="A829" s="175"/>
      <c r="B829" s="175"/>
      <c r="C829" s="175"/>
      <c r="D829" s="175"/>
      <c r="E829" s="175"/>
      <c r="F829" s="597"/>
      <c r="G829" s="597"/>
      <c r="H829" s="597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</row>
    <row r="830" ht="12.0" customHeight="1">
      <c r="A830" s="175"/>
      <c r="B830" s="175"/>
      <c r="C830" s="175"/>
      <c r="D830" s="175"/>
      <c r="E830" s="175"/>
      <c r="F830" s="597"/>
      <c r="G830" s="597"/>
      <c r="H830" s="597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</row>
    <row r="831" ht="12.0" customHeight="1">
      <c r="A831" s="175"/>
      <c r="B831" s="175"/>
      <c r="C831" s="175"/>
      <c r="D831" s="175"/>
      <c r="E831" s="175"/>
      <c r="F831" s="597"/>
      <c r="G831" s="597"/>
      <c r="H831" s="597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</row>
    <row r="832" ht="12.0" customHeight="1">
      <c r="A832" s="175"/>
      <c r="B832" s="175"/>
      <c r="C832" s="175"/>
      <c r="D832" s="175"/>
      <c r="E832" s="175"/>
      <c r="F832" s="597"/>
      <c r="G832" s="597"/>
      <c r="H832" s="597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</row>
    <row r="833" ht="12.0" customHeight="1">
      <c r="A833" s="175"/>
      <c r="B833" s="175"/>
      <c r="C833" s="175"/>
      <c r="D833" s="175"/>
      <c r="E833" s="175"/>
      <c r="F833" s="597"/>
      <c r="G833" s="597"/>
      <c r="H833" s="597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</row>
    <row r="834" ht="12.0" customHeight="1">
      <c r="A834" s="175"/>
      <c r="B834" s="175"/>
      <c r="C834" s="175"/>
      <c r="D834" s="175"/>
      <c r="E834" s="175"/>
      <c r="F834" s="597"/>
      <c r="G834" s="597"/>
      <c r="H834" s="597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</row>
    <row r="835" ht="12.0" customHeight="1">
      <c r="A835" s="175"/>
      <c r="B835" s="175"/>
      <c r="C835" s="175"/>
      <c r="D835" s="175"/>
      <c r="E835" s="175"/>
      <c r="F835" s="597"/>
      <c r="G835" s="597"/>
      <c r="H835" s="597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</row>
    <row r="836" ht="12.0" customHeight="1">
      <c r="A836" s="175"/>
      <c r="B836" s="175"/>
      <c r="C836" s="175"/>
      <c r="D836" s="175"/>
      <c r="E836" s="175"/>
      <c r="F836" s="597"/>
      <c r="G836" s="597"/>
      <c r="H836" s="597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</row>
    <row r="837" ht="12.0" customHeight="1">
      <c r="A837" s="175"/>
      <c r="B837" s="175"/>
      <c r="C837" s="175"/>
      <c r="D837" s="175"/>
      <c r="E837" s="175"/>
      <c r="F837" s="597"/>
      <c r="G837" s="597"/>
      <c r="H837" s="597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</row>
    <row r="838" ht="12.0" customHeight="1">
      <c r="A838" s="175"/>
      <c r="B838" s="175"/>
      <c r="C838" s="175"/>
      <c r="D838" s="175"/>
      <c r="E838" s="175"/>
      <c r="F838" s="597"/>
      <c r="G838" s="597"/>
      <c r="H838" s="597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</row>
    <row r="839" ht="12.0" customHeight="1">
      <c r="A839" s="175"/>
      <c r="B839" s="175"/>
      <c r="C839" s="175"/>
      <c r="D839" s="175"/>
      <c r="E839" s="175"/>
      <c r="F839" s="597"/>
      <c r="G839" s="597"/>
      <c r="H839" s="597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</row>
    <row r="840" ht="12.0" customHeight="1">
      <c r="A840" s="175"/>
      <c r="B840" s="175"/>
      <c r="C840" s="175"/>
      <c r="D840" s="175"/>
      <c r="E840" s="175"/>
      <c r="F840" s="597"/>
      <c r="G840" s="597"/>
      <c r="H840" s="597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</row>
    <row r="841" ht="12.0" customHeight="1">
      <c r="A841" s="175"/>
      <c r="B841" s="175"/>
      <c r="C841" s="175"/>
      <c r="D841" s="175"/>
      <c r="E841" s="175"/>
      <c r="F841" s="597"/>
      <c r="G841" s="597"/>
      <c r="H841" s="597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</row>
    <row r="842" ht="12.0" customHeight="1">
      <c r="A842" s="175"/>
      <c r="B842" s="175"/>
      <c r="C842" s="175"/>
      <c r="D842" s="175"/>
      <c r="E842" s="175"/>
      <c r="F842" s="597"/>
      <c r="G842" s="597"/>
      <c r="H842" s="597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</row>
    <row r="843" ht="12.0" customHeight="1">
      <c r="A843" s="175"/>
      <c r="B843" s="175"/>
      <c r="C843" s="175"/>
      <c r="D843" s="175"/>
      <c r="E843" s="175"/>
      <c r="F843" s="597"/>
      <c r="G843" s="597"/>
      <c r="H843" s="597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</row>
    <row r="844" ht="12.0" customHeight="1">
      <c r="A844" s="175"/>
      <c r="B844" s="175"/>
      <c r="C844" s="175"/>
      <c r="D844" s="175"/>
      <c r="E844" s="175"/>
      <c r="F844" s="597"/>
      <c r="G844" s="597"/>
      <c r="H844" s="597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</row>
    <row r="845" ht="12.0" customHeight="1">
      <c r="A845" s="175"/>
      <c r="B845" s="175"/>
      <c r="C845" s="175"/>
      <c r="D845" s="175"/>
      <c r="E845" s="175"/>
      <c r="F845" s="597"/>
      <c r="G845" s="597"/>
      <c r="H845" s="597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</row>
    <row r="846" ht="12.0" customHeight="1">
      <c r="A846" s="175"/>
      <c r="B846" s="175"/>
      <c r="C846" s="175"/>
      <c r="D846" s="175"/>
      <c r="E846" s="175"/>
      <c r="F846" s="597"/>
      <c r="G846" s="597"/>
      <c r="H846" s="597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</row>
    <row r="847" ht="12.0" customHeight="1">
      <c r="A847" s="175"/>
      <c r="B847" s="175"/>
      <c r="C847" s="175"/>
      <c r="D847" s="175"/>
      <c r="E847" s="175"/>
      <c r="F847" s="597"/>
      <c r="G847" s="597"/>
      <c r="H847" s="597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</row>
    <row r="848" ht="12.0" customHeight="1">
      <c r="A848" s="175"/>
      <c r="B848" s="175"/>
      <c r="C848" s="175"/>
      <c r="D848" s="175"/>
      <c r="E848" s="175"/>
      <c r="F848" s="597"/>
      <c r="G848" s="597"/>
      <c r="H848" s="597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</row>
    <row r="849" ht="12.0" customHeight="1">
      <c r="A849" s="175"/>
      <c r="B849" s="175"/>
      <c r="C849" s="175"/>
      <c r="D849" s="175"/>
      <c r="E849" s="175"/>
      <c r="F849" s="597"/>
      <c r="G849" s="597"/>
      <c r="H849" s="597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</row>
    <row r="850" ht="12.0" customHeight="1">
      <c r="A850" s="175"/>
      <c r="B850" s="175"/>
      <c r="C850" s="175"/>
      <c r="D850" s="175"/>
      <c r="E850" s="175"/>
      <c r="F850" s="597"/>
      <c r="G850" s="597"/>
      <c r="H850" s="597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</row>
    <row r="851" ht="12.0" customHeight="1">
      <c r="A851" s="175"/>
      <c r="B851" s="175"/>
      <c r="C851" s="175"/>
      <c r="D851" s="175"/>
      <c r="E851" s="175"/>
      <c r="F851" s="597"/>
      <c r="G851" s="597"/>
      <c r="H851" s="597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</row>
    <row r="852" ht="12.0" customHeight="1">
      <c r="A852" s="175"/>
      <c r="B852" s="175"/>
      <c r="C852" s="175"/>
      <c r="D852" s="175"/>
      <c r="E852" s="175"/>
      <c r="F852" s="597"/>
      <c r="G852" s="597"/>
      <c r="H852" s="597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</row>
    <row r="853" ht="12.0" customHeight="1">
      <c r="A853" s="175"/>
      <c r="B853" s="175"/>
      <c r="C853" s="175"/>
      <c r="D853" s="175"/>
      <c r="E853" s="175"/>
      <c r="F853" s="597"/>
      <c r="G853" s="597"/>
      <c r="H853" s="597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</row>
    <row r="854" ht="12.0" customHeight="1">
      <c r="A854" s="175"/>
      <c r="B854" s="175"/>
      <c r="C854" s="175"/>
      <c r="D854" s="175"/>
      <c r="E854" s="175"/>
      <c r="F854" s="597"/>
      <c r="G854" s="597"/>
      <c r="H854" s="597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</row>
    <row r="855" ht="12.0" customHeight="1">
      <c r="A855" s="175"/>
      <c r="B855" s="175"/>
      <c r="C855" s="175"/>
      <c r="D855" s="175"/>
      <c r="E855" s="175"/>
      <c r="F855" s="597"/>
      <c r="G855" s="597"/>
      <c r="H855" s="597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</row>
    <row r="856" ht="12.0" customHeight="1">
      <c r="A856" s="175"/>
      <c r="B856" s="175"/>
      <c r="C856" s="175"/>
      <c r="D856" s="175"/>
      <c r="E856" s="175"/>
      <c r="F856" s="597"/>
      <c r="G856" s="597"/>
      <c r="H856" s="597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</row>
    <row r="857" ht="12.0" customHeight="1">
      <c r="A857" s="175"/>
      <c r="B857" s="175"/>
      <c r="C857" s="175"/>
      <c r="D857" s="175"/>
      <c r="E857" s="175"/>
      <c r="F857" s="597"/>
      <c r="G857" s="597"/>
      <c r="H857" s="597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</row>
    <row r="858" ht="12.0" customHeight="1">
      <c r="A858" s="175"/>
      <c r="B858" s="175"/>
      <c r="C858" s="175"/>
      <c r="D858" s="175"/>
      <c r="E858" s="175"/>
      <c r="F858" s="597"/>
      <c r="G858" s="597"/>
      <c r="H858" s="597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</row>
    <row r="859" ht="12.0" customHeight="1">
      <c r="A859" s="175"/>
      <c r="B859" s="175"/>
      <c r="C859" s="175"/>
      <c r="D859" s="175"/>
      <c r="E859" s="175"/>
      <c r="F859" s="597"/>
      <c r="G859" s="597"/>
      <c r="H859" s="597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</row>
    <row r="860" ht="12.0" customHeight="1">
      <c r="A860" s="175"/>
      <c r="B860" s="175"/>
      <c r="C860" s="175"/>
      <c r="D860" s="175"/>
      <c r="E860" s="175"/>
      <c r="F860" s="597"/>
      <c r="G860" s="597"/>
      <c r="H860" s="597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</row>
    <row r="861" ht="12.0" customHeight="1">
      <c r="A861" s="175"/>
      <c r="B861" s="175"/>
      <c r="C861" s="175"/>
      <c r="D861" s="175"/>
      <c r="E861" s="175"/>
      <c r="F861" s="597"/>
      <c r="G861" s="597"/>
      <c r="H861" s="597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</row>
    <row r="862" ht="12.0" customHeight="1">
      <c r="A862" s="175"/>
      <c r="B862" s="175"/>
      <c r="C862" s="175"/>
      <c r="D862" s="175"/>
      <c r="E862" s="175"/>
      <c r="F862" s="597"/>
      <c r="G862" s="597"/>
      <c r="H862" s="597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</row>
    <row r="863" ht="12.0" customHeight="1">
      <c r="A863" s="175"/>
      <c r="B863" s="175"/>
      <c r="C863" s="175"/>
      <c r="D863" s="175"/>
      <c r="E863" s="175"/>
      <c r="F863" s="597"/>
      <c r="G863" s="597"/>
      <c r="H863" s="597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</row>
    <row r="864" ht="12.0" customHeight="1">
      <c r="A864" s="175"/>
      <c r="B864" s="175"/>
      <c r="C864" s="175"/>
      <c r="D864" s="175"/>
      <c r="E864" s="175"/>
      <c r="F864" s="597"/>
      <c r="G864" s="597"/>
      <c r="H864" s="597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</row>
    <row r="865" ht="12.0" customHeight="1">
      <c r="A865" s="175"/>
      <c r="B865" s="175"/>
      <c r="C865" s="175"/>
      <c r="D865" s="175"/>
      <c r="E865" s="175"/>
      <c r="F865" s="597"/>
      <c r="G865" s="597"/>
      <c r="H865" s="597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</row>
    <row r="866" ht="12.0" customHeight="1">
      <c r="A866" s="175"/>
      <c r="B866" s="175"/>
      <c r="C866" s="175"/>
      <c r="D866" s="175"/>
      <c r="E866" s="175"/>
      <c r="F866" s="597"/>
      <c r="G866" s="597"/>
      <c r="H866" s="597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</row>
    <row r="867" ht="12.0" customHeight="1">
      <c r="A867" s="175"/>
      <c r="B867" s="175"/>
      <c r="C867" s="175"/>
      <c r="D867" s="175"/>
      <c r="E867" s="175"/>
      <c r="F867" s="597"/>
      <c r="G867" s="597"/>
      <c r="H867" s="597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</row>
    <row r="868" ht="12.0" customHeight="1">
      <c r="A868" s="175"/>
      <c r="B868" s="175"/>
      <c r="C868" s="175"/>
      <c r="D868" s="175"/>
      <c r="E868" s="175"/>
      <c r="F868" s="597"/>
      <c r="G868" s="597"/>
      <c r="H868" s="597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</row>
    <row r="869" ht="12.0" customHeight="1">
      <c r="A869" s="175"/>
      <c r="B869" s="175"/>
      <c r="C869" s="175"/>
      <c r="D869" s="175"/>
      <c r="E869" s="175"/>
      <c r="F869" s="597"/>
      <c r="G869" s="597"/>
      <c r="H869" s="597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</row>
    <row r="870" ht="12.0" customHeight="1">
      <c r="A870" s="175"/>
      <c r="B870" s="175"/>
      <c r="C870" s="175"/>
      <c r="D870" s="175"/>
      <c r="E870" s="175"/>
      <c r="F870" s="597"/>
      <c r="G870" s="597"/>
      <c r="H870" s="597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</row>
    <row r="871" ht="12.0" customHeight="1">
      <c r="A871" s="175"/>
      <c r="B871" s="175"/>
      <c r="C871" s="175"/>
      <c r="D871" s="175"/>
      <c r="E871" s="175"/>
      <c r="F871" s="597"/>
      <c r="G871" s="597"/>
      <c r="H871" s="597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</row>
    <row r="872" ht="12.0" customHeight="1">
      <c r="A872" s="175"/>
      <c r="B872" s="175"/>
      <c r="C872" s="175"/>
      <c r="D872" s="175"/>
      <c r="E872" s="175"/>
      <c r="F872" s="597"/>
      <c r="G872" s="597"/>
      <c r="H872" s="597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</row>
    <row r="873" ht="12.0" customHeight="1">
      <c r="A873" s="175"/>
      <c r="B873" s="175"/>
      <c r="C873" s="175"/>
      <c r="D873" s="175"/>
      <c r="E873" s="175"/>
      <c r="F873" s="597"/>
      <c r="G873" s="597"/>
      <c r="H873" s="597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</row>
    <row r="874" ht="12.0" customHeight="1">
      <c r="A874" s="175"/>
      <c r="B874" s="175"/>
      <c r="C874" s="175"/>
      <c r="D874" s="175"/>
      <c r="E874" s="175"/>
      <c r="F874" s="597"/>
      <c r="G874" s="597"/>
      <c r="H874" s="597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</row>
    <row r="875" ht="12.0" customHeight="1">
      <c r="A875" s="175"/>
      <c r="B875" s="175"/>
      <c r="C875" s="175"/>
      <c r="D875" s="175"/>
      <c r="E875" s="175"/>
      <c r="F875" s="597"/>
      <c r="G875" s="597"/>
      <c r="H875" s="597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</row>
    <row r="876" ht="12.0" customHeight="1">
      <c r="A876" s="175"/>
      <c r="B876" s="175"/>
      <c r="C876" s="175"/>
      <c r="D876" s="175"/>
      <c r="E876" s="175"/>
      <c r="F876" s="597"/>
      <c r="G876" s="597"/>
      <c r="H876" s="597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</row>
    <row r="877" ht="12.0" customHeight="1">
      <c r="A877" s="175"/>
      <c r="B877" s="175"/>
      <c r="C877" s="175"/>
      <c r="D877" s="175"/>
      <c r="E877" s="175"/>
      <c r="F877" s="597"/>
      <c r="G877" s="597"/>
      <c r="H877" s="597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</row>
    <row r="878" ht="12.0" customHeight="1">
      <c r="A878" s="175"/>
      <c r="B878" s="175"/>
      <c r="C878" s="175"/>
      <c r="D878" s="175"/>
      <c r="E878" s="175"/>
      <c r="F878" s="597"/>
      <c r="G878" s="597"/>
      <c r="H878" s="597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</row>
    <row r="879" ht="12.0" customHeight="1">
      <c r="A879" s="175"/>
      <c r="B879" s="175"/>
      <c r="C879" s="175"/>
      <c r="D879" s="175"/>
      <c r="E879" s="175"/>
      <c r="F879" s="597"/>
      <c r="G879" s="597"/>
      <c r="H879" s="597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</row>
    <row r="880" ht="12.0" customHeight="1">
      <c r="A880" s="175"/>
      <c r="B880" s="175"/>
      <c r="C880" s="175"/>
      <c r="D880" s="175"/>
      <c r="E880" s="175"/>
      <c r="F880" s="597"/>
      <c r="G880" s="597"/>
      <c r="H880" s="597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</row>
    <row r="881" ht="12.0" customHeight="1">
      <c r="A881" s="175"/>
      <c r="B881" s="175"/>
      <c r="C881" s="175"/>
      <c r="D881" s="175"/>
      <c r="E881" s="175"/>
      <c r="F881" s="597"/>
      <c r="G881" s="597"/>
      <c r="H881" s="597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</row>
    <row r="882" ht="12.0" customHeight="1">
      <c r="A882" s="175"/>
      <c r="B882" s="175"/>
      <c r="C882" s="175"/>
      <c r="D882" s="175"/>
      <c r="E882" s="175"/>
      <c r="F882" s="597"/>
      <c r="G882" s="597"/>
      <c r="H882" s="597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</row>
    <row r="883" ht="12.0" customHeight="1">
      <c r="A883" s="175"/>
      <c r="B883" s="175"/>
      <c r="C883" s="175"/>
      <c r="D883" s="175"/>
      <c r="E883" s="175"/>
      <c r="F883" s="597"/>
      <c r="G883" s="597"/>
      <c r="H883" s="597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</row>
    <row r="884" ht="12.0" customHeight="1">
      <c r="A884" s="175"/>
      <c r="B884" s="175"/>
      <c r="C884" s="175"/>
      <c r="D884" s="175"/>
      <c r="E884" s="175"/>
      <c r="F884" s="597"/>
      <c r="G884" s="597"/>
      <c r="H884" s="597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</row>
    <row r="885" ht="12.0" customHeight="1">
      <c r="A885" s="175"/>
      <c r="B885" s="175"/>
      <c r="C885" s="175"/>
      <c r="D885" s="175"/>
      <c r="E885" s="175"/>
      <c r="F885" s="597"/>
      <c r="G885" s="597"/>
      <c r="H885" s="597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</row>
    <row r="886" ht="12.0" customHeight="1">
      <c r="A886" s="175"/>
      <c r="B886" s="175"/>
      <c r="C886" s="175"/>
      <c r="D886" s="175"/>
      <c r="E886" s="175"/>
      <c r="F886" s="597"/>
      <c r="G886" s="597"/>
      <c r="H886" s="597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</row>
    <row r="887" ht="12.0" customHeight="1">
      <c r="A887" s="175"/>
      <c r="B887" s="175"/>
      <c r="C887" s="175"/>
      <c r="D887" s="175"/>
      <c r="E887" s="175"/>
      <c r="F887" s="597"/>
      <c r="G887" s="597"/>
      <c r="H887" s="597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</row>
    <row r="888" ht="12.0" customHeight="1">
      <c r="A888" s="175"/>
      <c r="B888" s="175"/>
      <c r="C888" s="175"/>
      <c r="D888" s="175"/>
      <c r="E888" s="175"/>
      <c r="F888" s="597"/>
      <c r="G888" s="597"/>
      <c r="H888" s="597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</row>
    <row r="889" ht="12.0" customHeight="1">
      <c r="A889" s="175"/>
      <c r="B889" s="175"/>
      <c r="C889" s="175"/>
      <c r="D889" s="175"/>
      <c r="E889" s="175"/>
      <c r="F889" s="597"/>
      <c r="G889" s="597"/>
      <c r="H889" s="597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</row>
    <row r="890" ht="12.0" customHeight="1">
      <c r="A890" s="175"/>
      <c r="B890" s="175"/>
      <c r="C890" s="175"/>
      <c r="D890" s="175"/>
      <c r="E890" s="175"/>
      <c r="F890" s="597"/>
      <c r="G890" s="597"/>
      <c r="H890" s="597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</row>
    <row r="891" ht="12.0" customHeight="1">
      <c r="A891" s="175"/>
      <c r="B891" s="175"/>
      <c r="C891" s="175"/>
      <c r="D891" s="175"/>
      <c r="E891" s="175"/>
      <c r="F891" s="597"/>
      <c r="G891" s="597"/>
      <c r="H891" s="597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</row>
    <row r="892" ht="12.0" customHeight="1">
      <c r="A892" s="175"/>
      <c r="B892" s="175"/>
      <c r="C892" s="175"/>
      <c r="D892" s="175"/>
      <c r="E892" s="175"/>
      <c r="F892" s="597"/>
      <c r="G892" s="597"/>
      <c r="H892" s="597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</row>
    <row r="893" ht="12.0" customHeight="1">
      <c r="A893" s="175"/>
      <c r="B893" s="175"/>
      <c r="C893" s="175"/>
      <c r="D893" s="175"/>
      <c r="E893" s="175"/>
      <c r="F893" s="597"/>
      <c r="G893" s="597"/>
      <c r="H893" s="597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</row>
    <row r="894" ht="12.0" customHeight="1">
      <c r="A894" s="175"/>
      <c r="B894" s="175"/>
      <c r="C894" s="175"/>
      <c r="D894" s="175"/>
      <c r="E894" s="175"/>
      <c r="F894" s="597"/>
      <c r="G894" s="597"/>
      <c r="H894" s="597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</row>
    <row r="895" ht="12.0" customHeight="1">
      <c r="A895" s="175"/>
      <c r="B895" s="175"/>
      <c r="C895" s="175"/>
      <c r="D895" s="175"/>
      <c r="E895" s="175"/>
      <c r="F895" s="597"/>
      <c r="G895" s="597"/>
      <c r="H895" s="597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</row>
    <row r="896" ht="12.0" customHeight="1">
      <c r="A896" s="175"/>
      <c r="B896" s="175"/>
      <c r="C896" s="175"/>
      <c r="D896" s="175"/>
      <c r="E896" s="175"/>
      <c r="F896" s="597"/>
      <c r="G896" s="597"/>
      <c r="H896" s="597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</row>
    <row r="897" ht="12.0" customHeight="1">
      <c r="A897" s="175"/>
      <c r="B897" s="175"/>
      <c r="C897" s="175"/>
      <c r="D897" s="175"/>
      <c r="E897" s="175"/>
      <c r="F897" s="597"/>
      <c r="G897" s="597"/>
      <c r="H897" s="597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</row>
    <row r="898" ht="12.0" customHeight="1">
      <c r="A898" s="175"/>
      <c r="B898" s="175"/>
      <c r="C898" s="175"/>
      <c r="D898" s="175"/>
      <c r="E898" s="175"/>
      <c r="F898" s="597"/>
      <c r="G898" s="597"/>
      <c r="H898" s="597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</row>
    <row r="899" ht="12.0" customHeight="1">
      <c r="A899" s="175"/>
      <c r="B899" s="175"/>
      <c r="C899" s="175"/>
      <c r="D899" s="175"/>
      <c r="E899" s="175"/>
      <c r="F899" s="597"/>
      <c r="G899" s="597"/>
      <c r="H899" s="597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</row>
    <row r="900" ht="12.0" customHeight="1">
      <c r="A900" s="175"/>
      <c r="B900" s="175"/>
      <c r="C900" s="175"/>
      <c r="D900" s="175"/>
      <c r="E900" s="175"/>
      <c r="F900" s="597"/>
      <c r="G900" s="597"/>
      <c r="H900" s="597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</row>
    <row r="901" ht="12.0" customHeight="1">
      <c r="A901" s="175"/>
      <c r="B901" s="175"/>
      <c r="C901" s="175"/>
      <c r="D901" s="175"/>
      <c r="E901" s="175"/>
      <c r="F901" s="597"/>
      <c r="G901" s="597"/>
      <c r="H901" s="597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</row>
    <row r="902" ht="12.0" customHeight="1">
      <c r="A902" s="175"/>
      <c r="B902" s="175"/>
      <c r="C902" s="175"/>
      <c r="D902" s="175"/>
      <c r="E902" s="175"/>
      <c r="F902" s="597"/>
      <c r="G902" s="597"/>
      <c r="H902" s="597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</row>
    <row r="903" ht="12.0" customHeight="1">
      <c r="A903" s="175"/>
      <c r="B903" s="175"/>
      <c r="C903" s="175"/>
      <c r="D903" s="175"/>
      <c r="E903" s="175"/>
      <c r="F903" s="597"/>
      <c r="G903" s="597"/>
      <c r="H903" s="597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</row>
    <row r="904" ht="12.0" customHeight="1">
      <c r="A904" s="175"/>
      <c r="B904" s="175"/>
      <c r="C904" s="175"/>
      <c r="D904" s="175"/>
      <c r="E904" s="175"/>
      <c r="F904" s="597"/>
      <c r="G904" s="597"/>
      <c r="H904" s="597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</row>
    <row r="905" ht="12.0" customHeight="1">
      <c r="A905" s="175"/>
      <c r="B905" s="175"/>
      <c r="C905" s="175"/>
      <c r="D905" s="175"/>
      <c r="E905" s="175"/>
      <c r="F905" s="597"/>
      <c r="G905" s="597"/>
      <c r="H905" s="597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</row>
    <row r="906" ht="12.0" customHeight="1">
      <c r="A906" s="175"/>
      <c r="B906" s="175"/>
      <c r="C906" s="175"/>
      <c r="D906" s="175"/>
      <c r="E906" s="175"/>
      <c r="F906" s="597"/>
      <c r="G906" s="597"/>
      <c r="H906" s="597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</row>
    <row r="907" ht="12.0" customHeight="1">
      <c r="A907" s="175"/>
      <c r="B907" s="175"/>
      <c r="C907" s="175"/>
      <c r="D907" s="175"/>
      <c r="E907" s="175"/>
      <c r="F907" s="597"/>
      <c r="G907" s="597"/>
      <c r="H907" s="597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</row>
    <row r="908" ht="12.0" customHeight="1">
      <c r="A908" s="175"/>
      <c r="B908" s="175"/>
      <c r="C908" s="175"/>
      <c r="D908" s="175"/>
      <c r="E908" s="175"/>
      <c r="F908" s="597"/>
      <c r="G908" s="597"/>
      <c r="H908" s="597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</row>
    <row r="909" ht="12.0" customHeight="1">
      <c r="A909" s="175"/>
      <c r="B909" s="175"/>
      <c r="C909" s="175"/>
      <c r="D909" s="175"/>
      <c r="E909" s="175"/>
      <c r="F909" s="597"/>
      <c r="G909" s="597"/>
      <c r="H909" s="597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</row>
    <row r="910" ht="12.0" customHeight="1">
      <c r="A910" s="175"/>
      <c r="B910" s="175"/>
      <c r="C910" s="175"/>
      <c r="D910" s="175"/>
      <c r="E910" s="175"/>
      <c r="F910" s="597"/>
      <c r="G910" s="597"/>
      <c r="H910" s="597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</row>
    <row r="911" ht="12.0" customHeight="1">
      <c r="A911" s="175"/>
      <c r="B911" s="175"/>
      <c r="C911" s="175"/>
      <c r="D911" s="175"/>
      <c r="E911" s="175"/>
      <c r="F911" s="597"/>
      <c r="G911" s="597"/>
      <c r="H911" s="597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</row>
    <row r="912" ht="12.0" customHeight="1">
      <c r="A912" s="175"/>
      <c r="B912" s="175"/>
      <c r="C912" s="175"/>
      <c r="D912" s="175"/>
      <c r="E912" s="175"/>
      <c r="F912" s="597"/>
      <c r="G912" s="597"/>
      <c r="H912" s="597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</row>
    <row r="913" ht="12.0" customHeight="1">
      <c r="A913" s="175"/>
      <c r="B913" s="175"/>
      <c r="C913" s="175"/>
      <c r="D913" s="175"/>
      <c r="E913" s="175"/>
      <c r="F913" s="597"/>
      <c r="G913" s="597"/>
      <c r="H913" s="597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</row>
    <row r="914" ht="12.0" customHeight="1">
      <c r="A914" s="175"/>
      <c r="B914" s="175"/>
      <c r="C914" s="175"/>
      <c r="D914" s="175"/>
      <c r="E914" s="175"/>
      <c r="F914" s="597"/>
      <c r="G914" s="597"/>
      <c r="H914" s="597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</row>
    <row r="915" ht="12.0" customHeight="1">
      <c r="A915" s="175"/>
      <c r="B915" s="175"/>
      <c r="C915" s="175"/>
      <c r="D915" s="175"/>
      <c r="E915" s="175"/>
      <c r="F915" s="597"/>
      <c r="G915" s="597"/>
      <c r="H915" s="597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</row>
    <row r="916" ht="12.0" customHeight="1">
      <c r="A916" s="175"/>
      <c r="B916" s="175"/>
      <c r="C916" s="175"/>
      <c r="D916" s="175"/>
      <c r="E916" s="175"/>
      <c r="F916" s="597"/>
      <c r="G916" s="597"/>
      <c r="H916" s="597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</row>
    <row r="917" ht="12.0" customHeight="1">
      <c r="A917" s="175"/>
      <c r="B917" s="175"/>
      <c r="C917" s="175"/>
      <c r="D917" s="175"/>
      <c r="E917" s="175"/>
      <c r="F917" s="597"/>
      <c r="G917" s="597"/>
      <c r="H917" s="597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</row>
    <row r="918" ht="12.0" customHeight="1">
      <c r="A918" s="175"/>
      <c r="B918" s="175"/>
      <c r="C918" s="175"/>
      <c r="D918" s="175"/>
      <c r="E918" s="175"/>
      <c r="F918" s="597"/>
      <c r="G918" s="597"/>
      <c r="H918" s="597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</row>
    <row r="919" ht="12.0" customHeight="1">
      <c r="A919" s="175"/>
      <c r="B919" s="175"/>
      <c r="C919" s="175"/>
      <c r="D919" s="175"/>
      <c r="E919" s="175"/>
      <c r="F919" s="597"/>
      <c r="G919" s="597"/>
      <c r="H919" s="597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</row>
    <row r="920" ht="12.0" customHeight="1">
      <c r="A920" s="175"/>
      <c r="B920" s="175"/>
      <c r="C920" s="175"/>
      <c r="D920" s="175"/>
      <c r="E920" s="175"/>
      <c r="F920" s="597"/>
      <c r="G920" s="597"/>
      <c r="H920" s="597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</row>
    <row r="921" ht="12.0" customHeight="1">
      <c r="A921" s="175"/>
      <c r="B921" s="175"/>
      <c r="C921" s="175"/>
      <c r="D921" s="175"/>
      <c r="E921" s="175"/>
      <c r="F921" s="597"/>
      <c r="G921" s="597"/>
      <c r="H921" s="597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</row>
    <row r="922" ht="12.0" customHeight="1">
      <c r="A922" s="175"/>
      <c r="B922" s="175"/>
      <c r="C922" s="175"/>
      <c r="D922" s="175"/>
      <c r="E922" s="175"/>
      <c r="F922" s="597"/>
      <c r="G922" s="597"/>
      <c r="H922" s="597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</row>
    <row r="923" ht="12.0" customHeight="1">
      <c r="A923" s="175"/>
      <c r="B923" s="175"/>
      <c r="C923" s="175"/>
      <c r="D923" s="175"/>
      <c r="E923" s="175"/>
      <c r="F923" s="597"/>
      <c r="G923" s="597"/>
      <c r="H923" s="597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</row>
    <row r="924" ht="12.0" customHeight="1">
      <c r="A924" s="175"/>
      <c r="B924" s="175"/>
      <c r="C924" s="175"/>
      <c r="D924" s="175"/>
      <c r="E924" s="175"/>
      <c r="F924" s="597"/>
      <c r="G924" s="597"/>
      <c r="H924" s="597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</row>
    <row r="925" ht="12.0" customHeight="1">
      <c r="A925" s="175"/>
      <c r="B925" s="175"/>
      <c r="C925" s="175"/>
      <c r="D925" s="175"/>
      <c r="E925" s="175"/>
      <c r="F925" s="597"/>
      <c r="G925" s="597"/>
      <c r="H925" s="597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</row>
    <row r="926" ht="12.0" customHeight="1">
      <c r="A926" s="175"/>
      <c r="B926" s="175"/>
      <c r="C926" s="175"/>
      <c r="D926" s="175"/>
      <c r="E926" s="175"/>
      <c r="F926" s="597"/>
      <c r="G926" s="597"/>
      <c r="H926" s="597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</row>
    <row r="927" ht="12.0" customHeight="1">
      <c r="A927" s="175"/>
      <c r="B927" s="175"/>
      <c r="C927" s="175"/>
      <c r="D927" s="175"/>
      <c r="E927" s="175"/>
      <c r="F927" s="597"/>
      <c r="G927" s="597"/>
      <c r="H927" s="597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</row>
    <row r="928" ht="12.0" customHeight="1">
      <c r="A928" s="175"/>
      <c r="B928" s="175"/>
      <c r="C928" s="175"/>
      <c r="D928" s="175"/>
      <c r="E928" s="175"/>
      <c r="F928" s="597"/>
      <c r="G928" s="597"/>
      <c r="H928" s="597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</row>
    <row r="929" ht="12.0" customHeight="1">
      <c r="A929" s="175"/>
      <c r="B929" s="175"/>
      <c r="C929" s="175"/>
      <c r="D929" s="175"/>
      <c r="E929" s="175"/>
      <c r="F929" s="597"/>
      <c r="G929" s="597"/>
      <c r="H929" s="597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</row>
    <row r="930" ht="12.0" customHeight="1">
      <c r="A930" s="175"/>
      <c r="B930" s="175"/>
      <c r="C930" s="175"/>
      <c r="D930" s="175"/>
      <c r="E930" s="175"/>
      <c r="F930" s="597"/>
      <c r="G930" s="597"/>
      <c r="H930" s="597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</row>
    <row r="931" ht="12.0" customHeight="1">
      <c r="A931" s="175"/>
      <c r="B931" s="175"/>
      <c r="C931" s="175"/>
      <c r="D931" s="175"/>
      <c r="E931" s="175"/>
      <c r="F931" s="597"/>
      <c r="G931" s="597"/>
      <c r="H931" s="597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</row>
    <row r="932" ht="12.0" customHeight="1">
      <c r="A932" s="175"/>
      <c r="B932" s="175"/>
      <c r="C932" s="175"/>
      <c r="D932" s="175"/>
      <c r="E932" s="175"/>
      <c r="F932" s="597"/>
      <c r="G932" s="597"/>
      <c r="H932" s="597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</row>
    <row r="933" ht="12.0" customHeight="1">
      <c r="A933" s="175"/>
      <c r="B933" s="175"/>
      <c r="C933" s="175"/>
      <c r="D933" s="175"/>
      <c r="E933" s="175"/>
      <c r="F933" s="597"/>
      <c r="G933" s="597"/>
      <c r="H933" s="597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</row>
    <row r="934" ht="12.0" customHeight="1">
      <c r="A934" s="175"/>
      <c r="B934" s="175"/>
      <c r="C934" s="175"/>
      <c r="D934" s="175"/>
      <c r="E934" s="175"/>
      <c r="F934" s="597"/>
      <c r="G934" s="597"/>
      <c r="H934" s="597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</row>
    <row r="935" ht="12.0" customHeight="1">
      <c r="A935" s="175"/>
      <c r="B935" s="175"/>
      <c r="C935" s="175"/>
      <c r="D935" s="175"/>
      <c r="E935" s="175"/>
      <c r="F935" s="597"/>
      <c r="G935" s="597"/>
      <c r="H935" s="597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</row>
    <row r="936" ht="12.0" customHeight="1">
      <c r="A936" s="175"/>
      <c r="B936" s="175"/>
      <c r="C936" s="175"/>
      <c r="D936" s="175"/>
      <c r="E936" s="175"/>
      <c r="F936" s="597"/>
      <c r="G936" s="597"/>
      <c r="H936" s="597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</row>
    <row r="937" ht="12.0" customHeight="1">
      <c r="A937" s="175"/>
      <c r="B937" s="175"/>
      <c r="C937" s="175"/>
      <c r="D937" s="175"/>
      <c r="E937" s="175"/>
      <c r="F937" s="597"/>
      <c r="G937" s="597"/>
      <c r="H937" s="597"/>
      <c r="I937" s="175"/>
      <c r="J937" s="175"/>
      <c r="K937" s="175"/>
      <c r="L937" s="175"/>
      <c r="M937" s="175"/>
      <c r="N937" s="175"/>
      <c r="O937" s="175"/>
      <c r="P937" s="175"/>
      <c r="Q937" s="175"/>
      <c r="R937" s="175"/>
      <c r="S937" s="175"/>
      <c r="T937" s="175"/>
      <c r="U937" s="175"/>
      <c r="V937" s="175"/>
      <c r="W937" s="175"/>
      <c r="X937" s="175"/>
      <c r="Y937" s="175"/>
      <c r="Z937" s="175"/>
    </row>
    <row r="938" ht="12.0" customHeight="1">
      <c r="A938" s="175"/>
      <c r="B938" s="175"/>
      <c r="C938" s="175"/>
      <c r="D938" s="175"/>
      <c r="E938" s="175"/>
      <c r="F938" s="597"/>
      <c r="G938" s="597"/>
      <c r="H938" s="597"/>
      <c r="I938" s="175"/>
      <c r="J938" s="175"/>
      <c r="K938" s="175"/>
      <c r="L938" s="175"/>
      <c r="M938" s="175"/>
      <c r="N938" s="175"/>
      <c r="O938" s="175"/>
      <c r="P938" s="175"/>
      <c r="Q938" s="175"/>
      <c r="R938" s="175"/>
      <c r="S938" s="175"/>
      <c r="T938" s="175"/>
      <c r="U938" s="175"/>
      <c r="V938" s="175"/>
      <c r="W938" s="175"/>
      <c r="X938" s="175"/>
      <c r="Y938" s="175"/>
      <c r="Z938" s="175"/>
    </row>
    <row r="939" ht="12.0" customHeight="1">
      <c r="A939" s="175"/>
      <c r="B939" s="175"/>
      <c r="C939" s="175"/>
      <c r="D939" s="175"/>
      <c r="E939" s="175"/>
      <c r="F939" s="597"/>
      <c r="G939" s="597"/>
      <c r="H939" s="597"/>
      <c r="I939" s="175"/>
      <c r="J939" s="175"/>
      <c r="K939" s="175"/>
      <c r="L939" s="175"/>
      <c r="M939" s="175"/>
      <c r="N939" s="175"/>
      <c r="O939" s="175"/>
      <c r="P939" s="175"/>
      <c r="Q939" s="175"/>
      <c r="R939" s="175"/>
      <c r="S939" s="175"/>
      <c r="T939" s="175"/>
      <c r="U939" s="175"/>
      <c r="V939" s="175"/>
      <c r="W939" s="175"/>
      <c r="X939" s="175"/>
      <c r="Y939" s="175"/>
      <c r="Z939" s="175"/>
    </row>
    <row r="940" ht="12.0" customHeight="1">
      <c r="A940" s="175"/>
      <c r="B940" s="175"/>
      <c r="C940" s="175"/>
      <c r="D940" s="175"/>
      <c r="E940" s="175"/>
      <c r="F940" s="597"/>
      <c r="G940" s="597"/>
      <c r="H940" s="597"/>
      <c r="I940" s="175"/>
      <c r="J940" s="175"/>
      <c r="K940" s="175"/>
      <c r="L940" s="175"/>
      <c r="M940" s="175"/>
      <c r="N940" s="175"/>
      <c r="O940" s="175"/>
      <c r="P940" s="175"/>
      <c r="Q940" s="175"/>
      <c r="R940" s="175"/>
      <c r="S940" s="175"/>
      <c r="T940" s="175"/>
      <c r="U940" s="175"/>
      <c r="V940" s="175"/>
      <c r="W940" s="175"/>
      <c r="X940" s="175"/>
      <c r="Y940" s="175"/>
      <c r="Z940" s="175"/>
    </row>
    <row r="941" ht="12.0" customHeight="1">
      <c r="A941" s="175"/>
      <c r="B941" s="175"/>
      <c r="C941" s="175"/>
      <c r="D941" s="175"/>
      <c r="E941" s="175"/>
      <c r="F941" s="597"/>
      <c r="G941" s="597"/>
      <c r="H941" s="597"/>
      <c r="I941" s="175"/>
      <c r="J941" s="175"/>
      <c r="K941" s="175"/>
      <c r="L941" s="175"/>
      <c r="M941" s="175"/>
      <c r="N941" s="175"/>
      <c r="O941" s="175"/>
      <c r="P941" s="175"/>
      <c r="Q941" s="175"/>
      <c r="R941" s="175"/>
      <c r="S941" s="175"/>
      <c r="T941" s="175"/>
      <c r="U941" s="175"/>
      <c r="V941" s="175"/>
      <c r="W941" s="175"/>
      <c r="X941" s="175"/>
      <c r="Y941" s="175"/>
      <c r="Z941" s="175"/>
    </row>
    <row r="942" ht="12.0" customHeight="1">
      <c r="A942" s="175"/>
      <c r="B942" s="175"/>
      <c r="C942" s="175"/>
      <c r="D942" s="175"/>
      <c r="E942" s="175"/>
      <c r="F942" s="597"/>
      <c r="G942" s="597"/>
      <c r="H942" s="597"/>
      <c r="I942" s="175"/>
      <c r="J942" s="175"/>
      <c r="K942" s="175"/>
      <c r="L942" s="175"/>
      <c r="M942" s="175"/>
      <c r="N942" s="175"/>
      <c r="O942" s="175"/>
      <c r="P942" s="175"/>
      <c r="Q942" s="175"/>
      <c r="R942" s="175"/>
      <c r="S942" s="175"/>
      <c r="T942" s="175"/>
      <c r="U942" s="175"/>
      <c r="V942" s="175"/>
      <c r="W942" s="175"/>
      <c r="X942" s="175"/>
      <c r="Y942" s="175"/>
      <c r="Z942" s="175"/>
    </row>
    <row r="943" ht="12.0" customHeight="1">
      <c r="A943" s="175"/>
      <c r="B943" s="175"/>
      <c r="C943" s="175"/>
      <c r="D943" s="175"/>
      <c r="E943" s="175"/>
      <c r="F943" s="597"/>
      <c r="G943" s="597"/>
      <c r="H943" s="597"/>
      <c r="I943" s="175"/>
      <c r="J943" s="175"/>
      <c r="K943" s="175"/>
      <c r="L943" s="175"/>
      <c r="M943" s="175"/>
      <c r="N943" s="175"/>
      <c r="O943" s="175"/>
      <c r="P943" s="175"/>
      <c r="Q943" s="175"/>
      <c r="R943" s="175"/>
      <c r="S943" s="175"/>
      <c r="T943" s="175"/>
      <c r="U943" s="175"/>
      <c r="V943" s="175"/>
      <c r="W943" s="175"/>
      <c r="X943" s="175"/>
      <c r="Y943" s="175"/>
      <c r="Z943" s="175"/>
    </row>
    <row r="944" ht="12.0" customHeight="1">
      <c r="A944" s="175"/>
      <c r="B944" s="175"/>
      <c r="C944" s="175"/>
      <c r="D944" s="175"/>
      <c r="E944" s="175"/>
      <c r="F944" s="597"/>
      <c r="G944" s="597"/>
      <c r="H944" s="597"/>
      <c r="I944" s="175"/>
      <c r="J944" s="175"/>
      <c r="K944" s="175"/>
      <c r="L944" s="175"/>
      <c r="M944" s="175"/>
      <c r="N944" s="175"/>
      <c r="O944" s="175"/>
      <c r="P944" s="175"/>
      <c r="Q944" s="175"/>
      <c r="R944" s="175"/>
      <c r="S944" s="175"/>
      <c r="T944" s="175"/>
      <c r="U944" s="175"/>
      <c r="V944" s="175"/>
      <c r="W944" s="175"/>
      <c r="X944" s="175"/>
      <c r="Y944" s="175"/>
      <c r="Z944" s="175"/>
    </row>
    <row r="945" ht="12.0" customHeight="1">
      <c r="A945" s="175"/>
      <c r="B945" s="175"/>
      <c r="C945" s="175"/>
      <c r="D945" s="175"/>
      <c r="E945" s="175"/>
      <c r="F945" s="597"/>
      <c r="G945" s="597"/>
      <c r="H945" s="597"/>
      <c r="I945" s="175"/>
      <c r="J945" s="175"/>
      <c r="K945" s="175"/>
      <c r="L945" s="175"/>
      <c r="M945" s="175"/>
      <c r="N945" s="175"/>
      <c r="O945" s="175"/>
      <c r="P945" s="175"/>
      <c r="Q945" s="175"/>
      <c r="R945" s="175"/>
      <c r="S945" s="175"/>
      <c r="T945" s="175"/>
      <c r="U945" s="175"/>
      <c r="V945" s="175"/>
      <c r="W945" s="175"/>
      <c r="X945" s="175"/>
      <c r="Y945" s="175"/>
      <c r="Z945" s="175"/>
    </row>
    <row r="946" ht="12.0" customHeight="1">
      <c r="A946" s="175"/>
      <c r="B946" s="175"/>
      <c r="C946" s="175"/>
      <c r="D946" s="175"/>
      <c r="E946" s="175"/>
      <c r="F946" s="597"/>
      <c r="G946" s="597"/>
      <c r="H946" s="597"/>
      <c r="I946" s="175"/>
      <c r="J946" s="175"/>
      <c r="K946" s="175"/>
      <c r="L946" s="175"/>
      <c r="M946" s="175"/>
      <c r="N946" s="175"/>
      <c r="O946" s="175"/>
      <c r="P946" s="175"/>
      <c r="Q946" s="175"/>
      <c r="R946" s="175"/>
      <c r="S946" s="175"/>
      <c r="T946" s="175"/>
      <c r="U946" s="175"/>
      <c r="V946" s="175"/>
      <c r="W946" s="175"/>
      <c r="X946" s="175"/>
      <c r="Y946" s="175"/>
      <c r="Z946" s="175"/>
    </row>
    <row r="947" ht="12.0" customHeight="1">
      <c r="A947" s="175"/>
      <c r="B947" s="175"/>
      <c r="C947" s="175"/>
      <c r="D947" s="175"/>
      <c r="E947" s="175"/>
      <c r="F947" s="597"/>
      <c r="G947" s="597"/>
      <c r="H947" s="597"/>
      <c r="I947" s="175"/>
      <c r="J947" s="175"/>
      <c r="K947" s="175"/>
      <c r="L947" s="175"/>
      <c r="M947" s="175"/>
      <c r="N947" s="175"/>
      <c r="O947" s="175"/>
      <c r="P947" s="175"/>
      <c r="Q947" s="175"/>
      <c r="R947" s="175"/>
      <c r="S947" s="175"/>
      <c r="T947" s="175"/>
      <c r="U947" s="175"/>
      <c r="V947" s="175"/>
      <c r="W947" s="175"/>
      <c r="X947" s="175"/>
      <c r="Y947" s="175"/>
      <c r="Z947" s="175"/>
    </row>
    <row r="948" ht="12.0" customHeight="1">
      <c r="A948" s="175"/>
      <c r="B948" s="175"/>
      <c r="C948" s="175"/>
      <c r="D948" s="175"/>
      <c r="E948" s="175"/>
      <c r="F948" s="597"/>
      <c r="G948" s="597"/>
      <c r="H948" s="597"/>
      <c r="I948" s="175"/>
      <c r="J948" s="175"/>
      <c r="K948" s="175"/>
      <c r="L948" s="175"/>
      <c r="M948" s="175"/>
      <c r="N948" s="175"/>
      <c r="O948" s="175"/>
      <c r="P948" s="175"/>
      <c r="Q948" s="175"/>
      <c r="R948" s="175"/>
      <c r="S948" s="175"/>
      <c r="T948" s="175"/>
      <c r="U948" s="175"/>
      <c r="V948" s="175"/>
      <c r="W948" s="175"/>
      <c r="X948" s="175"/>
      <c r="Y948" s="175"/>
      <c r="Z948" s="175"/>
    </row>
    <row r="949" ht="12.0" customHeight="1">
      <c r="A949" s="175"/>
      <c r="B949" s="175"/>
      <c r="C949" s="175"/>
      <c r="D949" s="175"/>
      <c r="E949" s="175"/>
      <c r="F949" s="597"/>
      <c r="G949" s="597"/>
      <c r="H949" s="597"/>
      <c r="I949" s="175"/>
      <c r="J949" s="175"/>
      <c r="K949" s="175"/>
      <c r="L949" s="175"/>
      <c r="M949" s="175"/>
      <c r="N949" s="175"/>
      <c r="O949" s="175"/>
      <c r="P949" s="175"/>
      <c r="Q949" s="175"/>
      <c r="R949" s="175"/>
      <c r="S949" s="175"/>
      <c r="T949" s="175"/>
      <c r="U949" s="175"/>
      <c r="V949" s="175"/>
      <c r="W949" s="175"/>
      <c r="X949" s="175"/>
      <c r="Y949" s="175"/>
      <c r="Z949" s="175"/>
    </row>
    <row r="950" ht="12.0" customHeight="1">
      <c r="A950" s="175"/>
      <c r="B950" s="175"/>
      <c r="C950" s="175"/>
      <c r="D950" s="175"/>
      <c r="E950" s="175"/>
      <c r="F950" s="597"/>
      <c r="G950" s="597"/>
      <c r="H950" s="597"/>
      <c r="I950" s="175"/>
      <c r="J950" s="175"/>
      <c r="K950" s="175"/>
      <c r="L950" s="175"/>
      <c r="M950" s="175"/>
      <c r="N950" s="175"/>
      <c r="O950" s="175"/>
      <c r="P950" s="175"/>
      <c r="Q950" s="175"/>
      <c r="R950" s="175"/>
      <c r="S950" s="175"/>
      <c r="T950" s="175"/>
      <c r="U950" s="175"/>
      <c r="V950" s="175"/>
      <c r="W950" s="175"/>
      <c r="X950" s="175"/>
      <c r="Y950" s="175"/>
      <c r="Z950" s="175"/>
    </row>
    <row r="951" ht="12.0" customHeight="1">
      <c r="A951" s="175"/>
      <c r="B951" s="175"/>
      <c r="C951" s="175"/>
      <c r="D951" s="175"/>
      <c r="E951" s="175"/>
      <c r="F951" s="597"/>
      <c r="G951" s="597"/>
      <c r="H951" s="597"/>
      <c r="I951" s="175"/>
      <c r="J951" s="175"/>
      <c r="K951" s="175"/>
      <c r="L951" s="175"/>
      <c r="M951" s="175"/>
      <c r="N951" s="175"/>
      <c r="O951" s="175"/>
      <c r="P951" s="175"/>
      <c r="Q951" s="175"/>
      <c r="R951" s="175"/>
      <c r="S951" s="175"/>
      <c r="T951" s="175"/>
      <c r="U951" s="175"/>
      <c r="V951" s="175"/>
      <c r="W951" s="175"/>
      <c r="X951" s="175"/>
      <c r="Y951" s="175"/>
      <c r="Z951" s="175"/>
    </row>
    <row r="952" ht="12.0" customHeight="1">
      <c r="A952" s="175"/>
      <c r="B952" s="175"/>
      <c r="C952" s="175"/>
      <c r="D952" s="175"/>
      <c r="E952" s="175"/>
      <c r="F952" s="597"/>
      <c r="G952" s="597"/>
      <c r="H952" s="597"/>
      <c r="I952" s="175"/>
      <c r="J952" s="175"/>
      <c r="K952" s="175"/>
      <c r="L952" s="175"/>
      <c r="M952" s="175"/>
      <c r="N952" s="175"/>
      <c r="O952" s="175"/>
      <c r="P952" s="175"/>
      <c r="Q952" s="175"/>
      <c r="R952" s="175"/>
      <c r="S952" s="175"/>
      <c r="T952" s="175"/>
      <c r="U952" s="175"/>
      <c r="V952" s="175"/>
      <c r="W952" s="175"/>
      <c r="X952" s="175"/>
      <c r="Y952" s="175"/>
      <c r="Z952" s="175"/>
    </row>
    <row r="953" ht="12.0" customHeight="1">
      <c r="A953" s="175"/>
      <c r="B953" s="175"/>
      <c r="C953" s="175"/>
      <c r="D953" s="175"/>
      <c r="E953" s="175"/>
      <c r="F953" s="597"/>
      <c r="G953" s="597"/>
      <c r="H953" s="597"/>
      <c r="I953" s="175"/>
      <c r="J953" s="175"/>
      <c r="K953" s="175"/>
      <c r="L953" s="175"/>
      <c r="M953" s="175"/>
      <c r="N953" s="175"/>
      <c r="O953" s="175"/>
      <c r="P953" s="175"/>
      <c r="Q953" s="175"/>
      <c r="R953" s="175"/>
      <c r="S953" s="175"/>
      <c r="T953" s="175"/>
      <c r="U953" s="175"/>
      <c r="V953" s="175"/>
      <c r="W953" s="175"/>
      <c r="X953" s="175"/>
      <c r="Y953" s="175"/>
      <c r="Z953" s="175"/>
    </row>
    <row r="954" ht="12.0" customHeight="1">
      <c r="A954" s="175"/>
      <c r="B954" s="175"/>
      <c r="C954" s="175"/>
      <c r="D954" s="175"/>
      <c r="E954" s="175"/>
      <c r="F954" s="597"/>
      <c r="G954" s="597"/>
      <c r="H954" s="597"/>
      <c r="I954" s="175"/>
      <c r="J954" s="175"/>
      <c r="K954" s="175"/>
      <c r="L954" s="175"/>
      <c r="M954" s="175"/>
      <c r="N954" s="175"/>
      <c r="O954" s="175"/>
      <c r="P954" s="175"/>
      <c r="Q954" s="175"/>
      <c r="R954" s="175"/>
      <c r="S954" s="175"/>
      <c r="T954" s="175"/>
      <c r="U954" s="175"/>
      <c r="V954" s="175"/>
      <c r="W954" s="175"/>
      <c r="X954" s="175"/>
      <c r="Y954" s="175"/>
      <c r="Z954" s="175"/>
    </row>
    <row r="955" ht="12.0" customHeight="1">
      <c r="A955" s="175"/>
      <c r="B955" s="175"/>
      <c r="C955" s="175"/>
      <c r="D955" s="175"/>
      <c r="E955" s="175"/>
      <c r="F955" s="597"/>
      <c r="G955" s="597"/>
      <c r="H955" s="597"/>
      <c r="I955" s="175"/>
      <c r="J955" s="175"/>
      <c r="K955" s="175"/>
      <c r="L955" s="175"/>
      <c r="M955" s="175"/>
      <c r="N955" s="175"/>
      <c r="O955" s="175"/>
      <c r="P955" s="175"/>
      <c r="Q955" s="175"/>
      <c r="R955" s="175"/>
      <c r="S955" s="175"/>
      <c r="T955" s="175"/>
      <c r="U955" s="175"/>
      <c r="V955" s="175"/>
      <c r="W955" s="175"/>
      <c r="X955" s="175"/>
      <c r="Y955" s="175"/>
      <c r="Z955" s="175"/>
    </row>
    <row r="956" ht="12.0" customHeight="1">
      <c r="A956" s="175"/>
      <c r="B956" s="175"/>
      <c r="C956" s="175"/>
      <c r="D956" s="175"/>
      <c r="E956" s="175"/>
      <c r="F956" s="597"/>
      <c r="G956" s="597"/>
      <c r="H956" s="597"/>
      <c r="I956" s="175"/>
      <c r="J956" s="175"/>
      <c r="K956" s="175"/>
      <c r="L956" s="175"/>
      <c r="M956" s="175"/>
      <c r="N956" s="175"/>
      <c r="O956" s="175"/>
      <c r="P956" s="175"/>
      <c r="Q956" s="175"/>
      <c r="R956" s="175"/>
      <c r="S956" s="175"/>
      <c r="T956" s="175"/>
      <c r="U956" s="175"/>
      <c r="V956" s="175"/>
      <c r="W956" s="175"/>
      <c r="X956" s="175"/>
      <c r="Y956" s="175"/>
      <c r="Z956" s="175"/>
    </row>
    <row r="957" ht="12.0" customHeight="1">
      <c r="A957" s="175"/>
      <c r="B957" s="175"/>
      <c r="C957" s="175"/>
      <c r="D957" s="175"/>
      <c r="E957" s="175"/>
      <c r="F957" s="597"/>
      <c r="G957" s="597"/>
      <c r="H957" s="597"/>
      <c r="I957" s="175"/>
      <c r="J957" s="175"/>
      <c r="K957" s="175"/>
      <c r="L957" s="175"/>
      <c r="M957" s="175"/>
      <c r="N957" s="175"/>
      <c r="O957" s="175"/>
      <c r="P957" s="175"/>
      <c r="Q957" s="175"/>
      <c r="R957" s="175"/>
      <c r="S957" s="175"/>
      <c r="T957" s="175"/>
      <c r="U957" s="175"/>
      <c r="V957" s="175"/>
      <c r="W957" s="175"/>
      <c r="X957" s="175"/>
      <c r="Y957" s="175"/>
      <c r="Z957" s="175"/>
    </row>
    <row r="958" ht="12.0" customHeight="1">
      <c r="A958" s="175"/>
      <c r="B958" s="175"/>
      <c r="C958" s="175"/>
      <c r="D958" s="175"/>
      <c r="E958" s="175"/>
      <c r="F958" s="597"/>
      <c r="G958" s="597"/>
      <c r="H958" s="597"/>
      <c r="I958" s="175"/>
      <c r="J958" s="175"/>
      <c r="K958" s="175"/>
      <c r="L958" s="175"/>
      <c r="M958" s="175"/>
      <c r="N958" s="175"/>
      <c r="O958" s="175"/>
      <c r="P958" s="175"/>
      <c r="Q958" s="175"/>
      <c r="R958" s="175"/>
      <c r="S958" s="175"/>
      <c r="T958" s="175"/>
      <c r="U958" s="175"/>
      <c r="V958" s="175"/>
      <c r="W958" s="175"/>
      <c r="X958" s="175"/>
      <c r="Y958" s="175"/>
      <c r="Z958" s="175"/>
    </row>
    <row r="959" ht="12.0" customHeight="1">
      <c r="A959" s="175"/>
      <c r="B959" s="175"/>
      <c r="C959" s="175"/>
      <c r="D959" s="175"/>
      <c r="E959" s="175"/>
      <c r="F959" s="597"/>
      <c r="G959" s="597"/>
      <c r="H959" s="597"/>
      <c r="I959" s="175"/>
      <c r="J959" s="175"/>
      <c r="K959" s="175"/>
      <c r="L959" s="175"/>
      <c r="M959" s="175"/>
      <c r="N959" s="175"/>
      <c r="O959" s="175"/>
      <c r="P959" s="175"/>
      <c r="Q959" s="175"/>
      <c r="R959" s="175"/>
      <c r="S959" s="175"/>
      <c r="T959" s="175"/>
      <c r="U959" s="175"/>
      <c r="V959" s="175"/>
      <c r="W959" s="175"/>
      <c r="X959" s="175"/>
      <c r="Y959" s="175"/>
      <c r="Z959" s="175"/>
    </row>
    <row r="960" ht="12.0" customHeight="1">
      <c r="A960" s="175"/>
      <c r="B960" s="175"/>
      <c r="C960" s="175"/>
      <c r="D960" s="175"/>
      <c r="E960" s="175"/>
      <c r="F960" s="597"/>
      <c r="G960" s="597"/>
      <c r="H960" s="597"/>
      <c r="I960" s="175"/>
      <c r="J960" s="175"/>
      <c r="K960" s="175"/>
      <c r="L960" s="175"/>
      <c r="M960" s="175"/>
      <c r="N960" s="175"/>
      <c r="O960" s="175"/>
      <c r="P960" s="175"/>
      <c r="Q960" s="175"/>
      <c r="R960" s="175"/>
      <c r="S960" s="175"/>
      <c r="T960" s="175"/>
      <c r="U960" s="175"/>
      <c r="V960" s="175"/>
      <c r="W960" s="175"/>
      <c r="X960" s="175"/>
      <c r="Y960" s="175"/>
      <c r="Z960" s="175"/>
    </row>
    <row r="961" ht="12.0" customHeight="1">
      <c r="A961" s="175"/>
      <c r="B961" s="175"/>
      <c r="C961" s="175"/>
      <c r="D961" s="175"/>
      <c r="E961" s="175"/>
      <c r="F961" s="597"/>
      <c r="G961" s="597"/>
      <c r="H961" s="597"/>
      <c r="I961" s="175"/>
      <c r="J961" s="175"/>
      <c r="K961" s="175"/>
      <c r="L961" s="175"/>
      <c r="M961" s="175"/>
      <c r="N961" s="175"/>
      <c r="O961" s="175"/>
      <c r="P961" s="175"/>
      <c r="Q961" s="175"/>
      <c r="R961" s="175"/>
      <c r="S961" s="175"/>
      <c r="T961" s="175"/>
      <c r="U961" s="175"/>
      <c r="V961" s="175"/>
      <c r="W961" s="175"/>
      <c r="X961" s="175"/>
      <c r="Y961" s="175"/>
      <c r="Z961" s="175"/>
    </row>
    <row r="962" ht="12.0" customHeight="1">
      <c r="A962" s="175"/>
      <c r="B962" s="175"/>
      <c r="C962" s="175"/>
      <c r="D962" s="175"/>
      <c r="E962" s="175"/>
      <c r="F962" s="597"/>
      <c r="G962" s="597"/>
      <c r="H962" s="597"/>
      <c r="I962" s="175"/>
      <c r="J962" s="175"/>
      <c r="K962" s="175"/>
      <c r="L962" s="175"/>
      <c r="M962" s="175"/>
      <c r="N962" s="175"/>
      <c r="O962" s="175"/>
      <c r="P962" s="175"/>
      <c r="Q962" s="175"/>
      <c r="R962" s="175"/>
      <c r="S962" s="175"/>
      <c r="T962" s="175"/>
      <c r="U962" s="175"/>
      <c r="V962" s="175"/>
      <c r="W962" s="175"/>
      <c r="X962" s="175"/>
      <c r="Y962" s="175"/>
      <c r="Z962" s="175"/>
    </row>
    <row r="963" ht="12.0" customHeight="1">
      <c r="A963" s="175"/>
      <c r="B963" s="175"/>
      <c r="C963" s="175"/>
      <c r="D963" s="175"/>
      <c r="E963" s="175"/>
      <c r="F963" s="597"/>
      <c r="G963" s="597"/>
      <c r="H963" s="597"/>
      <c r="I963" s="175"/>
      <c r="J963" s="175"/>
      <c r="K963" s="175"/>
      <c r="L963" s="175"/>
      <c r="M963" s="175"/>
      <c r="N963" s="175"/>
      <c r="O963" s="175"/>
      <c r="P963" s="175"/>
      <c r="Q963" s="175"/>
      <c r="R963" s="175"/>
      <c r="S963" s="175"/>
      <c r="T963" s="175"/>
      <c r="U963" s="175"/>
      <c r="V963" s="175"/>
      <c r="W963" s="175"/>
      <c r="X963" s="175"/>
      <c r="Y963" s="175"/>
      <c r="Z963" s="175"/>
    </row>
    <row r="964" ht="12.0" customHeight="1">
      <c r="A964" s="175"/>
      <c r="B964" s="175"/>
      <c r="C964" s="175"/>
      <c r="D964" s="175"/>
      <c r="E964" s="175"/>
      <c r="F964" s="597"/>
      <c r="G964" s="597"/>
      <c r="H964" s="597"/>
      <c r="I964" s="175"/>
      <c r="J964" s="175"/>
      <c r="K964" s="175"/>
      <c r="L964" s="175"/>
      <c r="M964" s="175"/>
      <c r="N964" s="175"/>
      <c r="O964" s="175"/>
      <c r="P964" s="175"/>
      <c r="Q964" s="175"/>
      <c r="R964" s="175"/>
      <c r="S964" s="175"/>
      <c r="T964" s="175"/>
      <c r="U964" s="175"/>
      <c r="V964" s="175"/>
      <c r="W964" s="175"/>
      <c r="X964" s="175"/>
      <c r="Y964" s="175"/>
      <c r="Z964" s="175"/>
    </row>
    <row r="965" ht="12.0" customHeight="1">
      <c r="A965" s="175"/>
      <c r="B965" s="175"/>
      <c r="C965" s="175"/>
      <c r="D965" s="175"/>
      <c r="E965" s="175"/>
      <c r="F965" s="597"/>
      <c r="G965" s="597"/>
      <c r="H965" s="597"/>
      <c r="I965" s="175"/>
      <c r="J965" s="175"/>
      <c r="K965" s="175"/>
      <c r="L965" s="175"/>
      <c r="M965" s="175"/>
      <c r="N965" s="175"/>
      <c r="O965" s="175"/>
      <c r="P965" s="175"/>
      <c r="Q965" s="175"/>
      <c r="R965" s="175"/>
      <c r="S965" s="175"/>
      <c r="T965" s="175"/>
      <c r="U965" s="175"/>
      <c r="V965" s="175"/>
      <c r="W965" s="175"/>
      <c r="X965" s="175"/>
      <c r="Y965" s="175"/>
      <c r="Z965" s="175"/>
    </row>
    <row r="966" ht="12.0" customHeight="1">
      <c r="A966" s="175"/>
      <c r="B966" s="175"/>
      <c r="C966" s="175"/>
      <c r="D966" s="175"/>
      <c r="E966" s="175"/>
      <c r="F966" s="597"/>
      <c r="G966" s="597"/>
      <c r="H966" s="597"/>
      <c r="I966" s="175"/>
      <c r="J966" s="175"/>
      <c r="K966" s="175"/>
      <c r="L966" s="175"/>
      <c r="M966" s="175"/>
      <c r="N966" s="175"/>
      <c r="O966" s="175"/>
      <c r="P966" s="175"/>
      <c r="Q966" s="175"/>
      <c r="R966" s="175"/>
      <c r="S966" s="175"/>
      <c r="T966" s="175"/>
      <c r="U966" s="175"/>
      <c r="V966" s="175"/>
      <c r="W966" s="175"/>
      <c r="X966" s="175"/>
      <c r="Y966" s="175"/>
      <c r="Z966" s="175"/>
    </row>
    <row r="967" ht="12.0" customHeight="1">
      <c r="A967" s="175"/>
      <c r="B967" s="175"/>
      <c r="C967" s="175"/>
      <c r="D967" s="175"/>
      <c r="E967" s="175"/>
      <c r="F967" s="597"/>
      <c r="G967" s="597"/>
      <c r="H967" s="597"/>
      <c r="I967" s="175"/>
      <c r="J967" s="175"/>
      <c r="K967" s="175"/>
      <c r="L967" s="175"/>
      <c r="M967" s="175"/>
      <c r="N967" s="175"/>
      <c r="O967" s="175"/>
      <c r="P967" s="175"/>
      <c r="Q967" s="175"/>
      <c r="R967" s="175"/>
      <c r="S967" s="175"/>
      <c r="T967" s="175"/>
      <c r="U967" s="175"/>
      <c r="V967" s="175"/>
      <c r="W967" s="175"/>
      <c r="X967" s="175"/>
      <c r="Y967" s="175"/>
      <c r="Z967" s="175"/>
    </row>
    <row r="968" ht="12.0" customHeight="1">
      <c r="A968" s="175"/>
      <c r="B968" s="175"/>
      <c r="C968" s="175"/>
      <c r="D968" s="175"/>
      <c r="E968" s="175"/>
      <c r="F968" s="597"/>
      <c r="G968" s="597"/>
      <c r="H968" s="597"/>
      <c r="I968" s="175"/>
      <c r="J968" s="175"/>
      <c r="K968" s="175"/>
      <c r="L968" s="175"/>
      <c r="M968" s="175"/>
      <c r="N968" s="175"/>
      <c r="O968" s="175"/>
      <c r="P968" s="175"/>
      <c r="Q968" s="175"/>
      <c r="R968" s="175"/>
      <c r="S968" s="175"/>
      <c r="T968" s="175"/>
      <c r="U968" s="175"/>
      <c r="V968" s="175"/>
      <c r="W968" s="175"/>
      <c r="X968" s="175"/>
      <c r="Y968" s="175"/>
      <c r="Z968" s="175"/>
    </row>
    <row r="969" ht="12.0" customHeight="1">
      <c r="A969" s="175"/>
      <c r="B969" s="175"/>
      <c r="C969" s="175"/>
      <c r="D969" s="175"/>
      <c r="E969" s="175"/>
      <c r="F969" s="597"/>
      <c r="G969" s="597"/>
      <c r="H969" s="597"/>
      <c r="I969" s="175"/>
      <c r="J969" s="175"/>
      <c r="K969" s="175"/>
      <c r="L969" s="175"/>
      <c r="M969" s="175"/>
      <c r="N969" s="175"/>
      <c r="O969" s="175"/>
      <c r="P969" s="175"/>
      <c r="Q969" s="175"/>
      <c r="R969" s="175"/>
      <c r="S969" s="175"/>
      <c r="T969" s="175"/>
      <c r="U969" s="175"/>
      <c r="V969" s="175"/>
      <c r="W969" s="175"/>
      <c r="X969" s="175"/>
      <c r="Y969" s="175"/>
      <c r="Z969" s="175"/>
    </row>
    <row r="970" ht="12.0" customHeight="1">
      <c r="A970" s="175"/>
      <c r="B970" s="175"/>
      <c r="C970" s="175"/>
      <c r="D970" s="175"/>
      <c r="E970" s="175"/>
      <c r="F970" s="597"/>
      <c r="G970" s="597"/>
      <c r="H970" s="597"/>
      <c r="I970" s="175"/>
      <c r="J970" s="175"/>
      <c r="K970" s="175"/>
      <c r="L970" s="175"/>
      <c r="M970" s="175"/>
      <c r="N970" s="175"/>
      <c r="O970" s="175"/>
      <c r="P970" s="175"/>
      <c r="Q970" s="175"/>
      <c r="R970" s="175"/>
      <c r="S970" s="175"/>
      <c r="T970" s="175"/>
      <c r="U970" s="175"/>
      <c r="V970" s="175"/>
      <c r="W970" s="175"/>
      <c r="X970" s="175"/>
      <c r="Y970" s="175"/>
      <c r="Z970" s="175"/>
    </row>
    <row r="971" ht="12.0" customHeight="1">
      <c r="A971" s="175"/>
      <c r="B971" s="175"/>
      <c r="C971" s="175"/>
      <c r="D971" s="175"/>
      <c r="E971" s="175"/>
      <c r="F971" s="597"/>
      <c r="G971" s="597"/>
      <c r="H971" s="597"/>
      <c r="I971" s="175"/>
      <c r="J971" s="175"/>
      <c r="K971" s="175"/>
      <c r="L971" s="175"/>
      <c r="M971" s="175"/>
      <c r="N971" s="175"/>
      <c r="O971" s="175"/>
      <c r="P971" s="175"/>
      <c r="Q971" s="175"/>
      <c r="R971" s="175"/>
      <c r="S971" s="175"/>
      <c r="T971" s="175"/>
      <c r="U971" s="175"/>
      <c r="V971" s="175"/>
      <c r="W971" s="175"/>
      <c r="X971" s="175"/>
      <c r="Y971" s="175"/>
      <c r="Z971" s="175"/>
    </row>
    <row r="972" ht="12.0" customHeight="1">
      <c r="A972" s="175"/>
      <c r="B972" s="175"/>
      <c r="C972" s="175"/>
      <c r="D972" s="175"/>
      <c r="E972" s="175"/>
      <c r="F972" s="597"/>
      <c r="G972" s="597"/>
      <c r="H972" s="597"/>
      <c r="I972" s="175"/>
      <c r="J972" s="175"/>
      <c r="K972" s="175"/>
      <c r="L972" s="175"/>
      <c r="M972" s="175"/>
      <c r="N972" s="175"/>
      <c r="O972" s="175"/>
      <c r="P972" s="175"/>
      <c r="Q972" s="175"/>
      <c r="R972" s="175"/>
      <c r="S972" s="175"/>
      <c r="T972" s="175"/>
      <c r="U972" s="175"/>
      <c r="V972" s="175"/>
      <c r="W972" s="175"/>
      <c r="X972" s="175"/>
      <c r="Y972" s="175"/>
      <c r="Z972" s="175"/>
    </row>
    <row r="973" ht="12.0" customHeight="1">
      <c r="A973" s="175"/>
      <c r="B973" s="175"/>
      <c r="C973" s="175"/>
      <c r="D973" s="175"/>
      <c r="E973" s="175"/>
      <c r="F973" s="597"/>
      <c r="G973" s="597"/>
      <c r="H973" s="597"/>
      <c r="I973" s="175"/>
      <c r="J973" s="175"/>
      <c r="K973" s="175"/>
      <c r="L973" s="175"/>
      <c r="M973" s="175"/>
      <c r="N973" s="175"/>
      <c r="O973" s="175"/>
      <c r="P973" s="175"/>
      <c r="Q973" s="175"/>
      <c r="R973" s="175"/>
      <c r="S973" s="175"/>
      <c r="T973" s="175"/>
      <c r="U973" s="175"/>
      <c r="V973" s="175"/>
      <c r="W973" s="175"/>
      <c r="X973" s="175"/>
      <c r="Y973" s="175"/>
      <c r="Z973" s="175"/>
    </row>
    <row r="974" ht="12.0" customHeight="1">
      <c r="A974" s="175"/>
      <c r="B974" s="175"/>
      <c r="C974" s="175"/>
      <c r="D974" s="175"/>
      <c r="E974" s="175"/>
      <c r="F974" s="597"/>
      <c r="G974" s="597"/>
      <c r="H974" s="597"/>
      <c r="I974" s="175"/>
      <c r="J974" s="175"/>
      <c r="K974" s="175"/>
      <c r="L974" s="175"/>
      <c r="M974" s="175"/>
      <c r="N974" s="175"/>
      <c r="O974" s="175"/>
      <c r="P974" s="175"/>
      <c r="Q974" s="175"/>
      <c r="R974" s="175"/>
      <c r="S974" s="175"/>
      <c r="T974" s="175"/>
      <c r="U974" s="175"/>
      <c r="V974" s="175"/>
      <c r="W974" s="175"/>
      <c r="X974" s="175"/>
      <c r="Y974" s="175"/>
      <c r="Z974" s="175"/>
    </row>
    <row r="975" ht="12.0" customHeight="1">
      <c r="A975" s="175"/>
      <c r="B975" s="175"/>
      <c r="C975" s="175"/>
      <c r="D975" s="175"/>
      <c r="E975" s="175"/>
      <c r="F975" s="597"/>
      <c r="G975" s="597"/>
      <c r="H975" s="597"/>
      <c r="I975" s="175"/>
      <c r="J975" s="175"/>
      <c r="K975" s="175"/>
      <c r="L975" s="175"/>
      <c r="M975" s="175"/>
      <c r="N975" s="175"/>
      <c r="O975" s="175"/>
      <c r="P975" s="175"/>
      <c r="Q975" s="175"/>
      <c r="R975" s="175"/>
      <c r="S975" s="175"/>
      <c r="T975" s="175"/>
      <c r="U975" s="175"/>
      <c r="V975" s="175"/>
      <c r="W975" s="175"/>
      <c r="X975" s="175"/>
      <c r="Y975" s="175"/>
      <c r="Z975" s="175"/>
    </row>
    <row r="976" ht="12.0" customHeight="1">
      <c r="A976" s="175"/>
      <c r="B976" s="175"/>
      <c r="C976" s="175"/>
      <c r="D976" s="175"/>
      <c r="E976" s="175"/>
      <c r="F976" s="597"/>
      <c r="G976" s="597"/>
      <c r="H976" s="597"/>
      <c r="I976" s="175"/>
      <c r="J976" s="175"/>
      <c r="K976" s="175"/>
      <c r="L976" s="175"/>
      <c r="M976" s="175"/>
      <c r="N976" s="175"/>
      <c r="O976" s="175"/>
      <c r="P976" s="175"/>
      <c r="Q976" s="175"/>
      <c r="R976" s="175"/>
      <c r="S976" s="175"/>
      <c r="T976" s="175"/>
      <c r="U976" s="175"/>
      <c r="V976" s="175"/>
      <c r="W976" s="175"/>
      <c r="X976" s="175"/>
      <c r="Y976" s="175"/>
      <c r="Z976" s="175"/>
    </row>
    <row r="977" ht="12.0" customHeight="1">
      <c r="A977" s="175"/>
      <c r="B977" s="175"/>
      <c r="C977" s="175"/>
      <c r="D977" s="175"/>
      <c r="E977" s="175"/>
      <c r="F977" s="597"/>
      <c r="G977" s="597"/>
      <c r="H977" s="597"/>
      <c r="I977" s="175"/>
      <c r="J977" s="175"/>
      <c r="K977" s="175"/>
      <c r="L977" s="175"/>
      <c r="M977" s="175"/>
      <c r="N977" s="175"/>
      <c r="O977" s="175"/>
      <c r="P977" s="175"/>
      <c r="Q977" s="175"/>
      <c r="R977" s="175"/>
      <c r="S977" s="175"/>
      <c r="T977" s="175"/>
      <c r="U977" s="175"/>
      <c r="V977" s="175"/>
      <c r="W977" s="175"/>
      <c r="X977" s="175"/>
      <c r="Y977" s="175"/>
      <c r="Z977" s="175"/>
    </row>
    <row r="978" ht="12.0" customHeight="1">
      <c r="A978" s="175"/>
      <c r="B978" s="175"/>
      <c r="C978" s="175"/>
      <c r="D978" s="175"/>
      <c r="E978" s="175"/>
      <c r="F978" s="597"/>
      <c r="G978" s="597"/>
      <c r="H978" s="597"/>
      <c r="I978" s="175"/>
      <c r="J978" s="175"/>
      <c r="K978" s="175"/>
      <c r="L978" s="175"/>
      <c r="M978" s="175"/>
      <c r="N978" s="175"/>
      <c r="O978" s="175"/>
      <c r="P978" s="175"/>
      <c r="Q978" s="175"/>
      <c r="R978" s="175"/>
      <c r="S978" s="175"/>
      <c r="T978" s="175"/>
      <c r="U978" s="175"/>
      <c r="V978" s="175"/>
      <c r="W978" s="175"/>
      <c r="X978" s="175"/>
      <c r="Y978" s="175"/>
      <c r="Z978" s="175"/>
    </row>
    <row r="979" ht="12.0" customHeight="1">
      <c r="A979" s="175"/>
      <c r="B979" s="175"/>
      <c r="C979" s="175"/>
      <c r="D979" s="175"/>
      <c r="E979" s="175"/>
      <c r="F979" s="597"/>
      <c r="G979" s="597"/>
      <c r="H979" s="597"/>
      <c r="I979" s="175"/>
      <c r="J979" s="175"/>
      <c r="K979" s="175"/>
      <c r="L979" s="175"/>
      <c r="M979" s="175"/>
      <c r="N979" s="175"/>
      <c r="O979" s="175"/>
      <c r="P979" s="175"/>
      <c r="Q979" s="175"/>
      <c r="R979" s="175"/>
      <c r="S979" s="175"/>
      <c r="T979" s="175"/>
      <c r="U979" s="175"/>
      <c r="V979" s="175"/>
      <c r="W979" s="175"/>
      <c r="X979" s="175"/>
      <c r="Y979" s="175"/>
      <c r="Z979" s="175"/>
    </row>
    <row r="980" ht="12.0" customHeight="1">
      <c r="A980" s="175"/>
      <c r="B980" s="175"/>
      <c r="C980" s="175"/>
      <c r="D980" s="175"/>
      <c r="E980" s="175"/>
      <c r="F980" s="597"/>
      <c r="G980" s="597"/>
      <c r="H980" s="597"/>
      <c r="I980" s="175"/>
      <c r="J980" s="175"/>
      <c r="K980" s="175"/>
      <c r="L980" s="175"/>
      <c r="M980" s="175"/>
      <c r="N980" s="175"/>
      <c r="O980" s="175"/>
      <c r="P980" s="175"/>
      <c r="Q980" s="175"/>
      <c r="R980" s="175"/>
      <c r="S980" s="175"/>
      <c r="T980" s="175"/>
      <c r="U980" s="175"/>
      <c r="V980" s="175"/>
      <c r="W980" s="175"/>
      <c r="X980" s="175"/>
      <c r="Y980" s="175"/>
      <c r="Z980" s="175"/>
    </row>
    <row r="981" ht="12.0" customHeight="1">
      <c r="A981" s="175"/>
      <c r="B981" s="175"/>
      <c r="C981" s="175"/>
      <c r="D981" s="175"/>
      <c r="E981" s="175"/>
      <c r="F981" s="597"/>
      <c r="G981" s="597"/>
      <c r="H981" s="597"/>
      <c r="I981" s="175"/>
      <c r="J981" s="175"/>
      <c r="K981" s="175"/>
      <c r="L981" s="175"/>
      <c r="M981" s="175"/>
      <c r="N981" s="175"/>
      <c r="O981" s="175"/>
      <c r="P981" s="175"/>
      <c r="Q981" s="175"/>
      <c r="R981" s="175"/>
      <c r="S981" s="175"/>
      <c r="T981" s="175"/>
      <c r="U981" s="175"/>
      <c r="V981" s="175"/>
      <c r="W981" s="175"/>
      <c r="X981" s="175"/>
      <c r="Y981" s="175"/>
      <c r="Z981" s="175"/>
    </row>
    <row r="982" ht="12.0" customHeight="1">
      <c r="A982" s="175"/>
      <c r="B982" s="175"/>
      <c r="C982" s="175"/>
      <c r="D982" s="175"/>
      <c r="E982" s="175"/>
      <c r="F982" s="597"/>
      <c r="G982" s="597"/>
      <c r="H982" s="597"/>
      <c r="I982" s="175"/>
      <c r="J982" s="175"/>
      <c r="K982" s="175"/>
      <c r="L982" s="175"/>
      <c r="M982" s="175"/>
      <c r="N982" s="175"/>
      <c r="O982" s="175"/>
      <c r="P982" s="175"/>
      <c r="Q982" s="175"/>
      <c r="R982" s="175"/>
      <c r="S982" s="175"/>
      <c r="T982" s="175"/>
      <c r="U982" s="175"/>
      <c r="V982" s="175"/>
      <c r="W982" s="175"/>
      <c r="X982" s="175"/>
      <c r="Y982" s="175"/>
      <c r="Z982" s="175"/>
    </row>
    <row r="983" ht="12.0" customHeight="1">
      <c r="A983" s="175"/>
      <c r="B983" s="175"/>
      <c r="C983" s="175"/>
      <c r="D983" s="175"/>
      <c r="E983" s="175"/>
      <c r="F983" s="597"/>
      <c r="G983" s="597"/>
      <c r="H983" s="597"/>
      <c r="I983" s="175"/>
      <c r="J983" s="175"/>
      <c r="K983" s="175"/>
      <c r="L983" s="175"/>
      <c r="M983" s="175"/>
      <c r="N983" s="175"/>
      <c r="O983" s="175"/>
      <c r="P983" s="175"/>
      <c r="Q983" s="175"/>
      <c r="R983" s="175"/>
      <c r="S983" s="175"/>
      <c r="T983" s="175"/>
      <c r="U983" s="175"/>
      <c r="V983" s="175"/>
      <c r="W983" s="175"/>
      <c r="X983" s="175"/>
      <c r="Y983" s="175"/>
      <c r="Z983" s="175"/>
    </row>
    <row r="984" ht="12.0" customHeight="1">
      <c r="A984" s="175"/>
      <c r="B984" s="175"/>
      <c r="C984" s="175"/>
      <c r="D984" s="175"/>
      <c r="E984" s="175"/>
      <c r="F984" s="597"/>
      <c r="G984" s="597"/>
      <c r="H984" s="597"/>
      <c r="I984" s="175"/>
      <c r="J984" s="175"/>
      <c r="K984" s="175"/>
      <c r="L984" s="175"/>
      <c r="M984" s="175"/>
      <c r="N984" s="175"/>
      <c r="O984" s="175"/>
      <c r="P984" s="175"/>
      <c r="Q984" s="175"/>
      <c r="R984" s="175"/>
      <c r="S984" s="175"/>
      <c r="T984" s="175"/>
      <c r="U984" s="175"/>
      <c r="V984" s="175"/>
      <c r="W984" s="175"/>
      <c r="X984" s="175"/>
      <c r="Y984" s="175"/>
      <c r="Z984" s="175"/>
    </row>
    <row r="985" ht="12.0" customHeight="1">
      <c r="A985" s="175"/>
      <c r="B985" s="175"/>
      <c r="C985" s="175"/>
      <c r="D985" s="175"/>
      <c r="E985" s="175"/>
      <c r="F985" s="597"/>
      <c r="G985" s="597"/>
      <c r="H985" s="597"/>
      <c r="I985" s="175"/>
      <c r="J985" s="175"/>
      <c r="K985" s="175"/>
      <c r="L985" s="175"/>
      <c r="M985" s="175"/>
      <c r="N985" s="175"/>
      <c r="O985" s="175"/>
      <c r="P985" s="175"/>
      <c r="Q985" s="175"/>
      <c r="R985" s="175"/>
      <c r="S985" s="175"/>
      <c r="T985" s="175"/>
      <c r="U985" s="175"/>
      <c r="V985" s="175"/>
      <c r="W985" s="175"/>
      <c r="X985" s="175"/>
      <c r="Y985" s="175"/>
      <c r="Z985" s="175"/>
    </row>
    <row r="986" ht="12.0" customHeight="1">
      <c r="A986" s="175"/>
      <c r="B986" s="175"/>
      <c r="C986" s="175"/>
      <c r="D986" s="175"/>
      <c r="E986" s="175"/>
      <c r="F986" s="597"/>
      <c r="G986" s="597"/>
      <c r="H986" s="597"/>
      <c r="I986" s="175"/>
      <c r="J986" s="175"/>
      <c r="K986" s="175"/>
      <c r="L986" s="175"/>
      <c r="M986" s="175"/>
      <c r="N986" s="175"/>
      <c r="O986" s="175"/>
      <c r="P986" s="175"/>
      <c r="Q986" s="175"/>
      <c r="R986" s="175"/>
      <c r="S986" s="175"/>
      <c r="T986" s="175"/>
      <c r="U986" s="175"/>
      <c r="V986" s="175"/>
      <c r="W986" s="175"/>
      <c r="X986" s="175"/>
      <c r="Y986" s="175"/>
      <c r="Z986" s="175"/>
    </row>
    <row r="987" ht="12.0" customHeight="1">
      <c r="A987" s="175"/>
      <c r="B987" s="175"/>
      <c r="C987" s="175"/>
      <c r="D987" s="175"/>
      <c r="E987" s="175"/>
      <c r="F987" s="597"/>
      <c r="G987" s="597"/>
      <c r="H987" s="597"/>
      <c r="I987" s="175"/>
      <c r="J987" s="175"/>
      <c r="K987" s="175"/>
      <c r="L987" s="175"/>
      <c r="M987" s="175"/>
      <c r="N987" s="175"/>
      <c r="O987" s="175"/>
      <c r="P987" s="175"/>
      <c r="Q987" s="175"/>
      <c r="R987" s="175"/>
      <c r="S987" s="175"/>
      <c r="T987" s="175"/>
      <c r="U987" s="175"/>
      <c r="V987" s="175"/>
      <c r="W987" s="175"/>
      <c r="X987" s="175"/>
      <c r="Y987" s="175"/>
      <c r="Z987" s="175"/>
    </row>
    <row r="988" ht="12.0" customHeight="1">
      <c r="A988" s="175"/>
      <c r="B988" s="175"/>
      <c r="C988" s="175"/>
      <c r="D988" s="175"/>
      <c r="E988" s="175"/>
      <c r="F988" s="597"/>
      <c r="G988" s="597"/>
      <c r="H988" s="597"/>
      <c r="I988" s="175"/>
      <c r="J988" s="175"/>
      <c r="K988" s="175"/>
      <c r="L988" s="175"/>
      <c r="M988" s="175"/>
      <c r="N988" s="175"/>
      <c r="O988" s="175"/>
      <c r="P988" s="175"/>
      <c r="Q988" s="175"/>
      <c r="R988" s="175"/>
      <c r="S988" s="175"/>
      <c r="T988" s="175"/>
      <c r="U988" s="175"/>
      <c r="V988" s="175"/>
      <c r="W988" s="175"/>
      <c r="X988" s="175"/>
      <c r="Y988" s="175"/>
      <c r="Z988" s="175"/>
    </row>
    <row r="989" ht="12.0" customHeight="1">
      <c r="A989" s="175"/>
      <c r="B989" s="175"/>
      <c r="C989" s="175"/>
      <c r="D989" s="175"/>
      <c r="E989" s="175"/>
      <c r="F989" s="597"/>
      <c r="G989" s="597"/>
      <c r="H989" s="597"/>
      <c r="I989" s="175"/>
      <c r="J989" s="175"/>
      <c r="K989" s="175"/>
      <c r="L989" s="175"/>
      <c r="M989" s="175"/>
      <c r="N989" s="175"/>
      <c r="O989" s="175"/>
      <c r="P989" s="175"/>
      <c r="Q989" s="175"/>
      <c r="R989" s="175"/>
      <c r="S989" s="175"/>
      <c r="T989" s="175"/>
      <c r="U989" s="175"/>
      <c r="V989" s="175"/>
      <c r="W989" s="175"/>
      <c r="X989" s="175"/>
      <c r="Y989" s="175"/>
      <c r="Z989" s="175"/>
    </row>
    <row r="990" ht="12.0" customHeight="1">
      <c r="A990" s="175"/>
      <c r="B990" s="175"/>
      <c r="C990" s="175"/>
      <c r="D990" s="175"/>
      <c r="E990" s="175"/>
      <c r="F990" s="597"/>
      <c r="G990" s="597"/>
      <c r="H990" s="597"/>
      <c r="I990" s="175"/>
      <c r="J990" s="175"/>
      <c r="K990" s="175"/>
      <c r="L990" s="175"/>
      <c r="M990" s="175"/>
      <c r="N990" s="175"/>
      <c r="O990" s="175"/>
      <c r="P990" s="175"/>
      <c r="Q990" s="175"/>
      <c r="R990" s="175"/>
      <c r="S990" s="175"/>
      <c r="T990" s="175"/>
      <c r="U990" s="175"/>
      <c r="V990" s="175"/>
      <c r="W990" s="175"/>
      <c r="X990" s="175"/>
      <c r="Y990" s="175"/>
      <c r="Z990" s="175"/>
    </row>
    <row r="991" ht="12.0" customHeight="1">
      <c r="A991" s="175"/>
      <c r="B991" s="175"/>
      <c r="C991" s="175"/>
      <c r="D991" s="175"/>
      <c r="E991" s="175"/>
      <c r="F991" s="597"/>
      <c r="G991" s="597"/>
      <c r="H991" s="597"/>
      <c r="I991" s="175"/>
      <c r="J991" s="175"/>
      <c r="K991" s="175"/>
      <c r="L991" s="175"/>
      <c r="M991" s="175"/>
      <c r="N991" s="175"/>
      <c r="O991" s="175"/>
      <c r="P991" s="175"/>
      <c r="Q991" s="175"/>
      <c r="R991" s="175"/>
      <c r="S991" s="175"/>
      <c r="T991" s="175"/>
      <c r="U991" s="175"/>
      <c r="V991" s="175"/>
      <c r="W991" s="175"/>
      <c r="X991" s="175"/>
      <c r="Y991" s="175"/>
      <c r="Z991" s="175"/>
    </row>
    <row r="992" ht="12.0" customHeight="1">
      <c r="A992" s="175"/>
      <c r="B992" s="175"/>
      <c r="C992" s="175"/>
      <c r="D992" s="175"/>
      <c r="E992" s="175"/>
      <c r="F992" s="597"/>
      <c r="G992" s="597"/>
      <c r="H992" s="597"/>
      <c r="I992" s="175"/>
      <c r="J992" s="175"/>
      <c r="K992" s="175"/>
      <c r="L992" s="175"/>
      <c r="M992" s="175"/>
      <c r="N992" s="175"/>
      <c r="O992" s="175"/>
      <c r="P992" s="175"/>
      <c r="Q992" s="175"/>
      <c r="R992" s="175"/>
      <c r="S992" s="175"/>
      <c r="T992" s="175"/>
      <c r="U992" s="175"/>
      <c r="V992" s="175"/>
      <c r="W992" s="175"/>
      <c r="X992" s="175"/>
      <c r="Y992" s="175"/>
      <c r="Z992" s="175"/>
    </row>
    <row r="993" ht="12.0" customHeight="1">
      <c r="A993" s="175"/>
      <c r="B993" s="175"/>
      <c r="C993" s="175"/>
      <c r="D993" s="175"/>
      <c r="E993" s="175"/>
      <c r="F993" s="597"/>
      <c r="G993" s="597"/>
      <c r="H993" s="597"/>
      <c r="I993" s="175"/>
      <c r="J993" s="175"/>
      <c r="K993" s="175"/>
      <c r="L993" s="175"/>
      <c r="M993" s="175"/>
      <c r="N993" s="175"/>
      <c r="O993" s="175"/>
      <c r="P993" s="175"/>
      <c r="Q993" s="175"/>
      <c r="R993" s="175"/>
      <c r="S993" s="175"/>
      <c r="T993" s="175"/>
      <c r="U993" s="175"/>
      <c r="V993" s="175"/>
      <c r="W993" s="175"/>
      <c r="X993" s="175"/>
      <c r="Y993" s="175"/>
      <c r="Z993" s="175"/>
    </row>
    <row r="994" ht="12.0" customHeight="1">
      <c r="A994" s="175"/>
      <c r="B994" s="175"/>
      <c r="C994" s="175"/>
      <c r="D994" s="175"/>
      <c r="E994" s="175"/>
      <c r="F994" s="597"/>
      <c r="G994" s="597"/>
      <c r="H994" s="597"/>
      <c r="I994" s="175"/>
      <c r="J994" s="175"/>
      <c r="K994" s="175"/>
      <c r="L994" s="175"/>
      <c r="M994" s="175"/>
      <c r="N994" s="175"/>
      <c r="O994" s="175"/>
      <c r="P994" s="175"/>
      <c r="Q994" s="175"/>
      <c r="R994" s="175"/>
      <c r="S994" s="175"/>
      <c r="T994" s="175"/>
      <c r="U994" s="175"/>
      <c r="V994" s="175"/>
      <c r="W994" s="175"/>
      <c r="X994" s="175"/>
      <c r="Y994" s="175"/>
      <c r="Z994" s="175"/>
    </row>
    <row r="995" ht="12.0" customHeight="1">
      <c r="A995" s="175"/>
      <c r="B995" s="175"/>
      <c r="C995" s="175"/>
      <c r="D995" s="175"/>
      <c r="E995" s="175"/>
      <c r="F995" s="597"/>
      <c r="G995" s="597"/>
      <c r="H995" s="597"/>
      <c r="I995" s="175"/>
      <c r="J995" s="175"/>
      <c r="K995" s="175"/>
      <c r="L995" s="175"/>
      <c r="M995" s="175"/>
      <c r="N995" s="175"/>
      <c r="O995" s="175"/>
      <c r="P995" s="175"/>
      <c r="Q995" s="175"/>
      <c r="R995" s="175"/>
      <c r="S995" s="175"/>
      <c r="T995" s="175"/>
      <c r="U995" s="175"/>
      <c r="V995" s="175"/>
      <c r="W995" s="175"/>
      <c r="X995" s="175"/>
      <c r="Y995" s="175"/>
      <c r="Z995" s="175"/>
    </row>
    <row r="996" ht="12.0" customHeight="1">
      <c r="A996" s="175"/>
      <c r="B996" s="175"/>
      <c r="C996" s="175"/>
      <c r="D996" s="175"/>
      <c r="E996" s="175"/>
      <c r="F996" s="597"/>
      <c r="G996" s="597"/>
      <c r="H996" s="597"/>
      <c r="I996" s="175"/>
      <c r="J996" s="175"/>
      <c r="K996" s="175"/>
      <c r="L996" s="175"/>
      <c r="M996" s="175"/>
      <c r="N996" s="175"/>
      <c r="O996" s="175"/>
      <c r="P996" s="175"/>
      <c r="Q996" s="175"/>
      <c r="R996" s="175"/>
      <c r="S996" s="175"/>
      <c r="T996" s="175"/>
      <c r="U996" s="175"/>
      <c r="V996" s="175"/>
      <c r="W996" s="175"/>
      <c r="X996" s="175"/>
      <c r="Y996" s="175"/>
      <c r="Z996" s="175"/>
    </row>
    <row r="997" ht="12.0" customHeight="1">
      <c r="A997" s="175"/>
      <c r="B997" s="175"/>
      <c r="C997" s="175"/>
      <c r="D997" s="175"/>
      <c r="E997" s="175"/>
      <c r="F997" s="597"/>
      <c r="G997" s="597"/>
      <c r="H997" s="597"/>
      <c r="I997" s="175"/>
      <c r="J997" s="175"/>
      <c r="K997" s="175"/>
      <c r="L997" s="175"/>
      <c r="M997" s="175"/>
      <c r="N997" s="175"/>
      <c r="O997" s="175"/>
      <c r="P997" s="175"/>
      <c r="Q997" s="175"/>
      <c r="R997" s="175"/>
      <c r="S997" s="175"/>
      <c r="T997" s="175"/>
      <c r="U997" s="175"/>
      <c r="V997" s="175"/>
      <c r="W997" s="175"/>
      <c r="X997" s="175"/>
      <c r="Y997" s="175"/>
      <c r="Z997" s="175"/>
    </row>
    <row r="998" ht="12.0" customHeight="1">
      <c r="A998" s="175"/>
      <c r="B998" s="175"/>
      <c r="C998" s="175"/>
      <c r="D998" s="175"/>
      <c r="E998" s="175"/>
      <c r="F998" s="597"/>
      <c r="G998" s="597"/>
      <c r="H998" s="597"/>
      <c r="I998" s="175"/>
      <c r="J998" s="175"/>
      <c r="K998" s="175"/>
      <c r="L998" s="175"/>
      <c r="M998" s="175"/>
      <c r="N998" s="175"/>
      <c r="O998" s="175"/>
      <c r="P998" s="175"/>
      <c r="Q998" s="175"/>
      <c r="R998" s="175"/>
      <c r="S998" s="175"/>
      <c r="T998" s="175"/>
      <c r="U998" s="175"/>
      <c r="V998" s="175"/>
      <c r="W998" s="175"/>
      <c r="X998" s="175"/>
      <c r="Y998" s="175"/>
      <c r="Z998" s="175"/>
    </row>
    <row r="999" ht="12.0" customHeight="1">
      <c r="A999" s="175"/>
      <c r="B999" s="175"/>
      <c r="C999" s="175"/>
      <c r="D999" s="175"/>
      <c r="E999" s="175"/>
      <c r="F999" s="597"/>
      <c r="G999" s="597"/>
      <c r="H999" s="597"/>
      <c r="I999" s="175"/>
      <c r="J999" s="175"/>
      <c r="K999" s="175"/>
      <c r="L999" s="175"/>
      <c r="M999" s="175"/>
      <c r="N999" s="175"/>
      <c r="O999" s="175"/>
      <c r="P999" s="175"/>
      <c r="Q999" s="175"/>
      <c r="R999" s="175"/>
      <c r="S999" s="175"/>
      <c r="T999" s="175"/>
      <c r="U999" s="175"/>
      <c r="V999" s="175"/>
      <c r="W999" s="175"/>
      <c r="X999" s="175"/>
      <c r="Y999" s="175"/>
      <c r="Z999" s="175"/>
    </row>
    <row r="1000" ht="12.0" customHeight="1">
      <c r="A1000" s="175"/>
      <c r="B1000" s="175"/>
      <c r="C1000" s="175"/>
      <c r="D1000" s="175"/>
      <c r="E1000" s="175"/>
      <c r="F1000" s="597"/>
      <c r="G1000" s="597"/>
      <c r="H1000" s="597"/>
      <c r="I1000" s="175"/>
      <c r="J1000" s="175"/>
      <c r="K1000" s="175"/>
      <c r="L1000" s="175"/>
      <c r="M1000" s="175"/>
      <c r="N1000" s="175"/>
      <c r="O1000" s="175"/>
      <c r="P1000" s="175"/>
      <c r="Q1000" s="175"/>
      <c r="R1000" s="175"/>
      <c r="S1000" s="175"/>
      <c r="T1000" s="175"/>
      <c r="U1000" s="175"/>
      <c r="V1000" s="175"/>
      <c r="W1000" s="175"/>
      <c r="X1000" s="175"/>
      <c r="Y1000" s="175"/>
      <c r="Z1000" s="175"/>
    </row>
  </sheetData>
  <mergeCells count="4">
    <mergeCell ref="A1:E1"/>
    <mergeCell ref="A23:E23"/>
    <mergeCell ref="A43:E43"/>
    <mergeCell ref="A76:E76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5.0" topLeftCell="D6" activePane="bottomRight" state="frozen"/>
      <selection activeCell="D1" sqref="D1" pane="topRight"/>
      <selection activeCell="A6" sqref="A6" pane="bottomLeft"/>
      <selection activeCell="D6" sqref="D6" pane="bottomRight"/>
    </sheetView>
  </sheetViews>
  <sheetFormatPr customHeight="1" defaultColWidth="14.43" defaultRowHeight="15.0"/>
  <cols>
    <col customWidth="1" min="1" max="1" width="9.14"/>
    <col customWidth="1" min="2" max="2" width="4.0"/>
    <col customWidth="1" min="3" max="3" width="13.29"/>
    <col customWidth="1" min="4" max="4" width="19.71"/>
    <col customWidth="1" min="5" max="5" width="13.29"/>
    <col customWidth="1" min="6" max="6" width="18.0"/>
    <col customWidth="1" min="7" max="17" width="13.29"/>
    <col customWidth="1" min="18" max="18" width="12.86"/>
    <col customWidth="1" min="19" max="21" width="9.14"/>
    <col customWidth="1" min="22" max="22" width="11.14"/>
    <col customWidth="1" min="23" max="23" width="12.86"/>
    <col customWidth="1" min="24" max="26" width="9.14"/>
  </cols>
  <sheetData>
    <row r="1" ht="12.0" customHeight="1">
      <c r="A1" s="175"/>
      <c r="B1" s="175"/>
      <c r="C1" s="175"/>
      <c r="D1" s="175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175"/>
      <c r="T1" s="175"/>
      <c r="U1" s="175"/>
      <c r="V1" s="175"/>
      <c r="W1" s="175"/>
      <c r="X1" s="597"/>
      <c r="Y1" s="175"/>
      <c r="Z1" s="175"/>
    </row>
    <row r="2" ht="12.0" customHeight="1">
      <c r="A2" s="175"/>
      <c r="B2" s="175"/>
      <c r="C2" s="175"/>
      <c r="D2" s="175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175"/>
      <c r="T2" s="175"/>
      <c r="U2" s="175"/>
      <c r="V2" s="175"/>
      <c r="W2" s="175"/>
      <c r="X2" s="597"/>
      <c r="Y2" s="175"/>
      <c r="Z2" s="175"/>
    </row>
    <row r="3" ht="12.0" customHeight="1">
      <c r="A3" s="175"/>
      <c r="B3" s="175"/>
      <c r="C3" s="600" t="s">
        <v>585</v>
      </c>
      <c r="S3" s="175"/>
      <c r="T3" s="175"/>
      <c r="U3" s="175"/>
      <c r="V3" s="175"/>
      <c r="W3" s="175"/>
      <c r="X3" s="597"/>
      <c r="Y3" s="175"/>
      <c r="Z3" s="175"/>
    </row>
    <row r="4" ht="12.0" customHeight="1">
      <c r="A4" s="175"/>
      <c r="B4" s="175"/>
      <c r="C4" s="175"/>
      <c r="D4" s="175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175"/>
      <c r="T4" s="175"/>
      <c r="U4" s="175"/>
      <c r="V4" s="175"/>
      <c r="W4" s="175"/>
      <c r="X4" s="597"/>
      <c r="Y4" s="175"/>
      <c r="Z4" s="175"/>
    </row>
    <row r="5" ht="12.0" customHeight="1">
      <c r="A5" s="175"/>
      <c r="B5" s="601" t="s">
        <v>109</v>
      </c>
      <c r="C5" s="601" t="s">
        <v>586</v>
      </c>
      <c r="D5" s="601" t="s">
        <v>587</v>
      </c>
      <c r="E5" s="602" t="s">
        <v>588</v>
      </c>
      <c r="F5" s="602" t="s">
        <v>589</v>
      </c>
      <c r="G5" s="602" t="s">
        <v>590</v>
      </c>
      <c r="H5" s="602" t="s">
        <v>591</v>
      </c>
      <c r="I5" s="602" t="s">
        <v>592</v>
      </c>
      <c r="J5" s="602" t="s">
        <v>593</v>
      </c>
      <c r="K5" s="602" t="s">
        <v>594</v>
      </c>
      <c r="L5" s="602" t="s">
        <v>595</v>
      </c>
      <c r="M5" s="602" t="s">
        <v>596</v>
      </c>
      <c r="N5" s="602" t="s">
        <v>597</v>
      </c>
      <c r="O5" s="602" t="s">
        <v>598</v>
      </c>
      <c r="P5" s="602" t="s">
        <v>599</v>
      </c>
      <c r="Q5" s="602" t="s">
        <v>600</v>
      </c>
      <c r="R5" s="602" t="s">
        <v>601</v>
      </c>
      <c r="S5" s="175"/>
      <c r="T5" s="175"/>
      <c r="U5" s="175"/>
      <c r="V5" s="175"/>
      <c r="W5" s="175"/>
      <c r="X5" s="597"/>
      <c r="Y5" s="175"/>
      <c r="Z5" s="175"/>
    </row>
    <row r="6" ht="12.0" customHeight="1">
      <c r="A6" s="175"/>
      <c r="B6" s="175">
        <v>1.0</v>
      </c>
      <c r="C6" s="603" t="s">
        <v>602</v>
      </c>
      <c r="D6" s="603" t="s">
        <v>603</v>
      </c>
      <c r="E6" s="597">
        <v>2.1365777615E8</v>
      </c>
      <c r="F6" s="604">
        <v>2.248622233E7</v>
      </c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>
        <f>417042664.9+99474452.99</f>
        <v>516517117.9</v>
      </c>
      <c r="S6" s="175"/>
      <c r="T6" s="175" t="s">
        <v>254</v>
      </c>
      <c r="U6" s="175">
        <v>5.1651711722999996E8</v>
      </c>
      <c r="V6" s="597">
        <f>+R6-U6</f>
        <v>0.6600000262</v>
      </c>
      <c r="W6" s="175"/>
      <c r="X6" s="597"/>
      <c r="Y6" s="175"/>
      <c r="Z6" s="175"/>
    </row>
    <row r="7" ht="12.0" customHeight="1">
      <c r="A7" s="175"/>
      <c r="B7" s="175">
        <v>2.0</v>
      </c>
      <c r="C7" s="2" t="s">
        <v>604</v>
      </c>
      <c r="D7" s="603" t="s">
        <v>605</v>
      </c>
      <c r="E7" s="597">
        <v>1.075433838E7</v>
      </c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>
        <v>3.312753083713827E7</v>
      </c>
      <c r="S7" s="175"/>
      <c r="T7" s="175" t="s">
        <v>498</v>
      </c>
      <c r="U7" s="175">
        <v>2.9405454952608705E7</v>
      </c>
      <c r="V7" s="597">
        <f>+R7-U12</f>
        <v>-309374.8229</v>
      </c>
      <c r="W7" s="175"/>
      <c r="X7" s="597"/>
      <c r="Y7" s="175"/>
      <c r="Z7" s="175"/>
    </row>
    <row r="8" ht="12.0" customHeight="1">
      <c r="A8" s="175"/>
      <c r="B8" s="175">
        <v>3.0</v>
      </c>
      <c r="C8" s="2" t="s">
        <v>606</v>
      </c>
      <c r="D8" s="603" t="s">
        <v>607</v>
      </c>
      <c r="E8" s="597">
        <f>4071428.57-479999.43</f>
        <v>3591429.14</v>
      </c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>
        <f>40786002+18724051.54</f>
        <v>59510053.54</v>
      </c>
      <c r="S8" s="175"/>
      <c r="T8" s="175" t="s">
        <v>501</v>
      </c>
      <c r="U8" s="175">
        <v>4.041801964E7</v>
      </c>
      <c r="V8" s="597">
        <f>+R8-U16</f>
        <v>-0.1000000015</v>
      </c>
      <c r="W8" s="175"/>
      <c r="X8" s="597"/>
      <c r="Y8" s="175"/>
      <c r="Z8" s="175"/>
    </row>
    <row r="9" ht="12.0" customHeight="1">
      <c r="A9" s="175"/>
      <c r="B9" s="175">
        <v>4.0</v>
      </c>
      <c r="C9" s="2" t="s">
        <v>608</v>
      </c>
      <c r="D9" s="2" t="s">
        <v>609</v>
      </c>
      <c r="E9" s="597">
        <v>1.442465568E7</v>
      </c>
      <c r="F9" s="597"/>
      <c r="G9" s="597"/>
      <c r="H9" s="597"/>
      <c r="I9" s="597"/>
      <c r="J9" s="597"/>
      <c r="K9" s="597"/>
      <c r="L9" s="597"/>
      <c r="M9" s="597"/>
      <c r="N9" s="597"/>
      <c r="O9" s="597"/>
      <c r="P9" s="597"/>
      <c r="Q9" s="597"/>
      <c r="R9" s="597">
        <v>2.9055386730508912E7</v>
      </c>
      <c r="S9" s="175"/>
      <c r="T9" s="175" t="s">
        <v>504</v>
      </c>
      <c r="U9" s="175">
        <v>1622781.0</v>
      </c>
      <c r="V9" s="597">
        <f>+R9-U7</f>
        <v>-350068.2221</v>
      </c>
      <c r="W9" s="175"/>
      <c r="X9" s="597"/>
      <c r="Y9" s="175"/>
      <c r="Z9" s="175"/>
    </row>
    <row r="10" ht="12.0" customHeight="1">
      <c r="A10" s="175"/>
      <c r="B10" s="175">
        <v>5.0</v>
      </c>
      <c r="C10" s="2" t="s">
        <v>172</v>
      </c>
      <c r="D10" s="2" t="s">
        <v>610</v>
      </c>
      <c r="E10" s="597">
        <v>1.155297902E7</v>
      </c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>
        <v>5.279252349252292E7</v>
      </c>
      <c r="S10" s="175"/>
      <c r="T10" s="175" t="s">
        <v>507</v>
      </c>
      <c r="U10" s="175">
        <v>7701747.0</v>
      </c>
      <c r="V10" s="597">
        <f>+R10-U13</f>
        <v>-548307.0675</v>
      </c>
      <c r="W10" s="175"/>
      <c r="X10" s="597"/>
      <c r="Y10" s="175"/>
      <c r="Z10" s="175"/>
    </row>
    <row r="11" ht="12.0" customHeight="1">
      <c r="A11" s="175"/>
      <c r="B11" s="175">
        <v>6.0</v>
      </c>
      <c r="C11" s="2" t="s">
        <v>611</v>
      </c>
      <c r="D11" s="603" t="s">
        <v>612</v>
      </c>
      <c r="E11" s="597">
        <v>3.3689575120000005E7</v>
      </c>
      <c r="F11" s="604">
        <v>3026222.0</v>
      </c>
      <c r="G11" s="597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>
        <v>4.041832572757706E7</v>
      </c>
      <c r="S11" s="175"/>
      <c r="T11" s="175" t="s">
        <v>510</v>
      </c>
      <c r="U11" s="175">
        <v>3674423.0</v>
      </c>
      <c r="V11" s="597">
        <f t="shared" ref="V11:V14" si="1">+R11-U8</f>
        <v>306.0875771</v>
      </c>
      <c r="W11" s="175"/>
      <c r="X11" s="597"/>
      <c r="Y11" s="175"/>
      <c r="Z11" s="175"/>
    </row>
    <row r="12" ht="12.0" customHeight="1">
      <c r="A12" s="175"/>
      <c r="B12" s="175">
        <v>7.0</v>
      </c>
      <c r="C12" s="2" t="s">
        <v>359</v>
      </c>
      <c r="D12" s="2" t="s">
        <v>613</v>
      </c>
      <c r="E12" s="597">
        <v>2.922105527E7</v>
      </c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>
        <f>1622781</f>
        <v>1622781</v>
      </c>
      <c r="S12" s="175"/>
      <c r="T12" s="175" t="s">
        <v>261</v>
      </c>
      <c r="U12" s="175">
        <v>3.343690566E7</v>
      </c>
      <c r="V12" s="597">
        <f t="shared" si="1"/>
        <v>0</v>
      </c>
      <c r="W12" s="175"/>
      <c r="X12" s="597"/>
      <c r="Y12" s="175"/>
      <c r="Z12" s="175"/>
    </row>
    <row r="13" ht="12.0" customHeight="1">
      <c r="A13" s="175"/>
      <c r="B13" s="175">
        <v>8.0</v>
      </c>
      <c r="C13" s="2" t="s">
        <v>507</v>
      </c>
      <c r="D13" s="2" t="s">
        <v>614</v>
      </c>
      <c r="E13" s="597">
        <v>6507588.0</v>
      </c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>
        <f>548245*11+1671072</f>
        <v>7701767</v>
      </c>
      <c r="S13" s="175"/>
      <c r="T13" s="175" t="s">
        <v>270</v>
      </c>
      <c r="U13" s="175">
        <v>5.334083056000001E7</v>
      </c>
      <c r="V13" s="597">
        <f t="shared" si="1"/>
        <v>20</v>
      </c>
      <c r="W13" s="175"/>
      <c r="X13" s="597"/>
      <c r="Y13" s="175"/>
      <c r="Z13" s="175"/>
    </row>
    <row r="14" ht="12.0" customHeight="1">
      <c r="A14" s="175"/>
      <c r="B14" s="175">
        <v>9.0</v>
      </c>
      <c r="C14" s="2" t="s">
        <v>510</v>
      </c>
      <c r="D14" s="2" t="s">
        <v>614</v>
      </c>
      <c r="E14" s="597">
        <v>2880000.0</v>
      </c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  <c r="R14" s="597">
        <f>242632*11+1005472</f>
        <v>3674424</v>
      </c>
      <c r="S14" s="175"/>
      <c r="T14" s="175" t="s">
        <v>515</v>
      </c>
      <c r="U14" s="175">
        <v>1.3217288237375043E7</v>
      </c>
      <c r="V14" s="597">
        <f t="shared" si="1"/>
        <v>1</v>
      </c>
      <c r="W14" s="175"/>
      <c r="X14" s="597"/>
      <c r="Y14" s="175"/>
      <c r="Z14" s="175"/>
    </row>
    <row r="15" ht="12.0" customHeight="1">
      <c r="A15" s="175"/>
      <c r="B15" s="175">
        <v>10.0</v>
      </c>
      <c r="C15" s="2" t="s">
        <v>515</v>
      </c>
      <c r="D15" s="2" t="s">
        <v>615</v>
      </c>
      <c r="E15" s="597">
        <v>1.213347707E7</v>
      </c>
      <c r="F15" s="597"/>
      <c r="G15" s="597"/>
      <c r="H15" s="597"/>
      <c r="I15" s="597"/>
      <c r="J15" s="597"/>
      <c r="K15" s="597"/>
      <c r="L15" s="597"/>
      <c r="M15" s="597"/>
      <c r="N15" s="597"/>
      <c r="O15" s="597"/>
      <c r="P15" s="597"/>
      <c r="Q15" s="597"/>
      <c r="R15" s="597">
        <v>1.3217288237375043E7</v>
      </c>
      <c r="S15" s="175"/>
      <c r="T15" s="175" t="s">
        <v>518</v>
      </c>
      <c r="U15" s="175">
        <v>3.112011321E7</v>
      </c>
      <c r="V15" s="597">
        <f t="shared" ref="V15:V16" si="2">+R15-U14</f>
        <v>0</v>
      </c>
      <c r="W15" s="175"/>
      <c r="X15" s="597"/>
      <c r="Y15" s="175"/>
      <c r="Z15" s="175"/>
    </row>
    <row r="16" ht="12.0" customHeight="1">
      <c r="A16" s="175"/>
      <c r="B16" s="175">
        <v>11.0</v>
      </c>
      <c r="C16" s="2" t="s">
        <v>616</v>
      </c>
      <c r="D16" s="603" t="s">
        <v>617</v>
      </c>
      <c r="E16" s="597">
        <v>0.0</v>
      </c>
      <c r="F16" s="597"/>
      <c r="G16" s="597"/>
      <c r="H16" s="597"/>
      <c r="I16" s="597"/>
      <c r="J16" s="597"/>
      <c r="K16" s="597"/>
      <c r="L16" s="597"/>
      <c r="M16" s="597"/>
      <c r="N16" s="597"/>
      <c r="O16" s="597"/>
      <c r="P16" s="597"/>
      <c r="Q16" s="597"/>
      <c r="R16" s="597">
        <v>3.112011390539186E7</v>
      </c>
      <c r="S16" s="175"/>
      <c r="T16" s="175" t="s">
        <v>521</v>
      </c>
      <c r="U16" s="175">
        <v>5.951005364E7</v>
      </c>
      <c r="V16" s="597">
        <f t="shared" si="2"/>
        <v>0.6953918599</v>
      </c>
      <c r="W16" s="175"/>
      <c r="X16" s="597"/>
      <c r="Y16" s="175"/>
      <c r="Z16" s="175"/>
    </row>
    <row r="17" ht="12.0" customHeight="1">
      <c r="A17" s="175"/>
      <c r="B17" s="175">
        <v>12.0</v>
      </c>
      <c r="C17" s="2" t="s">
        <v>618</v>
      </c>
      <c r="D17" s="2" t="s">
        <v>619</v>
      </c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>
        <f>17318181.82+9000000</f>
        <v>26318181.82</v>
      </c>
      <c r="S17" s="175"/>
      <c r="T17" s="175" t="s">
        <v>524</v>
      </c>
      <c r="U17" s="175">
        <v>2.631818182E7</v>
      </c>
      <c r="V17" s="597">
        <f t="shared" ref="V17:V19" si="3">+R17-U17</f>
        <v>0</v>
      </c>
      <c r="W17" s="175"/>
      <c r="X17" s="597"/>
      <c r="Y17" s="175"/>
      <c r="Z17" s="175"/>
    </row>
    <row r="18" ht="12.0" customHeight="1">
      <c r="A18" s="175"/>
      <c r="B18" s="175">
        <v>13.0</v>
      </c>
      <c r="C18" s="2" t="s">
        <v>620</v>
      </c>
      <c r="D18" s="603" t="s">
        <v>621</v>
      </c>
      <c r="E18" s="597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>
        <f>3264000+1207422.62</f>
        <v>4471422.62</v>
      </c>
      <c r="S18" s="175"/>
      <c r="T18" s="175" t="s">
        <v>527</v>
      </c>
      <c r="U18" s="175">
        <v>3264000.0</v>
      </c>
      <c r="V18" s="597">
        <f t="shared" si="3"/>
        <v>1207422.62</v>
      </c>
      <c r="W18" s="175"/>
      <c r="X18" s="597"/>
      <c r="Y18" s="175"/>
      <c r="Z18" s="175"/>
    </row>
    <row r="19" ht="12.0" customHeight="1">
      <c r="A19" s="175"/>
      <c r="B19" s="175">
        <v>14.0</v>
      </c>
      <c r="C19" s="2" t="s">
        <v>622</v>
      </c>
      <c r="D19" s="2" t="s">
        <v>623</v>
      </c>
      <c r="E19" s="597"/>
      <c r="F19" s="597"/>
      <c r="G19" s="597"/>
      <c r="H19" s="597"/>
      <c r="I19" s="597"/>
      <c r="J19" s="597"/>
      <c r="K19" s="597"/>
      <c r="L19" s="597"/>
      <c r="M19" s="597"/>
      <c r="N19" s="597"/>
      <c r="O19" s="597"/>
      <c r="P19" s="597"/>
      <c r="Q19" s="597"/>
      <c r="R19" s="597">
        <f>3693399.79+3173863.72</f>
        <v>6867263.51</v>
      </c>
      <c r="S19" s="175"/>
      <c r="T19" s="175" t="s">
        <v>530</v>
      </c>
      <c r="U19" s="175">
        <v>6867263.51</v>
      </c>
      <c r="V19" s="597">
        <f t="shared" si="3"/>
        <v>0</v>
      </c>
      <c r="W19" s="175"/>
      <c r="X19" s="597"/>
      <c r="Y19" s="175"/>
      <c r="Z19" s="175"/>
    </row>
    <row r="20" ht="12.0" customHeight="1">
      <c r="A20" s="175"/>
      <c r="B20" s="175">
        <v>15.0</v>
      </c>
      <c r="C20" s="2" t="s">
        <v>624</v>
      </c>
      <c r="D20" s="2" t="s">
        <v>625</v>
      </c>
      <c r="E20" s="597"/>
      <c r="F20" s="597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  <c r="R20" s="597">
        <v>1323641.2599999998</v>
      </c>
      <c r="S20" s="175"/>
      <c r="T20" s="175" t="s">
        <v>533</v>
      </c>
      <c r="U20" s="175">
        <v>723809.52</v>
      </c>
      <c r="V20" s="597">
        <f>+R20-U21</f>
        <v>4.9</v>
      </c>
      <c r="W20" s="175"/>
      <c r="X20" s="597"/>
      <c r="Y20" s="175"/>
      <c r="Z20" s="175"/>
    </row>
    <row r="21" ht="12.0" customHeight="1">
      <c r="A21" s="175"/>
      <c r="B21" s="605">
        <v>16.0</v>
      </c>
      <c r="C21" s="606" t="s">
        <v>626</v>
      </c>
      <c r="D21" s="606" t="s">
        <v>627</v>
      </c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07"/>
      <c r="P21" s="607"/>
      <c r="Q21" s="607"/>
      <c r="R21" s="607">
        <v>723809.5238095238</v>
      </c>
      <c r="S21" s="175"/>
      <c r="T21" s="175" t="s">
        <v>536</v>
      </c>
      <c r="U21" s="175">
        <v>1323636.3599999999</v>
      </c>
      <c r="V21" s="597">
        <f>+R21-U20</f>
        <v>0.003809523769</v>
      </c>
      <c r="W21" s="175"/>
      <c r="X21" s="597"/>
      <c r="Y21" s="175"/>
      <c r="Z21" s="175"/>
    </row>
    <row r="22" ht="12.0" customHeight="1">
      <c r="A22" s="175"/>
      <c r="B22" s="608" t="s">
        <v>628</v>
      </c>
      <c r="C22" s="608"/>
      <c r="D22" s="609"/>
      <c r="E22" s="610">
        <f t="shared" ref="E22:R22" si="4">SUM(E6:E21)</f>
        <v>338412873.8</v>
      </c>
      <c r="F22" s="610">
        <f t="shared" si="4"/>
        <v>25512444.33</v>
      </c>
      <c r="G22" s="610">
        <f t="shared" si="4"/>
        <v>0</v>
      </c>
      <c r="H22" s="610">
        <f t="shared" si="4"/>
        <v>0</v>
      </c>
      <c r="I22" s="610">
        <f t="shared" si="4"/>
        <v>0</v>
      </c>
      <c r="J22" s="610">
        <f t="shared" si="4"/>
        <v>0</v>
      </c>
      <c r="K22" s="610">
        <f t="shared" si="4"/>
        <v>0</v>
      </c>
      <c r="L22" s="610">
        <f t="shared" si="4"/>
        <v>0</v>
      </c>
      <c r="M22" s="610">
        <f t="shared" si="4"/>
        <v>0</v>
      </c>
      <c r="N22" s="610">
        <f t="shared" si="4"/>
        <v>0</v>
      </c>
      <c r="O22" s="610">
        <f t="shared" si="4"/>
        <v>0</v>
      </c>
      <c r="P22" s="610">
        <f t="shared" si="4"/>
        <v>0</v>
      </c>
      <c r="Q22" s="610">
        <f t="shared" si="4"/>
        <v>0</v>
      </c>
      <c r="R22" s="610">
        <f t="shared" si="4"/>
        <v>828461631.1</v>
      </c>
      <c r="S22" s="175"/>
      <c r="T22" s="175"/>
      <c r="U22" s="175"/>
      <c r="V22" s="597">
        <f>SUM(V6:V21)</f>
        <v>5.754339853</v>
      </c>
      <c r="W22" s="175"/>
      <c r="X22" s="597"/>
      <c r="Y22" s="175"/>
      <c r="Z22" s="175"/>
    </row>
    <row r="23" ht="12.0" customHeight="1">
      <c r="A23" s="175"/>
      <c r="B23" s="608" t="s">
        <v>629</v>
      </c>
      <c r="C23" s="608"/>
      <c r="D23" s="609"/>
      <c r="E23" s="610">
        <v>3.716048918E7</v>
      </c>
      <c r="F23" s="610"/>
      <c r="G23" s="610"/>
      <c r="H23" s="610"/>
      <c r="I23" s="610"/>
      <c r="J23" s="610"/>
      <c r="K23" s="610"/>
      <c r="L23" s="610"/>
      <c r="M23" s="610"/>
      <c r="N23" s="610"/>
      <c r="O23" s="610"/>
      <c r="P23" s="610"/>
      <c r="Q23" s="610"/>
      <c r="R23" s="610">
        <v>9.902018994E7</v>
      </c>
      <c r="S23" s="175"/>
      <c r="T23" s="175"/>
      <c r="U23" s="175"/>
      <c r="V23" s="597"/>
      <c r="W23" s="597"/>
      <c r="X23" s="597"/>
      <c r="Y23" s="175"/>
      <c r="Z23" s="175"/>
    </row>
    <row r="24" ht="12.0" customHeight="1">
      <c r="A24" s="175"/>
      <c r="B24" s="611" t="s">
        <v>630</v>
      </c>
      <c r="C24" s="611"/>
      <c r="D24" s="612"/>
      <c r="E24" s="613">
        <f t="shared" ref="E24:R24" si="5">SUM(E22:E23)</f>
        <v>375573363</v>
      </c>
      <c r="F24" s="613">
        <f t="shared" si="5"/>
        <v>25512444.33</v>
      </c>
      <c r="G24" s="613">
        <f t="shared" si="5"/>
        <v>0</v>
      </c>
      <c r="H24" s="613">
        <f t="shared" si="5"/>
        <v>0</v>
      </c>
      <c r="I24" s="613">
        <f t="shared" si="5"/>
        <v>0</v>
      </c>
      <c r="J24" s="613">
        <f t="shared" si="5"/>
        <v>0</v>
      </c>
      <c r="K24" s="613">
        <f t="shared" si="5"/>
        <v>0</v>
      </c>
      <c r="L24" s="613">
        <f t="shared" si="5"/>
        <v>0</v>
      </c>
      <c r="M24" s="613">
        <f t="shared" si="5"/>
        <v>0</v>
      </c>
      <c r="N24" s="613">
        <f t="shared" si="5"/>
        <v>0</v>
      </c>
      <c r="O24" s="613">
        <f t="shared" si="5"/>
        <v>0</v>
      </c>
      <c r="P24" s="613">
        <f t="shared" si="5"/>
        <v>0</v>
      </c>
      <c r="Q24" s="613">
        <f t="shared" si="5"/>
        <v>0</v>
      </c>
      <c r="R24" s="613">
        <f t="shared" si="5"/>
        <v>927481821</v>
      </c>
      <c r="S24" s="175"/>
      <c r="T24" s="175"/>
      <c r="U24" s="175"/>
      <c r="V24" s="175"/>
      <c r="W24" s="175"/>
      <c r="X24" s="597"/>
      <c r="Y24" s="175"/>
      <c r="Z24" s="175"/>
    </row>
    <row r="25" ht="12.0" customHeight="1">
      <c r="A25" s="175"/>
      <c r="B25" s="175"/>
      <c r="C25" s="175"/>
      <c r="D25" s="175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175"/>
      <c r="T25" s="175"/>
      <c r="U25" s="175"/>
      <c r="V25" s="175"/>
      <c r="W25" s="175"/>
      <c r="X25" s="597"/>
      <c r="Y25" s="175"/>
      <c r="Z25" s="175"/>
    </row>
    <row r="26" ht="12.0" customHeight="1">
      <c r="A26" s="175"/>
      <c r="B26" s="175"/>
      <c r="C26" s="175"/>
      <c r="D26" s="175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175"/>
      <c r="T26" s="175"/>
      <c r="U26" s="175"/>
      <c r="V26" s="175"/>
      <c r="W26" s="175"/>
      <c r="X26" s="597"/>
      <c r="Y26" s="175"/>
      <c r="Z26" s="175"/>
    </row>
    <row r="27" ht="12.0" customHeight="1">
      <c r="A27" s="175"/>
      <c r="B27" s="175"/>
      <c r="C27" s="175"/>
      <c r="D27" s="175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175"/>
      <c r="T27" s="175"/>
      <c r="U27" s="175"/>
      <c r="V27" s="175"/>
      <c r="W27" s="175"/>
      <c r="X27" s="597"/>
      <c r="Y27" s="175"/>
      <c r="Z27" s="175"/>
    </row>
    <row r="28" ht="12.0" customHeight="1">
      <c r="A28" s="175"/>
      <c r="B28" s="175"/>
      <c r="C28" s="175"/>
      <c r="D28" s="175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175"/>
      <c r="T28" s="175"/>
      <c r="U28" s="175"/>
      <c r="V28" s="175"/>
      <c r="W28" s="175"/>
      <c r="X28" s="597"/>
      <c r="Y28" s="175"/>
      <c r="Z28" s="175"/>
    </row>
    <row r="29" ht="12.0" customHeight="1">
      <c r="A29" s="175"/>
      <c r="B29" s="175"/>
      <c r="C29" s="175"/>
      <c r="D29" s="175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175"/>
      <c r="T29" s="175"/>
      <c r="U29" s="175"/>
      <c r="V29" s="175"/>
      <c r="W29" s="175"/>
      <c r="X29" s="597"/>
      <c r="Y29" s="175"/>
      <c r="Z29" s="175"/>
    </row>
    <row r="30" ht="12.0" customHeight="1">
      <c r="A30" s="175"/>
      <c r="B30" s="175" t="s">
        <v>171</v>
      </c>
      <c r="C30" s="175"/>
      <c r="D30" s="175"/>
      <c r="E30" s="597" t="s">
        <v>172</v>
      </c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175"/>
      <c r="T30" s="175"/>
      <c r="U30" s="175"/>
      <c r="V30" s="175"/>
      <c r="W30" s="175"/>
      <c r="X30" s="597"/>
      <c r="Y30" s="175"/>
      <c r="Z30" s="175"/>
    </row>
    <row r="31" ht="12.0" customHeight="1">
      <c r="A31" s="175"/>
      <c r="B31" s="175"/>
      <c r="C31" s="175"/>
      <c r="D31" s="175"/>
      <c r="E31" s="597"/>
      <c r="F31" s="597"/>
      <c r="G31" s="597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175"/>
      <c r="T31" s="175"/>
      <c r="U31" s="175"/>
      <c r="V31" s="175"/>
      <c r="W31" s="175"/>
      <c r="X31" s="597"/>
      <c r="Y31" s="175"/>
      <c r="Z31" s="175"/>
    </row>
    <row r="32" ht="12.0" customHeight="1">
      <c r="A32" s="175"/>
      <c r="B32" s="175"/>
      <c r="C32" s="175"/>
      <c r="D32" s="175"/>
      <c r="E32" s="597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175"/>
      <c r="T32" s="175"/>
      <c r="U32" s="175"/>
      <c r="V32" s="175"/>
      <c r="W32" s="175"/>
      <c r="X32" s="597"/>
      <c r="Y32" s="175"/>
      <c r="Z32" s="175"/>
    </row>
    <row r="33" ht="12.0" customHeight="1">
      <c r="A33" s="175"/>
      <c r="B33" s="175"/>
      <c r="C33" s="175"/>
      <c r="D33" s="175"/>
      <c r="E33" s="597"/>
      <c r="F33" s="597"/>
      <c r="G33" s="597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175"/>
      <c r="T33" s="175"/>
      <c r="U33" s="175"/>
      <c r="V33" s="175"/>
      <c r="W33" s="175"/>
      <c r="X33" s="597"/>
      <c r="Y33" s="175"/>
      <c r="Z33" s="175"/>
    </row>
    <row r="34" ht="12.0" customHeight="1">
      <c r="A34" s="175"/>
      <c r="B34" s="175"/>
      <c r="C34" s="175"/>
      <c r="D34" s="175"/>
      <c r="E34" s="597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175"/>
      <c r="T34" s="175"/>
      <c r="U34" s="175"/>
      <c r="V34" s="175"/>
      <c r="W34" s="175"/>
      <c r="X34" s="597"/>
      <c r="Y34" s="175"/>
      <c r="Z34" s="175"/>
    </row>
    <row r="35" ht="12.0" customHeight="1">
      <c r="A35" s="175"/>
      <c r="B35" s="175"/>
      <c r="C35" s="175"/>
      <c r="D35" s="175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175"/>
      <c r="T35" s="175"/>
      <c r="U35" s="175"/>
      <c r="V35" s="175"/>
      <c r="W35" s="175"/>
      <c r="X35" s="597"/>
      <c r="Y35" s="175"/>
      <c r="Z35" s="175"/>
    </row>
    <row r="36" ht="12.0" customHeight="1">
      <c r="A36" s="175"/>
      <c r="B36" s="175"/>
      <c r="C36" s="175"/>
      <c r="D36" s="175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175"/>
      <c r="T36" s="175"/>
      <c r="U36" s="175"/>
      <c r="V36" s="175"/>
      <c r="W36" s="175"/>
      <c r="X36" s="597"/>
      <c r="Y36" s="175"/>
      <c r="Z36" s="175"/>
    </row>
    <row r="37" ht="12.0" customHeight="1">
      <c r="A37" s="175"/>
      <c r="B37" s="175"/>
      <c r="C37" s="175"/>
      <c r="D37" s="175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  <c r="R37" s="597"/>
      <c r="S37" s="175"/>
      <c r="T37" s="175"/>
      <c r="U37" s="175"/>
      <c r="V37" s="175"/>
      <c r="W37" s="175"/>
      <c r="X37" s="597"/>
      <c r="Y37" s="175"/>
      <c r="Z37" s="175"/>
    </row>
    <row r="38" ht="12.0" customHeight="1">
      <c r="A38" s="175"/>
      <c r="B38" s="175"/>
      <c r="C38" s="175"/>
      <c r="D38" s="175"/>
      <c r="E38" s="597"/>
      <c r="F38" s="597"/>
      <c r="G38" s="597"/>
      <c r="H38" s="597"/>
      <c r="I38" s="597"/>
      <c r="J38" s="597"/>
      <c r="K38" s="597"/>
      <c r="L38" s="597"/>
      <c r="M38" s="597"/>
      <c r="N38" s="597"/>
      <c r="O38" s="597"/>
      <c r="P38" s="597"/>
      <c r="Q38" s="597"/>
      <c r="R38" s="597"/>
      <c r="S38" s="175"/>
      <c r="T38" s="175"/>
      <c r="U38" s="175"/>
      <c r="V38" s="175"/>
      <c r="W38" s="175"/>
      <c r="X38" s="597"/>
      <c r="Y38" s="175"/>
      <c r="Z38" s="175"/>
    </row>
    <row r="39" ht="12.0" customHeight="1">
      <c r="A39" s="175"/>
      <c r="B39" s="175"/>
      <c r="C39" s="175"/>
      <c r="D39" s="175"/>
      <c r="E39" s="597"/>
      <c r="F39" s="597"/>
      <c r="G39" s="597"/>
      <c r="H39" s="597"/>
      <c r="I39" s="597"/>
      <c r="J39" s="597"/>
      <c r="K39" s="597"/>
      <c r="L39" s="597"/>
      <c r="M39" s="597"/>
      <c r="N39" s="597"/>
      <c r="O39" s="597"/>
      <c r="P39" s="597"/>
      <c r="Q39" s="597"/>
      <c r="R39" s="597"/>
      <c r="S39" s="175"/>
      <c r="T39" s="175"/>
      <c r="U39" s="175"/>
      <c r="V39" s="175"/>
      <c r="W39" s="175"/>
      <c r="X39" s="597"/>
      <c r="Y39" s="175"/>
      <c r="Z39" s="175"/>
    </row>
    <row r="40" ht="12.0" customHeight="1">
      <c r="A40" s="175"/>
      <c r="B40" s="175"/>
      <c r="C40" s="175"/>
      <c r="D40" s="175"/>
      <c r="E40" s="597"/>
      <c r="F40" s="597"/>
      <c r="G40" s="597"/>
      <c r="H40" s="597"/>
      <c r="I40" s="597"/>
      <c r="J40" s="597"/>
      <c r="K40" s="597"/>
      <c r="L40" s="597"/>
      <c r="M40" s="597"/>
      <c r="N40" s="597"/>
      <c r="O40" s="597"/>
      <c r="P40" s="597"/>
      <c r="Q40" s="597"/>
      <c r="R40" s="597"/>
      <c r="S40" s="175"/>
      <c r="T40" s="175"/>
      <c r="U40" s="175"/>
      <c r="V40" s="175"/>
      <c r="W40" s="175"/>
      <c r="X40" s="597"/>
      <c r="Y40" s="175"/>
      <c r="Z40" s="175"/>
    </row>
    <row r="41" ht="12.0" customHeight="1">
      <c r="A41" s="175"/>
      <c r="B41" s="175"/>
      <c r="C41" s="175"/>
      <c r="D41" s="175"/>
      <c r="E41" s="597"/>
      <c r="F41" s="597"/>
      <c r="G41" s="597"/>
      <c r="H41" s="597"/>
      <c r="I41" s="597"/>
      <c r="J41" s="597"/>
      <c r="K41" s="597"/>
      <c r="L41" s="597"/>
      <c r="M41" s="597"/>
      <c r="N41" s="597"/>
      <c r="O41" s="597"/>
      <c r="P41" s="597"/>
      <c r="Q41" s="597"/>
      <c r="R41" s="597"/>
      <c r="S41" s="175"/>
      <c r="T41" s="175"/>
      <c r="U41" s="175"/>
      <c r="V41" s="175"/>
      <c r="W41" s="175"/>
      <c r="X41" s="597"/>
      <c r="Y41" s="175"/>
      <c r="Z41" s="175"/>
    </row>
    <row r="42" ht="12.0" customHeight="1">
      <c r="A42" s="175"/>
      <c r="B42" s="175"/>
      <c r="C42" s="175"/>
      <c r="D42" s="175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  <c r="R42" s="597"/>
      <c r="S42" s="175"/>
      <c r="T42" s="175"/>
      <c r="U42" s="175"/>
      <c r="V42" s="175"/>
      <c r="W42" s="175"/>
      <c r="X42" s="597"/>
      <c r="Y42" s="175"/>
      <c r="Z42" s="175"/>
    </row>
    <row r="43" ht="12.0" customHeight="1">
      <c r="A43" s="175"/>
      <c r="B43" s="175"/>
      <c r="C43" s="175"/>
      <c r="D43" s="175"/>
      <c r="E43" s="597"/>
      <c r="F43" s="597"/>
      <c r="G43" s="597"/>
      <c r="H43" s="597"/>
      <c r="I43" s="597"/>
      <c r="J43" s="597"/>
      <c r="K43" s="597"/>
      <c r="L43" s="597"/>
      <c r="M43" s="597"/>
      <c r="N43" s="597"/>
      <c r="O43" s="597"/>
      <c r="P43" s="597"/>
      <c r="Q43" s="597"/>
      <c r="R43" s="597"/>
      <c r="S43" s="175"/>
      <c r="T43" s="175"/>
      <c r="U43" s="175"/>
      <c r="V43" s="175"/>
      <c r="W43" s="175"/>
      <c r="X43" s="597"/>
      <c r="Y43" s="175"/>
      <c r="Z43" s="175"/>
    </row>
    <row r="44" ht="12.0" customHeight="1">
      <c r="A44" s="175"/>
      <c r="B44" s="175"/>
      <c r="C44" s="175"/>
      <c r="D44" s="175"/>
      <c r="E44" s="597"/>
      <c r="F44" s="597"/>
      <c r="G44" s="597"/>
      <c r="H44" s="597"/>
      <c r="I44" s="597"/>
      <c r="J44" s="597"/>
      <c r="K44" s="597"/>
      <c r="L44" s="597"/>
      <c r="M44" s="597"/>
      <c r="N44" s="597"/>
      <c r="O44" s="597"/>
      <c r="P44" s="597"/>
      <c r="Q44" s="597"/>
      <c r="R44" s="597"/>
      <c r="S44" s="175"/>
      <c r="T44" s="175"/>
      <c r="U44" s="175"/>
      <c r="V44" s="175"/>
      <c r="W44" s="175"/>
      <c r="X44" s="597"/>
      <c r="Y44" s="175"/>
      <c r="Z44" s="175"/>
    </row>
    <row r="45" ht="12.0" customHeight="1">
      <c r="A45" s="175"/>
      <c r="B45" s="175"/>
      <c r="C45" s="175"/>
      <c r="D45" s="175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  <c r="R45" s="597"/>
      <c r="S45" s="175"/>
      <c r="T45" s="175"/>
      <c r="U45" s="175"/>
      <c r="V45" s="175"/>
      <c r="W45" s="175"/>
      <c r="X45" s="597"/>
      <c r="Y45" s="175"/>
      <c r="Z45" s="175"/>
    </row>
    <row r="46" ht="12.0" customHeight="1">
      <c r="A46" s="175"/>
      <c r="B46" s="175"/>
      <c r="C46" s="175"/>
      <c r="D46" s="175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7"/>
      <c r="P46" s="597"/>
      <c r="Q46" s="597"/>
      <c r="R46" s="597"/>
      <c r="S46" s="175"/>
      <c r="T46" s="175"/>
      <c r="U46" s="175"/>
      <c r="V46" s="175"/>
      <c r="W46" s="175"/>
      <c r="X46" s="597"/>
      <c r="Y46" s="175"/>
      <c r="Z46" s="175"/>
    </row>
    <row r="47" ht="12.0" customHeight="1">
      <c r="A47" s="175"/>
      <c r="B47" s="175"/>
      <c r="C47" s="175"/>
      <c r="D47" s="175"/>
      <c r="E47" s="597"/>
      <c r="F47" s="597"/>
      <c r="G47" s="597"/>
      <c r="H47" s="597"/>
      <c r="I47" s="597"/>
      <c r="J47" s="597"/>
      <c r="K47" s="597"/>
      <c r="L47" s="597"/>
      <c r="M47" s="597"/>
      <c r="N47" s="597"/>
      <c r="O47" s="597"/>
      <c r="P47" s="597"/>
      <c r="Q47" s="597"/>
      <c r="R47" s="597"/>
      <c r="S47" s="175"/>
      <c r="T47" s="175"/>
      <c r="U47" s="175"/>
      <c r="V47" s="175"/>
      <c r="W47" s="175"/>
      <c r="X47" s="597"/>
      <c r="Y47" s="175"/>
      <c r="Z47" s="175"/>
    </row>
    <row r="48" ht="12.0" customHeight="1">
      <c r="A48" s="175"/>
      <c r="B48" s="175"/>
      <c r="C48" s="175"/>
      <c r="D48" s="175"/>
      <c r="E48" s="597"/>
      <c r="F48" s="597"/>
      <c r="G48" s="597"/>
      <c r="H48" s="597"/>
      <c r="I48" s="597"/>
      <c r="J48" s="597"/>
      <c r="K48" s="597"/>
      <c r="L48" s="597"/>
      <c r="M48" s="597"/>
      <c r="N48" s="597"/>
      <c r="O48" s="597"/>
      <c r="P48" s="597"/>
      <c r="Q48" s="597"/>
      <c r="R48" s="597"/>
      <c r="S48" s="175"/>
      <c r="T48" s="175"/>
      <c r="U48" s="175"/>
      <c r="V48" s="175"/>
      <c r="W48" s="175"/>
      <c r="X48" s="597"/>
      <c r="Y48" s="175"/>
      <c r="Z48" s="175"/>
    </row>
    <row r="49" ht="12.0" customHeight="1">
      <c r="A49" s="175"/>
      <c r="B49" s="175"/>
      <c r="C49" s="175"/>
      <c r="D49" s="175"/>
      <c r="E49" s="597"/>
      <c r="F49" s="597"/>
      <c r="G49" s="597"/>
      <c r="H49" s="597"/>
      <c r="I49" s="597"/>
      <c r="J49" s="597"/>
      <c r="K49" s="597"/>
      <c r="L49" s="597"/>
      <c r="M49" s="597"/>
      <c r="N49" s="597"/>
      <c r="O49" s="597"/>
      <c r="P49" s="597"/>
      <c r="Q49" s="597"/>
      <c r="R49" s="597"/>
      <c r="S49" s="175"/>
      <c r="T49" s="175"/>
      <c r="U49" s="175"/>
      <c r="V49" s="175"/>
      <c r="W49" s="175"/>
      <c r="X49" s="597"/>
      <c r="Y49" s="175"/>
      <c r="Z49" s="175"/>
    </row>
    <row r="50" ht="12.0" customHeight="1">
      <c r="A50" s="175"/>
      <c r="B50" s="175"/>
      <c r="C50" s="175"/>
      <c r="D50" s="175"/>
      <c r="E50" s="597"/>
      <c r="F50" s="597"/>
      <c r="G50" s="597"/>
      <c r="H50" s="597"/>
      <c r="I50" s="597"/>
      <c r="J50" s="597"/>
      <c r="K50" s="597"/>
      <c r="L50" s="597"/>
      <c r="M50" s="597"/>
      <c r="N50" s="597"/>
      <c r="O50" s="597"/>
      <c r="P50" s="597"/>
      <c r="Q50" s="597"/>
      <c r="R50" s="597"/>
      <c r="S50" s="175"/>
      <c r="T50" s="175"/>
      <c r="U50" s="175"/>
      <c r="V50" s="175"/>
      <c r="W50" s="175"/>
      <c r="X50" s="597"/>
      <c r="Y50" s="175"/>
      <c r="Z50" s="175"/>
    </row>
    <row r="51" ht="12.0" customHeight="1">
      <c r="A51" s="175"/>
      <c r="B51" s="175"/>
      <c r="C51" s="175"/>
      <c r="D51" s="175"/>
      <c r="E51" s="597"/>
      <c r="F51" s="597"/>
      <c r="G51" s="597"/>
      <c r="H51" s="597"/>
      <c r="I51" s="597"/>
      <c r="J51" s="597"/>
      <c r="K51" s="597"/>
      <c r="L51" s="597"/>
      <c r="M51" s="597"/>
      <c r="N51" s="597"/>
      <c r="O51" s="597"/>
      <c r="P51" s="597"/>
      <c r="Q51" s="597"/>
      <c r="R51" s="597"/>
      <c r="S51" s="175"/>
      <c r="T51" s="175"/>
      <c r="U51" s="175"/>
      <c r="V51" s="175"/>
      <c r="W51" s="175"/>
      <c r="X51" s="597"/>
      <c r="Y51" s="175"/>
      <c r="Z51" s="175"/>
    </row>
    <row r="52" ht="12.0" customHeight="1">
      <c r="A52" s="175"/>
      <c r="B52" s="175"/>
      <c r="C52" s="175"/>
      <c r="D52" s="175"/>
      <c r="E52" s="597"/>
      <c r="F52" s="597"/>
      <c r="G52" s="597"/>
      <c r="H52" s="597"/>
      <c r="I52" s="597"/>
      <c r="J52" s="597"/>
      <c r="K52" s="597"/>
      <c r="L52" s="597"/>
      <c r="M52" s="597"/>
      <c r="N52" s="597"/>
      <c r="O52" s="597"/>
      <c r="P52" s="597"/>
      <c r="Q52" s="597"/>
      <c r="R52" s="597"/>
      <c r="S52" s="175"/>
      <c r="T52" s="175"/>
      <c r="U52" s="175"/>
      <c r="V52" s="175"/>
      <c r="W52" s="175"/>
      <c r="X52" s="597"/>
      <c r="Y52" s="175"/>
      <c r="Z52" s="175"/>
    </row>
    <row r="53" ht="12.0" customHeight="1">
      <c r="A53" s="175"/>
      <c r="B53" s="175"/>
      <c r="C53" s="175"/>
      <c r="D53" s="175"/>
      <c r="E53" s="597"/>
      <c r="F53" s="597"/>
      <c r="G53" s="597"/>
      <c r="H53" s="597"/>
      <c r="I53" s="597"/>
      <c r="J53" s="597"/>
      <c r="K53" s="597"/>
      <c r="L53" s="597"/>
      <c r="M53" s="597"/>
      <c r="N53" s="597"/>
      <c r="O53" s="597"/>
      <c r="P53" s="597"/>
      <c r="Q53" s="597"/>
      <c r="R53" s="597"/>
      <c r="S53" s="175"/>
      <c r="T53" s="175"/>
      <c r="U53" s="175"/>
      <c r="V53" s="175"/>
      <c r="W53" s="175"/>
      <c r="X53" s="597"/>
      <c r="Y53" s="175"/>
      <c r="Z53" s="175"/>
    </row>
    <row r="54" ht="12.0" customHeight="1">
      <c r="A54" s="175"/>
      <c r="B54" s="175"/>
      <c r="C54" s="175"/>
      <c r="D54" s="175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597"/>
      <c r="P54" s="597"/>
      <c r="Q54" s="597"/>
      <c r="R54" s="597"/>
      <c r="S54" s="175"/>
      <c r="T54" s="175"/>
      <c r="U54" s="175"/>
      <c r="V54" s="175"/>
      <c r="W54" s="175"/>
      <c r="X54" s="597"/>
      <c r="Y54" s="175"/>
      <c r="Z54" s="175"/>
    </row>
    <row r="55" ht="12.0" customHeight="1">
      <c r="A55" s="175"/>
      <c r="B55" s="175"/>
      <c r="C55" s="175"/>
      <c r="D55" s="175"/>
      <c r="E55" s="597"/>
      <c r="F55" s="597"/>
      <c r="G55" s="597"/>
      <c r="H55" s="597"/>
      <c r="I55" s="597"/>
      <c r="J55" s="597"/>
      <c r="K55" s="597"/>
      <c r="L55" s="597"/>
      <c r="M55" s="597"/>
      <c r="N55" s="597"/>
      <c r="O55" s="597"/>
      <c r="P55" s="597"/>
      <c r="Q55" s="597"/>
      <c r="R55" s="597"/>
      <c r="S55" s="175"/>
      <c r="T55" s="175"/>
      <c r="U55" s="175"/>
      <c r="V55" s="175"/>
      <c r="W55" s="175"/>
      <c r="X55" s="597"/>
      <c r="Y55" s="175"/>
      <c r="Z55" s="175"/>
    </row>
    <row r="56" ht="12.0" customHeight="1">
      <c r="A56" s="175"/>
      <c r="B56" s="175"/>
      <c r="C56" s="175"/>
      <c r="D56" s="175"/>
      <c r="E56" s="597"/>
      <c r="F56" s="597"/>
      <c r="G56" s="597"/>
      <c r="H56" s="597"/>
      <c r="I56" s="597"/>
      <c r="J56" s="597"/>
      <c r="K56" s="597"/>
      <c r="L56" s="597"/>
      <c r="M56" s="597"/>
      <c r="N56" s="597"/>
      <c r="O56" s="597"/>
      <c r="P56" s="597"/>
      <c r="Q56" s="597"/>
      <c r="R56" s="597"/>
      <c r="S56" s="175"/>
      <c r="T56" s="175"/>
      <c r="U56" s="175"/>
      <c r="V56" s="175"/>
      <c r="W56" s="175"/>
      <c r="X56" s="597"/>
      <c r="Y56" s="175"/>
      <c r="Z56" s="175"/>
    </row>
    <row r="57" ht="12.0" customHeight="1">
      <c r="A57" s="175"/>
      <c r="B57" s="175"/>
      <c r="C57" s="175"/>
      <c r="D57" s="175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  <c r="R57" s="597"/>
      <c r="S57" s="175"/>
      <c r="T57" s="175"/>
      <c r="U57" s="175"/>
      <c r="V57" s="175"/>
      <c r="W57" s="175"/>
      <c r="X57" s="597"/>
      <c r="Y57" s="175"/>
      <c r="Z57" s="175"/>
    </row>
    <row r="58" ht="12.0" customHeight="1">
      <c r="A58" s="175"/>
      <c r="B58" s="175"/>
      <c r="C58" s="175"/>
      <c r="D58" s="175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  <c r="R58" s="597"/>
      <c r="S58" s="175"/>
      <c r="T58" s="175"/>
      <c r="U58" s="175"/>
      <c r="V58" s="175"/>
      <c r="W58" s="175"/>
      <c r="X58" s="597"/>
      <c r="Y58" s="175"/>
      <c r="Z58" s="175"/>
    </row>
    <row r="59" ht="12.0" customHeight="1">
      <c r="A59" s="175"/>
      <c r="B59" s="175"/>
      <c r="C59" s="175"/>
      <c r="D59" s="175"/>
      <c r="E59" s="597"/>
      <c r="F59" s="597"/>
      <c r="G59" s="597"/>
      <c r="H59" s="597"/>
      <c r="I59" s="597"/>
      <c r="J59" s="597"/>
      <c r="K59" s="597"/>
      <c r="L59" s="597"/>
      <c r="M59" s="597"/>
      <c r="N59" s="597"/>
      <c r="O59" s="597"/>
      <c r="P59" s="597"/>
      <c r="Q59" s="597"/>
      <c r="R59" s="597"/>
      <c r="S59" s="175"/>
      <c r="T59" s="175"/>
      <c r="U59" s="175"/>
      <c r="V59" s="175"/>
      <c r="W59" s="175"/>
      <c r="X59" s="597"/>
      <c r="Y59" s="175"/>
      <c r="Z59" s="175"/>
    </row>
    <row r="60" ht="12.0" customHeight="1">
      <c r="A60" s="175"/>
      <c r="B60" s="175"/>
      <c r="C60" s="175"/>
      <c r="D60" s="175"/>
      <c r="E60" s="597"/>
      <c r="F60" s="597"/>
      <c r="G60" s="597"/>
      <c r="H60" s="597"/>
      <c r="I60" s="597"/>
      <c r="J60" s="597"/>
      <c r="K60" s="597"/>
      <c r="L60" s="597"/>
      <c r="M60" s="597"/>
      <c r="N60" s="597"/>
      <c r="O60" s="597"/>
      <c r="P60" s="597"/>
      <c r="Q60" s="597"/>
      <c r="R60" s="597"/>
      <c r="S60" s="175"/>
      <c r="T60" s="175"/>
      <c r="U60" s="175"/>
      <c r="V60" s="175"/>
      <c r="W60" s="175"/>
      <c r="X60" s="597"/>
      <c r="Y60" s="175"/>
      <c r="Z60" s="175"/>
    </row>
    <row r="61" ht="12.0" customHeight="1">
      <c r="A61" s="175"/>
      <c r="B61" s="175"/>
      <c r="C61" s="175"/>
      <c r="D61" s="175"/>
      <c r="E61" s="597"/>
      <c r="F61" s="597"/>
      <c r="G61" s="597"/>
      <c r="H61" s="597"/>
      <c r="I61" s="597"/>
      <c r="J61" s="597"/>
      <c r="K61" s="597"/>
      <c r="L61" s="597"/>
      <c r="M61" s="597"/>
      <c r="N61" s="597"/>
      <c r="O61" s="597"/>
      <c r="P61" s="597"/>
      <c r="Q61" s="597"/>
      <c r="R61" s="597"/>
      <c r="S61" s="175"/>
      <c r="T61" s="175"/>
      <c r="U61" s="175"/>
      <c r="V61" s="175"/>
      <c r="W61" s="175"/>
      <c r="X61" s="597"/>
      <c r="Y61" s="175"/>
      <c r="Z61" s="175"/>
    </row>
    <row r="62" ht="12.0" customHeight="1">
      <c r="A62" s="175"/>
      <c r="B62" s="175"/>
      <c r="C62" s="175"/>
      <c r="D62" s="175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7"/>
      <c r="P62" s="597"/>
      <c r="Q62" s="597"/>
      <c r="R62" s="597"/>
      <c r="S62" s="175"/>
      <c r="T62" s="175"/>
      <c r="U62" s="175"/>
      <c r="V62" s="175"/>
      <c r="W62" s="175"/>
      <c r="X62" s="597"/>
      <c r="Y62" s="175"/>
      <c r="Z62" s="175"/>
    </row>
    <row r="63" ht="12.0" customHeight="1">
      <c r="A63" s="175"/>
      <c r="B63" s="175"/>
      <c r="C63" s="175"/>
      <c r="D63" s="175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7"/>
      <c r="P63" s="597"/>
      <c r="Q63" s="597"/>
      <c r="R63" s="597"/>
      <c r="S63" s="175"/>
      <c r="T63" s="175"/>
      <c r="U63" s="175"/>
      <c r="V63" s="175"/>
      <c r="W63" s="175"/>
      <c r="X63" s="597"/>
      <c r="Y63" s="175"/>
      <c r="Z63" s="175"/>
    </row>
    <row r="64" ht="12.0" customHeight="1">
      <c r="A64" s="175"/>
      <c r="B64" s="175"/>
      <c r="C64" s="175"/>
      <c r="D64" s="175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7"/>
      <c r="P64" s="597"/>
      <c r="Q64" s="597"/>
      <c r="R64" s="597"/>
      <c r="S64" s="175"/>
      <c r="T64" s="175"/>
      <c r="U64" s="175"/>
      <c r="V64" s="175"/>
      <c r="W64" s="175"/>
      <c r="X64" s="597"/>
      <c r="Y64" s="175"/>
      <c r="Z64" s="175"/>
    </row>
    <row r="65" ht="12.0" customHeight="1">
      <c r="A65" s="175"/>
      <c r="B65" s="175"/>
      <c r="C65" s="175"/>
      <c r="D65" s="175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7"/>
      <c r="P65" s="597"/>
      <c r="Q65" s="597"/>
      <c r="R65" s="597"/>
      <c r="S65" s="175"/>
      <c r="T65" s="175"/>
      <c r="U65" s="175"/>
      <c r="V65" s="175"/>
      <c r="W65" s="175"/>
      <c r="X65" s="597"/>
      <c r="Y65" s="175"/>
      <c r="Z65" s="175"/>
    </row>
    <row r="66" ht="12.0" customHeight="1">
      <c r="A66" s="175"/>
      <c r="B66" s="175"/>
      <c r="C66" s="175"/>
      <c r="D66" s="175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7"/>
      <c r="P66" s="597"/>
      <c r="Q66" s="597"/>
      <c r="R66" s="597"/>
      <c r="S66" s="175"/>
      <c r="T66" s="175"/>
      <c r="U66" s="175"/>
      <c r="V66" s="175"/>
      <c r="W66" s="175"/>
      <c r="X66" s="597"/>
      <c r="Y66" s="175"/>
      <c r="Z66" s="175"/>
    </row>
    <row r="67" ht="12.0" customHeight="1">
      <c r="A67" s="175"/>
      <c r="B67" s="175"/>
      <c r="C67" s="175"/>
      <c r="D67" s="175"/>
      <c r="E67" s="597"/>
      <c r="F67" s="597"/>
      <c r="G67" s="597"/>
      <c r="H67" s="597"/>
      <c r="I67" s="597"/>
      <c r="J67" s="597"/>
      <c r="K67" s="597"/>
      <c r="L67" s="597"/>
      <c r="M67" s="597"/>
      <c r="N67" s="597"/>
      <c r="O67" s="597"/>
      <c r="P67" s="597"/>
      <c r="Q67" s="597"/>
      <c r="R67" s="597"/>
      <c r="S67" s="175"/>
      <c r="T67" s="175"/>
      <c r="U67" s="175"/>
      <c r="V67" s="175"/>
      <c r="W67" s="175"/>
      <c r="X67" s="597"/>
      <c r="Y67" s="175"/>
      <c r="Z67" s="175"/>
    </row>
    <row r="68" ht="12.0" customHeight="1">
      <c r="A68" s="175"/>
      <c r="B68" s="175"/>
      <c r="C68" s="175"/>
      <c r="D68" s="175"/>
      <c r="E68" s="597"/>
      <c r="F68" s="597"/>
      <c r="G68" s="597"/>
      <c r="H68" s="597"/>
      <c r="I68" s="597"/>
      <c r="J68" s="597"/>
      <c r="K68" s="597"/>
      <c r="L68" s="597"/>
      <c r="M68" s="597"/>
      <c r="N68" s="597"/>
      <c r="O68" s="597"/>
      <c r="P68" s="597"/>
      <c r="Q68" s="597"/>
      <c r="R68" s="597"/>
      <c r="S68" s="175"/>
      <c r="T68" s="175"/>
      <c r="U68" s="175"/>
      <c r="V68" s="175"/>
      <c r="W68" s="175"/>
      <c r="X68" s="597"/>
      <c r="Y68" s="175"/>
      <c r="Z68" s="175"/>
    </row>
    <row r="69" ht="12.0" customHeight="1">
      <c r="A69" s="175"/>
      <c r="B69" s="175"/>
      <c r="C69" s="175"/>
      <c r="D69" s="175"/>
      <c r="E69" s="597"/>
      <c r="F69" s="597"/>
      <c r="G69" s="597"/>
      <c r="H69" s="597"/>
      <c r="I69" s="597"/>
      <c r="J69" s="597"/>
      <c r="K69" s="597"/>
      <c r="L69" s="597"/>
      <c r="M69" s="597"/>
      <c r="N69" s="597"/>
      <c r="O69" s="597"/>
      <c r="P69" s="597"/>
      <c r="Q69" s="597"/>
      <c r="R69" s="597"/>
      <c r="S69" s="175"/>
      <c r="T69" s="175"/>
      <c r="U69" s="175"/>
      <c r="V69" s="175"/>
      <c r="W69" s="175"/>
      <c r="X69" s="597"/>
      <c r="Y69" s="175"/>
      <c r="Z69" s="175"/>
    </row>
    <row r="70" ht="12.0" customHeight="1">
      <c r="A70" s="175"/>
      <c r="B70" s="175"/>
      <c r="C70" s="175"/>
      <c r="D70" s="175"/>
      <c r="E70" s="597"/>
      <c r="F70" s="597"/>
      <c r="G70" s="597"/>
      <c r="H70" s="597"/>
      <c r="I70" s="597"/>
      <c r="J70" s="597"/>
      <c r="K70" s="597"/>
      <c r="L70" s="597"/>
      <c r="M70" s="597"/>
      <c r="N70" s="597"/>
      <c r="O70" s="597"/>
      <c r="P70" s="597"/>
      <c r="Q70" s="597"/>
      <c r="R70" s="597"/>
      <c r="S70" s="175"/>
      <c r="T70" s="175"/>
      <c r="U70" s="175"/>
      <c r="V70" s="175"/>
      <c r="W70" s="175"/>
      <c r="X70" s="597"/>
      <c r="Y70" s="175"/>
      <c r="Z70" s="175"/>
    </row>
    <row r="71" ht="12.0" customHeight="1">
      <c r="A71" s="175"/>
      <c r="B71" s="175"/>
      <c r="C71" s="175"/>
      <c r="D71" s="175"/>
      <c r="E71" s="597"/>
      <c r="F71" s="597"/>
      <c r="G71" s="597"/>
      <c r="H71" s="597"/>
      <c r="I71" s="597"/>
      <c r="J71" s="597"/>
      <c r="K71" s="597"/>
      <c r="L71" s="597"/>
      <c r="M71" s="597"/>
      <c r="N71" s="597"/>
      <c r="O71" s="597"/>
      <c r="P71" s="597"/>
      <c r="Q71" s="597"/>
      <c r="R71" s="597"/>
      <c r="S71" s="175"/>
      <c r="T71" s="175"/>
      <c r="U71" s="175"/>
      <c r="V71" s="175"/>
      <c r="W71" s="175"/>
      <c r="X71" s="597"/>
      <c r="Y71" s="175"/>
      <c r="Z71" s="175"/>
    </row>
    <row r="72" ht="12.0" customHeight="1">
      <c r="A72" s="175"/>
      <c r="B72" s="175"/>
      <c r="C72" s="175"/>
      <c r="D72" s="175"/>
      <c r="E72" s="597"/>
      <c r="F72" s="597"/>
      <c r="G72" s="597"/>
      <c r="H72" s="597"/>
      <c r="I72" s="597"/>
      <c r="J72" s="597"/>
      <c r="K72" s="597"/>
      <c r="L72" s="597"/>
      <c r="M72" s="597"/>
      <c r="N72" s="597"/>
      <c r="O72" s="597"/>
      <c r="P72" s="597"/>
      <c r="Q72" s="597"/>
      <c r="R72" s="597"/>
      <c r="S72" s="175"/>
      <c r="T72" s="175"/>
      <c r="U72" s="175"/>
      <c r="V72" s="175"/>
      <c r="W72" s="175"/>
      <c r="X72" s="597"/>
      <c r="Y72" s="175"/>
      <c r="Z72" s="175"/>
    </row>
    <row r="73" ht="12.0" customHeight="1">
      <c r="A73" s="175"/>
      <c r="B73" s="175"/>
      <c r="C73" s="175"/>
      <c r="D73" s="175"/>
      <c r="E73" s="597"/>
      <c r="F73" s="597"/>
      <c r="G73" s="597"/>
      <c r="H73" s="597"/>
      <c r="I73" s="597"/>
      <c r="J73" s="597"/>
      <c r="K73" s="597"/>
      <c r="L73" s="597"/>
      <c r="M73" s="597"/>
      <c r="N73" s="597"/>
      <c r="O73" s="597"/>
      <c r="P73" s="597"/>
      <c r="Q73" s="597"/>
      <c r="R73" s="597"/>
      <c r="S73" s="175"/>
      <c r="T73" s="175"/>
      <c r="U73" s="175"/>
      <c r="V73" s="175"/>
      <c r="W73" s="175"/>
      <c r="X73" s="597"/>
      <c r="Y73" s="175"/>
      <c r="Z73" s="175"/>
    </row>
    <row r="74" ht="12.0" customHeight="1">
      <c r="A74" s="175"/>
      <c r="B74" s="175"/>
      <c r="C74" s="175"/>
      <c r="D74" s="175"/>
      <c r="E74" s="597"/>
      <c r="F74" s="597"/>
      <c r="G74" s="597"/>
      <c r="H74" s="597"/>
      <c r="I74" s="597"/>
      <c r="J74" s="597"/>
      <c r="K74" s="597"/>
      <c r="L74" s="597"/>
      <c r="M74" s="597"/>
      <c r="N74" s="597"/>
      <c r="O74" s="597"/>
      <c r="P74" s="597"/>
      <c r="Q74" s="597"/>
      <c r="R74" s="597"/>
      <c r="S74" s="175"/>
      <c r="T74" s="175"/>
      <c r="U74" s="175"/>
      <c r="V74" s="175"/>
      <c r="W74" s="175"/>
      <c r="X74" s="597"/>
      <c r="Y74" s="175"/>
      <c r="Z74" s="175"/>
    </row>
    <row r="75" ht="12.0" customHeight="1">
      <c r="A75" s="175"/>
      <c r="B75" s="175"/>
      <c r="C75" s="175"/>
      <c r="D75" s="175"/>
      <c r="E75" s="597"/>
      <c r="F75" s="597"/>
      <c r="G75" s="597"/>
      <c r="H75" s="597"/>
      <c r="I75" s="597"/>
      <c r="J75" s="597"/>
      <c r="K75" s="597"/>
      <c r="L75" s="597"/>
      <c r="M75" s="597"/>
      <c r="N75" s="597"/>
      <c r="O75" s="597"/>
      <c r="P75" s="597"/>
      <c r="Q75" s="597"/>
      <c r="R75" s="597"/>
      <c r="S75" s="175"/>
      <c r="T75" s="175"/>
      <c r="U75" s="175"/>
      <c r="V75" s="175"/>
      <c r="W75" s="175"/>
      <c r="X75" s="597"/>
      <c r="Y75" s="175"/>
      <c r="Z75" s="175"/>
    </row>
    <row r="76" ht="12.0" customHeight="1">
      <c r="A76" s="175"/>
      <c r="B76" s="175"/>
      <c r="C76" s="175"/>
      <c r="D76" s="175"/>
      <c r="E76" s="597"/>
      <c r="F76" s="597"/>
      <c r="G76" s="597"/>
      <c r="H76" s="597"/>
      <c r="I76" s="597"/>
      <c r="J76" s="597"/>
      <c r="K76" s="597"/>
      <c r="L76" s="597"/>
      <c r="M76" s="597"/>
      <c r="N76" s="597"/>
      <c r="O76" s="597"/>
      <c r="P76" s="597"/>
      <c r="Q76" s="597"/>
      <c r="R76" s="597"/>
      <c r="S76" s="175"/>
      <c r="T76" s="175"/>
      <c r="U76" s="175"/>
      <c r="V76" s="175"/>
      <c r="W76" s="175"/>
      <c r="X76" s="597"/>
      <c r="Y76" s="175"/>
      <c r="Z76" s="175"/>
    </row>
    <row r="77" ht="12.0" customHeight="1">
      <c r="A77" s="175"/>
      <c r="B77" s="175"/>
      <c r="C77" s="175"/>
      <c r="D77" s="175"/>
      <c r="E77" s="597"/>
      <c r="F77" s="597"/>
      <c r="G77" s="597"/>
      <c r="H77" s="597"/>
      <c r="I77" s="597"/>
      <c r="J77" s="597"/>
      <c r="K77" s="597"/>
      <c r="L77" s="597"/>
      <c r="M77" s="597"/>
      <c r="N77" s="597"/>
      <c r="O77" s="597"/>
      <c r="P77" s="597"/>
      <c r="Q77" s="597"/>
      <c r="R77" s="597"/>
      <c r="S77" s="175"/>
      <c r="T77" s="175"/>
      <c r="U77" s="175"/>
      <c r="V77" s="175"/>
      <c r="W77" s="175"/>
      <c r="X77" s="597"/>
      <c r="Y77" s="175"/>
      <c r="Z77" s="175"/>
    </row>
    <row r="78" ht="12.0" customHeight="1">
      <c r="A78" s="175"/>
      <c r="B78" s="175"/>
      <c r="C78" s="175"/>
      <c r="D78" s="175"/>
      <c r="E78" s="597"/>
      <c r="F78" s="597"/>
      <c r="G78" s="597"/>
      <c r="H78" s="597"/>
      <c r="I78" s="597"/>
      <c r="J78" s="597"/>
      <c r="K78" s="597"/>
      <c r="L78" s="597"/>
      <c r="M78" s="597"/>
      <c r="N78" s="597"/>
      <c r="O78" s="597"/>
      <c r="P78" s="597"/>
      <c r="Q78" s="597"/>
      <c r="R78" s="597"/>
      <c r="S78" s="175"/>
      <c r="T78" s="175"/>
      <c r="U78" s="175"/>
      <c r="V78" s="175"/>
      <c r="W78" s="175"/>
      <c r="X78" s="597"/>
      <c r="Y78" s="175"/>
      <c r="Z78" s="175"/>
    </row>
    <row r="79" ht="12.0" customHeight="1">
      <c r="A79" s="175"/>
      <c r="B79" s="175"/>
      <c r="C79" s="175"/>
      <c r="D79" s="175"/>
      <c r="E79" s="597"/>
      <c r="F79" s="597"/>
      <c r="G79" s="597"/>
      <c r="H79" s="597"/>
      <c r="I79" s="597"/>
      <c r="J79" s="597"/>
      <c r="K79" s="597"/>
      <c r="L79" s="597"/>
      <c r="M79" s="597"/>
      <c r="N79" s="597"/>
      <c r="O79" s="597"/>
      <c r="P79" s="597"/>
      <c r="Q79" s="597"/>
      <c r="R79" s="597"/>
      <c r="S79" s="175"/>
      <c r="T79" s="175"/>
      <c r="U79" s="175"/>
      <c r="V79" s="175"/>
      <c r="W79" s="175"/>
      <c r="X79" s="597"/>
      <c r="Y79" s="175"/>
      <c r="Z79" s="175"/>
    </row>
    <row r="80" ht="12.0" customHeight="1">
      <c r="A80" s="175"/>
      <c r="B80" s="175"/>
      <c r="C80" s="175"/>
      <c r="D80" s="175"/>
      <c r="E80" s="597"/>
      <c r="F80" s="597"/>
      <c r="G80" s="597"/>
      <c r="H80" s="597"/>
      <c r="I80" s="597"/>
      <c r="J80" s="597"/>
      <c r="K80" s="597"/>
      <c r="L80" s="597"/>
      <c r="M80" s="597"/>
      <c r="N80" s="597"/>
      <c r="O80" s="597"/>
      <c r="P80" s="597"/>
      <c r="Q80" s="597"/>
      <c r="R80" s="597"/>
      <c r="S80" s="175"/>
      <c r="T80" s="175"/>
      <c r="U80" s="175"/>
      <c r="V80" s="175"/>
      <c r="W80" s="175"/>
      <c r="X80" s="597"/>
      <c r="Y80" s="175"/>
      <c r="Z80" s="175"/>
    </row>
    <row r="81" ht="12.0" customHeight="1">
      <c r="A81" s="175"/>
      <c r="B81" s="175"/>
      <c r="C81" s="175"/>
      <c r="D81" s="175"/>
      <c r="E81" s="597"/>
      <c r="F81" s="597"/>
      <c r="G81" s="597"/>
      <c r="H81" s="597"/>
      <c r="I81" s="597"/>
      <c r="J81" s="597"/>
      <c r="K81" s="597"/>
      <c r="L81" s="597"/>
      <c r="M81" s="597"/>
      <c r="N81" s="597"/>
      <c r="O81" s="597"/>
      <c r="P81" s="597"/>
      <c r="Q81" s="597"/>
      <c r="R81" s="597"/>
      <c r="S81" s="175"/>
      <c r="T81" s="175"/>
      <c r="U81" s="175"/>
      <c r="V81" s="175"/>
      <c r="W81" s="175"/>
      <c r="X81" s="597"/>
      <c r="Y81" s="175"/>
      <c r="Z81" s="175"/>
    </row>
    <row r="82" ht="12.0" customHeight="1">
      <c r="A82" s="175"/>
      <c r="B82" s="175"/>
      <c r="C82" s="175"/>
      <c r="D82" s="175"/>
      <c r="E82" s="597"/>
      <c r="F82" s="597"/>
      <c r="G82" s="597"/>
      <c r="H82" s="597"/>
      <c r="I82" s="597"/>
      <c r="J82" s="597"/>
      <c r="K82" s="597"/>
      <c r="L82" s="597"/>
      <c r="M82" s="597"/>
      <c r="N82" s="597"/>
      <c r="O82" s="597"/>
      <c r="P82" s="597"/>
      <c r="Q82" s="597"/>
      <c r="R82" s="597"/>
      <c r="S82" s="175"/>
      <c r="T82" s="175"/>
      <c r="U82" s="175"/>
      <c r="V82" s="175"/>
      <c r="W82" s="175"/>
      <c r="X82" s="597"/>
      <c r="Y82" s="175"/>
      <c r="Z82" s="175"/>
    </row>
    <row r="83" ht="12.0" customHeight="1">
      <c r="A83" s="175"/>
      <c r="B83" s="175"/>
      <c r="C83" s="175"/>
      <c r="D83" s="175"/>
      <c r="E83" s="597"/>
      <c r="F83" s="597"/>
      <c r="G83" s="597"/>
      <c r="H83" s="597"/>
      <c r="I83" s="597"/>
      <c r="J83" s="597"/>
      <c r="K83" s="597"/>
      <c r="L83" s="597"/>
      <c r="M83" s="597"/>
      <c r="N83" s="597"/>
      <c r="O83" s="597"/>
      <c r="P83" s="597"/>
      <c r="Q83" s="597"/>
      <c r="R83" s="597"/>
      <c r="S83" s="175"/>
      <c r="T83" s="175"/>
      <c r="U83" s="175"/>
      <c r="V83" s="175"/>
      <c r="W83" s="175"/>
      <c r="X83" s="597"/>
      <c r="Y83" s="175"/>
      <c r="Z83" s="175"/>
    </row>
    <row r="84" ht="12.0" customHeight="1">
      <c r="A84" s="175"/>
      <c r="B84" s="175"/>
      <c r="C84" s="175"/>
      <c r="D84" s="175"/>
      <c r="E84" s="597"/>
      <c r="F84" s="597"/>
      <c r="G84" s="597"/>
      <c r="H84" s="597"/>
      <c r="I84" s="597"/>
      <c r="J84" s="597"/>
      <c r="K84" s="597"/>
      <c r="L84" s="597"/>
      <c r="M84" s="597"/>
      <c r="N84" s="597"/>
      <c r="O84" s="597"/>
      <c r="P84" s="597"/>
      <c r="Q84" s="597"/>
      <c r="R84" s="597"/>
      <c r="S84" s="175"/>
      <c r="T84" s="175"/>
      <c r="U84" s="175"/>
      <c r="V84" s="175"/>
      <c r="W84" s="175"/>
      <c r="X84" s="597"/>
      <c r="Y84" s="175"/>
      <c r="Z84" s="175"/>
    </row>
    <row r="85" ht="12.0" customHeight="1">
      <c r="A85" s="175"/>
      <c r="B85" s="175"/>
      <c r="C85" s="175"/>
      <c r="D85" s="175"/>
      <c r="E85" s="597"/>
      <c r="F85" s="597"/>
      <c r="G85" s="597"/>
      <c r="H85" s="597"/>
      <c r="I85" s="597"/>
      <c r="J85" s="597"/>
      <c r="K85" s="597"/>
      <c r="L85" s="597"/>
      <c r="M85" s="597"/>
      <c r="N85" s="597"/>
      <c r="O85" s="597"/>
      <c r="P85" s="597"/>
      <c r="Q85" s="597"/>
      <c r="R85" s="597"/>
      <c r="S85" s="175"/>
      <c r="T85" s="175"/>
      <c r="U85" s="175"/>
      <c r="V85" s="175"/>
      <c r="W85" s="175"/>
      <c r="X85" s="597"/>
      <c r="Y85" s="175"/>
      <c r="Z85" s="175"/>
    </row>
    <row r="86" ht="12.0" customHeight="1">
      <c r="A86" s="175"/>
      <c r="B86" s="175"/>
      <c r="C86" s="175"/>
      <c r="D86" s="175"/>
      <c r="E86" s="597"/>
      <c r="F86" s="597"/>
      <c r="G86" s="597"/>
      <c r="H86" s="597"/>
      <c r="I86" s="597"/>
      <c r="J86" s="597"/>
      <c r="K86" s="597"/>
      <c r="L86" s="597"/>
      <c r="M86" s="597"/>
      <c r="N86" s="597"/>
      <c r="O86" s="597"/>
      <c r="P86" s="597"/>
      <c r="Q86" s="597"/>
      <c r="R86" s="597"/>
      <c r="S86" s="175"/>
      <c r="T86" s="175"/>
      <c r="U86" s="175"/>
      <c r="V86" s="175"/>
      <c r="W86" s="175"/>
      <c r="X86" s="597"/>
      <c r="Y86" s="175"/>
      <c r="Z86" s="175"/>
    </row>
    <row r="87" ht="12.0" customHeight="1">
      <c r="A87" s="175"/>
      <c r="B87" s="175"/>
      <c r="C87" s="175"/>
      <c r="D87" s="175"/>
      <c r="E87" s="597"/>
      <c r="F87" s="597"/>
      <c r="G87" s="597"/>
      <c r="H87" s="597"/>
      <c r="I87" s="597"/>
      <c r="J87" s="597"/>
      <c r="K87" s="597"/>
      <c r="L87" s="597"/>
      <c r="M87" s="597"/>
      <c r="N87" s="597"/>
      <c r="O87" s="597"/>
      <c r="P87" s="597"/>
      <c r="Q87" s="597"/>
      <c r="R87" s="597"/>
      <c r="S87" s="175"/>
      <c r="T87" s="175"/>
      <c r="U87" s="175"/>
      <c r="V87" s="175"/>
      <c r="W87" s="175"/>
      <c r="X87" s="597"/>
      <c r="Y87" s="175"/>
      <c r="Z87" s="175"/>
    </row>
    <row r="88" ht="12.0" customHeight="1">
      <c r="A88" s="175"/>
      <c r="B88" s="175"/>
      <c r="C88" s="175"/>
      <c r="D88" s="175"/>
      <c r="E88" s="597"/>
      <c r="F88" s="597"/>
      <c r="G88" s="597"/>
      <c r="H88" s="597"/>
      <c r="I88" s="597"/>
      <c r="J88" s="597"/>
      <c r="K88" s="597"/>
      <c r="L88" s="597"/>
      <c r="M88" s="597"/>
      <c r="N88" s="597"/>
      <c r="O88" s="597"/>
      <c r="P88" s="597"/>
      <c r="Q88" s="597"/>
      <c r="R88" s="597"/>
      <c r="S88" s="175"/>
      <c r="T88" s="175"/>
      <c r="U88" s="175"/>
      <c r="V88" s="175"/>
      <c r="W88" s="175"/>
      <c r="X88" s="597"/>
      <c r="Y88" s="175"/>
      <c r="Z88" s="175"/>
    </row>
    <row r="89" ht="12.0" customHeight="1">
      <c r="A89" s="175"/>
      <c r="B89" s="175"/>
      <c r="C89" s="175"/>
      <c r="D89" s="175"/>
      <c r="E89" s="597"/>
      <c r="F89" s="597"/>
      <c r="G89" s="597"/>
      <c r="H89" s="597"/>
      <c r="I89" s="597"/>
      <c r="J89" s="597"/>
      <c r="K89" s="597"/>
      <c r="L89" s="597"/>
      <c r="M89" s="597"/>
      <c r="N89" s="597"/>
      <c r="O89" s="597"/>
      <c r="P89" s="597"/>
      <c r="Q89" s="597"/>
      <c r="R89" s="597"/>
      <c r="S89" s="175"/>
      <c r="T89" s="175"/>
      <c r="U89" s="175"/>
      <c r="V89" s="175"/>
      <c r="W89" s="175"/>
      <c r="X89" s="597"/>
      <c r="Y89" s="175"/>
      <c r="Z89" s="175"/>
    </row>
    <row r="90" ht="12.0" customHeight="1">
      <c r="A90" s="175"/>
      <c r="B90" s="175"/>
      <c r="C90" s="175"/>
      <c r="D90" s="175"/>
      <c r="E90" s="597"/>
      <c r="F90" s="597"/>
      <c r="G90" s="597"/>
      <c r="H90" s="597"/>
      <c r="I90" s="597"/>
      <c r="J90" s="597"/>
      <c r="K90" s="597"/>
      <c r="L90" s="597"/>
      <c r="M90" s="597"/>
      <c r="N90" s="597"/>
      <c r="O90" s="597"/>
      <c r="P90" s="597"/>
      <c r="Q90" s="597"/>
      <c r="R90" s="597"/>
      <c r="S90" s="175"/>
      <c r="T90" s="175"/>
      <c r="U90" s="175"/>
      <c r="V90" s="175"/>
      <c r="W90" s="175"/>
      <c r="X90" s="597"/>
      <c r="Y90" s="175"/>
      <c r="Z90" s="175"/>
    </row>
    <row r="91" ht="12.0" customHeight="1">
      <c r="A91" s="175"/>
      <c r="B91" s="175"/>
      <c r="C91" s="175"/>
      <c r="D91" s="175"/>
      <c r="E91" s="597"/>
      <c r="F91" s="597"/>
      <c r="G91" s="597"/>
      <c r="H91" s="597"/>
      <c r="I91" s="597"/>
      <c r="J91" s="597"/>
      <c r="K91" s="597"/>
      <c r="L91" s="597"/>
      <c r="M91" s="597"/>
      <c r="N91" s="597"/>
      <c r="O91" s="597"/>
      <c r="P91" s="597"/>
      <c r="Q91" s="597"/>
      <c r="R91" s="597"/>
      <c r="S91" s="175"/>
      <c r="T91" s="175"/>
      <c r="U91" s="175"/>
      <c r="V91" s="175"/>
      <c r="W91" s="175"/>
      <c r="X91" s="597"/>
      <c r="Y91" s="175"/>
      <c r="Z91" s="175"/>
    </row>
    <row r="92" ht="12.0" customHeight="1">
      <c r="A92" s="175"/>
      <c r="B92" s="175"/>
      <c r="C92" s="175"/>
      <c r="D92" s="175"/>
      <c r="E92" s="597"/>
      <c r="F92" s="597"/>
      <c r="G92" s="597"/>
      <c r="H92" s="597"/>
      <c r="I92" s="597"/>
      <c r="J92" s="597"/>
      <c r="K92" s="597"/>
      <c r="L92" s="597"/>
      <c r="M92" s="597"/>
      <c r="N92" s="597"/>
      <c r="O92" s="597"/>
      <c r="P92" s="597"/>
      <c r="Q92" s="597"/>
      <c r="R92" s="597"/>
      <c r="S92" s="175"/>
      <c r="T92" s="175"/>
      <c r="U92" s="175"/>
      <c r="V92" s="175"/>
      <c r="W92" s="175"/>
      <c r="X92" s="597"/>
      <c r="Y92" s="175"/>
      <c r="Z92" s="175"/>
    </row>
    <row r="93" ht="12.0" customHeight="1">
      <c r="A93" s="175"/>
      <c r="B93" s="175"/>
      <c r="C93" s="175"/>
      <c r="D93" s="175"/>
      <c r="E93" s="597"/>
      <c r="F93" s="597"/>
      <c r="G93" s="597"/>
      <c r="H93" s="597"/>
      <c r="I93" s="597"/>
      <c r="J93" s="597"/>
      <c r="K93" s="597"/>
      <c r="L93" s="597"/>
      <c r="M93" s="597"/>
      <c r="N93" s="597"/>
      <c r="O93" s="597"/>
      <c r="P93" s="597"/>
      <c r="Q93" s="597"/>
      <c r="R93" s="597"/>
      <c r="S93" s="175"/>
      <c r="T93" s="175"/>
      <c r="U93" s="175"/>
      <c r="V93" s="175"/>
      <c r="W93" s="175"/>
      <c r="X93" s="597"/>
      <c r="Y93" s="175"/>
      <c r="Z93" s="175"/>
    </row>
    <row r="94" ht="12.0" customHeight="1">
      <c r="A94" s="175"/>
      <c r="B94" s="175"/>
      <c r="C94" s="175"/>
      <c r="D94" s="175"/>
      <c r="E94" s="597"/>
      <c r="F94" s="597"/>
      <c r="G94" s="597"/>
      <c r="H94" s="597"/>
      <c r="I94" s="597"/>
      <c r="J94" s="597"/>
      <c r="K94" s="597"/>
      <c r="L94" s="597"/>
      <c r="M94" s="597"/>
      <c r="N94" s="597"/>
      <c r="O94" s="597"/>
      <c r="P94" s="597"/>
      <c r="Q94" s="597"/>
      <c r="R94" s="597"/>
      <c r="S94" s="175"/>
      <c r="T94" s="175"/>
      <c r="U94" s="175"/>
      <c r="V94" s="175"/>
      <c r="W94" s="175"/>
      <c r="X94" s="597"/>
      <c r="Y94" s="175"/>
      <c r="Z94" s="175"/>
    </row>
    <row r="95" ht="12.0" customHeight="1">
      <c r="A95" s="175"/>
      <c r="B95" s="175"/>
      <c r="C95" s="175"/>
      <c r="D95" s="175"/>
      <c r="E95" s="597"/>
      <c r="F95" s="597"/>
      <c r="G95" s="597"/>
      <c r="H95" s="597"/>
      <c r="I95" s="597"/>
      <c r="J95" s="597"/>
      <c r="K95" s="597"/>
      <c r="L95" s="597"/>
      <c r="M95" s="597"/>
      <c r="N95" s="597"/>
      <c r="O95" s="597"/>
      <c r="P95" s="597"/>
      <c r="Q95" s="597"/>
      <c r="R95" s="597"/>
      <c r="S95" s="175"/>
      <c r="T95" s="175"/>
      <c r="U95" s="175"/>
      <c r="V95" s="175"/>
      <c r="W95" s="175"/>
      <c r="X95" s="597"/>
      <c r="Y95" s="175"/>
      <c r="Z95" s="175"/>
    </row>
    <row r="96" ht="12.0" customHeight="1">
      <c r="A96" s="175"/>
      <c r="B96" s="175"/>
      <c r="C96" s="175"/>
      <c r="D96" s="175"/>
      <c r="E96" s="597"/>
      <c r="F96" s="597"/>
      <c r="G96" s="597"/>
      <c r="H96" s="597"/>
      <c r="I96" s="597"/>
      <c r="J96" s="597"/>
      <c r="K96" s="597"/>
      <c r="L96" s="597"/>
      <c r="M96" s="597"/>
      <c r="N96" s="597"/>
      <c r="O96" s="597"/>
      <c r="P96" s="597"/>
      <c r="Q96" s="597"/>
      <c r="R96" s="597"/>
      <c r="S96" s="175"/>
      <c r="T96" s="175"/>
      <c r="U96" s="175"/>
      <c r="V96" s="175"/>
      <c r="W96" s="175"/>
      <c r="X96" s="597"/>
      <c r="Y96" s="175"/>
      <c r="Z96" s="175"/>
    </row>
    <row r="97" ht="12.0" customHeight="1">
      <c r="A97" s="175"/>
      <c r="B97" s="175"/>
      <c r="C97" s="175"/>
      <c r="D97" s="175"/>
      <c r="E97" s="597"/>
      <c r="F97" s="597"/>
      <c r="G97" s="597"/>
      <c r="H97" s="597"/>
      <c r="I97" s="597"/>
      <c r="J97" s="597"/>
      <c r="K97" s="597"/>
      <c r="L97" s="597"/>
      <c r="M97" s="597"/>
      <c r="N97" s="597"/>
      <c r="O97" s="597"/>
      <c r="P97" s="597"/>
      <c r="Q97" s="597"/>
      <c r="R97" s="597"/>
      <c r="S97" s="175"/>
      <c r="T97" s="175"/>
      <c r="U97" s="175"/>
      <c r="V97" s="175"/>
      <c r="W97" s="175"/>
      <c r="X97" s="597"/>
      <c r="Y97" s="175"/>
      <c r="Z97" s="175"/>
    </row>
    <row r="98" ht="12.0" customHeight="1">
      <c r="A98" s="175"/>
      <c r="B98" s="175"/>
      <c r="C98" s="175"/>
      <c r="D98" s="175"/>
      <c r="E98" s="597"/>
      <c r="F98" s="597"/>
      <c r="G98" s="597"/>
      <c r="H98" s="597"/>
      <c r="I98" s="597"/>
      <c r="J98" s="597"/>
      <c r="K98" s="597"/>
      <c r="L98" s="597"/>
      <c r="M98" s="597"/>
      <c r="N98" s="597"/>
      <c r="O98" s="597"/>
      <c r="P98" s="597"/>
      <c r="Q98" s="597"/>
      <c r="R98" s="597"/>
      <c r="S98" s="175"/>
      <c r="T98" s="175"/>
      <c r="U98" s="175"/>
      <c r="V98" s="175"/>
      <c r="W98" s="175"/>
      <c r="X98" s="597"/>
      <c r="Y98" s="175"/>
      <c r="Z98" s="175"/>
    </row>
    <row r="99" ht="12.0" customHeight="1">
      <c r="A99" s="175"/>
      <c r="B99" s="175"/>
      <c r="C99" s="175"/>
      <c r="D99" s="175"/>
      <c r="E99" s="597"/>
      <c r="F99" s="597"/>
      <c r="G99" s="597"/>
      <c r="H99" s="597"/>
      <c r="I99" s="597"/>
      <c r="J99" s="597"/>
      <c r="K99" s="597"/>
      <c r="L99" s="597"/>
      <c r="M99" s="597"/>
      <c r="N99" s="597"/>
      <c r="O99" s="597"/>
      <c r="P99" s="597"/>
      <c r="Q99" s="597"/>
      <c r="R99" s="597"/>
      <c r="S99" s="175"/>
      <c r="T99" s="175"/>
      <c r="U99" s="175"/>
      <c r="V99" s="175"/>
      <c r="W99" s="175"/>
      <c r="X99" s="597"/>
      <c r="Y99" s="175"/>
      <c r="Z99" s="175"/>
    </row>
    <row r="100" ht="12.0" customHeight="1">
      <c r="A100" s="175"/>
      <c r="B100" s="175"/>
      <c r="C100" s="175"/>
      <c r="D100" s="175"/>
      <c r="E100" s="597"/>
      <c r="F100" s="597"/>
      <c r="G100" s="597"/>
      <c r="H100" s="597"/>
      <c r="I100" s="597"/>
      <c r="J100" s="597"/>
      <c r="K100" s="597"/>
      <c r="L100" s="597"/>
      <c r="M100" s="597"/>
      <c r="N100" s="597"/>
      <c r="O100" s="597"/>
      <c r="P100" s="597"/>
      <c r="Q100" s="597"/>
      <c r="R100" s="597"/>
      <c r="S100" s="175"/>
      <c r="T100" s="175"/>
      <c r="U100" s="175"/>
      <c r="V100" s="175"/>
      <c r="W100" s="175"/>
      <c r="X100" s="597"/>
      <c r="Y100" s="175"/>
      <c r="Z100" s="175"/>
    </row>
    <row r="101" ht="12.0" customHeight="1">
      <c r="A101" s="175"/>
      <c r="B101" s="175"/>
      <c r="C101" s="175"/>
      <c r="D101" s="175"/>
      <c r="E101" s="597"/>
      <c r="F101" s="597"/>
      <c r="G101" s="597"/>
      <c r="H101" s="597"/>
      <c r="I101" s="597"/>
      <c r="J101" s="597"/>
      <c r="K101" s="597"/>
      <c r="L101" s="597"/>
      <c r="M101" s="597"/>
      <c r="N101" s="597"/>
      <c r="O101" s="597"/>
      <c r="P101" s="597"/>
      <c r="Q101" s="597"/>
      <c r="R101" s="597"/>
      <c r="S101" s="175"/>
      <c r="T101" s="175"/>
      <c r="U101" s="175"/>
      <c r="V101" s="175"/>
      <c r="W101" s="175"/>
      <c r="X101" s="597"/>
      <c r="Y101" s="175"/>
      <c r="Z101" s="175"/>
    </row>
    <row r="102" ht="12.0" customHeight="1">
      <c r="A102" s="175"/>
      <c r="B102" s="175"/>
      <c r="C102" s="175"/>
      <c r="D102" s="175"/>
      <c r="E102" s="597"/>
      <c r="F102" s="597"/>
      <c r="G102" s="597"/>
      <c r="H102" s="597"/>
      <c r="I102" s="597"/>
      <c r="J102" s="597"/>
      <c r="K102" s="597"/>
      <c r="L102" s="597"/>
      <c r="M102" s="597"/>
      <c r="N102" s="597"/>
      <c r="O102" s="597"/>
      <c r="P102" s="597"/>
      <c r="Q102" s="597"/>
      <c r="R102" s="597"/>
      <c r="S102" s="175"/>
      <c r="T102" s="175"/>
      <c r="U102" s="175"/>
      <c r="V102" s="175"/>
      <c r="W102" s="175"/>
      <c r="X102" s="597"/>
      <c r="Y102" s="175"/>
      <c r="Z102" s="175"/>
    </row>
    <row r="103" ht="12.0" customHeight="1">
      <c r="A103" s="175"/>
      <c r="B103" s="175"/>
      <c r="C103" s="175"/>
      <c r="D103" s="175"/>
      <c r="E103" s="597"/>
      <c r="F103" s="597"/>
      <c r="G103" s="597"/>
      <c r="H103" s="597"/>
      <c r="I103" s="597"/>
      <c r="J103" s="597"/>
      <c r="K103" s="597"/>
      <c r="L103" s="597"/>
      <c r="M103" s="597"/>
      <c r="N103" s="597"/>
      <c r="O103" s="597"/>
      <c r="P103" s="597"/>
      <c r="Q103" s="597"/>
      <c r="R103" s="597"/>
      <c r="S103" s="175"/>
      <c r="T103" s="175"/>
      <c r="U103" s="175"/>
      <c r="V103" s="175"/>
      <c r="W103" s="175"/>
      <c r="X103" s="597"/>
      <c r="Y103" s="175"/>
      <c r="Z103" s="175"/>
    </row>
    <row r="104" ht="12.0" customHeight="1">
      <c r="A104" s="175"/>
      <c r="B104" s="175"/>
      <c r="C104" s="175"/>
      <c r="D104" s="175"/>
      <c r="E104" s="597"/>
      <c r="F104" s="597"/>
      <c r="G104" s="597"/>
      <c r="H104" s="597"/>
      <c r="I104" s="597"/>
      <c r="J104" s="597"/>
      <c r="K104" s="597"/>
      <c r="L104" s="597"/>
      <c r="M104" s="597"/>
      <c r="N104" s="597"/>
      <c r="O104" s="597"/>
      <c r="P104" s="597"/>
      <c r="Q104" s="597"/>
      <c r="R104" s="597"/>
      <c r="S104" s="175"/>
      <c r="T104" s="175"/>
      <c r="U104" s="175"/>
      <c r="V104" s="175"/>
      <c r="W104" s="175"/>
      <c r="X104" s="597"/>
      <c r="Y104" s="175"/>
      <c r="Z104" s="175"/>
    </row>
    <row r="105" ht="12.0" customHeight="1">
      <c r="A105" s="175"/>
      <c r="B105" s="175"/>
      <c r="C105" s="175"/>
      <c r="D105" s="175"/>
      <c r="E105" s="597"/>
      <c r="F105" s="597"/>
      <c r="G105" s="597"/>
      <c r="H105" s="597"/>
      <c r="I105" s="597"/>
      <c r="J105" s="597"/>
      <c r="K105" s="597"/>
      <c r="L105" s="597"/>
      <c r="M105" s="597"/>
      <c r="N105" s="597"/>
      <c r="O105" s="597"/>
      <c r="P105" s="597"/>
      <c r="Q105" s="597"/>
      <c r="R105" s="597"/>
      <c r="S105" s="175"/>
      <c r="T105" s="175"/>
      <c r="U105" s="175"/>
      <c r="V105" s="175"/>
      <c r="W105" s="175"/>
      <c r="X105" s="597"/>
      <c r="Y105" s="175"/>
      <c r="Z105" s="175"/>
    </row>
    <row r="106" ht="12.0" customHeight="1">
      <c r="A106" s="175"/>
      <c r="B106" s="175"/>
      <c r="C106" s="175"/>
      <c r="D106" s="175"/>
      <c r="E106" s="597"/>
      <c r="F106" s="597"/>
      <c r="G106" s="597"/>
      <c r="H106" s="597"/>
      <c r="I106" s="597"/>
      <c r="J106" s="597"/>
      <c r="K106" s="597"/>
      <c r="L106" s="597"/>
      <c r="M106" s="597"/>
      <c r="N106" s="597"/>
      <c r="O106" s="597"/>
      <c r="P106" s="597"/>
      <c r="Q106" s="597"/>
      <c r="R106" s="597"/>
      <c r="S106" s="175"/>
      <c r="T106" s="175"/>
      <c r="U106" s="175"/>
      <c r="V106" s="175"/>
      <c r="W106" s="175"/>
      <c r="X106" s="597"/>
      <c r="Y106" s="175"/>
      <c r="Z106" s="175"/>
    </row>
    <row r="107" ht="12.0" customHeight="1">
      <c r="A107" s="175"/>
      <c r="B107" s="175"/>
      <c r="C107" s="175"/>
      <c r="D107" s="175"/>
      <c r="E107" s="597"/>
      <c r="F107" s="597"/>
      <c r="G107" s="597"/>
      <c r="H107" s="597"/>
      <c r="I107" s="597"/>
      <c r="J107" s="597"/>
      <c r="K107" s="597"/>
      <c r="L107" s="597"/>
      <c r="M107" s="597"/>
      <c r="N107" s="597"/>
      <c r="O107" s="597"/>
      <c r="P107" s="597"/>
      <c r="Q107" s="597"/>
      <c r="R107" s="597"/>
      <c r="S107" s="175"/>
      <c r="T107" s="175"/>
      <c r="U107" s="175"/>
      <c r="V107" s="175"/>
      <c r="W107" s="175"/>
      <c r="X107" s="597"/>
      <c r="Y107" s="175"/>
      <c r="Z107" s="175"/>
    </row>
    <row r="108" ht="12.0" customHeight="1">
      <c r="A108" s="175"/>
      <c r="B108" s="175"/>
      <c r="C108" s="175"/>
      <c r="D108" s="175"/>
      <c r="E108" s="597"/>
      <c r="F108" s="597"/>
      <c r="G108" s="597"/>
      <c r="H108" s="597"/>
      <c r="I108" s="597"/>
      <c r="J108" s="597"/>
      <c r="K108" s="597"/>
      <c r="L108" s="597"/>
      <c r="M108" s="597"/>
      <c r="N108" s="597"/>
      <c r="O108" s="597"/>
      <c r="P108" s="597"/>
      <c r="Q108" s="597"/>
      <c r="R108" s="597"/>
      <c r="S108" s="175"/>
      <c r="T108" s="175"/>
      <c r="U108" s="175"/>
      <c r="V108" s="175"/>
      <c r="W108" s="175"/>
      <c r="X108" s="597"/>
      <c r="Y108" s="175"/>
      <c r="Z108" s="175"/>
    </row>
    <row r="109" ht="12.0" customHeight="1">
      <c r="A109" s="175"/>
      <c r="B109" s="175"/>
      <c r="C109" s="175"/>
      <c r="D109" s="175"/>
      <c r="E109" s="597"/>
      <c r="F109" s="597"/>
      <c r="G109" s="597"/>
      <c r="H109" s="597"/>
      <c r="I109" s="597"/>
      <c r="J109" s="597"/>
      <c r="K109" s="597"/>
      <c r="L109" s="597"/>
      <c r="M109" s="597"/>
      <c r="N109" s="597"/>
      <c r="O109" s="597"/>
      <c r="P109" s="597"/>
      <c r="Q109" s="597"/>
      <c r="R109" s="597"/>
      <c r="S109" s="175"/>
      <c r="T109" s="175"/>
      <c r="U109" s="175"/>
      <c r="V109" s="175"/>
      <c r="W109" s="175"/>
      <c r="X109" s="597"/>
      <c r="Y109" s="175"/>
      <c r="Z109" s="175"/>
    </row>
    <row r="110" ht="12.0" customHeight="1">
      <c r="A110" s="175"/>
      <c r="B110" s="175"/>
      <c r="C110" s="175"/>
      <c r="D110" s="175"/>
      <c r="E110" s="597"/>
      <c r="F110" s="597"/>
      <c r="G110" s="597"/>
      <c r="H110" s="597"/>
      <c r="I110" s="597"/>
      <c r="J110" s="597"/>
      <c r="K110" s="597"/>
      <c r="L110" s="597"/>
      <c r="M110" s="597"/>
      <c r="N110" s="597"/>
      <c r="O110" s="597"/>
      <c r="P110" s="597"/>
      <c r="Q110" s="597"/>
      <c r="R110" s="597"/>
      <c r="S110" s="175"/>
      <c r="T110" s="175"/>
      <c r="U110" s="175"/>
      <c r="V110" s="175"/>
      <c r="W110" s="175"/>
      <c r="X110" s="597"/>
      <c r="Y110" s="175"/>
      <c r="Z110" s="175"/>
    </row>
    <row r="111" ht="12.0" customHeight="1">
      <c r="A111" s="175"/>
      <c r="B111" s="175"/>
      <c r="C111" s="175"/>
      <c r="D111" s="175"/>
      <c r="E111" s="597"/>
      <c r="F111" s="597"/>
      <c r="G111" s="597"/>
      <c r="H111" s="597"/>
      <c r="I111" s="597"/>
      <c r="J111" s="597"/>
      <c r="K111" s="597"/>
      <c r="L111" s="597"/>
      <c r="M111" s="597"/>
      <c r="N111" s="597"/>
      <c r="O111" s="597"/>
      <c r="P111" s="597"/>
      <c r="Q111" s="597"/>
      <c r="R111" s="597"/>
      <c r="S111" s="175"/>
      <c r="T111" s="175"/>
      <c r="U111" s="175"/>
      <c r="V111" s="175"/>
      <c r="W111" s="175"/>
      <c r="X111" s="597"/>
      <c r="Y111" s="175"/>
      <c r="Z111" s="175"/>
    </row>
    <row r="112" ht="12.0" customHeight="1">
      <c r="A112" s="175"/>
      <c r="B112" s="175"/>
      <c r="C112" s="175"/>
      <c r="D112" s="175"/>
      <c r="E112" s="597"/>
      <c r="F112" s="597"/>
      <c r="G112" s="597"/>
      <c r="H112" s="597"/>
      <c r="I112" s="597"/>
      <c r="J112" s="597"/>
      <c r="K112" s="597"/>
      <c r="L112" s="597"/>
      <c r="M112" s="597"/>
      <c r="N112" s="597"/>
      <c r="O112" s="597"/>
      <c r="P112" s="597"/>
      <c r="Q112" s="597"/>
      <c r="R112" s="597"/>
      <c r="S112" s="175"/>
      <c r="T112" s="175"/>
      <c r="U112" s="175"/>
      <c r="V112" s="175"/>
      <c r="W112" s="175"/>
      <c r="X112" s="597"/>
      <c r="Y112" s="175"/>
      <c r="Z112" s="175"/>
    </row>
    <row r="113" ht="12.0" customHeight="1">
      <c r="A113" s="175"/>
      <c r="B113" s="175"/>
      <c r="C113" s="175"/>
      <c r="D113" s="175"/>
      <c r="E113" s="597"/>
      <c r="F113" s="597"/>
      <c r="G113" s="597"/>
      <c r="H113" s="597"/>
      <c r="I113" s="597"/>
      <c r="J113" s="597"/>
      <c r="K113" s="597"/>
      <c r="L113" s="597"/>
      <c r="M113" s="597"/>
      <c r="N113" s="597"/>
      <c r="O113" s="597"/>
      <c r="P113" s="597"/>
      <c r="Q113" s="597"/>
      <c r="R113" s="597"/>
      <c r="S113" s="175"/>
      <c r="T113" s="175"/>
      <c r="U113" s="175"/>
      <c r="V113" s="175"/>
      <c r="W113" s="175"/>
      <c r="X113" s="597"/>
      <c r="Y113" s="175"/>
      <c r="Z113" s="175"/>
    </row>
    <row r="114" ht="12.0" customHeight="1">
      <c r="A114" s="175"/>
      <c r="B114" s="175"/>
      <c r="C114" s="175"/>
      <c r="D114" s="175"/>
      <c r="E114" s="597"/>
      <c r="F114" s="597"/>
      <c r="G114" s="597"/>
      <c r="H114" s="597"/>
      <c r="I114" s="597"/>
      <c r="J114" s="597"/>
      <c r="K114" s="597"/>
      <c r="L114" s="597"/>
      <c r="M114" s="597"/>
      <c r="N114" s="597"/>
      <c r="O114" s="597"/>
      <c r="P114" s="597"/>
      <c r="Q114" s="597"/>
      <c r="R114" s="597"/>
      <c r="S114" s="175"/>
      <c r="T114" s="175"/>
      <c r="U114" s="175"/>
      <c r="V114" s="175"/>
      <c r="W114" s="175"/>
      <c r="X114" s="597"/>
      <c r="Y114" s="175"/>
      <c r="Z114" s="175"/>
    </row>
    <row r="115" ht="12.0" customHeight="1">
      <c r="A115" s="175"/>
      <c r="B115" s="175"/>
      <c r="C115" s="175"/>
      <c r="D115" s="175"/>
      <c r="E115" s="597"/>
      <c r="F115" s="597"/>
      <c r="G115" s="597"/>
      <c r="H115" s="597"/>
      <c r="I115" s="597"/>
      <c r="J115" s="597"/>
      <c r="K115" s="597"/>
      <c r="L115" s="597"/>
      <c r="M115" s="597"/>
      <c r="N115" s="597"/>
      <c r="O115" s="597"/>
      <c r="P115" s="597"/>
      <c r="Q115" s="597"/>
      <c r="R115" s="597"/>
      <c r="S115" s="175"/>
      <c r="T115" s="175"/>
      <c r="U115" s="175"/>
      <c r="V115" s="175"/>
      <c r="W115" s="175"/>
      <c r="X115" s="597"/>
      <c r="Y115" s="175"/>
      <c r="Z115" s="175"/>
    </row>
    <row r="116" ht="12.0" customHeight="1">
      <c r="A116" s="175"/>
      <c r="B116" s="175"/>
      <c r="C116" s="175"/>
      <c r="D116" s="175"/>
      <c r="E116" s="597"/>
      <c r="F116" s="597"/>
      <c r="G116" s="597"/>
      <c r="H116" s="597"/>
      <c r="I116" s="597"/>
      <c r="J116" s="597"/>
      <c r="K116" s="597"/>
      <c r="L116" s="597"/>
      <c r="M116" s="597"/>
      <c r="N116" s="597"/>
      <c r="O116" s="597"/>
      <c r="P116" s="597"/>
      <c r="Q116" s="597"/>
      <c r="R116" s="597"/>
      <c r="S116" s="175"/>
      <c r="T116" s="175"/>
      <c r="U116" s="175"/>
      <c r="V116" s="175"/>
      <c r="W116" s="175"/>
      <c r="X116" s="597"/>
      <c r="Y116" s="175"/>
      <c r="Z116" s="175"/>
    </row>
    <row r="117" ht="12.0" customHeight="1">
      <c r="A117" s="175"/>
      <c r="B117" s="175"/>
      <c r="C117" s="175"/>
      <c r="D117" s="175"/>
      <c r="E117" s="597"/>
      <c r="F117" s="597"/>
      <c r="G117" s="597"/>
      <c r="H117" s="597"/>
      <c r="I117" s="597"/>
      <c r="J117" s="597"/>
      <c r="K117" s="597"/>
      <c r="L117" s="597"/>
      <c r="M117" s="597"/>
      <c r="N117" s="597"/>
      <c r="O117" s="597"/>
      <c r="P117" s="597"/>
      <c r="Q117" s="597"/>
      <c r="R117" s="597"/>
      <c r="S117" s="175"/>
      <c r="T117" s="175"/>
      <c r="U117" s="175"/>
      <c r="V117" s="175"/>
      <c r="W117" s="175"/>
      <c r="X117" s="597"/>
      <c r="Y117" s="175"/>
      <c r="Z117" s="175"/>
    </row>
    <row r="118" ht="12.0" customHeight="1">
      <c r="A118" s="175"/>
      <c r="B118" s="175"/>
      <c r="C118" s="175"/>
      <c r="D118" s="175"/>
      <c r="E118" s="597"/>
      <c r="F118" s="597"/>
      <c r="G118" s="597"/>
      <c r="H118" s="597"/>
      <c r="I118" s="597"/>
      <c r="J118" s="597"/>
      <c r="K118" s="597"/>
      <c r="L118" s="597"/>
      <c r="M118" s="597"/>
      <c r="N118" s="597"/>
      <c r="O118" s="597"/>
      <c r="P118" s="597"/>
      <c r="Q118" s="597"/>
      <c r="R118" s="597"/>
      <c r="S118" s="175"/>
      <c r="T118" s="175"/>
      <c r="U118" s="175"/>
      <c r="V118" s="175"/>
      <c r="W118" s="175"/>
      <c r="X118" s="597"/>
      <c r="Y118" s="175"/>
      <c r="Z118" s="175"/>
    </row>
    <row r="119" ht="12.0" customHeight="1">
      <c r="A119" s="175"/>
      <c r="B119" s="175"/>
      <c r="C119" s="175"/>
      <c r="D119" s="175"/>
      <c r="E119" s="597"/>
      <c r="F119" s="597"/>
      <c r="G119" s="597"/>
      <c r="H119" s="597"/>
      <c r="I119" s="597"/>
      <c r="J119" s="597"/>
      <c r="K119" s="597"/>
      <c r="L119" s="597"/>
      <c r="M119" s="597"/>
      <c r="N119" s="597"/>
      <c r="O119" s="597"/>
      <c r="P119" s="597"/>
      <c r="Q119" s="597"/>
      <c r="R119" s="597"/>
      <c r="S119" s="175"/>
      <c r="T119" s="175"/>
      <c r="U119" s="175"/>
      <c r="V119" s="175"/>
      <c r="W119" s="175"/>
      <c r="X119" s="597"/>
      <c r="Y119" s="175"/>
      <c r="Z119" s="175"/>
    </row>
    <row r="120" ht="12.0" customHeight="1">
      <c r="A120" s="175"/>
      <c r="B120" s="175"/>
      <c r="C120" s="175"/>
      <c r="D120" s="175"/>
      <c r="E120" s="597"/>
      <c r="F120" s="597"/>
      <c r="G120" s="597"/>
      <c r="H120" s="597"/>
      <c r="I120" s="597"/>
      <c r="J120" s="597"/>
      <c r="K120" s="597"/>
      <c r="L120" s="597"/>
      <c r="M120" s="597"/>
      <c r="N120" s="597"/>
      <c r="O120" s="597"/>
      <c r="P120" s="597"/>
      <c r="Q120" s="597"/>
      <c r="R120" s="597"/>
      <c r="S120" s="175"/>
      <c r="T120" s="175"/>
      <c r="U120" s="175"/>
      <c r="V120" s="175"/>
      <c r="W120" s="175"/>
      <c r="X120" s="597"/>
      <c r="Y120" s="175"/>
      <c r="Z120" s="175"/>
    </row>
    <row r="121" ht="12.0" customHeight="1">
      <c r="A121" s="175"/>
      <c r="B121" s="175"/>
      <c r="C121" s="175"/>
      <c r="D121" s="175"/>
      <c r="E121" s="597"/>
      <c r="F121" s="597"/>
      <c r="G121" s="597"/>
      <c r="H121" s="597"/>
      <c r="I121" s="597"/>
      <c r="J121" s="597"/>
      <c r="K121" s="597"/>
      <c r="L121" s="597"/>
      <c r="M121" s="597"/>
      <c r="N121" s="597"/>
      <c r="O121" s="597"/>
      <c r="P121" s="597"/>
      <c r="Q121" s="597"/>
      <c r="R121" s="597"/>
      <c r="S121" s="175"/>
      <c r="T121" s="175"/>
      <c r="U121" s="175"/>
      <c r="V121" s="175"/>
      <c r="W121" s="175"/>
      <c r="X121" s="597"/>
      <c r="Y121" s="175"/>
      <c r="Z121" s="175"/>
    </row>
    <row r="122" ht="12.0" customHeight="1">
      <c r="A122" s="175"/>
      <c r="B122" s="175"/>
      <c r="C122" s="175"/>
      <c r="D122" s="175"/>
      <c r="E122" s="597"/>
      <c r="F122" s="597"/>
      <c r="G122" s="597"/>
      <c r="H122" s="597"/>
      <c r="I122" s="597"/>
      <c r="J122" s="597"/>
      <c r="K122" s="597"/>
      <c r="L122" s="597"/>
      <c r="M122" s="597"/>
      <c r="N122" s="597"/>
      <c r="O122" s="597"/>
      <c r="P122" s="597"/>
      <c r="Q122" s="597"/>
      <c r="R122" s="597"/>
      <c r="S122" s="175"/>
      <c r="T122" s="175"/>
      <c r="U122" s="175"/>
      <c r="V122" s="175"/>
      <c r="W122" s="175"/>
      <c r="X122" s="597"/>
      <c r="Y122" s="175"/>
      <c r="Z122" s="175"/>
    </row>
    <row r="123" ht="12.0" customHeight="1">
      <c r="A123" s="175"/>
      <c r="B123" s="175"/>
      <c r="C123" s="175"/>
      <c r="D123" s="175"/>
      <c r="E123" s="597"/>
      <c r="F123" s="597"/>
      <c r="G123" s="597"/>
      <c r="H123" s="597"/>
      <c r="I123" s="597"/>
      <c r="J123" s="597"/>
      <c r="K123" s="597"/>
      <c r="L123" s="597"/>
      <c r="M123" s="597"/>
      <c r="N123" s="597"/>
      <c r="O123" s="597"/>
      <c r="P123" s="597"/>
      <c r="Q123" s="597"/>
      <c r="R123" s="597"/>
      <c r="S123" s="175"/>
      <c r="T123" s="175"/>
      <c r="U123" s="175"/>
      <c r="V123" s="175"/>
      <c r="W123" s="175"/>
      <c r="X123" s="597"/>
      <c r="Y123" s="175"/>
      <c r="Z123" s="175"/>
    </row>
    <row r="124" ht="12.0" customHeight="1">
      <c r="A124" s="175"/>
      <c r="B124" s="175"/>
      <c r="C124" s="175"/>
      <c r="D124" s="175"/>
      <c r="E124" s="597"/>
      <c r="F124" s="597"/>
      <c r="G124" s="597"/>
      <c r="H124" s="597"/>
      <c r="I124" s="597"/>
      <c r="J124" s="597"/>
      <c r="K124" s="597"/>
      <c r="L124" s="597"/>
      <c r="M124" s="597"/>
      <c r="N124" s="597"/>
      <c r="O124" s="597"/>
      <c r="P124" s="597"/>
      <c r="Q124" s="597"/>
      <c r="R124" s="597"/>
      <c r="S124" s="175"/>
      <c r="T124" s="175"/>
      <c r="U124" s="175"/>
      <c r="V124" s="175"/>
      <c r="W124" s="175"/>
      <c r="X124" s="597"/>
      <c r="Y124" s="175"/>
      <c r="Z124" s="175"/>
    </row>
    <row r="125" ht="12.0" customHeight="1">
      <c r="A125" s="175"/>
      <c r="B125" s="175"/>
      <c r="C125" s="175"/>
      <c r="D125" s="175"/>
      <c r="E125" s="597"/>
      <c r="F125" s="597"/>
      <c r="G125" s="597"/>
      <c r="H125" s="597"/>
      <c r="I125" s="597"/>
      <c r="J125" s="597"/>
      <c r="K125" s="597"/>
      <c r="L125" s="597"/>
      <c r="M125" s="597"/>
      <c r="N125" s="597"/>
      <c r="O125" s="597"/>
      <c r="P125" s="597"/>
      <c r="Q125" s="597"/>
      <c r="R125" s="597"/>
      <c r="S125" s="175"/>
      <c r="T125" s="175"/>
      <c r="U125" s="175"/>
      <c r="V125" s="175"/>
      <c r="W125" s="175"/>
      <c r="X125" s="597"/>
      <c r="Y125" s="175"/>
      <c r="Z125" s="175"/>
    </row>
    <row r="126" ht="12.0" customHeight="1">
      <c r="A126" s="175"/>
      <c r="B126" s="175"/>
      <c r="C126" s="175"/>
      <c r="D126" s="175"/>
      <c r="E126" s="597"/>
      <c r="F126" s="597"/>
      <c r="G126" s="597"/>
      <c r="H126" s="597"/>
      <c r="I126" s="597"/>
      <c r="J126" s="597"/>
      <c r="K126" s="597"/>
      <c r="L126" s="597"/>
      <c r="M126" s="597"/>
      <c r="N126" s="597"/>
      <c r="O126" s="597"/>
      <c r="P126" s="597"/>
      <c r="Q126" s="597"/>
      <c r="R126" s="597"/>
      <c r="S126" s="175"/>
      <c r="T126" s="175"/>
      <c r="U126" s="175"/>
      <c r="V126" s="175"/>
      <c r="W126" s="175"/>
      <c r="X126" s="597"/>
      <c r="Y126" s="175"/>
      <c r="Z126" s="175"/>
    </row>
    <row r="127" ht="12.0" customHeight="1">
      <c r="A127" s="175"/>
      <c r="B127" s="175"/>
      <c r="C127" s="175"/>
      <c r="D127" s="175"/>
      <c r="E127" s="597"/>
      <c r="F127" s="597"/>
      <c r="G127" s="597"/>
      <c r="H127" s="597"/>
      <c r="I127" s="597"/>
      <c r="J127" s="597"/>
      <c r="K127" s="597"/>
      <c r="L127" s="597"/>
      <c r="M127" s="597"/>
      <c r="N127" s="597"/>
      <c r="O127" s="597"/>
      <c r="P127" s="597"/>
      <c r="Q127" s="597"/>
      <c r="R127" s="597"/>
      <c r="S127" s="175"/>
      <c r="T127" s="175"/>
      <c r="U127" s="175"/>
      <c r="V127" s="175"/>
      <c r="W127" s="175"/>
      <c r="X127" s="597"/>
      <c r="Y127" s="175"/>
      <c r="Z127" s="175"/>
    </row>
    <row r="128" ht="12.0" customHeight="1">
      <c r="A128" s="175"/>
      <c r="B128" s="175"/>
      <c r="C128" s="175"/>
      <c r="D128" s="175"/>
      <c r="E128" s="597"/>
      <c r="F128" s="597"/>
      <c r="G128" s="597"/>
      <c r="H128" s="597"/>
      <c r="I128" s="597"/>
      <c r="J128" s="597"/>
      <c r="K128" s="597"/>
      <c r="L128" s="597"/>
      <c r="M128" s="597"/>
      <c r="N128" s="597"/>
      <c r="O128" s="597"/>
      <c r="P128" s="597"/>
      <c r="Q128" s="597"/>
      <c r="R128" s="597"/>
      <c r="S128" s="175"/>
      <c r="T128" s="175"/>
      <c r="U128" s="175"/>
      <c r="V128" s="175"/>
      <c r="W128" s="175"/>
      <c r="X128" s="597"/>
      <c r="Y128" s="175"/>
      <c r="Z128" s="175"/>
    </row>
    <row r="129" ht="12.0" customHeight="1">
      <c r="A129" s="175"/>
      <c r="B129" s="175"/>
      <c r="C129" s="175"/>
      <c r="D129" s="175"/>
      <c r="E129" s="597"/>
      <c r="F129" s="597"/>
      <c r="G129" s="597"/>
      <c r="H129" s="597"/>
      <c r="I129" s="597"/>
      <c r="J129" s="597"/>
      <c r="K129" s="597"/>
      <c r="L129" s="597"/>
      <c r="M129" s="597"/>
      <c r="N129" s="597"/>
      <c r="O129" s="597"/>
      <c r="P129" s="597"/>
      <c r="Q129" s="597"/>
      <c r="R129" s="597"/>
      <c r="S129" s="175"/>
      <c r="T129" s="175"/>
      <c r="U129" s="175"/>
      <c r="V129" s="175"/>
      <c r="W129" s="175"/>
      <c r="X129" s="597"/>
      <c r="Y129" s="175"/>
      <c r="Z129" s="175"/>
    </row>
    <row r="130" ht="12.0" customHeight="1">
      <c r="A130" s="175"/>
      <c r="B130" s="175"/>
      <c r="C130" s="175"/>
      <c r="D130" s="175"/>
      <c r="E130" s="597"/>
      <c r="F130" s="597"/>
      <c r="G130" s="597"/>
      <c r="H130" s="597"/>
      <c r="I130" s="597"/>
      <c r="J130" s="597"/>
      <c r="K130" s="597"/>
      <c r="L130" s="597"/>
      <c r="M130" s="597"/>
      <c r="N130" s="597"/>
      <c r="O130" s="597"/>
      <c r="P130" s="597"/>
      <c r="Q130" s="597"/>
      <c r="R130" s="597"/>
      <c r="S130" s="175"/>
      <c r="T130" s="175"/>
      <c r="U130" s="175"/>
      <c r="V130" s="175"/>
      <c r="W130" s="175"/>
      <c r="X130" s="597"/>
      <c r="Y130" s="175"/>
      <c r="Z130" s="175"/>
    </row>
    <row r="131" ht="12.0" customHeight="1">
      <c r="A131" s="175"/>
      <c r="B131" s="175"/>
      <c r="C131" s="175"/>
      <c r="D131" s="175"/>
      <c r="E131" s="597"/>
      <c r="F131" s="597"/>
      <c r="G131" s="597"/>
      <c r="H131" s="597"/>
      <c r="I131" s="597"/>
      <c r="J131" s="597"/>
      <c r="K131" s="597"/>
      <c r="L131" s="597"/>
      <c r="M131" s="597"/>
      <c r="N131" s="597"/>
      <c r="O131" s="597"/>
      <c r="P131" s="597"/>
      <c r="Q131" s="597"/>
      <c r="R131" s="597"/>
      <c r="S131" s="175"/>
      <c r="T131" s="175"/>
      <c r="U131" s="175"/>
      <c r="V131" s="175"/>
      <c r="W131" s="175"/>
      <c r="X131" s="597"/>
      <c r="Y131" s="175"/>
      <c r="Z131" s="175"/>
    </row>
    <row r="132" ht="12.0" customHeight="1">
      <c r="A132" s="175"/>
      <c r="B132" s="175"/>
      <c r="C132" s="175"/>
      <c r="D132" s="175"/>
      <c r="E132" s="597"/>
      <c r="F132" s="597"/>
      <c r="G132" s="597"/>
      <c r="H132" s="597"/>
      <c r="I132" s="597"/>
      <c r="J132" s="597"/>
      <c r="K132" s="597"/>
      <c r="L132" s="597"/>
      <c r="M132" s="597"/>
      <c r="N132" s="597"/>
      <c r="O132" s="597"/>
      <c r="P132" s="597"/>
      <c r="Q132" s="597"/>
      <c r="R132" s="597"/>
      <c r="S132" s="175"/>
      <c r="T132" s="175"/>
      <c r="U132" s="175"/>
      <c r="V132" s="175"/>
      <c r="W132" s="175"/>
      <c r="X132" s="597"/>
      <c r="Y132" s="175"/>
      <c r="Z132" s="175"/>
    </row>
    <row r="133" ht="12.0" customHeight="1">
      <c r="A133" s="175"/>
      <c r="B133" s="175"/>
      <c r="C133" s="175"/>
      <c r="D133" s="175"/>
      <c r="E133" s="597"/>
      <c r="F133" s="597"/>
      <c r="G133" s="597"/>
      <c r="H133" s="597"/>
      <c r="I133" s="597"/>
      <c r="J133" s="597"/>
      <c r="K133" s="597"/>
      <c r="L133" s="597"/>
      <c r="M133" s="597"/>
      <c r="N133" s="597"/>
      <c r="O133" s="597"/>
      <c r="P133" s="597"/>
      <c r="Q133" s="597"/>
      <c r="R133" s="597"/>
      <c r="S133" s="175"/>
      <c r="T133" s="175"/>
      <c r="U133" s="175"/>
      <c r="V133" s="175"/>
      <c r="W133" s="175"/>
      <c r="X133" s="597"/>
      <c r="Y133" s="175"/>
      <c r="Z133" s="175"/>
    </row>
    <row r="134" ht="12.0" customHeight="1">
      <c r="A134" s="175"/>
      <c r="B134" s="175"/>
      <c r="C134" s="175"/>
      <c r="D134" s="175"/>
      <c r="E134" s="597"/>
      <c r="F134" s="597"/>
      <c r="G134" s="597"/>
      <c r="H134" s="597"/>
      <c r="I134" s="597"/>
      <c r="J134" s="597"/>
      <c r="K134" s="597"/>
      <c r="L134" s="597"/>
      <c r="M134" s="597"/>
      <c r="N134" s="597"/>
      <c r="O134" s="597"/>
      <c r="P134" s="597"/>
      <c r="Q134" s="597"/>
      <c r="R134" s="597"/>
      <c r="S134" s="175"/>
      <c r="T134" s="175"/>
      <c r="U134" s="175"/>
      <c r="V134" s="175"/>
      <c r="W134" s="175"/>
      <c r="X134" s="597"/>
      <c r="Y134" s="175"/>
      <c r="Z134" s="175"/>
    </row>
    <row r="135" ht="12.0" customHeight="1">
      <c r="A135" s="175"/>
      <c r="B135" s="175"/>
      <c r="C135" s="175"/>
      <c r="D135" s="175"/>
      <c r="E135" s="597"/>
      <c r="F135" s="597"/>
      <c r="G135" s="597"/>
      <c r="H135" s="597"/>
      <c r="I135" s="597"/>
      <c r="J135" s="597"/>
      <c r="K135" s="597"/>
      <c r="L135" s="597"/>
      <c r="M135" s="597"/>
      <c r="N135" s="597"/>
      <c r="O135" s="597"/>
      <c r="P135" s="597"/>
      <c r="Q135" s="597"/>
      <c r="R135" s="597"/>
      <c r="S135" s="175"/>
      <c r="T135" s="175"/>
      <c r="U135" s="175"/>
      <c r="V135" s="175"/>
      <c r="W135" s="175"/>
      <c r="X135" s="597"/>
      <c r="Y135" s="175"/>
      <c r="Z135" s="175"/>
    </row>
    <row r="136" ht="12.0" customHeight="1">
      <c r="A136" s="175"/>
      <c r="B136" s="175"/>
      <c r="C136" s="175"/>
      <c r="D136" s="175"/>
      <c r="E136" s="597"/>
      <c r="F136" s="597"/>
      <c r="G136" s="597"/>
      <c r="H136" s="597"/>
      <c r="I136" s="597"/>
      <c r="J136" s="597"/>
      <c r="K136" s="597"/>
      <c r="L136" s="597"/>
      <c r="M136" s="597"/>
      <c r="N136" s="597"/>
      <c r="O136" s="597"/>
      <c r="P136" s="597"/>
      <c r="Q136" s="597"/>
      <c r="R136" s="597"/>
      <c r="S136" s="175"/>
      <c r="T136" s="175"/>
      <c r="U136" s="175"/>
      <c r="V136" s="175"/>
      <c r="W136" s="175"/>
      <c r="X136" s="597"/>
      <c r="Y136" s="175"/>
      <c r="Z136" s="175"/>
    </row>
    <row r="137" ht="12.0" customHeight="1">
      <c r="A137" s="175"/>
      <c r="B137" s="175"/>
      <c r="C137" s="175"/>
      <c r="D137" s="175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7"/>
      <c r="P137" s="597"/>
      <c r="Q137" s="597"/>
      <c r="R137" s="597"/>
      <c r="S137" s="175"/>
      <c r="T137" s="175"/>
      <c r="U137" s="175"/>
      <c r="V137" s="175"/>
      <c r="W137" s="175"/>
      <c r="X137" s="597"/>
      <c r="Y137" s="175"/>
      <c r="Z137" s="175"/>
    </row>
    <row r="138" ht="12.0" customHeight="1">
      <c r="A138" s="175"/>
      <c r="B138" s="175"/>
      <c r="C138" s="175"/>
      <c r="D138" s="175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597"/>
      <c r="P138" s="597"/>
      <c r="Q138" s="597"/>
      <c r="R138" s="597"/>
      <c r="S138" s="175"/>
      <c r="T138" s="175"/>
      <c r="U138" s="175"/>
      <c r="V138" s="175"/>
      <c r="W138" s="175"/>
      <c r="X138" s="597"/>
      <c r="Y138" s="175"/>
      <c r="Z138" s="175"/>
    </row>
    <row r="139" ht="12.0" customHeight="1">
      <c r="A139" s="175"/>
      <c r="B139" s="175"/>
      <c r="C139" s="175"/>
      <c r="D139" s="175"/>
      <c r="E139" s="597"/>
      <c r="F139" s="597"/>
      <c r="G139" s="597"/>
      <c r="H139" s="597"/>
      <c r="I139" s="597"/>
      <c r="J139" s="597"/>
      <c r="K139" s="597"/>
      <c r="L139" s="597"/>
      <c r="M139" s="597"/>
      <c r="N139" s="597"/>
      <c r="O139" s="597"/>
      <c r="P139" s="597"/>
      <c r="Q139" s="597"/>
      <c r="R139" s="597"/>
      <c r="S139" s="175"/>
      <c r="T139" s="175"/>
      <c r="U139" s="175"/>
      <c r="V139" s="175"/>
      <c r="W139" s="175"/>
      <c r="X139" s="597"/>
      <c r="Y139" s="175"/>
      <c r="Z139" s="175"/>
    </row>
    <row r="140" ht="12.0" customHeight="1">
      <c r="A140" s="175"/>
      <c r="B140" s="175"/>
      <c r="C140" s="175"/>
      <c r="D140" s="175"/>
      <c r="E140" s="597"/>
      <c r="F140" s="597"/>
      <c r="G140" s="597"/>
      <c r="H140" s="597"/>
      <c r="I140" s="597"/>
      <c r="J140" s="597"/>
      <c r="K140" s="597"/>
      <c r="L140" s="597"/>
      <c r="M140" s="597"/>
      <c r="N140" s="597"/>
      <c r="O140" s="597"/>
      <c r="P140" s="597"/>
      <c r="Q140" s="597"/>
      <c r="R140" s="597"/>
      <c r="S140" s="175"/>
      <c r="T140" s="175"/>
      <c r="U140" s="175"/>
      <c r="V140" s="175"/>
      <c r="W140" s="175"/>
      <c r="X140" s="597"/>
      <c r="Y140" s="175"/>
      <c r="Z140" s="175"/>
    </row>
    <row r="141" ht="12.0" customHeight="1">
      <c r="A141" s="175"/>
      <c r="B141" s="175"/>
      <c r="C141" s="175"/>
      <c r="D141" s="175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7"/>
      <c r="P141" s="597"/>
      <c r="Q141" s="597"/>
      <c r="R141" s="597"/>
      <c r="S141" s="175"/>
      <c r="T141" s="175"/>
      <c r="U141" s="175"/>
      <c r="V141" s="175"/>
      <c r="W141" s="175"/>
      <c r="X141" s="597"/>
      <c r="Y141" s="175"/>
      <c r="Z141" s="175"/>
    </row>
    <row r="142" ht="12.0" customHeight="1">
      <c r="A142" s="175"/>
      <c r="B142" s="175"/>
      <c r="C142" s="175"/>
      <c r="D142" s="175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7"/>
      <c r="P142" s="597"/>
      <c r="Q142" s="597"/>
      <c r="R142" s="597"/>
      <c r="S142" s="175"/>
      <c r="T142" s="175"/>
      <c r="U142" s="175"/>
      <c r="V142" s="175"/>
      <c r="W142" s="175"/>
      <c r="X142" s="597"/>
      <c r="Y142" s="175"/>
      <c r="Z142" s="175"/>
    </row>
    <row r="143" ht="12.0" customHeight="1">
      <c r="A143" s="175"/>
      <c r="B143" s="175"/>
      <c r="C143" s="175"/>
      <c r="D143" s="175"/>
      <c r="E143" s="597"/>
      <c r="F143" s="597"/>
      <c r="G143" s="597"/>
      <c r="H143" s="597"/>
      <c r="I143" s="597"/>
      <c r="J143" s="597"/>
      <c r="K143" s="597"/>
      <c r="L143" s="597"/>
      <c r="M143" s="597"/>
      <c r="N143" s="597"/>
      <c r="O143" s="597"/>
      <c r="P143" s="597"/>
      <c r="Q143" s="597"/>
      <c r="R143" s="597"/>
      <c r="S143" s="175"/>
      <c r="T143" s="175"/>
      <c r="U143" s="175"/>
      <c r="V143" s="175"/>
      <c r="W143" s="175"/>
      <c r="X143" s="597"/>
      <c r="Y143" s="175"/>
      <c r="Z143" s="175"/>
    </row>
    <row r="144" ht="12.0" customHeight="1">
      <c r="A144" s="175"/>
      <c r="B144" s="175"/>
      <c r="C144" s="175"/>
      <c r="D144" s="175"/>
      <c r="E144" s="597"/>
      <c r="F144" s="597"/>
      <c r="G144" s="597"/>
      <c r="H144" s="597"/>
      <c r="I144" s="597"/>
      <c r="J144" s="597"/>
      <c r="K144" s="597"/>
      <c r="L144" s="597"/>
      <c r="M144" s="597"/>
      <c r="N144" s="597"/>
      <c r="O144" s="597"/>
      <c r="P144" s="597"/>
      <c r="Q144" s="597"/>
      <c r="R144" s="597"/>
      <c r="S144" s="175"/>
      <c r="T144" s="175"/>
      <c r="U144" s="175"/>
      <c r="V144" s="175"/>
      <c r="W144" s="175"/>
      <c r="X144" s="597"/>
      <c r="Y144" s="175"/>
      <c r="Z144" s="175"/>
    </row>
    <row r="145" ht="12.0" customHeight="1">
      <c r="A145" s="175"/>
      <c r="B145" s="175"/>
      <c r="C145" s="175"/>
      <c r="D145" s="175"/>
      <c r="E145" s="597"/>
      <c r="F145" s="597"/>
      <c r="G145" s="597"/>
      <c r="H145" s="597"/>
      <c r="I145" s="597"/>
      <c r="J145" s="597"/>
      <c r="K145" s="597"/>
      <c r="L145" s="597"/>
      <c r="M145" s="597"/>
      <c r="N145" s="597"/>
      <c r="O145" s="597"/>
      <c r="P145" s="597"/>
      <c r="Q145" s="597"/>
      <c r="R145" s="597"/>
      <c r="S145" s="175"/>
      <c r="T145" s="175"/>
      <c r="U145" s="175"/>
      <c r="V145" s="175"/>
      <c r="W145" s="175"/>
      <c r="X145" s="597"/>
      <c r="Y145" s="175"/>
      <c r="Z145" s="175"/>
    </row>
    <row r="146" ht="12.0" customHeight="1">
      <c r="A146" s="175"/>
      <c r="B146" s="175"/>
      <c r="C146" s="175"/>
      <c r="D146" s="175"/>
      <c r="E146" s="597"/>
      <c r="F146" s="597"/>
      <c r="G146" s="597"/>
      <c r="H146" s="597"/>
      <c r="I146" s="597"/>
      <c r="J146" s="597"/>
      <c r="K146" s="597"/>
      <c r="L146" s="597"/>
      <c r="M146" s="597"/>
      <c r="N146" s="597"/>
      <c r="O146" s="597"/>
      <c r="P146" s="597"/>
      <c r="Q146" s="597"/>
      <c r="R146" s="597"/>
      <c r="S146" s="175"/>
      <c r="T146" s="175"/>
      <c r="U146" s="175"/>
      <c r="V146" s="175"/>
      <c r="W146" s="175"/>
      <c r="X146" s="597"/>
      <c r="Y146" s="175"/>
      <c r="Z146" s="175"/>
    </row>
    <row r="147" ht="12.0" customHeight="1">
      <c r="A147" s="175"/>
      <c r="B147" s="175"/>
      <c r="C147" s="175"/>
      <c r="D147" s="175"/>
      <c r="E147" s="597"/>
      <c r="F147" s="597"/>
      <c r="G147" s="597"/>
      <c r="H147" s="597"/>
      <c r="I147" s="597"/>
      <c r="J147" s="597"/>
      <c r="K147" s="597"/>
      <c r="L147" s="597"/>
      <c r="M147" s="597"/>
      <c r="N147" s="597"/>
      <c r="O147" s="597"/>
      <c r="P147" s="597"/>
      <c r="Q147" s="597"/>
      <c r="R147" s="597"/>
      <c r="S147" s="175"/>
      <c r="T147" s="175"/>
      <c r="U147" s="175"/>
      <c r="V147" s="175"/>
      <c r="W147" s="175"/>
      <c r="X147" s="597"/>
      <c r="Y147" s="175"/>
      <c r="Z147" s="175"/>
    </row>
    <row r="148" ht="12.0" customHeight="1">
      <c r="A148" s="175"/>
      <c r="B148" s="175"/>
      <c r="C148" s="175"/>
      <c r="D148" s="175"/>
      <c r="E148" s="597"/>
      <c r="F148" s="597"/>
      <c r="G148" s="597"/>
      <c r="H148" s="597"/>
      <c r="I148" s="597"/>
      <c r="J148" s="597"/>
      <c r="K148" s="597"/>
      <c r="L148" s="597"/>
      <c r="M148" s="597"/>
      <c r="N148" s="597"/>
      <c r="O148" s="597"/>
      <c r="P148" s="597"/>
      <c r="Q148" s="597"/>
      <c r="R148" s="597"/>
      <c r="S148" s="175"/>
      <c r="T148" s="175"/>
      <c r="U148" s="175"/>
      <c r="V148" s="175"/>
      <c r="W148" s="175"/>
      <c r="X148" s="597"/>
      <c r="Y148" s="175"/>
      <c r="Z148" s="175"/>
    </row>
    <row r="149" ht="12.0" customHeight="1">
      <c r="A149" s="175"/>
      <c r="B149" s="175"/>
      <c r="C149" s="175"/>
      <c r="D149" s="175"/>
      <c r="E149" s="597"/>
      <c r="F149" s="597"/>
      <c r="G149" s="597"/>
      <c r="H149" s="597"/>
      <c r="I149" s="597"/>
      <c r="J149" s="597"/>
      <c r="K149" s="597"/>
      <c r="L149" s="597"/>
      <c r="M149" s="597"/>
      <c r="N149" s="597"/>
      <c r="O149" s="597"/>
      <c r="P149" s="597"/>
      <c r="Q149" s="597"/>
      <c r="R149" s="597"/>
      <c r="S149" s="175"/>
      <c r="T149" s="175"/>
      <c r="U149" s="175"/>
      <c r="V149" s="175"/>
      <c r="W149" s="175"/>
      <c r="X149" s="597"/>
      <c r="Y149" s="175"/>
      <c r="Z149" s="175"/>
    </row>
    <row r="150" ht="12.0" customHeight="1">
      <c r="A150" s="175"/>
      <c r="B150" s="175"/>
      <c r="C150" s="175"/>
      <c r="D150" s="175"/>
      <c r="E150" s="597"/>
      <c r="F150" s="597"/>
      <c r="G150" s="597"/>
      <c r="H150" s="597"/>
      <c r="I150" s="597"/>
      <c r="J150" s="597"/>
      <c r="K150" s="597"/>
      <c r="L150" s="597"/>
      <c r="M150" s="597"/>
      <c r="N150" s="597"/>
      <c r="O150" s="597"/>
      <c r="P150" s="597"/>
      <c r="Q150" s="597"/>
      <c r="R150" s="597"/>
      <c r="S150" s="175"/>
      <c r="T150" s="175"/>
      <c r="U150" s="175"/>
      <c r="V150" s="175"/>
      <c r="W150" s="175"/>
      <c r="X150" s="597"/>
      <c r="Y150" s="175"/>
      <c r="Z150" s="175"/>
    </row>
    <row r="151" ht="12.0" customHeight="1">
      <c r="A151" s="175"/>
      <c r="B151" s="175"/>
      <c r="C151" s="175"/>
      <c r="D151" s="175"/>
      <c r="E151" s="597"/>
      <c r="F151" s="597"/>
      <c r="G151" s="597"/>
      <c r="H151" s="597"/>
      <c r="I151" s="597"/>
      <c r="J151" s="597"/>
      <c r="K151" s="597"/>
      <c r="L151" s="597"/>
      <c r="M151" s="597"/>
      <c r="N151" s="597"/>
      <c r="O151" s="597"/>
      <c r="P151" s="597"/>
      <c r="Q151" s="597"/>
      <c r="R151" s="597"/>
      <c r="S151" s="175"/>
      <c r="T151" s="175"/>
      <c r="U151" s="175"/>
      <c r="V151" s="175"/>
      <c r="W151" s="175"/>
      <c r="X151" s="597"/>
      <c r="Y151" s="175"/>
      <c r="Z151" s="175"/>
    </row>
    <row r="152" ht="12.0" customHeight="1">
      <c r="A152" s="175"/>
      <c r="B152" s="175"/>
      <c r="C152" s="175"/>
      <c r="D152" s="175"/>
      <c r="E152" s="597"/>
      <c r="F152" s="597"/>
      <c r="G152" s="597"/>
      <c r="H152" s="597"/>
      <c r="I152" s="597"/>
      <c r="J152" s="597"/>
      <c r="K152" s="597"/>
      <c r="L152" s="597"/>
      <c r="M152" s="597"/>
      <c r="N152" s="597"/>
      <c r="O152" s="597"/>
      <c r="P152" s="597"/>
      <c r="Q152" s="597"/>
      <c r="R152" s="597"/>
      <c r="S152" s="175"/>
      <c r="T152" s="175"/>
      <c r="U152" s="175"/>
      <c r="V152" s="175"/>
      <c r="W152" s="175"/>
      <c r="X152" s="597"/>
      <c r="Y152" s="175"/>
      <c r="Z152" s="175"/>
    </row>
    <row r="153" ht="12.0" customHeight="1">
      <c r="A153" s="175"/>
      <c r="B153" s="175"/>
      <c r="C153" s="175"/>
      <c r="D153" s="175"/>
      <c r="E153" s="597"/>
      <c r="F153" s="597"/>
      <c r="G153" s="597"/>
      <c r="H153" s="597"/>
      <c r="I153" s="597"/>
      <c r="J153" s="597"/>
      <c r="K153" s="597"/>
      <c r="L153" s="597"/>
      <c r="M153" s="597"/>
      <c r="N153" s="597"/>
      <c r="O153" s="597"/>
      <c r="P153" s="597"/>
      <c r="Q153" s="597"/>
      <c r="R153" s="597"/>
      <c r="S153" s="175"/>
      <c r="T153" s="175"/>
      <c r="U153" s="175"/>
      <c r="V153" s="175"/>
      <c r="W153" s="175"/>
      <c r="X153" s="597"/>
      <c r="Y153" s="175"/>
      <c r="Z153" s="175"/>
    </row>
    <row r="154" ht="12.0" customHeight="1">
      <c r="A154" s="175"/>
      <c r="B154" s="175"/>
      <c r="C154" s="175"/>
      <c r="D154" s="175"/>
      <c r="E154" s="597"/>
      <c r="F154" s="597"/>
      <c r="G154" s="597"/>
      <c r="H154" s="597"/>
      <c r="I154" s="597"/>
      <c r="J154" s="597"/>
      <c r="K154" s="597"/>
      <c r="L154" s="597"/>
      <c r="M154" s="597"/>
      <c r="N154" s="597"/>
      <c r="O154" s="597"/>
      <c r="P154" s="597"/>
      <c r="Q154" s="597"/>
      <c r="R154" s="597"/>
      <c r="S154" s="175"/>
      <c r="T154" s="175"/>
      <c r="U154" s="175"/>
      <c r="V154" s="175"/>
      <c r="W154" s="175"/>
      <c r="X154" s="597"/>
      <c r="Y154" s="175"/>
      <c r="Z154" s="175"/>
    </row>
    <row r="155" ht="12.0" customHeight="1">
      <c r="A155" s="175"/>
      <c r="B155" s="175"/>
      <c r="C155" s="175"/>
      <c r="D155" s="175"/>
      <c r="E155" s="597"/>
      <c r="F155" s="597"/>
      <c r="G155" s="597"/>
      <c r="H155" s="597"/>
      <c r="I155" s="597"/>
      <c r="J155" s="597"/>
      <c r="K155" s="597"/>
      <c r="L155" s="597"/>
      <c r="M155" s="597"/>
      <c r="N155" s="597"/>
      <c r="O155" s="597"/>
      <c r="P155" s="597"/>
      <c r="Q155" s="597"/>
      <c r="R155" s="597"/>
      <c r="S155" s="175"/>
      <c r="T155" s="175"/>
      <c r="U155" s="175"/>
      <c r="V155" s="175"/>
      <c r="W155" s="175"/>
      <c r="X155" s="597"/>
      <c r="Y155" s="175"/>
      <c r="Z155" s="175"/>
    </row>
    <row r="156" ht="12.0" customHeight="1">
      <c r="A156" s="175"/>
      <c r="B156" s="175"/>
      <c r="C156" s="175"/>
      <c r="D156" s="175"/>
      <c r="E156" s="597"/>
      <c r="F156" s="597"/>
      <c r="G156" s="597"/>
      <c r="H156" s="597"/>
      <c r="I156" s="597"/>
      <c r="J156" s="597"/>
      <c r="K156" s="597"/>
      <c r="L156" s="597"/>
      <c r="M156" s="597"/>
      <c r="N156" s="597"/>
      <c r="O156" s="597"/>
      <c r="P156" s="597"/>
      <c r="Q156" s="597"/>
      <c r="R156" s="597"/>
      <c r="S156" s="175"/>
      <c r="T156" s="175"/>
      <c r="U156" s="175"/>
      <c r="V156" s="175"/>
      <c r="W156" s="175"/>
      <c r="X156" s="597"/>
      <c r="Y156" s="175"/>
      <c r="Z156" s="175"/>
    </row>
    <row r="157" ht="12.0" customHeight="1">
      <c r="A157" s="175"/>
      <c r="B157" s="175"/>
      <c r="C157" s="175"/>
      <c r="D157" s="175"/>
      <c r="E157" s="597"/>
      <c r="F157" s="597"/>
      <c r="G157" s="597"/>
      <c r="H157" s="597"/>
      <c r="I157" s="597"/>
      <c r="J157" s="597"/>
      <c r="K157" s="597"/>
      <c r="L157" s="597"/>
      <c r="M157" s="597"/>
      <c r="N157" s="597"/>
      <c r="O157" s="597"/>
      <c r="P157" s="597"/>
      <c r="Q157" s="597"/>
      <c r="R157" s="597"/>
      <c r="S157" s="175"/>
      <c r="T157" s="175"/>
      <c r="U157" s="175"/>
      <c r="V157" s="175"/>
      <c r="W157" s="175"/>
      <c r="X157" s="597"/>
      <c r="Y157" s="175"/>
      <c r="Z157" s="175"/>
    </row>
    <row r="158" ht="12.0" customHeight="1">
      <c r="A158" s="175"/>
      <c r="B158" s="175"/>
      <c r="C158" s="175"/>
      <c r="D158" s="175"/>
      <c r="E158" s="597"/>
      <c r="F158" s="597"/>
      <c r="G158" s="597"/>
      <c r="H158" s="597"/>
      <c r="I158" s="597"/>
      <c r="J158" s="597"/>
      <c r="K158" s="597"/>
      <c r="L158" s="597"/>
      <c r="M158" s="597"/>
      <c r="N158" s="597"/>
      <c r="O158" s="597"/>
      <c r="P158" s="597"/>
      <c r="Q158" s="597"/>
      <c r="R158" s="597"/>
      <c r="S158" s="175"/>
      <c r="T158" s="175"/>
      <c r="U158" s="175"/>
      <c r="V158" s="175"/>
      <c r="W158" s="175"/>
      <c r="X158" s="597"/>
      <c r="Y158" s="175"/>
      <c r="Z158" s="175"/>
    </row>
    <row r="159" ht="12.0" customHeight="1">
      <c r="A159" s="175"/>
      <c r="B159" s="175"/>
      <c r="C159" s="175"/>
      <c r="D159" s="175"/>
      <c r="E159" s="597"/>
      <c r="F159" s="597"/>
      <c r="G159" s="597"/>
      <c r="H159" s="597"/>
      <c r="I159" s="597"/>
      <c r="J159" s="597"/>
      <c r="K159" s="597"/>
      <c r="L159" s="597"/>
      <c r="M159" s="597"/>
      <c r="N159" s="597"/>
      <c r="O159" s="597"/>
      <c r="P159" s="597"/>
      <c r="Q159" s="597"/>
      <c r="R159" s="597"/>
      <c r="S159" s="175"/>
      <c r="T159" s="175"/>
      <c r="U159" s="175"/>
      <c r="V159" s="175"/>
      <c r="W159" s="175"/>
      <c r="X159" s="597"/>
      <c r="Y159" s="175"/>
      <c r="Z159" s="175"/>
    </row>
    <row r="160" ht="12.0" customHeight="1">
      <c r="A160" s="175"/>
      <c r="B160" s="175"/>
      <c r="C160" s="175"/>
      <c r="D160" s="175"/>
      <c r="E160" s="597"/>
      <c r="F160" s="597"/>
      <c r="G160" s="597"/>
      <c r="H160" s="597"/>
      <c r="I160" s="597"/>
      <c r="J160" s="597"/>
      <c r="K160" s="597"/>
      <c r="L160" s="597"/>
      <c r="M160" s="597"/>
      <c r="N160" s="597"/>
      <c r="O160" s="597"/>
      <c r="P160" s="597"/>
      <c r="Q160" s="597"/>
      <c r="R160" s="597"/>
      <c r="S160" s="175"/>
      <c r="T160" s="175"/>
      <c r="U160" s="175"/>
      <c r="V160" s="175"/>
      <c r="W160" s="175"/>
      <c r="X160" s="597"/>
      <c r="Y160" s="175"/>
      <c r="Z160" s="175"/>
    </row>
    <row r="161" ht="12.0" customHeight="1">
      <c r="A161" s="175"/>
      <c r="B161" s="175"/>
      <c r="C161" s="175"/>
      <c r="D161" s="175"/>
      <c r="E161" s="597"/>
      <c r="F161" s="597"/>
      <c r="G161" s="597"/>
      <c r="H161" s="597"/>
      <c r="I161" s="597"/>
      <c r="J161" s="597"/>
      <c r="K161" s="597"/>
      <c r="L161" s="597"/>
      <c r="M161" s="597"/>
      <c r="N161" s="597"/>
      <c r="O161" s="597"/>
      <c r="P161" s="597"/>
      <c r="Q161" s="597"/>
      <c r="R161" s="597"/>
      <c r="S161" s="175"/>
      <c r="T161" s="175"/>
      <c r="U161" s="175"/>
      <c r="V161" s="175"/>
      <c r="W161" s="175"/>
      <c r="X161" s="597"/>
      <c r="Y161" s="175"/>
      <c r="Z161" s="175"/>
    </row>
    <row r="162" ht="12.0" customHeight="1">
      <c r="A162" s="175"/>
      <c r="B162" s="175"/>
      <c r="C162" s="175"/>
      <c r="D162" s="175"/>
      <c r="E162" s="597"/>
      <c r="F162" s="597"/>
      <c r="G162" s="597"/>
      <c r="H162" s="597"/>
      <c r="I162" s="597"/>
      <c r="J162" s="597"/>
      <c r="K162" s="597"/>
      <c r="L162" s="597"/>
      <c r="M162" s="597"/>
      <c r="N162" s="597"/>
      <c r="O162" s="597"/>
      <c r="P162" s="597"/>
      <c r="Q162" s="597"/>
      <c r="R162" s="597"/>
      <c r="S162" s="175"/>
      <c r="T162" s="175"/>
      <c r="U162" s="175"/>
      <c r="V162" s="175"/>
      <c r="W162" s="175"/>
      <c r="X162" s="597"/>
      <c r="Y162" s="175"/>
      <c r="Z162" s="175"/>
    </row>
    <row r="163" ht="12.0" customHeight="1">
      <c r="A163" s="175"/>
      <c r="B163" s="175"/>
      <c r="C163" s="175"/>
      <c r="D163" s="175"/>
      <c r="E163" s="597"/>
      <c r="F163" s="597"/>
      <c r="G163" s="597"/>
      <c r="H163" s="597"/>
      <c r="I163" s="597"/>
      <c r="J163" s="597"/>
      <c r="K163" s="597"/>
      <c r="L163" s="597"/>
      <c r="M163" s="597"/>
      <c r="N163" s="597"/>
      <c r="O163" s="597"/>
      <c r="P163" s="597"/>
      <c r="Q163" s="597"/>
      <c r="R163" s="597"/>
      <c r="S163" s="175"/>
      <c r="T163" s="175"/>
      <c r="U163" s="175"/>
      <c r="V163" s="175"/>
      <c r="W163" s="175"/>
      <c r="X163" s="597"/>
      <c r="Y163" s="175"/>
      <c r="Z163" s="175"/>
    </row>
    <row r="164" ht="12.0" customHeight="1">
      <c r="A164" s="175"/>
      <c r="B164" s="175"/>
      <c r="C164" s="175"/>
      <c r="D164" s="175"/>
      <c r="E164" s="597"/>
      <c r="F164" s="597"/>
      <c r="G164" s="597"/>
      <c r="H164" s="597"/>
      <c r="I164" s="597"/>
      <c r="J164" s="597"/>
      <c r="K164" s="597"/>
      <c r="L164" s="597"/>
      <c r="M164" s="597"/>
      <c r="N164" s="597"/>
      <c r="O164" s="597"/>
      <c r="P164" s="597"/>
      <c r="Q164" s="597"/>
      <c r="R164" s="597"/>
      <c r="S164" s="175"/>
      <c r="T164" s="175"/>
      <c r="U164" s="175"/>
      <c r="V164" s="175"/>
      <c r="W164" s="175"/>
      <c r="X164" s="597"/>
      <c r="Y164" s="175"/>
      <c r="Z164" s="175"/>
    </row>
    <row r="165" ht="12.0" customHeight="1">
      <c r="A165" s="175"/>
      <c r="B165" s="175"/>
      <c r="C165" s="175"/>
      <c r="D165" s="175"/>
      <c r="E165" s="597"/>
      <c r="F165" s="597"/>
      <c r="G165" s="597"/>
      <c r="H165" s="597"/>
      <c r="I165" s="597"/>
      <c r="J165" s="597"/>
      <c r="K165" s="597"/>
      <c r="L165" s="597"/>
      <c r="M165" s="597"/>
      <c r="N165" s="597"/>
      <c r="O165" s="597"/>
      <c r="P165" s="597"/>
      <c r="Q165" s="597"/>
      <c r="R165" s="597"/>
      <c r="S165" s="175"/>
      <c r="T165" s="175"/>
      <c r="U165" s="175"/>
      <c r="V165" s="175"/>
      <c r="W165" s="175"/>
      <c r="X165" s="597"/>
      <c r="Y165" s="175"/>
      <c r="Z165" s="175"/>
    </row>
    <row r="166" ht="12.0" customHeight="1">
      <c r="A166" s="175"/>
      <c r="B166" s="175"/>
      <c r="C166" s="175"/>
      <c r="D166" s="175"/>
      <c r="E166" s="597"/>
      <c r="F166" s="597"/>
      <c r="G166" s="597"/>
      <c r="H166" s="597"/>
      <c r="I166" s="597"/>
      <c r="J166" s="597"/>
      <c r="K166" s="597"/>
      <c r="L166" s="597"/>
      <c r="M166" s="597"/>
      <c r="N166" s="597"/>
      <c r="O166" s="597"/>
      <c r="P166" s="597"/>
      <c r="Q166" s="597"/>
      <c r="R166" s="597"/>
      <c r="S166" s="175"/>
      <c r="T166" s="175"/>
      <c r="U166" s="175"/>
      <c r="V166" s="175"/>
      <c r="W166" s="175"/>
      <c r="X166" s="597"/>
      <c r="Y166" s="175"/>
      <c r="Z166" s="175"/>
    </row>
    <row r="167" ht="12.0" customHeight="1">
      <c r="A167" s="175"/>
      <c r="B167" s="175"/>
      <c r="C167" s="175"/>
      <c r="D167" s="175"/>
      <c r="E167" s="597"/>
      <c r="F167" s="597"/>
      <c r="G167" s="597"/>
      <c r="H167" s="597"/>
      <c r="I167" s="597"/>
      <c r="J167" s="597"/>
      <c r="K167" s="597"/>
      <c r="L167" s="597"/>
      <c r="M167" s="597"/>
      <c r="N167" s="597"/>
      <c r="O167" s="597"/>
      <c r="P167" s="597"/>
      <c r="Q167" s="597"/>
      <c r="R167" s="597"/>
      <c r="S167" s="175"/>
      <c r="T167" s="175"/>
      <c r="U167" s="175"/>
      <c r="V167" s="175"/>
      <c r="W167" s="175"/>
      <c r="X167" s="597"/>
      <c r="Y167" s="175"/>
      <c r="Z167" s="175"/>
    </row>
    <row r="168" ht="12.0" customHeight="1">
      <c r="A168" s="175"/>
      <c r="B168" s="175"/>
      <c r="C168" s="175"/>
      <c r="D168" s="175"/>
      <c r="E168" s="597"/>
      <c r="F168" s="597"/>
      <c r="G168" s="597"/>
      <c r="H168" s="597"/>
      <c r="I168" s="597"/>
      <c r="J168" s="597"/>
      <c r="K168" s="597"/>
      <c r="L168" s="597"/>
      <c r="M168" s="597"/>
      <c r="N168" s="597"/>
      <c r="O168" s="597"/>
      <c r="P168" s="597"/>
      <c r="Q168" s="597"/>
      <c r="R168" s="597"/>
      <c r="S168" s="175"/>
      <c r="T168" s="175"/>
      <c r="U168" s="175"/>
      <c r="V168" s="175"/>
      <c r="W168" s="175"/>
      <c r="X168" s="597"/>
      <c r="Y168" s="175"/>
      <c r="Z168" s="175"/>
    </row>
    <row r="169" ht="12.0" customHeight="1">
      <c r="A169" s="175"/>
      <c r="B169" s="175"/>
      <c r="C169" s="175"/>
      <c r="D169" s="175"/>
      <c r="E169" s="597"/>
      <c r="F169" s="597"/>
      <c r="G169" s="597"/>
      <c r="H169" s="597"/>
      <c r="I169" s="597"/>
      <c r="J169" s="597"/>
      <c r="K169" s="597"/>
      <c r="L169" s="597"/>
      <c r="M169" s="597"/>
      <c r="N169" s="597"/>
      <c r="O169" s="597"/>
      <c r="P169" s="597"/>
      <c r="Q169" s="597"/>
      <c r="R169" s="597"/>
      <c r="S169" s="175"/>
      <c r="T169" s="175"/>
      <c r="U169" s="175"/>
      <c r="V169" s="175"/>
      <c r="W169" s="175"/>
      <c r="X169" s="597"/>
      <c r="Y169" s="175"/>
      <c r="Z169" s="175"/>
    </row>
    <row r="170" ht="12.0" customHeight="1">
      <c r="A170" s="175"/>
      <c r="B170" s="175"/>
      <c r="C170" s="175"/>
      <c r="D170" s="175"/>
      <c r="E170" s="597"/>
      <c r="F170" s="597"/>
      <c r="G170" s="597"/>
      <c r="H170" s="597"/>
      <c r="I170" s="597"/>
      <c r="J170" s="597"/>
      <c r="K170" s="597"/>
      <c r="L170" s="597"/>
      <c r="M170" s="597"/>
      <c r="N170" s="597"/>
      <c r="O170" s="597"/>
      <c r="P170" s="597"/>
      <c r="Q170" s="597"/>
      <c r="R170" s="597"/>
      <c r="S170" s="175"/>
      <c r="T170" s="175"/>
      <c r="U170" s="175"/>
      <c r="V170" s="175"/>
      <c r="W170" s="175"/>
      <c r="X170" s="597"/>
      <c r="Y170" s="175"/>
      <c r="Z170" s="175"/>
    </row>
    <row r="171" ht="12.0" customHeight="1">
      <c r="A171" s="175"/>
      <c r="B171" s="175"/>
      <c r="C171" s="175"/>
      <c r="D171" s="175"/>
      <c r="E171" s="597"/>
      <c r="F171" s="597"/>
      <c r="G171" s="597"/>
      <c r="H171" s="597"/>
      <c r="I171" s="597"/>
      <c r="J171" s="597"/>
      <c r="K171" s="597"/>
      <c r="L171" s="597"/>
      <c r="M171" s="597"/>
      <c r="N171" s="597"/>
      <c r="O171" s="597"/>
      <c r="P171" s="597"/>
      <c r="Q171" s="597"/>
      <c r="R171" s="597"/>
      <c r="S171" s="175"/>
      <c r="T171" s="175"/>
      <c r="U171" s="175"/>
      <c r="V171" s="175"/>
      <c r="W171" s="175"/>
      <c r="X171" s="597"/>
      <c r="Y171" s="175"/>
      <c r="Z171" s="175"/>
    </row>
    <row r="172" ht="12.0" customHeight="1">
      <c r="A172" s="175"/>
      <c r="B172" s="175"/>
      <c r="C172" s="175"/>
      <c r="D172" s="175"/>
      <c r="E172" s="597"/>
      <c r="F172" s="597"/>
      <c r="G172" s="597"/>
      <c r="H172" s="597"/>
      <c r="I172" s="597"/>
      <c r="J172" s="597"/>
      <c r="K172" s="597"/>
      <c r="L172" s="597"/>
      <c r="M172" s="597"/>
      <c r="N172" s="597"/>
      <c r="O172" s="597"/>
      <c r="P172" s="597"/>
      <c r="Q172" s="597"/>
      <c r="R172" s="597"/>
      <c r="S172" s="175"/>
      <c r="T172" s="175"/>
      <c r="U172" s="175"/>
      <c r="V172" s="175"/>
      <c r="W172" s="175"/>
      <c r="X172" s="597"/>
      <c r="Y172" s="175"/>
      <c r="Z172" s="175"/>
    </row>
    <row r="173" ht="12.0" customHeight="1">
      <c r="A173" s="175"/>
      <c r="B173" s="175"/>
      <c r="C173" s="175"/>
      <c r="D173" s="175"/>
      <c r="E173" s="597"/>
      <c r="F173" s="597"/>
      <c r="G173" s="597"/>
      <c r="H173" s="597"/>
      <c r="I173" s="597"/>
      <c r="J173" s="597"/>
      <c r="K173" s="597"/>
      <c r="L173" s="597"/>
      <c r="M173" s="597"/>
      <c r="N173" s="597"/>
      <c r="O173" s="597"/>
      <c r="P173" s="597"/>
      <c r="Q173" s="597"/>
      <c r="R173" s="597"/>
      <c r="S173" s="175"/>
      <c r="T173" s="175"/>
      <c r="U173" s="175"/>
      <c r="V173" s="175"/>
      <c r="W173" s="175"/>
      <c r="X173" s="597"/>
      <c r="Y173" s="175"/>
      <c r="Z173" s="175"/>
    </row>
    <row r="174" ht="12.0" customHeight="1">
      <c r="A174" s="175"/>
      <c r="B174" s="175"/>
      <c r="C174" s="175"/>
      <c r="D174" s="175"/>
      <c r="E174" s="597"/>
      <c r="F174" s="597"/>
      <c r="G174" s="597"/>
      <c r="H174" s="597"/>
      <c r="I174" s="597"/>
      <c r="J174" s="597"/>
      <c r="K174" s="597"/>
      <c r="L174" s="597"/>
      <c r="M174" s="597"/>
      <c r="N174" s="597"/>
      <c r="O174" s="597"/>
      <c r="P174" s="597"/>
      <c r="Q174" s="597"/>
      <c r="R174" s="597"/>
      <c r="S174" s="175"/>
      <c r="T174" s="175"/>
      <c r="U174" s="175"/>
      <c r="V174" s="175"/>
      <c r="W174" s="175"/>
      <c r="X174" s="597"/>
      <c r="Y174" s="175"/>
      <c r="Z174" s="175"/>
    </row>
    <row r="175" ht="12.0" customHeight="1">
      <c r="A175" s="175"/>
      <c r="B175" s="175"/>
      <c r="C175" s="175"/>
      <c r="D175" s="175"/>
      <c r="E175" s="597"/>
      <c r="F175" s="597"/>
      <c r="G175" s="597"/>
      <c r="H175" s="597"/>
      <c r="I175" s="597"/>
      <c r="J175" s="597"/>
      <c r="K175" s="597"/>
      <c r="L175" s="597"/>
      <c r="M175" s="597"/>
      <c r="N175" s="597"/>
      <c r="O175" s="597"/>
      <c r="P175" s="597"/>
      <c r="Q175" s="597"/>
      <c r="R175" s="597"/>
      <c r="S175" s="175"/>
      <c r="T175" s="175"/>
      <c r="U175" s="175"/>
      <c r="V175" s="175"/>
      <c r="W175" s="175"/>
      <c r="X175" s="597"/>
      <c r="Y175" s="175"/>
      <c r="Z175" s="175"/>
    </row>
    <row r="176" ht="12.0" customHeight="1">
      <c r="A176" s="175"/>
      <c r="B176" s="175"/>
      <c r="C176" s="175"/>
      <c r="D176" s="175"/>
      <c r="E176" s="597"/>
      <c r="F176" s="597"/>
      <c r="G176" s="597"/>
      <c r="H176" s="597"/>
      <c r="I176" s="597"/>
      <c r="J176" s="597"/>
      <c r="K176" s="597"/>
      <c r="L176" s="597"/>
      <c r="M176" s="597"/>
      <c r="N176" s="597"/>
      <c r="O176" s="597"/>
      <c r="P176" s="597"/>
      <c r="Q176" s="597"/>
      <c r="R176" s="597"/>
      <c r="S176" s="175"/>
      <c r="T176" s="175"/>
      <c r="U176" s="175"/>
      <c r="V176" s="175"/>
      <c r="W176" s="175"/>
      <c r="X176" s="597"/>
      <c r="Y176" s="175"/>
      <c r="Z176" s="175"/>
    </row>
    <row r="177" ht="12.0" customHeight="1">
      <c r="A177" s="175"/>
      <c r="B177" s="175"/>
      <c r="C177" s="175"/>
      <c r="D177" s="175"/>
      <c r="E177" s="597"/>
      <c r="F177" s="597"/>
      <c r="G177" s="597"/>
      <c r="H177" s="597"/>
      <c r="I177" s="597"/>
      <c r="J177" s="597"/>
      <c r="K177" s="597"/>
      <c r="L177" s="597"/>
      <c r="M177" s="597"/>
      <c r="N177" s="597"/>
      <c r="O177" s="597"/>
      <c r="P177" s="597"/>
      <c r="Q177" s="597"/>
      <c r="R177" s="597"/>
      <c r="S177" s="175"/>
      <c r="T177" s="175"/>
      <c r="U177" s="175"/>
      <c r="V177" s="175"/>
      <c r="W177" s="175"/>
      <c r="X177" s="597"/>
      <c r="Y177" s="175"/>
      <c r="Z177" s="175"/>
    </row>
    <row r="178" ht="12.0" customHeight="1">
      <c r="A178" s="175"/>
      <c r="B178" s="175"/>
      <c r="C178" s="175"/>
      <c r="D178" s="175"/>
      <c r="E178" s="597"/>
      <c r="F178" s="597"/>
      <c r="G178" s="597"/>
      <c r="H178" s="597"/>
      <c r="I178" s="597"/>
      <c r="J178" s="597"/>
      <c r="K178" s="597"/>
      <c r="L178" s="597"/>
      <c r="M178" s="597"/>
      <c r="N178" s="597"/>
      <c r="O178" s="597"/>
      <c r="P178" s="597"/>
      <c r="Q178" s="597"/>
      <c r="R178" s="597"/>
      <c r="S178" s="175"/>
      <c r="T178" s="175"/>
      <c r="U178" s="175"/>
      <c r="V178" s="175"/>
      <c r="W178" s="175"/>
      <c r="X178" s="597"/>
      <c r="Y178" s="175"/>
      <c r="Z178" s="175"/>
    </row>
    <row r="179" ht="12.0" customHeight="1">
      <c r="A179" s="175"/>
      <c r="B179" s="175"/>
      <c r="C179" s="175"/>
      <c r="D179" s="175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  <c r="O179" s="597"/>
      <c r="P179" s="597"/>
      <c r="Q179" s="597"/>
      <c r="R179" s="597"/>
      <c r="S179" s="175"/>
      <c r="T179" s="175"/>
      <c r="U179" s="175"/>
      <c r="V179" s="175"/>
      <c r="W179" s="175"/>
      <c r="X179" s="597"/>
      <c r="Y179" s="175"/>
      <c r="Z179" s="175"/>
    </row>
    <row r="180" ht="12.0" customHeight="1">
      <c r="A180" s="175"/>
      <c r="B180" s="175"/>
      <c r="C180" s="175"/>
      <c r="D180" s="175"/>
      <c r="E180" s="597"/>
      <c r="F180" s="597"/>
      <c r="G180" s="597"/>
      <c r="H180" s="597"/>
      <c r="I180" s="597"/>
      <c r="J180" s="597"/>
      <c r="K180" s="597"/>
      <c r="L180" s="597"/>
      <c r="M180" s="597"/>
      <c r="N180" s="597"/>
      <c r="O180" s="597"/>
      <c r="P180" s="597"/>
      <c r="Q180" s="597"/>
      <c r="R180" s="597"/>
      <c r="S180" s="175"/>
      <c r="T180" s="175"/>
      <c r="U180" s="175"/>
      <c r="V180" s="175"/>
      <c r="W180" s="175"/>
      <c r="X180" s="597"/>
      <c r="Y180" s="175"/>
      <c r="Z180" s="175"/>
    </row>
    <row r="181" ht="12.0" customHeight="1">
      <c r="A181" s="175"/>
      <c r="B181" s="175"/>
      <c r="C181" s="175"/>
      <c r="D181" s="175"/>
      <c r="E181" s="597"/>
      <c r="F181" s="597"/>
      <c r="G181" s="597"/>
      <c r="H181" s="597"/>
      <c r="I181" s="597"/>
      <c r="J181" s="597"/>
      <c r="K181" s="597"/>
      <c r="L181" s="597"/>
      <c r="M181" s="597"/>
      <c r="N181" s="597"/>
      <c r="O181" s="597"/>
      <c r="P181" s="597"/>
      <c r="Q181" s="597"/>
      <c r="R181" s="597"/>
      <c r="S181" s="175"/>
      <c r="T181" s="175"/>
      <c r="U181" s="175"/>
      <c r="V181" s="175"/>
      <c r="W181" s="175"/>
      <c r="X181" s="597"/>
      <c r="Y181" s="175"/>
      <c r="Z181" s="175"/>
    </row>
    <row r="182" ht="12.0" customHeight="1">
      <c r="A182" s="175"/>
      <c r="B182" s="175"/>
      <c r="C182" s="175"/>
      <c r="D182" s="175"/>
      <c r="E182" s="597"/>
      <c r="F182" s="597"/>
      <c r="G182" s="597"/>
      <c r="H182" s="597"/>
      <c r="I182" s="597"/>
      <c r="J182" s="597"/>
      <c r="K182" s="597"/>
      <c r="L182" s="597"/>
      <c r="M182" s="597"/>
      <c r="N182" s="597"/>
      <c r="O182" s="597"/>
      <c r="P182" s="597"/>
      <c r="Q182" s="597"/>
      <c r="R182" s="597"/>
      <c r="S182" s="175"/>
      <c r="T182" s="175"/>
      <c r="U182" s="175"/>
      <c r="V182" s="175"/>
      <c r="W182" s="175"/>
      <c r="X182" s="597"/>
      <c r="Y182" s="175"/>
      <c r="Z182" s="175"/>
    </row>
    <row r="183" ht="12.0" customHeight="1">
      <c r="A183" s="175"/>
      <c r="B183" s="175"/>
      <c r="C183" s="175"/>
      <c r="D183" s="175"/>
      <c r="E183" s="597"/>
      <c r="F183" s="597"/>
      <c r="G183" s="597"/>
      <c r="H183" s="597"/>
      <c r="I183" s="597"/>
      <c r="J183" s="597"/>
      <c r="K183" s="597"/>
      <c r="L183" s="597"/>
      <c r="M183" s="597"/>
      <c r="N183" s="597"/>
      <c r="O183" s="597"/>
      <c r="P183" s="597"/>
      <c r="Q183" s="597"/>
      <c r="R183" s="597"/>
      <c r="S183" s="175"/>
      <c r="T183" s="175"/>
      <c r="U183" s="175"/>
      <c r="V183" s="175"/>
      <c r="W183" s="175"/>
      <c r="X183" s="597"/>
      <c r="Y183" s="175"/>
      <c r="Z183" s="175"/>
    </row>
    <row r="184" ht="12.0" customHeight="1">
      <c r="A184" s="175"/>
      <c r="B184" s="175"/>
      <c r="C184" s="175"/>
      <c r="D184" s="175"/>
      <c r="E184" s="597"/>
      <c r="F184" s="597"/>
      <c r="G184" s="597"/>
      <c r="H184" s="597"/>
      <c r="I184" s="597"/>
      <c r="J184" s="597"/>
      <c r="K184" s="597"/>
      <c r="L184" s="597"/>
      <c r="M184" s="597"/>
      <c r="N184" s="597"/>
      <c r="O184" s="597"/>
      <c r="P184" s="597"/>
      <c r="Q184" s="597"/>
      <c r="R184" s="597"/>
      <c r="S184" s="175"/>
      <c r="T184" s="175"/>
      <c r="U184" s="175"/>
      <c r="V184" s="175"/>
      <c r="W184" s="175"/>
      <c r="X184" s="597"/>
      <c r="Y184" s="175"/>
      <c r="Z184" s="175"/>
    </row>
    <row r="185" ht="12.0" customHeight="1">
      <c r="A185" s="175"/>
      <c r="B185" s="175"/>
      <c r="C185" s="175"/>
      <c r="D185" s="175"/>
      <c r="E185" s="597"/>
      <c r="F185" s="597"/>
      <c r="G185" s="597"/>
      <c r="H185" s="597"/>
      <c r="I185" s="597"/>
      <c r="J185" s="597"/>
      <c r="K185" s="597"/>
      <c r="L185" s="597"/>
      <c r="M185" s="597"/>
      <c r="N185" s="597"/>
      <c r="O185" s="597"/>
      <c r="P185" s="597"/>
      <c r="Q185" s="597"/>
      <c r="R185" s="597"/>
      <c r="S185" s="175"/>
      <c r="T185" s="175"/>
      <c r="U185" s="175"/>
      <c r="V185" s="175"/>
      <c r="W185" s="175"/>
      <c r="X185" s="597"/>
      <c r="Y185" s="175"/>
      <c r="Z185" s="175"/>
    </row>
    <row r="186" ht="12.0" customHeight="1">
      <c r="A186" s="175"/>
      <c r="B186" s="175"/>
      <c r="C186" s="175"/>
      <c r="D186" s="175"/>
      <c r="E186" s="597"/>
      <c r="F186" s="597"/>
      <c r="G186" s="597"/>
      <c r="H186" s="597"/>
      <c r="I186" s="597"/>
      <c r="J186" s="597"/>
      <c r="K186" s="597"/>
      <c r="L186" s="597"/>
      <c r="M186" s="597"/>
      <c r="N186" s="597"/>
      <c r="O186" s="597"/>
      <c r="P186" s="597"/>
      <c r="Q186" s="597"/>
      <c r="R186" s="597"/>
      <c r="S186" s="175"/>
      <c r="T186" s="175"/>
      <c r="U186" s="175"/>
      <c r="V186" s="175"/>
      <c r="W186" s="175"/>
      <c r="X186" s="597"/>
      <c r="Y186" s="175"/>
      <c r="Z186" s="175"/>
    </row>
    <row r="187" ht="12.0" customHeight="1">
      <c r="A187" s="175"/>
      <c r="B187" s="175"/>
      <c r="C187" s="175"/>
      <c r="D187" s="175"/>
      <c r="E187" s="597"/>
      <c r="F187" s="597"/>
      <c r="G187" s="597"/>
      <c r="H187" s="597"/>
      <c r="I187" s="597"/>
      <c r="J187" s="597"/>
      <c r="K187" s="597"/>
      <c r="L187" s="597"/>
      <c r="M187" s="597"/>
      <c r="N187" s="597"/>
      <c r="O187" s="597"/>
      <c r="P187" s="597"/>
      <c r="Q187" s="597"/>
      <c r="R187" s="597"/>
      <c r="S187" s="175"/>
      <c r="T187" s="175"/>
      <c r="U187" s="175"/>
      <c r="V187" s="175"/>
      <c r="W187" s="175"/>
      <c r="X187" s="597"/>
      <c r="Y187" s="175"/>
      <c r="Z187" s="175"/>
    </row>
    <row r="188" ht="12.0" customHeight="1">
      <c r="A188" s="175"/>
      <c r="B188" s="175"/>
      <c r="C188" s="175"/>
      <c r="D188" s="175"/>
      <c r="E188" s="597"/>
      <c r="F188" s="597"/>
      <c r="G188" s="597"/>
      <c r="H188" s="597"/>
      <c r="I188" s="597"/>
      <c r="J188" s="597"/>
      <c r="K188" s="597"/>
      <c r="L188" s="597"/>
      <c r="M188" s="597"/>
      <c r="N188" s="597"/>
      <c r="O188" s="597"/>
      <c r="P188" s="597"/>
      <c r="Q188" s="597"/>
      <c r="R188" s="597"/>
      <c r="S188" s="175"/>
      <c r="T188" s="175"/>
      <c r="U188" s="175"/>
      <c r="V188" s="175"/>
      <c r="W188" s="175"/>
      <c r="X188" s="597"/>
      <c r="Y188" s="175"/>
      <c r="Z188" s="175"/>
    </row>
    <row r="189" ht="12.0" customHeight="1">
      <c r="A189" s="175"/>
      <c r="B189" s="175"/>
      <c r="C189" s="175"/>
      <c r="D189" s="175"/>
      <c r="E189" s="597"/>
      <c r="F189" s="597"/>
      <c r="G189" s="597"/>
      <c r="H189" s="597"/>
      <c r="I189" s="597"/>
      <c r="J189" s="597"/>
      <c r="K189" s="597"/>
      <c r="L189" s="597"/>
      <c r="M189" s="597"/>
      <c r="N189" s="597"/>
      <c r="O189" s="597"/>
      <c r="P189" s="597"/>
      <c r="Q189" s="597"/>
      <c r="R189" s="597"/>
      <c r="S189" s="175"/>
      <c r="T189" s="175"/>
      <c r="U189" s="175"/>
      <c r="V189" s="175"/>
      <c r="W189" s="175"/>
      <c r="X189" s="597"/>
      <c r="Y189" s="175"/>
      <c r="Z189" s="175"/>
    </row>
    <row r="190" ht="12.0" customHeight="1">
      <c r="A190" s="175"/>
      <c r="B190" s="175"/>
      <c r="C190" s="175"/>
      <c r="D190" s="175"/>
      <c r="E190" s="597"/>
      <c r="F190" s="597"/>
      <c r="G190" s="597"/>
      <c r="H190" s="597"/>
      <c r="I190" s="597"/>
      <c r="J190" s="597"/>
      <c r="K190" s="597"/>
      <c r="L190" s="597"/>
      <c r="M190" s="597"/>
      <c r="N190" s="597"/>
      <c r="O190" s="597"/>
      <c r="P190" s="597"/>
      <c r="Q190" s="597"/>
      <c r="R190" s="597"/>
      <c r="S190" s="175"/>
      <c r="T190" s="175"/>
      <c r="U190" s="175"/>
      <c r="V190" s="175"/>
      <c r="W190" s="175"/>
      <c r="X190" s="597"/>
      <c r="Y190" s="175"/>
      <c r="Z190" s="175"/>
    </row>
    <row r="191" ht="12.0" customHeight="1">
      <c r="A191" s="175"/>
      <c r="B191" s="175"/>
      <c r="C191" s="175"/>
      <c r="D191" s="175"/>
      <c r="E191" s="597"/>
      <c r="F191" s="597"/>
      <c r="G191" s="597"/>
      <c r="H191" s="597"/>
      <c r="I191" s="597"/>
      <c r="J191" s="597"/>
      <c r="K191" s="597"/>
      <c r="L191" s="597"/>
      <c r="M191" s="597"/>
      <c r="N191" s="597"/>
      <c r="O191" s="597"/>
      <c r="P191" s="597"/>
      <c r="Q191" s="597"/>
      <c r="R191" s="597"/>
      <c r="S191" s="175"/>
      <c r="T191" s="175"/>
      <c r="U191" s="175"/>
      <c r="V191" s="175"/>
      <c r="W191" s="175"/>
      <c r="X191" s="597"/>
      <c r="Y191" s="175"/>
      <c r="Z191" s="175"/>
    </row>
    <row r="192" ht="12.0" customHeight="1">
      <c r="A192" s="175"/>
      <c r="B192" s="175"/>
      <c r="C192" s="175"/>
      <c r="D192" s="175"/>
      <c r="E192" s="597"/>
      <c r="F192" s="597"/>
      <c r="G192" s="597"/>
      <c r="H192" s="597"/>
      <c r="I192" s="597"/>
      <c r="J192" s="597"/>
      <c r="K192" s="597"/>
      <c r="L192" s="597"/>
      <c r="M192" s="597"/>
      <c r="N192" s="597"/>
      <c r="O192" s="597"/>
      <c r="P192" s="597"/>
      <c r="Q192" s="597"/>
      <c r="R192" s="597"/>
      <c r="S192" s="175"/>
      <c r="T192" s="175"/>
      <c r="U192" s="175"/>
      <c r="V192" s="175"/>
      <c r="W192" s="175"/>
      <c r="X192" s="597"/>
      <c r="Y192" s="175"/>
      <c r="Z192" s="175"/>
    </row>
    <row r="193" ht="12.0" customHeight="1">
      <c r="A193" s="175"/>
      <c r="B193" s="175"/>
      <c r="C193" s="175"/>
      <c r="D193" s="175"/>
      <c r="E193" s="597"/>
      <c r="F193" s="597"/>
      <c r="G193" s="597"/>
      <c r="H193" s="597"/>
      <c r="I193" s="597"/>
      <c r="J193" s="597"/>
      <c r="K193" s="597"/>
      <c r="L193" s="597"/>
      <c r="M193" s="597"/>
      <c r="N193" s="597"/>
      <c r="O193" s="597"/>
      <c r="P193" s="597"/>
      <c r="Q193" s="597"/>
      <c r="R193" s="597"/>
      <c r="S193" s="175"/>
      <c r="T193" s="175"/>
      <c r="U193" s="175"/>
      <c r="V193" s="175"/>
      <c r="W193" s="175"/>
      <c r="X193" s="597"/>
      <c r="Y193" s="175"/>
      <c r="Z193" s="175"/>
    </row>
    <row r="194" ht="12.0" customHeight="1">
      <c r="A194" s="175"/>
      <c r="B194" s="175"/>
      <c r="C194" s="175"/>
      <c r="D194" s="175"/>
      <c r="E194" s="597"/>
      <c r="F194" s="597"/>
      <c r="G194" s="597"/>
      <c r="H194" s="597"/>
      <c r="I194" s="597"/>
      <c r="J194" s="597"/>
      <c r="K194" s="597"/>
      <c r="L194" s="597"/>
      <c r="M194" s="597"/>
      <c r="N194" s="597"/>
      <c r="O194" s="597"/>
      <c r="P194" s="597"/>
      <c r="Q194" s="597"/>
      <c r="R194" s="597"/>
      <c r="S194" s="175"/>
      <c r="T194" s="175"/>
      <c r="U194" s="175"/>
      <c r="V194" s="175"/>
      <c r="W194" s="175"/>
      <c r="X194" s="597"/>
      <c r="Y194" s="175"/>
      <c r="Z194" s="175"/>
    </row>
    <row r="195" ht="12.0" customHeight="1">
      <c r="A195" s="175"/>
      <c r="B195" s="175"/>
      <c r="C195" s="175"/>
      <c r="D195" s="175"/>
      <c r="E195" s="597"/>
      <c r="F195" s="597"/>
      <c r="G195" s="597"/>
      <c r="H195" s="597"/>
      <c r="I195" s="597"/>
      <c r="J195" s="597"/>
      <c r="K195" s="597"/>
      <c r="L195" s="597"/>
      <c r="M195" s="597"/>
      <c r="N195" s="597"/>
      <c r="O195" s="597"/>
      <c r="P195" s="597"/>
      <c r="Q195" s="597"/>
      <c r="R195" s="597"/>
      <c r="S195" s="175"/>
      <c r="T195" s="175"/>
      <c r="U195" s="175"/>
      <c r="V195" s="175"/>
      <c r="W195" s="175"/>
      <c r="X195" s="597"/>
      <c r="Y195" s="175"/>
      <c r="Z195" s="175"/>
    </row>
    <row r="196" ht="12.0" customHeight="1">
      <c r="A196" s="175"/>
      <c r="B196" s="175"/>
      <c r="C196" s="175"/>
      <c r="D196" s="175"/>
      <c r="E196" s="597"/>
      <c r="F196" s="597"/>
      <c r="G196" s="597"/>
      <c r="H196" s="597"/>
      <c r="I196" s="597"/>
      <c r="J196" s="597"/>
      <c r="K196" s="597"/>
      <c r="L196" s="597"/>
      <c r="M196" s="597"/>
      <c r="N196" s="597"/>
      <c r="O196" s="597"/>
      <c r="P196" s="597"/>
      <c r="Q196" s="597"/>
      <c r="R196" s="597"/>
      <c r="S196" s="175"/>
      <c r="T196" s="175"/>
      <c r="U196" s="175"/>
      <c r="V196" s="175"/>
      <c r="W196" s="175"/>
      <c r="X196" s="597"/>
      <c r="Y196" s="175"/>
      <c r="Z196" s="175"/>
    </row>
    <row r="197" ht="12.0" customHeight="1">
      <c r="A197" s="175"/>
      <c r="B197" s="175"/>
      <c r="C197" s="175"/>
      <c r="D197" s="175"/>
      <c r="E197" s="597"/>
      <c r="F197" s="597"/>
      <c r="G197" s="597"/>
      <c r="H197" s="597"/>
      <c r="I197" s="597"/>
      <c r="J197" s="597"/>
      <c r="K197" s="597"/>
      <c r="L197" s="597"/>
      <c r="M197" s="597"/>
      <c r="N197" s="597"/>
      <c r="O197" s="597"/>
      <c r="P197" s="597"/>
      <c r="Q197" s="597"/>
      <c r="R197" s="597"/>
      <c r="S197" s="175"/>
      <c r="T197" s="175"/>
      <c r="U197" s="175"/>
      <c r="V197" s="175"/>
      <c r="W197" s="175"/>
      <c r="X197" s="597"/>
      <c r="Y197" s="175"/>
      <c r="Z197" s="175"/>
    </row>
    <row r="198" ht="12.0" customHeight="1">
      <c r="A198" s="175"/>
      <c r="B198" s="175"/>
      <c r="C198" s="175"/>
      <c r="D198" s="175"/>
      <c r="E198" s="597"/>
      <c r="F198" s="597"/>
      <c r="G198" s="597"/>
      <c r="H198" s="597"/>
      <c r="I198" s="597"/>
      <c r="J198" s="597"/>
      <c r="K198" s="597"/>
      <c r="L198" s="597"/>
      <c r="M198" s="597"/>
      <c r="N198" s="597"/>
      <c r="O198" s="597"/>
      <c r="P198" s="597"/>
      <c r="Q198" s="597"/>
      <c r="R198" s="597"/>
      <c r="S198" s="175"/>
      <c r="T198" s="175"/>
      <c r="U198" s="175"/>
      <c r="V198" s="175"/>
      <c r="W198" s="175"/>
      <c r="X198" s="597"/>
      <c r="Y198" s="175"/>
      <c r="Z198" s="175"/>
    </row>
    <row r="199" ht="12.0" customHeight="1">
      <c r="A199" s="175"/>
      <c r="B199" s="175"/>
      <c r="C199" s="175"/>
      <c r="D199" s="175"/>
      <c r="E199" s="597"/>
      <c r="F199" s="597"/>
      <c r="G199" s="597"/>
      <c r="H199" s="597"/>
      <c r="I199" s="597"/>
      <c r="J199" s="597"/>
      <c r="K199" s="597"/>
      <c r="L199" s="597"/>
      <c r="M199" s="597"/>
      <c r="N199" s="597"/>
      <c r="O199" s="597"/>
      <c r="P199" s="597"/>
      <c r="Q199" s="597"/>
      <c r="R199" s="597"/>
      <c r="S199" s="175"/>
      <c r="T199" s="175"/>
      <c r="U199" s="175"/>
      <c r="V199" s="175"/>
      <c r="W199" s="175"/>
      <c r="X199" s="597"/>
      <c r="Y199" s="175"/>
      <c r="Z199" s="175"/>
    </row>
    <row r="200" ht="12.0" customHeight="1">
      <c r="A200" s="175"/>
      <c r="B200" s="175"/>
      <c r="C200" s="175"/>
      <c r="D200" s="175"/>
      <c r="E200" s="597"/>
      <c r="F200" s="597"/>
      <c r="G200" s="597"/>
      <c r="H200" s="597"/>
      <c r="I200" s="597"/>
      <c r="J200" s="597"/>
      <c r="K200" s="597"/>
      <c r="L200" s="597"/>
      <c r="M200" s="597"/>
      <c r="N200" s="597"/>
      <c r="O200" s="597"/>
      <c r="P200" s="597"/>
      <c r="Q200" s="597"/>
      <c r="R200" s="597"/>
      <c r="S200" s="175"/>
      <c r="T200" s="175"/>
      <c r="U200" s="175"/>
      <c r="V200" s="175"/>
      <c r="W200" s="175"/>
      <c r="X200" s="597"/>
      <c r="Y200" s="175"/>
      <c r="Z200" s="175"/>
    </row>
    <row r="201" ht="12.0" customHeight="1">
      <c r="A201" s="175"/>
      <c r="B201" s="175"/>
      <c r="C201" s="175"/>
      <c r="D201" s="175"/>
      <c r="E201" s="597"/>
      <c r="F201" s="597"/>
      <c r="G201" s="597"/>
      <c r="H201" s="597"/>
      <c r="I201" s="597"/>
      <c r="J201" s="597"/>
      <c r="K201" s="597"/>
      <c r="L201" s="597"/>
      <c r="M201" s="597"/>
      <c r="N201" s="597"/>
      <c r="O201" s="597"/>
      <c r="P201" s="597"/>
      <c r="Q201" s="597"/>
      <c r="R201" s="597"/>
      <c r="S201" s="175"/>
      <c r="T201" s="175"/>
      <c r="U201" s="175"/>
      <c r="V201" s="175"/>
      <c r="W201" s="175"/>
      <c r="X201" s="597"/>
      <c r="Y201" s="175"/>
      <c r="Z201" s="175"/>
    </row>
    <row r="202" ht="12.0" customHeight="1">
      <c r="A202" s="175"/>
      <c r="B202" s="175"/>
      <c r="C202" s="175"/>
      <c r="D202" s="175"/>
      <c r="E202" s="597"/>
      <c r="F202" s="597"/>
      <c r="G202" s="597"/>
      <c r="H202" s="597"/>
      <c r="I202" s="597"/>
      <c r="J202" s="597"/>
      <c r="K202" s="597"/>
      <c r="L202" s="597"/>
      <c r="M202" s="597"/>
      <c r="N202" s="597"/>
      <c r="O202" s="597"/>
      <c r="P202" s="597"/>
      <c r="Q202" s="597"/>
      <c r="R202" s="597"/>
      <c r="S202" s="175"/>
      <c r="T202" s="175"/>
      <c r="U202" s="175"/>
      <c r="V202" s="175"/>
      <c r="W202" s="175"/>
      <c r="X202" s="597"/>
      <c r="Y202" s="175"/>
      <c r="Z202" s="175"/>
    </row>
    <row r="203" ht="12.0" customHeight="1">
      <c r="A203" s="175"/>
      <c r="B203" s="175"/>
      <c r="C203" s="175"/>
      <c r="D203" s="175"/>
      <c r="E203" s="597"/>
      <c r="F203" s="597"/>
      <c r="G203" s="597"/>
      <c r="H203" s="597"/>
      <c r="I203" s="597"/>
      <c r="J203" s="597"/>
      <c r="K203" s="597"/>
      <c r="L203" s="597"/>
      <c r="M203" s="597"/>
      <c r="N203" s="597"/>
      <c r="O203" s="597"/>
      <c r="P203" s="597"/>
      <c r="Q203" s="597"/>
      <c r="R203" s="597"/>
      <c r="S203" s="175"/>
      <c r="T203" s="175"/>
      <c r="U203" s="175"/>
      <c r="V203" s="175"/>
      <c r="W203" s="175"/>
      <c r="X203" s="597"/>
      <c r="Y203" s="175"/>
      <c r="Z203" s="175"/>
    </row>
    <row r="204" ht="12.0" customHeight="1">
      <c r="A204" s="175"/>
      <c r="B204" s="175"/>
      <c r="C204" s="175"/>
      <c r="D204" s="175"/>
      <c r="E204" s="597"/>
      <c r="F204" s="597"/>
      <c r="G204" s="597"/>
      <c r="H204" s="597"/>
      <c r="I204" s="597"/>
      <c r="J204" s="597"/>
      <c r="K204" s="597"/>
      <c r="L204" s="597"/>
      <c r="M204" s="597"/>
      <c r="N204" s="597"/>
      <c r="O204" s="597"/>
      <c r="P204" s="597"/>
      <c r="Q204" s="597"/>
      <c r="R204" s="597"/>
      <c r="S204" s="175"/>
      <c r="T204" s="175"/>
      <c r="U204" s="175"/>
      <c r="V204" s="175"/>
      <c r="W204" s="175"/>
      <c r="X204" s="597"/>
      <c r="Y204" s="175"/>
      <c r="Z204" s="175"/>
    </row>
    <row r="205" ht="12.0" customHeight="1">
      <c r="A205" s="175"/>
      <c r="B205" s="175"/>
      <c r="C205" s="175"/>
      <c r="D205" s="175"/>
      <c r="E205" s="597"/>
      <c r="F205" s="597"/>
      <c r="G205" s="597"/>
      <c r="H205" s="597"/>
      <c r="I205" s="597"/>
      <c r="J205" s="597"/>
      <c r="K205" s="597"/>
      <c r="L205" s="597"/>
      <c r="M205" s="597"/>
      <c r="N205" s="597"/>
      <c r="O205" s="597"/>
      <c r="P205" s="597"/>
      <c r="Q205" s="597"/>
      <c r="R205" s="597"/>
      <c r="S205" s="175"/>
      <c r="T205" s="175"/>
      <c r="U205" s="175"/>
      <c r="V205" s="175"/>
      <c r="W205" s="175"/>
      <c r="X205" s="597"/>
      <c r="Y205" s="175"/>
      <c r="Z205" s="175"/>
    </row>
    <row r="206" ht="12.0" customHeight="1">
      <c r="A206" s="175"/>
      <c r="B206" s="175"/>
      <c r="C206" s="175"/>
      <c r="D206" s="175"/>
      <c r="E206" s="597"/>
      <c r="F206" s="597"/>
      <c r="G206" s="597"/>
      <c r="H206" s="597"/>
      <c r="I206" s="597"/>
      <c r="J206" s="597"/>
      <c r="K206" s="597"/>
      <c r="L206" s="597"/>
      <c r="M206" s="597"/>
      <c r="N206" s="597"/>
      <c r="O206" s="597"/>
      <c r="P206" s="597"/>
      <c r="Q206" s="597"/>
      <c r="R206" s="597"/>
      <c r="S206" s="175"/>
      <c r="T206" s="175"/>
      <c r="U206" s="175"/>
      <c r="V206" s="175"/>
      <c r="W206" s="175"/>
      <c r="X206" s="597"/>
      <c r="Y206" s="175"/>
      <c r="Z206" s="175"/>
    </row>
    <row r="207" ht="12.0" customHeight="1">
      <c r="A207" s="175"/>
      <c r="B207" s="175"/>
      <c r="C207" s="175"/>
      <c r="D207" s="175"/>
      <c r="E207" s="597"/>
      <c r="F207" s="597"/>
      <c r="G207" s="597"/>
      <c r="H207" s="597"/>
      <c r="I207" s="597"/>
      <c r="J207" s="597"/>
      <c r="K207" s="597"/>
      <c r="L207" s="597"/>
      <c r="M207" s="597"/>
      <c r="N207" s="597"/>
      <c r="O207" s="597"/>
      <c r="P207" s="597"/>
      <c r="Q207" s="597"/>
      <c r="R207" s="597"/>
      <c r="S207" s="175"/>
      <c r="T207" s="175"/>
      <c r="U207" s="175"/>
      <c r="V207" s="175"/>
      <c r="W207" s="175"/>
      <c r="X207" s="597"/>
      <c r="Y207" s="175"/>
      <c r="Z207" s="175"/>
    </row>
    <row r="208" ht="12.0" customHeight="1">
      <c r="A208" s="175"/>
      <c r="B208" s="175"/>
      <c r="C208" s="175"/>
      <c r="D208" s="175"/>
      <c r="E208" s="597"/>
      <c r="F208" s="597"/>
      <c r="G208" s="597"/>
      <c r="H208" s="597"/>
      <c r="I208" s="597"/>
      <c r="J208" s="597"/>
      <c r="K208" s="597"/>
      <c r="L208" s="597"/>
      <c r="M208" s="597"/>
      <c r="N208" s="597"/>
      <c r="O208" s="597"/>
      <c r="P208" s="597"/>
      <c r="Q208" s="597"/>
      <c r="R208" s="597"/>
      <c r="S208" s="175"/>
      <c r="T208" s="175"/>
      <c r="U208" s="175"/>
      <c r="V208" s="175"/>
      <c r="W208" s="175"/>
      <c r="X208" s="597"/>
      <c r="Y208" s="175"/>
      <c r="Z208" s="175"/>
    </row>
    <row r="209" ht="12.0" customHeight="1">
      <c r="A209" s="175"/>
      <c r="B209" s="175"/>
      <c r="C209" s="175"/>
      <c r="D209" s="175"/>
      <c r="E209" s="597"/>
      <c r="F209" s="597"/>
      <c r="G209" s="597"/>
      <c r="H209" s="597"/>
      <c r="I209" s="597"/>
      <c r="J209" s="597"/>
      <c r="K209" s="597"/>
      <c r="L209" s="597"/>
      <c r="M209" s="597"/>
      <c r="N209" s="597"/>
      <c r="O209" s="597"/>
      <c r="P209" s="597"/>
      <c r="Q209" s="597"/>
      <c r="R209" s="597"/>
      <c r="S209" s="175"/>
      <c r="T209" s="175"/>
      <c r="U209" s="175"/>
      <c r="V209" s="175"/>
      <c r="W209" s="175"/>
      <c r="X209" s="597"/>
      <c r="Y209" s="175"/>
      <c r="Z209" s="175"/>
    </row>
    <row r="210" ht="12.0" customHeight="1">
      <c r="A210" s="175"/>
      <c r="B210" s="175"/>
      <c r="C210" s="175"/>
      <c r="D210" s="175"/>
      <c r="E210" s="597"/>
      <c r="F210" s="597"/>
      <c r="G210" s="597"/>
      <c r="H210" s="597"/>
      <c r="I210" s="597"/>
      <c r="J210" s="597"/>
      <c r="K210" s="597"/>
      <c r="L210" s="597"/>
      <c r="M210" s="597"/>
      <c r="N210" s="597"/>
      <c r="O210" s="597"/>
      <c r="P210" s="597"/>
      <c r="Q210" s="597"/>
      <c r="R210" s="597"/>
      <c r="S210" s="175"/>
      <c r="T210" s="175"/>
      <c r="U210" s="175"/>
      <c r="V210" s="175"/>
      <c r="W210" s="175"/>
      <c r="X210" s="597"/>
      <c r="Y210" s="175"/>
      <c r="Z210" s="175"/>
    </row>
    <row r="211" ht="12.0" customHeight="1">
      <c r="A211" s="175"/>
      <c r="B211" s="175"/>
      <c r="C211" s="175"/>
      <c r="D211" s="175"/>
      <c r="E211" s="597"/>
      <c r="F211" s="597"/>
      <c r="G211" s="597"/>
      <c r="H211" s="597"/>
      <c r="I211" s="597"/>
      <c r="J211" s="597"/>
      <c r="K211" s="597"/>
      <c r="L211" s="597"/>
      <c r="M211" s="597"/>
      <c r="N211" s="597"/>
      <c r="O211" s="597"/>
      <c r="P211" s="597"/>
      <c r="Q211" s="597"/>
      <c r="R211" s="597"/>
      <c r="S211" s="175"/>
      <c r="T211" s="175"/>
      <c r="U211" s="175"/>
      <c r="V211" s="175"/>
      <c r="W211" s="175"/>
      <c r="X211" s="597"/>
      <c r="Y211" s="175"/>
      <c r="Z211" s="175"/>
    </row>
    <row r="212" ht="12.0" customHeight="1">
      <c r="A212" s="175"/>
      <c r="B212" s="175"/>
      <c r="C212" s="175"/>
      <c r="D212" s="175"/>
      <c r="E212" s="597"/>
      <c r="F212" s="597"/>
      <c r="G212" s="597"/>
      <c r="H212" s="597"/>
      <c r="I212" s="597"/>
      <c r="J212" s="597"/>
      <c r="K212" s="597"/>
      <c r="L212" s="597"/>
      <c r="M212" s="597"/>
      <c r="N212" s="597"/>
      <c r="O212" s="597"/>
      <c r="P212" s="597"/>
      <c r="Q212" s="597"/>
      <c r="R212" s="597"/>
      <c r="S212" s="175"/>
      <c r="T212" s="175"/>
      <c r="U212" s="175"/>
      <c r="V212" s="175"/>
      <c r="W212" s="175"/>
      <c r="X212" s="597"/>
      <c r="Y212" s="175"/>
      <c r="Z212" s="175"/>
    </row>
    <row r="213" ht="12.0" customHeight="1">
      <c r="A213" s="175"/>
      <c r="B213" s="175"/>
      <c r="C213" s="175"/>
      <c r="D213" s="175"/>
      <c r="E213" s="597"/>
      <c r="F213" s="597"/>
      <c r="G213" s="597"/>
      <c r="H213" s="597"/>
      <c r="I213" s="597"/>
      <c r="J213" s="597"/>
      <c r="K213" s="597"/>
      <c r="L213" s="597"/>
      <c r="M213" s="597"/>
      <c r="N213" s="597"/>
      <c r="O213" s="597"/>
      <c r="P213" s="597"/>
      <c r="Q213" s="597"/>
      <c r="R213" s="597"/>
      <c r="S213" s="175"/>
      <c r="T213" s="175"/>
      <c r="U213" s="175"/>
      <c r="V213" s="175"/>
      <c r="W213" s="175"/>
      <c r="X213" s="597"/>
      <c r="Y213" s="175"/>
      <c r="Z213" s="175"/>
    </row>
    <row r="214" ht="12.0" customHeight="1">
      <c r="A214" s="175"/>
      <c r="B214" s="175"/>
      <c r="C214" s="175"/>
      <c r="D214" s="175"/>
      <c r="E214" s="597"/>
      <c r="F214" s="597"/>
      <c r="G214" s="597"/>
      <c r="H214" s="597"/>
      <c r="I214" s="597"/>
      <c r="J214" s="597"/>
      <c r="K214" s="597"/>
      <c r="L214" s="597"/>
      <c r="M214" s="597"/>
      <c r="N214" s="597"/>
      <c r="O214" s="597"/>
      <c r="P214" s="597"/>
      <c r="Q214" s="597"/>
      <c r="R214" s="597"/>
      <c r="S214" s="175"/>
      <c r="T214" s="175"/>
      <c r="U214" s="175"/>
      <c r="V214" s="175"/>
      <c r="W214" s="175"/>
      <c r="X214" s="597"/>
      <c r="Y214" s="175"/>
      <c r="Z214" s="175"/>
    </row>
    <row r="215" ht="12.0" customHeight="1">
      <c r="A215" s="175"/>
      <c r="B215" s="175"/>
      <c r="C215" s="175"/>
      <c r="D215" s="175"/>
      <c r="E215" s="597"/>
      <c r="F215" s="597"/>
      <c r="G215" s="597"/>
      <c r="H215" s="597"/>
      <c r="I215" s="597"/>
      <c r="J215" s="597"/>
      <c r="K215" s="597"/>
      <c r="L215" s="597"/>
      <c r="M215" s="597"/>
      <c r="N215" s="597"/>
      <c r="O215" s="597"/>
      <c r="P215" s="597"/>
      <c r="Q215" s="597"/>
      <c r="R215" s="597"/>
      <c r="S215" s="175"/>
      <c r="T215" s="175"/>
      <c r="U215" s="175"/>
      <c r="V215" s="175"/>
      <c r="W215" s="175"/>
      <c r="X215" s="597"/>
      <c r="Y215" s="175"/>
      <c r="Z215" s="175"/>
    </row>
    <row r="216" ht="12.0" customHeight="1">
      <c r="A216" s="175"/>
      <c r="B216" s="175"/>
      <c r="C216" s="175"/>
      <c r="D216" s="175"/>
      <c r="E216" s="597"/>
      <c r="F216" s="597"/>
      <c r="G216" s="597"/>
      <c r="H216" s="597"/>
      <c r="I216" s="597"/>
      <c r="J216" s="597"/>
      <c r="K216" s="597"/>
      <c r="L216" s="597"/>
      <c r="M216" s="597"/>
      <c r="N216" s="597"/>
      <c r="O216" s="597"/>
      <c r="P216" s="597"/>
      <c r="Q216" s="597"/>
      <c r="R216" s="597"/>
      <c r="S216" s="175"/>
      <c r="T216" s="175"/>
      <c r="U216" s="175"/>
      <c r="V216" s="175"/>
      <c r="W216" s="175"/>
      <c r="X216" s="597"/>
      <c r="Y216" s="175"/>
      <c r="Z216" s="175"/>
    </row>
    <row r="217" ht="12.0" customHeight="1">
      <c r="A217" s="175"/>
      <c r="B217" s="175"/>
      <c r="C217" s="175"/>
      <c r="D217" s="175"/>
      <c r="E217" s="597"/>
      <c r="F217" s="597"/>
      <c r="G217" s="597"/>
      <c r="H217" s="597"/>
      <c r="I217" s="597"/>
      <c r="J217" s="597"/>
      <c r="K217" s="597"/>
      <c r="L217" s="597"/>
      <c r="M217" s="597"/>
      <c r="N217" s="597"/>
      <c r="O217" s="597"/>
      <c r="P217" s="597"/>
      <c r="Q217" s="597"/>
      <c r="R217" s="597"/>
      <c r="S217" s="175"/>
      <c r="T217" s="175"/>
      <c r="U217" s="175"/>
      <c r="V217" s="175"/>
      <c r="W217" s="175"/>
      <c r="X217" s="597"/>
      <c r="Y217" s="175"/>
      <c r="Z217" s="175"/>
    </row>
    <row r="218" ht="12.0" customHeight="1">
      <c r="A218" s="175"/>
      <c r="B218" s="175"/>
      <c r="C218" s="175"/>
      <c r="D218" s="175"/>
      <c r="E218" s="597"/>
      <c r="F218" s="597"/>
      <c r="G218" s="597"/>
      <c r="H218" s="597"/>
      <c r="I218" s="597"/>
      <c r="J218" s="597"/>
      <c r="K218" s="597"/>
      <c r="L218" s="597"/>
      <c r="M218" s="597"/>
      <c r="N218" s="597"/>
      <c r="O218" s="597"/>
      <c r="P218" s="597"/>
      <c r="Q218" s="597"/>
      <c r="R218" s="597"/>
      <c r="S218" s="175"/>
      <c r="T218" s="175"/>
      <c r="U218" s="175"/>
      <c r="V218" s="175"/>
      <c r="W218" s="175"/>
      <c r="X218" s="597"/>
      <c r="Y218" s="175"/>
      <c r="Z218" s="175"/>
    </row>
    <row r="219" ht="12.0" customHeight="1">
      <c r="A219" s="175"/>
      <c r="B219" s="175"/>
      <c r="C219" s="175"/>
      <c r="D219" s="175"/>
      <c r="E219" s="597"/>
      <c r="F219" s="597"/>
      <c r="G219" s="597"/>
      <c r="H219" s="597"/>
      <c r="I219" s="597"/>
      <c r="J219" s="597"/>
      <c r="K219" s="597"/>
      <c r="L219" s="597"/>
      <c r="M219" s="597"/>
      <c r="N219" s="597"/>
      <c r="O219" s="597"/>
      <c r="P219" s="597"/>
      <c r="Q219" s="597"/>
      <c r="R219" s="597"/>
      <c r="S219" s="175"/>
      <c r="T219" s="175"/>
      <c r="U219" s="175"/>
      <c r="V219" s="175"/>
      <c r="W219" s="175"/>
      <c r="X219" s="597"/>
      <c r="Y219" s="175"/>
      <c r="Z219" s="175"/>
    </row>
    <row r="220" ht="12.0" customHeight="1">
      <c r="A220" s="175"/>
      <c r="B220" s="175"/>
      <c r="C220" s="175"/>
      <c r="D220" s="175"/>
      <c r="E220" s="597"/>
      <c r="F220" s="597"/>
      <c r="G220" s="597"/>
      <c r="H220" s="597"/>
      <c r="I220" s="597"/>
      <c r="J220" s="597"/>
      <c r="K220" s="597"/>
      <c r="L220" s="597"/>
      <c r="M220" s="597"/>
      <c r="N220" s="597"/>
      <c r="O220" s="597"/>
      <c r="P220" s="597"/>
      <c r="Q220" s="597"/>
      <c r="R220" s="597"/>
      <c r="S220" s="175"/>
      <c r="T220" s="175"/>
      <c r="U220" s="175"/>
      <c r="V220" s="175"/>
      <c r="W220" s="175"/>
      <c r="X220" s="597"/>
      <c r="Y220" s="175"/>
      <c r="Z220" s="175"/>
    </row>
    <row r="221" ht="12.0" customHeight="1">
      <c r="A221" s="175"/>
      <c r="B221" s="175"/>
      <c r="C221" s="175"/>
      <c r="D221" s="175"/>
      <c r="E221" s="597"/>
      <c r="F221" s="597"/>
      <c r="G221" s="597"/>
      <c r="H221" s="597"/>
      <c r="I221" s="597"/>
      <c r="J221" s="597"/>
      <c r="K221" s="597"/>
      <c r="L221" s="597"/>
      <c r="M221" s="597"/>
      <c r="N221" s="597"/>
      <c r="O221" s="597"/>
      <c r="P221" s="597"/>
      <c r="Q221" s="597"/>
      <c r="R221" s="597"/>
      <c r="S221" s="175"/>
      <c r="T221" s="175"/>
      <c r="U221" s="175"/>
      <c r="V221" s="175"/>
      <c r="W221" s="175"/>
      <c r="X221" s="597"/>
      <c r="Y221" s="175"/>
      <c r="Z221" s="175"/>
    </row>
    <row r="222" ht="12.0" customHeight="1">
      <c r="A222" s="175"/>
      <c r="B222" s="175"/>
      <c r="C222" s="175"/>
      <c r="D222" s="175"/>
      <c r="E222" s="597"/>
      <c r="F222" s="597"/>
      <c r="G222" s="597"/>
      <c r="H222" s="597"/>
      <c r="I222" s="597"/>
      <c r="J222" s="597"/>
      <c r="K222" s="597"/>
      <c r="L222" s="597"/>
      <c r="M222" s="597"/>
      <c r="N222" s="597"/>
      <c r="O222" s="597"/>
      <c r="P222" s="597"/>
      <c r="Q222" s="597"/>
      <c r="R222" s="597"/>
      <c r="S222" s="175"/>
      <c r="T222" s="175"/>
      <c r="U222" s="175"/>
      <c r="V222" s="175"/>
      <c r="W222" s="175"/>
      <c r="X222" s="597"/>
      <c r="Y222" s="175"/>
      <c r="Z222" s="175"/>
    </row>
    <row r="223" ht="12.0" customHeight="1">
      <c r="A223" s="175"/>
      <c r="B223" s="175"/>
      <c r="C223" s="175"/>
      <c r="D223" s="175"/>
      <c r="E223" s="597"/>
      <c r="F223" s="597"/>
      <c r="G223" s="597"/>
      <c r="H223" s="597"/>
      <c r="I223" s="597"/>
      <c r="J223" s="597"/>
      <c r="K223" s="597"/>
      <c r="L223" s="597"/>
      <c r="M223" s="597"/>
      <c r="N223" s="597"/>
      <c r="O223" s="597"/>
      <c r="P223" s="597"/>
      <c r="Q223" s="597"/>
      <c r="R223" s="597"/>
      <c r="S223" s="175"/>
      <c r="T223" s="175"/>
      <c r="U223" s="175"/>
      <c r="V223" s="175"/>
      <c r="W223" s="175"/>
      <c r="X223" s="597"/>
      <c r="Y223" s="175"/>
      <c r="Z223" s="175"/>
    </row>
    <row r="224" ht="12.0" customHeight="1">
      <c r="A224" s="175"/>
      <c r="B224" s="175"/>
      <c r="C224" s="175"/>
      <c r="D224" s="175"/>
      <c r="E224" s="597"/>
      <c r="F224" s="597"/>
      <c r="G224" s="597"/>
      <c r="H224" s="597"/>
      <c r="I224" s="597"/>
      <c r="J224" s="597"/>
      <c r="K224" s="597"/>
      <c r="L224" s="597"/>
      <c r="M224" s="597"/>
      <c r="N224" s="597"/>
      <c r="O224" s="597"/>
      <c r="P224" s="597"/>
      <c r="Q224" s="597"/>
      <c r="R224" s="597"/>
      <c r="S224" s="175"/>
      <c r="T224" s="175"/>
      <c r="U224" s="175"/>
      <c r="V224" s="175"/>
      <c r="W224" s="175"/>
      <c r="X224" s="597"/>
      <c r="Y224" s="175"/>
      <c r="Z224" s="175"/>
    </row>
    <row r="225" ht="12.0" customHeight="1">
      <c r="A225" s="175"/>
      <c r="B225" s="175"/>
      <c r="C225" s="175"/>
      <c r="D225" s="175"/>
      <c r="E225" s="597"/>
      <c r="F225" s="597"/>
      <c r="G225" s="597"/>
      <c r="H225" s="597"/>
      <c r="I225" s="597"/>
      <c r="J225" s="597"/>
      <c r="K225" s="597"/>
      <c r="L225" s="597"/>
      <c r="M225" s="597"/>
      <c r="N225" s="597"/>
      <c r="O225" s="597"/>
      <c r="P225" s="597"/>
      <c r="Q225" s="597"/>
      <c r="R225" s="597"/>
      <c r="S225" s="175"/>
      <c r="T225" s="175"/>
      <c r="U225" s="175"/>
      <c r="V225" s="175"/>
      <c r="W225" s="175"/>
      <c r="X225" s="597"/>
      <c r="Y225" s="175"/>
      <c r="Z225" s="175"/>
    </row>
    <row r="226" ht="12.0" customHeight="1">
      <c r="A226" s="175"/>
      <c r="B226" s="175"/>
      <c r="C226" s="175"/>
      <c r="D226" s="175"/>
      <c r="E226" s="597"/>
      <c r="F226" s="597"/>
      <c r="G226" s="597"/>
      <c r="H226" s="597"/>
      <c r="I226" s="597"/>
      <c r="J226" s="597"/>
      <c r="K226" s="597"/>
      <c r="L226" s="597"/>
      <c r="M226" s="597"/>
      <c r="N226" s="597"/>
      <c r="O226" s="597"/>
      <c r="P226" s="597"/>
      <c r="Q226" s="597"/>
      <c r="R226" s="597"/>
      <c r="S226" s="175"/>
      <c r="T226" s="175"/>
      <c r="U226" s="175"/>
      <c r="V226" s="175"/>
      <c r="W226" s="175"/>
      <c r="X226" s="597"/>
      <c r="Y226" s="175"/>
      <c r="Z226" s="175"/>
    </row>
    <row r="227" ht="12.0" customHeight="1">
      <c r="A227" s="175"/>
      <c r="B227" s="175"/>
      <c r="C227" s="175"/>
      <c r="D227" s="175"/>
      <c r="E227" s="597"/>
      <c r="F227" s="597"/>
      <c r="G227" s="597"/>
      <c r="H227" s="597"/>
      <c r="I227" s="597"/>
      <c r="J227" s="597"/>
      <c r="K227" s="597"/>
      <c r="L227" s="597"/>
      <c r="M227" s="597"/>
      <c r="N227" s="597"/>
      <c r="O227" s="597"/>
      <c r="P227" s="597"/>
      <c r="Q227" s="597"/>
      <c r="R227" s="597"/>
      <c r="S227" s="175"/>
      <c r="T227" s="175"/>
      <c r="U227" s="175"/>
      <c r="V227" s="175"/>
      <c r="W227" s="175"/>
      <c r="X227" s="597"/>
      <c r="Y227" s="175"/>
      <c r="Z227" s="175"/>
    </row>
    <row r="228" ht="12.0" customHeight="1">
      <c r="A228" s="175"/>
      <c r="B228" s="175"/>
      <c r="C228" s="175"/>
      <c r="D228" s="175"/>
      <c r="E228" s="597"/>
      <c r="F228" s="597"/>
      <c r="G228" s="597"/>
      <c r="H228" s="597"/>
      <c r="I228" s="597"/>
      <c r="J228" s="597"/>
      <c r="K228" s="597"/>
      <c r="L228" s="597"/>
      <c r="M228" s="597"/>
      <c r="N228" s="597"/>
      <c r="O228" s="597"/>
      <c r="P228" s="597"/>
      <c r="Q228" s="597"/>
      <c r="R228" s="597"/>
      <c r="S228" s="175"/>
      <c r="T228" s="175"/>
      <c r="U228" s="175"/>
      <c r="V228" s="175"/>
      <c r="W228" s="175"/>
      <c r="X228" s="597"/>
      <c r="Y228" s="175"/>
      <c r="Z228" s="175"/>
    </row>
    <row r="229" ht="12.0" customHeight="1">
      <c r="A229" s="175"/>
      <c r="B229" s="175"/>
      <c r="C229" s="175"/>
      <c r="D229" s="175"/>
      <c r="E229" s="597"/>
      <c r="F229" s="597"/>
      <c r="G229" s="597"/>
      <c r="H229" s="597"/>
      <c r="I229" s="597"/>
      <c r="J229" s="597"/>
      <c r="K229" s="597"/>
      <c r="L229" s="597"/>
      <c r="M229" s="597"/>
      <c r="N229" s="597"/>
      <c r="O229" s="597"/>
      <c r="P229" s="597"/>
      <c r="Q229" s="597"/>
      <c r="R229" s="597"/>
      <c r="S229" s="175"/>
      <c r="T229" s="175"/>
      <c r="U229" s="175"/>
      <c r="V229" s="175"/>
      <c r="W229" s="175"/>
      <c r="X229" s="597"/>
      <c r="Y229" s="175"/>
      <c r="Z229" s="175"/>
    </row>
    <row r="230" ht="12.0" customHeight="1">
      <c r="A230" s="175"/>
      <c r="B230" s="175"/>
      <c r="C230" s="175"/>
      <c r="D230" s="175"/>
      <c r="E230" s="597"/>
      <c r="F230" s="597"/>
      <c r="G230" s="597"/>
      <c r="H230" s="597"/>
      <c r="I230" s="597"/>
      <c r="J230" s="597"/>
      <c r="K230" s="597"/>
      <c r="L230" s="597"/>
      <c r="M230" s="597"/>
      <c r="N230" s="597"/>
      <c r="O230" s="597"/>
      <c r="P230" s="597"/>
      <c r="Q230" s="597"/>
      <c r="R230" s="597"/>
      <c r="S230" s="175"/>
      <c r="T230" s="175"/>
      <c r="U230" s="175"/>
      <c r="V230" s="175"/>
      <c r="W230" s="175"/>
      <c r="X230" s="597"/>
      <c r="Y230" s="175"/>
      <c r="Z230" s="175"/>
    </row>
    <row r="231" ht="12.0" customHeight="1">
      <c r="A231" s="175"/>
      <c r="B231" s="175"/>
      <c r="C231" s="175"/>
      <c r="D231" s="175"/>
      <c r="E231" s="597"/>
      <c r="F231" s="597"/>
      <c r="G231" s="597"/>
      <c r="H231" s="597"/>
      <c r="I231" s="597"/>
      <c r="J231" s="597"/>
      <c r="K231" s="597"/>
      <c r="L231" s="597"/>
      <c r="M231" s="597"/>
      <c r="N231" s="597"/>
      <c r="O231" s="597"/>
      <c r="P231" s="597"/>
      <c r="Q231" s="597"/>
      <c r="R231" s="597"/>
      <c r="S231" s="175"/>
      <c r="T231" s="175"/>
      <c r="U231" s="175"/>
      <c r="V231" s="175"/>
      <c r="W231" s="175"/>
      <c r="X231" s="597"/>
      <c r="Y231" s="175"/>
      <c r="Z231" s="175"/>
    </row>
    <row r="232" ht="12.0" customHeight="1">
      <c r="A232" s="175"/>
      <c r="B232" s="175"/>
      <c r="C232" s="175"/>
      <c r="D232" s="175"/>
      <c r="E232" s="597"/>
      <c r="F232" s="597"/>
      <c r="G232" s="597"/>
      <c r="H232" s="597"/>
      <c r="I232" s="597"/>
      <c r="J232" s="597"/>
      <c r="K232" s="597"/>
      <c r="L232" s="597"/>
      <c r="M232" s="597"/>
      <c r="N232" s="597"/>
      <c r="O232" s="597"/>
      <c r="P232" s="597"/>
      <c r="Q232" s="597"/>
      <c r="R232" s="597"/>
      <c r="S232" s="175"/>
      <c r="T232" s="175"/>
      <c r="U232" s="175"/>
      <c r="V232" s="175"/>
      <c r="W232" s="175"/>
      <c r="X232" s="597"/>
      <c r="Y232" s="175"/>
      <c r="Z232" s="175"/>
    </row>
    <row r="233" ht="12.0" customHeight="1">
      <c r="A233" s="175"/>
      <c r="B233" s="175"/>
      <c r="C233" s="175"/>
      <c r="D233" s="175"/>
      <c r="E233" s="597"/>
      <c r="F233" s="597"/>
      <c r="G233" s="597"/>
      <c r="H233" s="597"/>
      <c r="I233" s="597"/>
      <c r="J233" s="597"/>
      <c r="K233" s="597"/>
      <c r="L233" s="597"/>
      <c r="M233" s="597"/>
      <c r="N233" s="597"/>
      <c r="O233" s="597"/>
      <c r="P233" s="597"/>
      <c r="Q233" s="597"/>
      <c r="R233" s="597"/>
      <c r="S233" s="175"/>
      <c r="T233" s="175"/>
      <c r="U233" s="175"/>
      <c r="V233" s="175"/>
      <c r="W233" s="175"/>
      <c r="X233" s="597"/>
      <c r="Y233" s="175"/>
      <c r="Z233" s="175"/>
    </row>
    <row r="234" ht="12.0" customHeight="1">
      <c r="A234" s="175"/>
      <c r="B234" s="175"/>
      <c r="C234" s="175"/>
      <c r="D234" s="175"/>
      <c r="E234" s="597"/>
      <c r="F234" s="597"/>
      <c r="G234" s="597"/>
      <c r="H234" s="597"/>
      <c r="I234" s="597"/>
      <c r="J234" s="597"/>
      <c r="K234" s="597"/>
      <c r="L234" s="597"/>
      <c r="M234" s="597"/>
      <c r="N234" s="597"/>
      <c r="O234" s="597"/>
      <c r="P234" s="597"/>
      <c r="Q234" s="597"/>
      <c r="R234" s="597"/>
      <c r="S234" s="175"/>
      <c r="T234" s="175"/>
      <c r="U234" s="175"/>
      <c r="V234" s="175"/>
      <c r="W234" s="175"/>
      <c r="X234" s="597"/>
      <c r="Y234" s="175"/>
      <c r="Z234" s="175"/>
    </row>
    <row r="235" ht="12.0" customHeight="1">
      <c r="A235" s="175"/>
      <c r="B235" s="175"/>
      <c r="C235" s="175"/>
      <c r="D235" s="175"/>
      <c r="E235" s="597"/>
      <c r="F235" s="597"/>
      <c r="G235" s="597"/>
      <c r="H235" s="597"/>
      <c r="I235" s="597"/>
      <c r="J235" s="597"/>
      <c r="K235" s="597"/>
      <c r="L235" s="597"/>
      <c r="M235" s="597"/>
      <c r="N235" s="597"/>
      <c r="O235" s="597"/>
      <c r="P235" s="597"/>
      <c r="Q235" s="597"/>
      <c r="R235" s="597"/>
      <c r="S235" s="175"/>
      <c r="T235" s="175"/>
      <c r="U235" s="175"/>
      <c r="V235" s="175"/>
      <c r="W235" s="175"/>
      <c r="X235" s="597"/>
      <c r="Y235" s="175"/>
      <c r="Z235" s="175"/>
    </row>
    <row r="236" ht="12.0" customHeight="1">
      <c r="A236" s="175"/>
      <c r="B236" s="175"/>
      <c r="C236" s="175"/>
      <c r="D236" s="175"/>
      <c r="E236" s="597"/>
      <c r="F236" s="597"/>
      <c r="G236" s="597"/>
      <c r="H236" s="597"/>
      <c r="I236" s="597"/>
      <c r="J236" s="597"/>
      <c r="K236" s="597"/>
      <c r="L236" s="597"/>
      <c r="M236" s="597"/>
      <c r="N236" s="597"/>
      <c r="O236" s="597"/>
      <c r="P236" s="597"/>
      <c r="Q236" s="597"/>
      <c r="R236" s="597"/>
      <c r="S236" s="175"/>
      <c r="T236" s="175"/>
      <c r="U236" s="175"/>
      <c r="V236" s="175"/>
      <c r="W236" s="175"/>
      <c r="X236" s="597"/>
      <c r="Y236" s="175"/>
      <c r="Z236" s="175"/>
    </row>
    <row r="237" ht="12.0" customHeight="1">
      <c r="A237" s="175"/>
      <c r="B237" s="175"/>
      <c r="C237" s="175"/>
      <c r="D237" s="175"/>
      <c r="E237" s="597"/>
      <c r="F237" s="597"/>
      <c r="G237" s="597"/>
      <c r="H237" s="597"/>
      <c r="I237" s="597"/>
      <c r="J237" s="597"/>
      <c r="K237" s="597"/>
      <c r="L237" s="597"/>
      <c r="M237" s="597"/>
      <c r="N237" s="597"/>
      <c r="O237" s="597"/>
      <c r="P237" s="597"/>
      <c r="Q237" s="597"/>
      <c r="R237" s="597"/>
      <c r="S237" s="175"/>
      <c r="T237" s="175"/>
      <c r="U237" s="175"/>
      <c r="V237" s="175"/>
      <c r="W237" s="175"/>
      <c r="X237" s="597"/>
      <c r="Y237" s="175"/>
      <c r="Z237" s="175"/>
    </row>
    <row r="238" ht="12.0" customHeight="1">
      <c r="A238" s="175"/>
      <c r="B238" s="175"/>
      <c r="C238" s="175"/>
      <c r="D238" s="175"/>
      <c r="E238" s="597"/>
      <c r="F238" s="597"/>
      <c r="G238" s="597"/>
      <c r="H238" s="597"/>
      <c r="I238" s="597"/>
      <c r="J238" s="597"/>
      <c r="K238" s="597"/>
      <c r="L238" s="597"/>
      <c r="M238" s="597"/>
      <c r="N238" s="597"/>
      <c r="O238" s="597"/>
      <c r="P238" s="597"/>
      <c r="Q238" s="597"/>
      <c r="R238" s="597"/>
      <c r="S238" s="175"/>
      <c r="T238" s="175"/>
      <c r="U238" s="175"/>
      <c r="V238" s="175"/>
      <c r="W238" s="175"/>
      <c r="X238" s="597"/>
      <c r="Y238" s="175"/>
      <c r="Z238" s="175"/>
    </row>
    <row r="239" ht="12.0" customHeight="1">
      <c r="A239" s="175"/>
      <c r="B239" s="175"/>
      <c r="C239" s="175"/>
      <c r="D239" s="175"/>
      <c r="E239" s="597"/>
      <c r="F239" s="597"/>
      <c r="G239" s="597"/>
      <c r="H239" s="597"/>
      <c r="I239" s="597"/>
      <c r="J239" s="597"/>
      <c r="K239" s="597"/>
      <c r="L239" s="597"/>
      <c r="M239" s="597"/>
      <c r="N239" s="597"/>
      <c r="O239" s="597"/>
      <c r="P239" s="597"/>
      <c r="Q239" s="597"/>
      <c r="R239" s="597"/>
      <c r="S239" s="175"/>
      <c r="T239" s="175"/>
      <c r="U239" s="175"/>
      <c r="V239" s="175"/>
      <c r="W239" s="175"/>
      <c r="X239" s="597"/>
      <c r="Y239" s="175"/>
      <c r="Z239" s="175"/>
    </row>
    <row r="240" ht="12.0" customHeight="1">
      <c r="A240" s="175"/>
      <c r="B240" s="175"/>
      <c r="C240" s="175"/>
      <c r="D240" s="175"/>
      <c r="E240" s="597"/>
      <c r="F240" s="597"/>
      <c r="G240" s="597"/>
      <c r="H240" s="597"/>
      <c r="I240" s="597"/>
      <c r="J240" s="597"/>
      <c r="K240" s="597"/>
      <c r="L240" s="597"/>
      <c r="M240" s="597"/>
      <c r="N240" s="597"/>
      <c r="O240" s="597"/>
      <c r="P240" s="597"/>
      <c r="Q240" s="597"/>
      <c r="R240" s="597"/>
      <c r="S240" s="175"/>
      <c r="T240" s="175"/>
      <c r="U240" s="175"/>
      <c r="V240" s="175"/>
      <c r="W240" s="175"/>
      <c r="X240" s="597"/>
      <c r="Y240" s="175"/>
      <c r="Z240" s="175"/>
    </row>
    <row r="241" ht="12.0" customHeight="1">
      <c r="A241" s="175"/>
      <c r="B241" s="175"/>
      <c r="C241" s="175"/>
      <c r="D241" s="175"/>
      <c r="E241" s="597"/>
      <c r="F241" s="597"/>
      <c r="G241" s="597"/>
      <c r="H241" s="597"/>
      <c r="I241" s="597"/>
      <c r="J241" s="597"/>
      <c r="K241" s="597"/>
      <c r="L241" s="597"/>
      <c r="M241" s="597"/>
      <c r="N241" s="597"/>
      <c r="O241" s="597"/>
      <c r="P241" s="597"/>
      <c r="Q241" s="597"/>
      <c r="R241" s="597"/>
      <c r="S241" s="175"/>
      <c r="T241" s="175"/>
      <c r="U241" s="175"/>
      <c r="V241" s="175"/>
      <c r="W241" s="175"/>
      <c r="X241" s="597"/>
      <c r="Y241" s="175"/>
      <c r="Z241" s="175"/>
    </row>
    <row r="242" ht="12.0" customHeight="1">
      <c r="A242" s="175"/>
      <c r="B242" s="175"/>
      <c r="C242" s="175"/>
      <c r="D242" s="175"/>
      <c r="E242" s="597"/>
      <c r="F242" s="597"/>
      <c r="G242" s="597"/>
      <c r="H242" s="597"/>
      <c r="I242" s="597"/>
      <c r="J242" s="597"/>
      <c r="K242" s="597"/>
      <c r="L242" s="597"/>
      <c r="M242" s="597"/>
      <c r="N242" s="597"/>
      <c r="O242" s="597"/>
      <c r="P242" s="597"/>
      <c r="Q242" s="597"/>
      <c r="R242" s="597"/>
      <c r="S242" s="175"/>
      <c r="T242" s="175"/>
      <c r="U242" s="175"/>
      <c r="V242" s="175"/>
      <c r="W242" s="175"/>
      <c r="X242" s="597"/>
      <c r="Y242" s="175"/>
      <c r="Z242" s="175"/>
    </row>
    <row r="243" ht="12.0" customHeight="1">
      <c r="A243" s="175"/>
      <c r="B243" s="175"/>
      <c r="C243" s="175"/>
      <c r="D243" s="175"/>
      <c r="E243" s="597"/>
      <c r="F243" s="597"/>
      <c r="G243" s="597"/>
      <c r="H243" s="597"/>
      <c r="I243" s="597"/>
      <c r="J243" s="597"/>
      <c r="K243" s="597"/>
      <c r="L243" s="597"/>
      <c r="M243" s="597"/>
      <c r="N243" s="597"/>
      <c r="O243" s="597"/>
      <c r="P243" s="597"/>
      <c r="Q243" s="597"/>
      <c r="R243" s="597"/>
      <c r="S243" s="175"/>
      <c r="T243" s="175"/>
      <c r="U243" s="175"/>
      <c r="V243" s="175"/>
      <c r="W243" s="175"/>
      <c r="X243" s="597"/>
      <c r="Y243" s="175"/>
      <c r="Z243" s="175"/>
    </row>
    <row r="244" ht="12.0" customHeight="1">
      <c r="A244" s="175"/>
      <c r="B244" s="175"/>
      <c r="C244" s="175"/>
      <c r="D244" s="175"/>
      <c r="E244" s="597"/>
      <c r="F244" s="597"/>
      <c r="G244" s="597"/>
      <c r="H244" s="597"/>
      <c r="I244" s="597"/>
      <c r="J244" s="597"/>
      <c r="K244" s="597"/>
      <c r="L244" s="597"/>
      <c r="M244" s="597"/>
      <c r="N244" s="597"/>
      <c r="O244" s="597"/>
      <c r="P244" s="597"/>
      <c r="Q244" s="597"/>
      <c r="R244" s="597"/>
      <c r="S244" s="175"/>
      <c r="T244" s="175"/>
      <c r="U244" s="175"/>
      <c r="V244" s="175"/>
      <c r="W244" s="175"/>
      <c r="X244" s="597"/>
      <c r="Y244" s="175"/>
      <c r="Z244" s="175"/>
    </row>
    <row r="245" ht="12.0" customHeight="1">
      <c r="A245" s="175"/>
      <c r="B245" s="175"/>
      <c r="C245" s="175"/>
      <c r="D245" s="175"/>
      <c r="E245" s="597"/>
      <c r="F245" s="597"/>
      <c r="G245" s="597"/>
      <c r="H245" s="597"/>
      <c r="I245" s="597"/>
      <c r="J245" s="597"/>
      <c r="K245" s="597"/>
      <c r="L245" s="597"/>
      <c r="M245" s="597"/>
      <c r="N245" s="597"/>
      <c r="O245" s="597"/>
      <c r="P245" s="597"/>
      <c r="Q245" s="597"/>
      <c r="R245" s="597"/>
      <c r="S245" s="175"/>
      <c r="T245" s="175"/>
      <c r="U245" s="175"/>
      <c r="V245" s="175"/>
      <c r="W245" s="175"/>
      <c r="X245" s="597"/>
      <c r="Y245" s="175"/>
      <c r="Z245" s="175"/>
    </row>
    <row r="246" ht="12.0" customHeight="1">
      <c r="A246" s="175"/>
      <c r="B246" s="175"/>
      <c r="C246" s="175"/>
      <c r="D246" s="175"/>
      <c r="E246" s="597"/>
      <c r="F246" s="597"/>
      <c r="G246" s="597"/>
      <c r="H246" s="597"/>
      <c r="I246" s="597"/>
      <c r="J246" s="597"/>
      <c r="K246" s="597"/>
      <c r="L246" s="597"/>
      <c r="M246" s="597"/>
      <c r="N246" s="597"/>
      <c r="O246" s="597"/>
      <c r="P246" s="597"/>
      <c r="Q246" s="597"/>
      <c r="R246" s="597"/>
      <c r="S246" s="175"/>
      <c r="T246" s="175"/>
      <c r="U246" s="175"/>
      <c r="V246" s="175"/>
      <c r="W246" s="175"/>
      <c r="X246" s="597"/>
      <c r="Y246" s="175"/>
      <c r="Z246" s="175"/>
    </row>
    <row r="247" ht="12.0" customHeight="1">
      <c r="A247" s="175"/>
      <c r="B247" s="175"/>
      <c r="C247" s="175"/>
      <c r="D247" s="175"/>
      <c r="E247" s="597"/>
      <c r="F247" s="597"/>
      <c r="G247" s="597"/>
      <c r="H247" s="597"/>
      <c r="I247" s="597"/>
      <c r="J247" s="597"/>
      <c r="K247" s="597"/>
      <c r="L247" s="597"/>
      <c r="M247" s="597"/>
      <c r="N247" s="597"/>
      <c r="O247" s="597"/>
      <c r="P247" s="597"/>
      <c r="Q247" s="597"/>
      <c r="R247" s="597"/>
      <c r="S247" s="175"/>
      <c r="T247" s="175"/>
      <c r="U247" s="175"/>
      <c r="V247" s="175"/>
      <c r="W247" s="175"/>
      <c r="X247" s="597"/>
      <c r="Y247" s="175"/>
      <c r="Z247" s="175"/>
    </row>
    <row r="248" ht="12.0" customHeight="1">
      <c r="A248" s="175"/>
      <c r="B248" s="175"/>
      <c r="C248" s="175"/>
      <c r="D248" s="175"/>
      <c r="E248" s="597"/>
      <c r="F248" s="597"/>
      <c r="G248" s="597"/>
      <c r="H248" s="597"/>
      <c r="I248" s="597"/>
      <c r="J248" s="597"/>
      <c r="K248" s="597"/>
      <c r="L248" s="597"/>
      <c r="M248" s="597"/>
      <c r="N248" s="597"/>
      <c r="O248" s="597"/>
      <c r="P248" s="597"/>
      <c r="Q248" s="597"/>
      <c r="R248" s="597"/>
      <c r="S248" s="175"/>
      <c r="T248" s="175"/>
      <c r="U248" s="175"/>
      <c r="V248" s="175"/>
      <c r="W248" s="175"/>
      <c r="X248" s="597"/>
      <c r="Y248" s="175"/>
      <c r="Z248" s="175"/>
    </row>
    <row r="249" ht="12.0" customHeight="1">
      <c r="A249" s="175"/>
      <c r="B249" s="175"/>
      <c r="C249" s="175"/>
      <c r="D249" s="175"/>
      <c r="E249" s="597"/>
      <c r="F249" s="597"/>
      <c r="G249" s="597"/>
      <c r="H249" s="597"/>
      <c r="I249" s="597"/>
      <c r="J249" s="597"/>
      <c r="K249" s="597"/>
      <c r="L249" s="597"/>
      <c r="M249" s="597"/>
      <c r="N249" s="597"/>
      <c r="O249" s="597"/>
      <c r="P249" s="597"/>
      <c r="Q249" s="597"/>
      <c r="R249" s="597"/>
      <c r="S249" s="175"/>
      <c r="T249" s="175"/>
      <c r="U249" s="175"/>
      <c r="V249" s="175"/>
      <c r="W249" s="175"/>
      <c r="X249" s="597"/>
      <c r="Y249" s="175"/>
      <c r="Z249" s="175"/>
    </row>
    <row r="250" ht="12.0" customHeight="1">
      <c r="A250" s="175"/>
      <c r="B250" s="175"/>
      <c r="C250" s="175"/>
      <c r="D250" s="175"/>
      <c r="E250" s="597"/>
      <c r="F250" s="597"/>
      <c r="G250" s="597"/>
      <c r="H250" s="597"/>
      <c r="I250" s="597"/>
      <c r="J250" s="597"/>
      <c r="K250" s="597"/>
      <c r="L250" s="597"/>
      <c r="M250" s="597"/>
      <c r="N250" s="597"/>
      <c r="O250" s="597"/>
      <c r="P250" s="597"/>
      <c r="Q250" s="597"/>
      <c r="R250" s="597"/>
      <c r="S250" s="175"/>
      <c r="T250" s="175"/>
      <c r="U250" s="175"/>
      <c r="V250" s="175"/>
      <c r="W250" s="175"/>
      <c r="X250" s="597"/>
      <c r="Y250" s="175"/>
      <c r="Z250" s="175"/>
    </row>
    <row r="251" ht="12.0" customHeight="1">
      <c r="A251" s="175"/>
      <c r="B251" s="175"/>
      <c r="C251" s="175"/>
      <c r="D251" s="175"/>
      <c r="E251" s="597"/>
      <c r="F251" s="597"/>
      <c r="G251" s="597"/>
      <c r="H251" s="597"/>
      <c r="I251" s="597"/>
      <c r="J251" s="597"/>
      <c r="K251" s="597"/>
      <c r="L251" s="597"/>
      <c r="M251" s="597"/>
      <c r="N251" s="597"/>
      <c r="O251" s="597"/>
      <c r="P251" s="597"/>
      <c r="Q251" s="597"/>
      <c r="R251" s="597"/>
      <c r="S251" s="175"/>
      <c r="T251" s="175"/>
      <c r="U251" s="175"/>
      <c r="V251" s="175"/>
      <c r="W251" s="175"/>
      <c r="X251" s="597"/>
      <c r="Y251" s="175"/>
      <c r="Z251" s="175"/>
    </row>
    <row r="252" ht="12.0" customHeight="1">
      <c r="A252" s="175"/>
      <c r="B252" s="175"/>
      <c r="C252" s="175"/>
      <c r="D252" s="175"/>
      <c r="E252" s="597"/>
      <c r="F252" s="597"/>
      <c r="G252" s="597"/>
      <c r="H252" s="597"/>
      <c r="I252" s="597"/>
      <c r="J252" s="597"/>
      <c r="K252" s="597"/>
      <c r="L252" s="597"/>
      <c r="M252" s="597"/>
      <c r="N252" s="597"/>
      <c r="O252" s="597"/>
      <c r="P252" s="597"/>
      <c r="Q252" s="597"/>
      <c r="R252" s="597"/>
      <c r="S252" s="175"/>
      <c r="T252" s="175"/>
      <c r="U252" s="175"/>
      <c r="V252" s="175"/>
      <c r="W252" s="175"/>
      <c r="X252" s="597"/>
      <c r="Y252" s="175"/>
      <c r="Z252" s="175"/>
    </row>
    <row r="253" ht="12.0" customHeight="1">
      <c r="A253" s="175"/>
      <c r="B253" s="175"/>
      <c r="C253" s="175"/>
      <c r="D253" s="175"/>
      <c r="E253" s="597"/>
      <c r="F253" s="597"/>
      <c r="G253" s="597"/>
      <c r="H253" s="597"/>
      <c r="I253" s="597"/>
      <c r="J253" s="597"/>
      <c r="K253" s="597"/>
      <c r="L253" s="597"/>
      <c r="M253" s="597"/>
      <c r="N253" s="597"/>
      <c r="O253" s="597"/>
      <c r="P253" s="597"/>
      <c r="Q253" s="597"/>
      <c r="R253" s="597"/>
      <c r="S253" s="175"/>
      <c r="T253" s="175"/>
      <c r="U253" s="175"/>
      <c r="V253" s="175"/>
      <c r="W253" s="175"/>
      <c r="X253" s="597"/>
      <c r="Y253" s="175"/>
      <c r="Z253" s="175"/>
    </row>
    <row r="254" ht="12.0" customHeight="1">
      <c r="A254" s="175"/>
      <c r="B254" s="175"/>
      <c r="C254" s="175"/>
      <c r="D254" s="175"/>
      <c r="E254" s="597"/>
      <c r="F254" s="597"/>
      <c r="G254" s="597"/>
      <c r="H254" s="597"/>
      <c r="I254" s="597"/>
      <c r="J254" s="597"/>
      <c r="K254" s="597"/>
      <c r="L254" s="597"/>
      <c r="M254" s="597"/>
      <c r="N254" s="597"/>
      <c r="O254" s="597"/>
      <c r="P254" s="597"/>
      <c r="Q254" s="597"/>
      <c r="R254" s="597"/>
      <c r="S254" s="175"/>
      <c r="T254" s="175"/>
      <c r="U254" s="175"/>
      <c r="V254" s="175"/>
      <c r="W254" s="175"/>
      <c r="X254" s="597"/>
      <c r="Y254" s="175"/>
      <c r="Z254" s="175"/>
    </row>
    <row r="255" ht="12.0" customHeight="1">
      <c r="A255" s="175"/>
      <c r="B255" s="175"/>
      <c r="C255" s="175"/>
      <c r="D255" s="175"/>
      <c r="E255" s="597"/>
      <c r="F255" s="597"/>
      <c r="G255" s="597"/>
      <c r="H255" s="597"/>
      <c r="I255" s="597"/>
      <c r="J255" s="597"/>
      <c r="K255" s="597"/>
      <c r="L255" s="597"/>
      <c r="M255" s="597"/>
      <c r="N255" s="597"/>
      <c r="O255" s="597"/>
      <c r="P255" s="597"/>
      <c r="Q255" s="597"/>
      <c r="R255" s="597"/>
      <c r="S255" s="175"/>
      <c r="T255" s="175"/>
      <c r="U255" s="175"/>
      <c r="V255" s="175"/>
      <c r="W255" s="175"/>
      <c r="X255" s="597"/>
      <c r="Y255" s="175"/>
      <c r="Z255" s="175"/>
    </row>
    <row r="256" ht="12.0" customHeight="1">
      <c r="A256" s="175"/>
      <c r="B256" s="175"/>
      <c r="C256" s="175"/>
      <c r="D256" s="175"/>
      <c r="E256" s="597"/>
      <c r="F256" s="597"/>
      <c r="G256" s="597"/>
      <c r="H256" s="597"/>
      <c r="I256" s="597"/>
      <c r="J256" s="597"/>
      <c r="K256" s="597"/>
      <c r="L256" s="597"/>
      <c r="M256" s="597"/>
      <c r="N256" s="597"/>
      <c r="O256" s="597"/>
      <c r="P256" s="597"/>
      <c r="Q256" s="597"/>
      <c r="R256" s="597"/>
      <c r="S256" s="175"/>
      <c r="T256" s="175"/>
      <c r="U256" s="175"/>
      <c r="V256" s="175"/>
      <c r="W256" s="175"/>
      <c r="X256" s="597"/>
      <c r="Y256" s="175"/>
      <c r="Z256" s="175"/>
    </row>
    <row r="257" ht="12.0" customHeight="1">
      <c r="A257" s="175"/>
      <c r="B257" s="175"/>
      <c r="C257" s="175"/>
      <c r="D257" s="175"/>
      <c r="E257" s="597"/>
      <c r="F257" s="597"/>
      <c r="G257" s="597"/>
      <c r="H257" s="597"/>
      <c r="I257" s="597"/>
      <c r="J257" s="597"/>
      <c r="K257" s="597"/>
      <c r="L257" s="597"/>
      <c r="M257" s="597"/>
      <c r="N257" s="597"/>
      <c r="O257" s="597"/>
      <c r="P257" s="597"/>
      <c r="Q257" s="597"/>
      <c r="R257" s="597"/>
      <c r="S257" s="175"/>
      <c r="T257" s="175"/>
      <c r="U257" s="175"/>
      <c r="V257" s="175"/>
      <c r="W257" s="175"/>
      <c r="X257" s="597"/>
      <c r="Y257" s="175"/>
      <c r="Z257" s="175"/>
    </row>
    <row r="258" ht="12.0" customHeight="1">
      <c r="A258" s="175"/>
      <c r="B258" s="175"/>
      <c r="C258" s="175"/>
      <c r="D258" s="175"/>
      <c r="E258" s="597"/>
      <c r="F258" s="597"/>
      <c r="G258" s="597"/>
      <c r="H258" s="597"/>
      <c r="I258" s="597"/>
      <c r="J258" s="597"/>
      <c r="K258" s="597"/>
      <c r="L258" s="597"/>
      <c r="M258" s="597"/>
      <c r="N258" s="597"/>
      <c r="O258" s="597"/>
      <c r="P258" s="597"/>
      <c r="Q258" s="597"/>
      <c r="R258" s="597"/>
      <c r="S258" s="175"/>
      <c r="T258" s="175"/>
      <c r="U258" s="175"/>
      <c r="V258" s="175"/>
      <c r="W258" s="175"/>
      <c r="X258" s="597"/>
      <c r="Y258" s="175"/>
      <c r="Z258" s="175"/>
    </row>
    <row r="259" ht="12.0" customHeight="1">
      <c r="A259" s="175"/>
      <c r="B259" s="175"/>
      <c r="C259" s="175"/>
      <c r="D259" s="175"/>
      <c r="E259" s="597"/>
      <c r="F259" s="597"/>
      <c r="G259" s="597"/>
      <c r="H259" s="597"/>
      <c r="I259" s="597"/>
      <c r="J259" s="597"/>
      <c r="K259" s="597"/>
      <c r="L259" s="597"/>
      <c r="M259" s="597"/>
      <c r="N259" s="597"/>
      <c r="O259" s="597"/>
      <c r="P259" s="597"/>
      <c r="Q259" s="597"/>
      <c r="R259" s="597"/>
      <c r="S259" s="175"/>
      <c r="T259" s="175"/>
      <c r="U259" s="175"/>
      <c r="V259" s="175"/>
      <c r="W259" s="175"/>
      <c r="X259" s="597"/>
      <c r="Y259" s="175"/>
      <c r="Z259" s="175"/>
    </row>
    <row r="260" ht="12.0" customHeight="1">
      <c r="A260" s="175"/>
      <c r="B260" s="175"/>
      <c r="C260" s="175"/>
      <c r="D260" s="175"/>
      <c r="E260" s="597"/>
      <c r="F260" s="597"/>
      <c r="G260" s="597"/>
      <c r="H260" s="597"/>
      <c r="I260" s="597"/>
      <c r="J260" s="597"/>
      <c r="K260" s="597"/>
      <c r="L260" s="597"/>
      <c r="M260" s="597"/>
      <c r="N260" s="597"/>
      <c r="O260" s="597"/>
      <c r="P260" s="597"/>
      <c r="Q260" s="597"/>
      <c r="R260" s="597"/>
      <c r="S260" s="175"/>
      <c r="T260" s="175"/>
      <c r="U260" s="175"/>
      <c r="V260" s="175"/>
      <c r="W260" s="175"/>
      <c r="X260" s="597"/>
      <c r="Y260" s="175"/>
      <c r="Z260" s="175"/>
    </row>
    <row r="261" ht="12.0" customHeight="1">
      <c r="A261" s="175"/>
      <c r="B261" s="175"/>
      <c r="C261" s="175"/>
      <c r="D261" s="175"/>
      <c r="E261" s="597"/>
      <c r="F261" s="597"/>
      <c r="G261" s="597"/>
      <c r="H261" s="597"/>
      <c r="I261" s="597"/>
      <c r="J261" s="597"/>
      <c r="K261" s="597"/>
      <c r="L261" s="597"/>
      <c r="M261" s="597"/>
      <c r="N261" s="597"/>
      <c r="O261" s="597"/>
      <c r="P261" s="597"/>
      <c r="Q261" s="597"/>
      <c r="R261" s="597"/>
      <c r="S261" s="175"/>
      <c r="T261" s="175"/>
      <c r="U261" s="175"/>
      <c r="V261" s="175"/>
      <c r="W261" s="175"/>
      <c r="X261" s="597"/>
      <c r="Y261" s="175"/>
      <c r="Z261" s="175"/>
    </row>
    <row r="262" ht="12.0" customHeight="1">
      <c r="A262" s="175"/>
      <c r="B262" s="175"/>
      <c r="C262" s="175"/>
      <c r="D262" s="175"/>
      <c r="E262" s="597"/>
      <c r="F262" s="597"/>
      <c r="G262" s="597"/>
      <c r="H262" s="597"/>
      <c r="I262" s="597"/>
      <c r="J262" s="597"/>
      <c r="K262" s="597"/>
      <c r="L262" s="597"/>
      <c r="M262" s="597"/>
      <c r="N262" s="597"/>
      <c r="O262" s="597"/>
      <c r="P262" s="597"/>
      <c r="Q262" s="597"/>
      <c r="R262" s="597"/>
      <c r="S262" s="175"/>
      <c r="T262" s="175"/>
      <c r="U262" s="175"/>
      <c r="V262" s="175"/>
      <c r="W262" s="175"/>
      <c r="X262" s="597"/>
      <c r="Y262" s="175"/>
      <c r="Z262" s="175"/>
    </row>
    <row r="263" ht="12.0" customHeight="1">
      <c r="A263" s="175"/>
      <c r="B263" s="175"/>
      <c r="C263" s="175"/>
      <c r="D263" s="175"/>
      <c r="E263" s="597"/>
      <c r="F263" s="597"/>
      <c r="G263" s="597"/>
      <c r="H263" s="597"/>
      <c r="I263" s="597"/>
      <c r="J263" s="597"/>
      <c r="K263" s="597"/>
      <c r="L263" s="597"/>
      <c r="M263" s="597"/>
      <c r="N263" s="597"/>
      <c r="O263" s="597"/>
      <c r="P263" s="597"/>
      <c r="Q263" s="597"/>
      <c r="R263" s="597"/>
      <c r="S263" s="175"/>
      <c r="T263" s="175"/>
      <c r="U263" s="175"/>
      <c r="V263" s="175"/>
      <c r="W263" s="175"/>
      <c r="X263" s="597"/>
      <c r="Y263" s="175"/>
      <c r="Z263" s="175"/>
    </row>
    <row r="264" ht="12.0" customHeight="1">
      <c r="A264" s="175"/>
      <c r="B264" s="175"/>
      <c r="C264" s="175"/>
      <c r="D264" s="175"/>
      <c r="E264" s="597"/>
      <c r="F264" s="597"/>
      <c r="G264" s="597"/>
      <c r="H264" s="597"/>
      <c r="I264" s="597"/>
      <c r="J264" s="597"/>
      <c r="K264" s="597"/>
      <c r="L264" s="597"/>
      <c r="M264" s="597"/>
      <c r="N264" s="597"/>
      <c r="O264" s="597"/>
      <c r="P264" s="597"/>
      <c r="Q264" s="597"/>
      <c r="R264" s="597"/>
      <c r="S264" s="175"/>
      <c r="T264" s="175"/>
      <c r="U264" s="175"/>
      <c r="V264" s="175"/>
      <c r="W264" s="175"/>
      <c r="X264" s="597"/>
      <c r="Y264" s="175"/>
      <c r="Z264" s="175"/>
    </row>
    <row r="265" ht="12.0" customHeight="1">
      <c r="A265" s="175"/>
      <c r="B265" s="175"/>
      <c r="C265" s="175"/>
      <c r="D265" s="175"/>
      <c r="E265" s="597"/>
      <c r="F265" s="597"/>
      <c r="G265" s="597"/>
      <c r="H265" s="597"/>
      <c r="I265" s="597"/>
      <c r="J265" s="597"/>
      <c r="K265" s="597"/>
      <c r="L265" s="597"/>
      <c r="M265" s="597"/>
      <c r="N265" s="597"/>
      <c r="O265" s="597"/>
      <c r="P265" s="597"/>
      <c r="Q265" s="597"/>
      <c r="R265" s="597"/>
      <c r="S265" s="175"/>
      <c r="T265" s="175"/>
      <c r="U265" s="175"/>
      <c r="V265" s="175"/>
      <c r="W265" s="175"/>
      <c r="X265" s="597"/>
      <c r="Y265" s="175"/>
      <c r="Z265" s="175"/>
    </row>
    <row r="266" ht="12.0" customHeight="1">
      <c r="A266" s="175"/>
      <c r="B266" s="175"/>
      <c r="C266" s="175"/>
      <c r="D266" s="175"/>
      <c r="E266" s="597"/>
      <c r="F266" s="597"/>
      <c r="G266" s="597"/>
      <c r="H266" s="597"/>
      <c r="I266" s="597"/>
      <c r="J266" s="597"/>
      <c r="K266" s="597"/>
      <c r="L266" s="597"/>
      <c r="M266" s="597"/>
      <c r="N266" s="597"/>
      <c r="O266" s="597"/>
      <c r="P266" s="597"/>
      <c r="Q266" s="597"/>
      <c r="R266" s="597"/>
      <c r="S266" s="175"/>
      <c r="T266" s="175"/>
      <c r="U266" s="175"/>
      <c r="V266" s="175"/>
      <c r="W266" s="175"/>
      <c r="X266" s="597"/>
      <c r="Y266" s="175"/>
      <c r="Z266" s="175"/>
    </row>
    <row r="267" ht="12.0" customHeight="1">
      <c r="A267" s="175"/>
      <c r="B267" s="175"/>
      <c r="C267" s="175"/>
      <c r="D267" s="175"/>
      <c r="E267" s="597"/>
      <c r="F267" s="597"/>
      <c r="G267" s="597"/>
      <c r="H267" s="597"/>
      <c r="I267" s="597"/>
      <c r="J267" s="597"/>
      <c r="K267" s="597"/>
      <c r="L267" s="597"/>
      <c r="M267" s="597"/>
      <c r="N267" s="597"/>
      <c r="O267" s="597"/>
      <c r="P267" s="597"/>
      <c r="Q267" s="597"/>
      <c r="R267" s="597"/>
      <c r="S267" s="175"/>
      <c r="T267" s="175"/>
      <c r="U267" s="175"/>
      <c r="V267" s="175"/>
      <c r="W267" s="175"/>
      <c r="X267" s="597"/>
      <c r="Y267" s="175"/>
      <c r="Z267" s="175"/>
    </row>
    <row r="268" ht="12.0" customHeight="1">
      <c r="A268" s="175"/>
      <c r="B268" s="175"/>
      <c r="C268" s="175"/>
      <c r="D268" s="175"/>
      <c r="E268" s="597"/>
      <c r="F268" s="597"/>
      <c r="G268" s="597"/>
      <c r="H268" s="597"/>
      <c r="I268" s="597"/>
      <c r="J268" s="597"/>
      <c r="K268" s="597"/>
      <c r="L268" s="597"/>
      <c r="M268" s="597"/>
      <c r="N268" s="597"/>
      <c r="O268" s="597"/>
      <c r="P268" s="597"/>
      <c r="Q268" s="597"/>
      <c r="R268" s="597"/>
      <c r="S268" s="175"/>
      <c r="T268" s="175"/>
      <c r="U268" s="175"/>
      <c r="V268" s="175"/>
      <c r="W268" s="175"/>
      <c r="X268" s="597"/>
      <c r="Y268" s="175"/>
      <c r="Z268" s="175"/>
    </row>
    <row r="269" ht="12.0" customHeight="1">
      <c r="A269" s="175"/>
      <c r="B269" s="175"/>
      <c r="C269" s="175"/>
      <c r="D269" s="175"/>
      <c r="E269" s="597"/>
      <c r="F269" s="597"/>
      <c r="G269" s="597"/>
      <c r="H269" s="597"/>
      <c r="I269" s="597"/>
      <c r="J269" s="597"/>
      <c r="K269" s="597"/>
      <c r="L269" s="597"/>
      <c r="M269" s="597"/>
      <c r="N269" s="597"/>
      <c r="O269" s="597"/>
      <c r="P269" s="597"/>
      <c r="Q269" s="597"/>
      <c r="R269" s="597"/>
      <c r="S269" s="175"/>
      <c r="T269" s="175"/>
      <c r="U269" s="175"/>
      <c r="V269" s="175"/>
      <c r="W269" s="175"/>
      <c r="X269" s="597"/>
      <c r="Y269" s="175"/>
      <c r="Z269" s="175"/>
    </row>
    <row r="270" ht="12.0" customHeight="1">
      <c r="A270" s="175"/>
      <c r="B270" s="175"/>
      <c r="C270" s="175"/>
      <c r="D270" s="175"/>
      <c r="E270" s="597"/>
      <c r="F270" s="597"/>
      <c r="G270" s="597"/>
      <c r="H270" s="597"/>
      <c r="I270" s="597"/>
      <c r="J270" s="597"/>
      <c r="K270" s="597"/>
      <c r="L270" s="597"/>
      <c r="M270" s="597"/>
      <c r="N270" s="597"/>
      <c r="O270" s="597"/>
      <c r="P270" s="597"/>
      <c r="Q270" s="597"/>
      <c r="R270" s="597"/>
      <c r="S270" s="175"/>
      <c r="T270" s="175"/>
      <c r="U270" s="175"/>
      <c r="V270" s="175"/>
      <c r="W270" s="175"/>
      <c r="X270" s="597"/>
      <c r="Y270" s="175"/>
      <c r="Z270" s="175"/>
    </row>
    <row r="271" ht="12.0" customHeight="1">
      <c r="A271" s="175"/>
      <c r="B271" s="175"/>
      <c r="C271" s="175"/>
      <c r="D271" s="175"/>
      <c r="E271" s="597"/>
      <c r="F271" s="597"/>
      <c r="G271" s="597"/>
      <c r="H271" s="597"/>
      <c r="I271" s="597"/>
      <c r="J271" s="597"/>
      <c r="K271" s="597"/>
      <c r="L271" s="597"/>
      <c r="M271" s="597"/>
      <c r="N271" s="597"/>
      <c r="O271" s="597"/>
      <c r="P271" s="597"/>
      <c r="Q271" s="597"/>
      <c r="R271" s="597"/>
      <c r="S271" s="175"/>
      <c r="T271" s="175"/>
      <c r="U271" s="175"/>
      <c r="V271" s="175"/>
      <c r="W271" s="175"/>
      <c r="X271" s="597"/>
      <c r="Y271" s="175"/>
      <c r="Z271" s="175"/>
    </row>
    <row r="272" ht="12.0" customHeight="1">
      <c r="A272" s="175"/>
      <c r="B272" s="175"/>
      <c r="C272" s="175"/>
      <c r="D272" s="175"/>
      <c r="E272" s="597"/>
      <c r="F272" s="597"/>
      <c r="G272" s="597"/>
      <c r="H272" s="597"/>
      <c r="I272" s="597"/>
      <c r="J272" s="597"/>
      <c r="K272" s="597"/>
      <c r="L272" s="597"/>
      <c r="M272" s="597"/>
      <c r="N272" s="597"/>
      <c r="O272" s="597"/>
      <c r="P272" s="597"/>
      <c r="Q272" s="597"/>
      <c r="R272" s="597"/>
      <c r="S272" s="175"/>
      <c r="T272" s="175"/>
      <c r="U272" s="175"/>
      <c r="V272" s="175"/>
      <c r="W272" s="175"/>
      <c r="X272" s="597"/>
      <c r="Y272" s="175"/>
      <c r="Z272" s="175"/>
    </row>
    <row r="273" ht="12.0" customHeight="1">
      <c r="A273" s="175"/>
      <c r="B273" s="175"/>
      <c r="C273" s="175"/>
      <c r="D273" s="175"/>
      <c r="E273" s="597"/>
      <c r="F273" s="597"/>
      <c r="G273" s="597"/>
      <c r="H273" s="597"/>
      <c r="I273" s="597"/>
      <c r="J273" s="597"/>
      <c r="K273" s="597"/>
      <c r="L273" s="597"/>
      <c r="M273" s="597"/>
      <c r="N273" s="597"/>
      <c r="O273" s="597"/>
      <c r="P273" s="597"/>
      <c r="Q273" s="597"/>
      <c r="R273" s="597"/>
      <c r="S273" s="175"/>
      <c r="T273" s="175"/>
      <c r="U273" s="175"/>
      <c r="V273" s="175"/>
      <c r="W273" s="175"/>
      <c r="X273" s="597"/>
      <c r="Y273" s="175"/>
      <c r="Z273" s="175"/>
    </row>
    <row r="274" ht="12.0" customHeight="1">
      <c r="A274" s="175"/>
      <c r="B274" s="175"/>
      <c r="C274" s="175"/>
      <c r="D274" s="175"/>
      <c r="E274" s="597"/>
      <c r="F274" s="597"/>
      <c r="G274" s="597"/>
      <c r="H274" s="597"/>
      <c r="I274" s="597"/>
      <c r="J274" s="597"/>
      <c r="K274" s="597"/>
      <c r="L274" s="597"/>
      <c r="M274" s="597"/>
      <c r="N274" s="597"/>
      <c r="O274" s="597"/>
      <c r="P274" s="597"/>
      <c r="Q274" s="597"/>
      <c r="R274" s="597"/>
      <c r="S274" s="175"/>
      <c r="T274" s="175"/>
      <c r="U274" s="175"/>
      <c r="V274" s="175"/>
      <c r="W274" s="175"/>
      <c r="X274" s="597"/>
      <c r="Y274" s="175"/>
      <c r="Z274" s="175"/>
    </row>
    <row r="275" ht="12.0" customHeight="1">
      <c r="A275" s="175"/>
      <c r="B275" s="175"/>
      <c r="C275" s="175"/>
      <c r="D275" s="175"/>
      <c r="E275" s="597"/>
      <c r="F275" s="597"/>
      <c r="G275" s="597"/>
      <c r="H275" s="597"/>
      <c r="I275" s="597"/>
      <c r="J275" s="597"/>
      <c r="K275" s="597"/>
      <c r="L275" s="597"/>
      <c r="M275" s="597"/>
      <c r="N275" s="597"/>
      <c r="O275" s="597"/>
      <c r="P275" s="597"/>
      <c r="Q275" s="597"/>
      <c r="R275" s="597"/>
      <c r="S275" s="175"/>
      <c r="T275" s="175"/>
      <c r="U275" s="175"/>
      <c r="V275" s="175"/>
      <c r="W275" s="175"/>
      <c r="X275" s="597"/>
      <c r="Y275" s="175"/>
      <c r="Z275" s="175"/>
    </row>
    <row r="276" ht="12.0" customHeight="1">
      <c r="A276" s="175"/>
      <c r="B276" s="175"/>
      <c r="C276" s="175"/>
      <c r="D276" s="175"/>
      <c r="E276" s="597"/>
      <c r="F276" s="597"/>
      <c r="G276" s="597"/>
      <c r="H276" s="597"/>
      <c r="I276" s="597"/>
      <c r="J276" s="597"/>
      <c r="K276" s="597"/>
      <c r="L276" s="597"/>
      <c r="M276" s="597"/>
      <c r="N276" s="597"/>
      <c r="O276" s="597"/>
      <c r="P276" s="597"/>
      <c r="Q276" s="597"/>
      <c r="R276" s="597"/>
      <c r="S276" s="175"/>
      <c r="T276" s="175"/>
      <c r="U276" s="175"/>
      <c r="V276" s="175"/>
      <c r="W276" s="175"/>
      <c r="X276" s="597"/>
      <c r="Y276" s="175"/>
      <c r="Z276" s="175"/>
    </row>
    <row r="277" ht="12.0" customHeight="1">
      <c r="A277" s="175"/>
      <c r="B277" s="175"/>
      <c r="C277" s="175"/>
      <c r="D277" s="175"/>
      <c r="E277" s="597"/>
      <c r="F277" s="597"/>
      <c r="G277" s="597"/>
      <c r="H277" s="597"/>
      <c r="I277" s="597"/>
      <c r="J277" s="597"/>
      <c r="K277" s="597"/>
      <c r="L277" s="597"/>
      <c r="M277" s="597"/>
      <c r="N277" s="597"/>
      <c r="O277" s="597"/>
      <c r="P277" s="597"/>
      <c r="Q277" s="597"/>
      <c r="R277" s="597"/>
      <c r="S277" s="175"/>
      <c r="T277" s="175"/>
      <c r="U277" s="175"/>
      <c r="V277" s="175"/>
      <c r="W277" s="175"/>
      <c r="X277" s="597"/>
      <c r="Y277" s="175"/>
      <c r="Z277" s="175"/>
    </row>
    <row r="278" ht="12.0" customHeight="1">
      <c r="A278" s="175"/>
      <c r="B278" s="175"/>
      <c r="C278" s="175"/>
      <c r="D278" s="175"/>
      <c r="E278" s="597"/>
      <c r="F278" s="597"/>
      <c r="G278" s="597"/>
      <c r="H278" s="597"/>
      <c r="I278" s="597"/>
      <c r="J278" s="597"/>
      <c r="K278" s="597"/>
      <c r="L278" s="597"/>
      <c r="M278" s="597"/>
      <c r="N278" s="597"/>
      <c r="O278" s="597"/>
      <c r="P278" s="597"/>
      <c r="Q278" s="597"/>
      <c r="R278" s="597"/>
      <c r="S278" s="175"/>
      <c r="T278" s="175"/>
      <c r="U278" s="175"/>
      <c r="V278" s="175"/>
      <c r="W278" s="175"/>
      <c r="X278" s="597"/>
      <c r="Y278" s="175"/>
      <c r="Z278" s="175"/>
    </row>
    <row r="279" ht="12.0" customHeight="1">
      <c r="A279" s="175"/>
      <c r="B279" s="175"/>
      <c r="C279" s="175"/>
      <c r="D279" s="175"/>
      <c r="E279" s="597"/>
      <c r="F279" s="597"/>
      <c r="G279" s="597"/>
      <c r="H279" s="597"/>
      <c r="I279" s="597"/>
      <c r="J279" s="597"/>
      <c r="K279" s="597"/>
      <c r="L279" s="597"/>
      <c r="M279" s="597"/>
      <c r="N279" s="597"/>
      <c r="O279" s="597"/>
      <c r="P279" s="597"/>
      <c r="Q279" s="597"/>
      <c r="R279" s="597"/>
      <c r="S279" s="175"/>
      <c r="T279" s="175"/>
      <c r="U279" s="175"/>
      <c r="V279" s="175"/>
      <c r="W279" s="175"/>
      <c r="X279" s="597"/>
      <c r="Y279" s="175"/>
      <c r="Z279" s="175"/>
    </row>
    <row r="280" ht="12.0" customHeight="1">
      <c r="A280" s="175"/>
      <c r="B280" s="175"/>
      <c r="C280" s="175"/>
      <c r="D280" s="175"/>
      <c r="E280" s="597"/>
      <c r="F280" s="597"/>
      <c r="G280" s="597"/>
      <c r="H280" s="597"/>
      <c r="I280" s="597"/>
      <c r="J280" s="597"/>
      <c r="K280" s="597"/>
      <c r="L280" s="597"/>
      <c r="M280" s="597"/>
      <c r="N280" s="597"/>
      <c r="O280" s="597"/>
      <c r="P280" s="597"/>
      <c r="Q280" s="597"/>
      <c r="R280" s="597"/>
      <c r="S280" s="175"/>
      <c r="T280" s="175"/>
      <c r="U280" s="175"/>
      <c r="V280" s="175"/>
      <c r="W280" s="175"/>
      <c r="X280" s="597"/>
      <c r="Y280" s="175"/>
      <c r="Z280" s="175"/>
    </row>
    <row r="281" ht="12.0" customHeight="1">
      <c r="A281" s="175"/>
      <c r="B281" s="175"/>
      <c r="C281" s="175"/>
      <c r="D281" s="175"/>
      <c r="E281" s="597"/>
      <c r="F281" s="597"/>
      <c r="G281" s="597"/>
      <c r="H281" s="597"/>
      <c r="I281" s="597"/>
      <c r="J281" s="597"/>
      <c r="K281" s="597"/>
      <c r="L281" s="597"/>
      <c r="M281" s="597"/>
      <c r="N281" s="597"/>
      <c r="O281" s="597"/>
      <c r="P281" s="597"/>
      <c r="Q281" s="597"/>
      <c r="R281" s="597"/>
      <c r="S281" s="175"/>
      <c r="T281" s="175"/>
      <c r="U281" s="175"/>
      <c r="V281" s="175"/>
      <c r="W281" s="175"/>
      <c r="X281" s="597"/>
      <c r="Y281" s="175"/>
      <c r="Z281" s="175"/>
    </row>
    <row r="282" ht="12.0" customHeight="1">
      <c r="A282" s="175"/>
      <c r="B282" s="175"/>
      <c r="C282" s="175"/>
      <c r="D282" s="175"/>
      <c r="E282" s="597"/>
      <c r="F282" s="597"/>
      <c r="G282" s="597"/>
      <c r="H282" s="597"/>
      <c r="I282" s="597"/>
      <c r="J282" s="597"/>
      <c r="K282" s="597"/>
      <c r="L282" s="597"/>
      <c r="M282" s="597"/>
      <c r="N282" s="597"/>
      <c r="O282" s="597"/>
      <c r="P282" s="597"/>
      <c r="Q282" s="597"/>
      <c r="R282" s="597"/>
      <c r="S282" s="175"/>
      <c r="T282" s="175"/>
      <c r="U282" s="175"/>
      <c r="V282" s="175"/>
      <c r="W282" s="175"/>
      <c r="X282" s="597"/>
      <c r="Y282" s="175"/>
      <c r="Z282" s="175"/>
    </row>
    <row r="283" ht="12.0" customHeight="1">
      <c r="A283" s="175"/>
      <c r="B283" s="175"/>
      <c r="C283" s="175"/>
      <c r="D283" s="175"/>
      <c r="E283" s="597"/>
      <c r="F283" s="597"/>
      <c r="G283" s="597"/>
      <c r="H283" s="597"/>
      <c r="I283" s="597"/>
      <c r="J283" s="597"/>
      <c r="K283" s="597"/>
      <c r="L283" s="597"/>
      <c r="M283" s="597"/>
      <c r="N283" s="597"/>
      <c r="O283" s="597"/>
      <c r="P283" s="597"/>
      <c r="Q283" s="597"/>
      <c r="R283" s="597"/>
      <c r="S283" s="175"/>
      <c r="T283" s="175"/>
      <c r="U283" s="175"/>
      <c r="V283" s="175"/>
      <c r="W283" s="175"/>
      <c r="X283" s="597"/>
      <c r="Y283" s="175"/>
      <c r="Z283" s="175"/>
    </row>
    <row r="284" ht="12.0" customHeight="1">
      <c r="A284" s="175"/>
      <c r="B284" s="175"/>
      <c r="C284" s="175"/>
      <c r="D284" s="175"/>
      <c r="E284" s="597"/>
      <c r="F284" s="597"/>
      <c r="G284" s="597"/>
      <c r="H284" s="597"/>
      <c r="I284" s="597"/>
      <c r="J284" s="597"/>
      <c r="K284" s="597"/>
      <c r="L284" s="597"/>
      <c r="M284" s="597"/>
      <c r="N284" s="597"/>
      <c r="O284" s="597"/>
      <c r="P284" s="597"/>
      <c r="Q284" s="597"/>
      <c r="R284" s="597"/>
      <c r="S284" s="175"/>
      <c r="T284" s="175"/>
      <c r="U284" s="175"/>
      <c r="V284" s="175"/>
      <c r="W284" s="175"/>
      <c r="X284" s="597"/>
      <c r="Y284" s="175"/>
      <c r="Z284" s="175"/>
    </row>
    <row r="285" ht="12.0" customHeight="1">
      <c r="A285" s="175"/>
      <c r="B285" s="175"/>
      <c r="C285" s="175"/>
      <c r="D285" s="175"/>
      <c r="E285" s="597"/>
      <c r="F285" s="597"/>
      <c r="G285" s="597"/>
      <c r="H285" s="597"/>
      <c r="I285" s="597"/>
      <c r="J285" s="597"/>
      <c r="K285" s="597"/>
      <c r="L285" s="597"/>
      <c r="M285" s="597"/>
      <c r="N285" s="597"/>
      <c r="O285" s="597"/>
      <c r="P285" s="597"/>
      <c r="Q285" s="597"/>
      <c r="R285" s="597"/>
      <c r="S285" s="175"/>
      <c r="T285" s="175"/>
      <c r="U285" s="175"/>
      <c r="V285" s="175"/>
      <c r="W285" s="175"/>
      <c r="X285" s="597"/>
      <c r="Y285" s="175"/>
      <c r="Z285" s="175"/>
    </row>
    <row r="286" ht="12.0" customHeight="1">
      <c r="A286" s="175"/>
      <c r="B286" s="175"/>
      <c r="C286" s="175"/>
      <c r="D286" s="175"/>
      <c r="E286" s="597"/>
      <c r="F286" s="597"/>
      <c r="G286" s="597"/>
      <c r="H286" s="597"/>
      <c r="I286" s="597"/>
      <c r="J286" s="597"/>
      <c r="K286" s="597"/>
      <c r="L286" s="597"/>
      <c r="M286" s="597"/>
      <c r="N286" s="597"/>
      <c r="O286" s="597"/>
      <c r="P286" s="597"/>
      <c r="Q286" s="597"/>
      <c r="R286" s="597"/>
      <c r="S286" s="175"/>
      <c r="T286" s="175"/>
      <c r="U286" s="175"/>
      <c r="V286" s="175"/>
      <c r="W286" s="175"/>
      <c r="X286" s="597"/>
      <c r="Y286" s="175"/>
      <c r="Z286" s="175"/>
    </row>
    <row r="287" ht="12.0" customHeight="1">
      <c r="A287" s="175"/>
      <c r="B287" s="175"/>
      <c r="C287" s="175"/>
      <c r="D287" s="175"/>
      <c r="E287" s="597"/>
      <c r="F287" s="597"/>
      <c r="G287" s="597"/>
      <c r="H287" s="597"/>
      <c r="I287" s="597"/>
      <c r="J287" s="597"/>
      <c r="K287" s="597"/>
      <c r="L287" s="597"/>
      <c r="M287" s="597"/>
      <c r="N287" s="597"/>
      <c r="O287" s="597"/>
      <c r="P287" s="597"/>
      <c r="Q287" s="597"/>
      <c r="R287" s="597"/>
      <c r="S287" s="175"/>
      <c r="T287" s="175"/>
      <c r="U287" s="175"/>
      <c r="V287" s="175"/>
      <c r="W287" s="175"/>
      <c r="X287" s="597"/>
      <c r="Y287" s="175"/>
      <c r="Z287" s="175"/>
    </row>
    <row r="288" ht="12.0" customHeight="1">
      <c r="A288" s="175"/>
      <c r="B288" s="175"/>
      <c r="C288" s="175"/>
      <c r="D288" s="175"/>
      <c r="E288" s="597"/>
      <c r="F288" s="597"/>
      <c r="G288" s="597"/>
      <c r="H288" s="597"/>
      <c r="I288" s="597"/>
      <c r="J288" s="597"/>
      <c r="K288" s="597"/>
      <c r="L288" s="597"/>
      <c r="M288" s="597"/>
      <c r="N288" s="597"/>
      <c r="O288" s="597"/>
      <c r="P288" s="597"/>
      <c r="Q288" s="597"/>
      <c r="R288" s="597"/>
      <c r="S288" s="175"/>
      <c r="T288" s="175"/>
      <c r="U288" s="175"/>
      <c r="V288" s="175"/>
      <c r="W288" s="175"/>
      <c r="X288" s="597"/>
      <c r="Y288" s="175"/>
      <c r="Z288" s="175"/>
    </row>
    <row r="289" ht="12.0" customHeight="1">
      <c r="A289" s="175"/>
      <c r="B289" s="175"/>
      <c r="C289" s="175"/>
      <c r="D289" s="175"/>
      <c r="E289" s="597"/>
      <c r="F289" s="597"/>
      <c r="G289" s="597"/>
      <c r="H289" s="597"/>
      <c r="I289" s="597"/>
      <c r="J289" s="597"/>
      <c r="K289" s="597"/>
      <c r="L289" s="597"/>
      <c r="M289" s="597"/>
      <c r="N289" s="597"/>
      <c r="O289" s="597"/>
      <c r="P289" s="597"/>
      <c r="Q289" s="597"/>
      <c r="R289" s="597"/>
      <c r="S289" s="175"/>
      <c r="T289" s="175"/>
      <c r="U289" s="175"/>
      <c r="V289" s="175"/>
      <c r="W289" s="175"/>
      <c r="X289" s="597"/>
      <c r="Y289" s="175"/>
      <c r="Z289" s="175"/>
    </row>
    <row r="290" ht="12.0" customHeight="1">
      <c r="A290" s="175"/>
      <c r="B290" s="175"/>
      <c r="C290" s="175"/>
      <c r="D290" s="175"/>
      <c r="E290" s="597"/>
      <c r="F290" s="597"/>
      <c r="G290" s="597"/>
      <c r="H290" s="597"/>
      <c r="I290" s="597"/>
      <c r="J290" s="597"/>
      <c r="K290" s="597"/>
      <c r="L290" s="597"/>
      <c r="M290" s="597"/>
      <c r="N290" s="597"/>
      <c r="O290" s="597"/>
      <c r="P290" s="597"/>
      <c r="Q290" s="597"/>
      <c r="R290" s="597"/>
      <c r="S290" s="175"/>
      <c r="T290" s="175"/>
      <c r="U290" s="175"/>
      <c r="V290" s="175"/>
      <c r="W290" s="175"/>
      <c r="X290" s="597"/>
      <c r="Y290" s="175"/>
      <c r="Z290" s="175"/>
    </row>
    <row r="291" ht="12.0" customHeight="1">
      <c r="A291" s="175"/>
      <c r="B291" s="175"/>
      <c r="C291" s="175"/>
      <c r="D291" s="175"/>
      <c r="E291" s="597"/>
      <c r="F291" s="597"/>
      <c r="G291" s="597"/>
      <c r="H291" s="597"/>
      <c r="I291" s="597"/>
      <c r="J291" s="597"/>
      <c r="K291" s="597"/>
      <c r="L291" s="597"/>
      <c r="M291" s="597"/>
      <c r="N291" s="597"/>
      <c r="O291" s="597"/>
      <c r="P291" s="597"/>
      <c r="Q291" s="597"/>
      <c r="R291" s="597"/>
      <c r="S291" s="175"/>
      <c r="T291" s="175"/>
      <c r="U291" s="175"/>
      <c r="V291" s="175"/>
      <c r="W291" s="175"/>
      <c r="X291" s="597"/>
      <c r="Y291" s="175"/>
      <c r="Z291" s="175"/>
    </row>
    <row r="292" ht="12.0" customHeight="1">
      <c r="A292" s="175"/>
      <c r="B292" s="175"/>
      <c r="C292" s="175"/>
      <c r="D292" s="175"/>
      <c r="E292" s="597"/>
      <c r="F292" s="597"/>
      <c r="G292" s="597"/>
      <c r="H292" s="597"/>
      <c r="I292" s="597"/>
      <c r="J292" s="597"/>
      <c r="K292" s="597"/>
      <c r="L292" s="597"/>
      <c r="M292" s="597"/>
      <c r="N292" s="597"/>
      <c r="O292" s="597"/>
      <c r="P292" s="597"/>
      <c r="Q292" s="597"/>
      <c r="R292" s="597"/>
      <c r="S292" s="175"/>
      <c r="T292" s="175"/>
      <c r="U292" s="175"/>
      <c r="V292" s="175"/>
      <c r="W292" s="175"/>
      <c r="X292" s="597"/>
      <c r="Y292" s="175"/>
      <c r="Z292" s="175"/>
    </row>
    <row r="293" ht="12.0" customHeight="1">
      <c r="A293" s="175"/>
      <c r="B293" s="175"/>
      <c r="C293" s="175"/>
      <c r="D293" s="175"/>
      <c r="E293" s="597"/>
      <c r="F293" s="597"/>
      <c r="G293" s="597"/>
      <c r="H293" s="597"/>
      <c r="I293" s="597"/>
      <c r="J293" s="597"/>
      <c r="K293" s="597"/>
      <c r="L293" s="597"/>
      <c r="M293" s="597"/>
      <c r="N293" s="597"/>
      <c r="O293" s="597"/>
      <c r="P293" s="597"/>
      <c r="Q293" s="597"/>
      <c r="R293" s="597"/>
      <c r="S293" s="175"/>
      <c r="T293" s="175"/>
      <c r="U293" s="175"/>
      <c r="V293" s="175"/>
      <c r="W293" s="175"/>
      <c r="X293" s="597"/>
      <c r="Y293" s="175"/>
      <c r="Z293" s="175"/>
    </row>
    <row r="294" ht="12.0" customHeight="1">
      <c r="A294" s="175"/>
      <c r="B294" s="175"/>
      <c r="C294" s="175"/>
      <c r="D294" s="175"/>
      <c r="E294" s="597"/>
      <c r="F294" s="597"/>
      <c r="G294" s="597"/>
      <c r="H294" s="597"/>
      <c r="I294" s="597"/>
      <c r="J294" s="597"/>
      <c r="K294" s="597"/>
      <c r="L294" s="597"/>
      <c r="M294" s="597"/>
      <c r="N294" s="597"/>
      <c r="O294" s="597"/>
      <c r="P294" s="597"/>
      <c r="Q294" s="597"/>
      <c r="R294" s="597"/>
      <c r="S294" s="175"/>
      <c r="T294" s="175"/>
      <c r="U294" s="175"/>
      <c r="V294" s="175"/>
      <c r="W294" s="175"/>
      <c r="X294" s="597"/>
      <c r="Y294" s="175"/>
      <c r="Z294" s="175"/>
    </row>
    <row r="295" ht="12.0" customHeight="1">
      <c r="A295" s="175"/>
      <c r="B295" s="175"/>
      <c r="C295" s="175"/>
      <c r="D295" s="175"/>
      <c r="E295" s="597"/>
      <c r="F295" s="597"/>
      <c r="G295" s="597"/>
      <c r="H295" s="597"/>
      <c r="I295" s="597"/>
      <c r="J295" s="597"/>
      <c r="K295" s="597"/>
      <c r="L295" s="597"/>
      <c r="M295" s="597"/>
      <c r="N295" s="597"/>
      <c r="O295" s="597"/>
      <c r="P295" s="597"/>
      <c r="Q295" s="597"/>
      <c r="R295" s="597"/>
      <c r="S295" s="175"/>
      <c r="T295" s="175"/>
      <c r="U295" s="175"/>
      <c r="V295" s="175"/>
      <c r="W295" s="175"/>
      <c r="X295" s="597"/>
      <c r="Y295" s="175"/>
      <c r="Z295" s="175"/>
    </row>
    <row r="296" ht="12.0" customHeight="1">
      <c r="A296" s="175"/>
      <c r="B296" s="175"/>
      <c r="C296" s="175"/>
      <c r="D296" s="175"/>
      <c r="E296" s="597"/>
      <c r="F296" s="597"/>
      <c r="G296" s="597"/>
      <c r="H296" s="597"/>
      <c r="I296" s="597"/>
      <c r="J296" s="597"/>
      <c r="K296" s="597"/>
      <c r="L296" s="597"/>
      <c r="M296" s="597"/>
      <c r="N296" s="597"/>
      <c r="O296" s="597"/>
      <c r="P296" s="597"/>
      <c r="Q296" s="597"/>
      <c r="R296" s="597"/>
      <c r="S296" s="175"/>
      <c r="T296" s="175"/>
      <c r="U296" s="175"/>
      <c r="V296" s="175"/>
      <c r="W296" s="175"/>
      <c r="X296" s="597"/>
      <c r="Y296" s="175"/>
      <c r="Z296" s="175"/>
    </row>
    <row r="297" ht="12.0" customHeight="1">
      <c r="A297" s="175"/>
      <c r="B297" s="175"/>
      <c r="C297" s="175"/>
      <c r="D297" s="175"/>
      <c r="E297" s="597"/>
      <c r="F297" s="597"/>
      <c r="G297" s="597"/>
      <c r="H297" s="597"/>
      <c r="I297" s="597"/>
      <c r="J297" s="597"/>
      <c r="K297" s="597"/>
      <c r="L297" s="597"/>
      <c r="M297" s="597"/>
      <c r="N297" s="597"/>
      <c r="O297" s="597"/>
      <c r="P297" s="597"/>
      <c r="Q297" s="597"/>
      <c r="R297" s="597"/>
      <c r="S297" s="175"/>
      <c r="T297" s="175"/>
      <c r="U297" s="175"/>
      <c r="V297" s="175"/>
      <c r="W297" s="175"/>
      <c r="X297" s="597"/>
      <c r="Y297" s="175"/>
      <c r="Z297" s="175"/>
    </row>
    <row r="298" ht="12.0" customHeight="1">
      <c r="A298" s="175"/>
      <c r="B298" s="175"/>
      <c r="C298" s="175"/>
      <c r="D298" s="175"/>
      <c r="E298" s="597"/>
      <c r="F298" s="597"/>
      <c r="G298" s="597"/>
      <c r="H298" s="597"/>
      <c r="I298" s="597"/>
      <c r="J298" s="597"/>
      <c r="K298" s="597"/>
      <c r="L298" s="597"/>
      <c r="M298" s="597"/>
      <c r="N298" s="597"/>
      <c r="O298" s="597"/>
      <c r="P298" s="597"/>
      <c r="Q298" s="597"/>
      <c r="R298" s="597"/>
      <c r="S298" s="175"/>
      <c r="T298" s="175"/>
      <c r="U298" s="175"/>
      <c r="V298" s="175"/>
      <c r="W298" s="175"/>
      <c r="X298" s="597"/>
      <c r="Y298" s="175"/>
      <c r="Z298" s="175"/>
    </row>
    <row r="299" ht="12.0" customHeight="1">
      <c r="A299" s="175"/>
      <c r="B299" s="175"/>
      <c r="C299" s="175"/>
      <c r="D299" s="175"/>
      <c r="E299" s="597"/>
      <c r="F299" s="597"/>
      <c r="G299" s="597"/>
      <c r="H299" s="597"/>
      <c r="I299" s="597"/>
      <c r="J299" s="597"/>
      <c r="K299" s="597"/>
      <c r="L299" s="597"/>
      <c r="M299" s="597"/>
      <c r="N299" s="597"/>
      <c r="O299" s="597"/>
      <c r="P299" s="597"/>
      <c r="Q299" s="597"/>
      <c r="R299" s="597"/>
      <c r="S299" s="175"/>
      <c r="T299" s="175"/>
      <c r="U299" s="175"/>
      <c r="V299" s="175"/>
      <c r="W299" s="175"/>
      <c r="X299" s="597"/>
      <c r="Y299" s="175"/>
      <c r="Z299" s="175"/>
    </row>
    <row r="300" ht="12.0" customHeight="1">
      <c r="A300" s="175"/>
      <c r="B300" s="175"/>
      <c r="C300" s="175"/>
      <c r="D300" s="175"/>
      <c r="E300" s="597"/>
      <c r="F300" s="597"/>
      <c r="G300" s="597"/>
      <c r="H300" s="597"/>
      <c r="I300" s="597"/>
      <c r="J300" s="597"/>
      <c r="K300" s="597"/>
      <c r="L300" s="597"/>
      <c r="M300" s="597"/>
      <c r="N300" s="597"/>
      <c r="O300" s="597"/>
      <c r="P300" s="597"/>
      <c r="Q300" s="597"/>
      <c r="R300" s="597"/>
      <c r="S300" s="175"/>
      <c r="T300" s="175"/>
      <c r="U300" s="175"/>
      <c r="V300" s="175"/>
      <c r="W300" s="175"/>
      <c r="X300" s="597"/>
      <c r="Y300" s="175"/>
      <c r="Z300" s="175"/>
    </row>
    <row r="301" ht="12.0" customHeight="1">
      <c r="A301" s="175"/>
      <c r="B301" s="175"/>
      <c r="C301" s="175"/>
      <c r="D301" s="175"/>
      <c r="E301" s="597"/>
      <c r="F301" s="597"/>
      <c r="G301" s="597"/>
      <c r="H301" s="597"/>
      <c r="I301" s="597"/>
      <c r="J301" s="597"/>
      <c r="K301" s="597"/>
      <c r="L301" s="597"/>
      <c r="M301" s="597"/>
      <c r="N301" s="597"/>
      <c r="O301" s="597"/>
      <c r="P301" s="597"/>
      <c r="Q301" s="597"/>
      <c r="R301" s="597"/>
      <c r="S301" s="175"/>
      <c r="T301" s="175"/>
      <c r="U301" s="175"/>
      <c r="V301" s="175"/>
      <c r="W301" s="175"/>
      <c r="X301" s="597"/>
      <c r="Y301" s="175"/>
      <c r="Z301" s="175"/>
    </row>
    <row r="302" ht="12.0" customHeight="1">
      <c r="A302" s="175"/>
      <c r="B302" s="175"/>
      <c r="C302" s="175"/>
      <c r="D302" s="175"/>
      <c r="E302" s="597"/>
      <c r="F302" s="597"/>
      <c r="G302" s="597"/>
      <c r="H302" s="597"/>
      <c r="I302" s="597"/>
      <c r="J302" s="597"/>
      <c r="K302" s="597"/>
      <c r="L302" s="597"/>
      <c r="M302" s="597"/>
      <c r="N302" s="597"/>
      <c r="O302" s="597"/>
      <c r="P302" s="597"/>
      <c r="Q302" s="597"/>
      <c r="R302" s="597"/>
      <c r="S302" s="175"/>
      <c r="T302" s="175"/>
      <c r="U302" s="175"/>
      <c r="V302" s="175"/>
      <c r="W302" s="175"/>
      <c r="X302" s="597"/>
      <c r="Y302" s="175"/>
      <c r="Z302" s="175"/>
    </row>
    <row r="303" ht="12.0" customHeight="1">
      <c r="A303" s="175"/>
      <c r="B303" s="175"/>
      <c r="C303" s="175"/>
      <c r="D303" s="175"/>
      <c r="E303" s="597"/>
      <c r="F303" s="597"/>
      <c r="G303" s="597"/>
      <c r="H303" s="597"/>
      <c r="I303" s="597"/>
      <c r="J303" s="597"/>
      <c r="K303" s="597"/>
      <c r="L303" s="597"/>
      <c r="M303" s="597"/>
      <c r="N303" s="597"/>
      <c r="O303" s="597"/>
      <c r="P303" s="597"/>
      <c r="Q303" s="597"/>
      <c r="R303" s="597"/>
      <c r="S303" s="175"/>
      <c r="T303" s="175"/>
      <c r="U303" s="175"/>
      <c r="V303" s="175"/>
      <c r="W303" s="175"/>
      <c r="X303" s="597"/>
      <c r="Y303" s="175"/>
      <c r="Z303" s="175"/>
    </row>
    <row r="304" ht="12.0" customHeight="1">
      <c r="A304" s="175"/>
      <c r="B304" s="175"/>
      <c r="C304" s="175"/>
      <c r="D304" s="175"/>
      <c r="E304" s="597"/>
      <c r="F304" s="597"/>
      <c r="G304" s="597"/>
      <c r="H304" s="597"/>
      <c r="I304" s="597"/>
      <c r="J304" s="597"/>
      <c r="K304" s="597"/>
      <c r="L304" s="597"/>
      <c r="M304" s="597"/>
      <c r="N304" s="597"/>
      <c r="O304" s="597"/>
      <c r="P304" s="597"/>
      <c r="Q304" s="597"/>
      <c r="R304" s="597"/>
      <c r="S304" s="175"/>
      <c r="T304" s="175"/>
      <c r="U304" s="175"/>
      <c r="V304" s="175"/>
      <c r="W304" s="175"/>
      <c r="X304" s="597"/>
      <c r="Y304" s="175"/>
      <c r="Z304" s="175"/>
    </row>
    <row r="305" ht="12.0" customHeight="1">
      <c r="A305" s="175"/>
      <c r="B305" s="175"/>
      <c r="C305" s="175"/>
      <c r="D305" s="175"/>
      <c r="E305" s="597"/>
      <c r="F305" s="597"/>
      <c r="G305" s="597"/>
      <c r="H305" s="597"/>
      <c r="I305" s="597"/>
      <c r="J305" s="597"/>
      <c r="K305" s="597"/>
      <c r="L305" s="597"/>
      <c r="M305" s="597"/>
      <c r="N305" s="597"/>
      <c r="O305" s="597"/>
      <c r="P305" s="597"/>
      <c r="Q305" s="597"/>
      <c r="R305" s="597"/>
      <c r="S305" s="175"/>
      <c r="T305" s="175"/>
      <c r="U305" s="175"/>
      <c r="V305" s="175"/>
      <c r="W305" s="175"/>
      <c r="X305" s="597"/>
      <c r="Y305" s="175"/>
      <c r="Z305" s="175"/>
    </row>
    <row r="306" ht="12.0" customHeight="1">
      <c r="A306" s="175"/>
      <c r="B306" s="175"/>
      <c r="C306" s="175"/>
      <c r="D306" s="175"/>
      <c r="E306" s="597"/>
      <c r="F306" s="597"/>
      <c r="G306" s="597"/>
      <c r="H306" s="597"/>
      <c r="I306" s="597"/>
      <c r="J306" s="597"/>
      <c r="K306" s="597"/>
      <c r="L306" s="597"/>
      <c r="M306" s="597"/>
      <c r="N306" s="597"/>
      <c r="O306" s="597"/>
      <c r="P306" s="597"/>
      <c r="Q306" s="597"/>
      <c r="R306" s="597"/>
      <c r="S306" s="175"/>
      <c r="T306" s="175"/>
      <c r="U306" s="175"/>
      <c r="V306" s="175"/>
      <c r="W306" s="175"/>
      <c r="X306" s="597"/>
      <c r="Y306" s="175"/>
      <c r="Z306" s="175"/>
    </row>
    <row r="307" ht="12.0" customHeight="1">
      <c r="A307" s="175"/>
      <c r="B307" s="175"/>
      <c r="C307" s="175"/>
      <c r="D307" s="175"/>
      <c r="E307" s="597"/>
      <c r="F307" s="597"/>
      <c r="G307" s="597"/>
      <c r="H307" s="597"/>
      <c r="I307" s="597"/>
      <c r="J307" s="597"/>
      <c r="K307" s="597"/>
      <c r="L307" s="597"/>
      <c r="M307" s="597"/>
      <c r="N307" s="597"/>
      <c r="O307" s="597"/>
      <c r="P307" s="597"/>
      <c r="Q307" s="597"/>
      <c r="R307" s="597"/>
      <c r="S307" s="175"/>
      <c r="T307" s="175"/>
      <c r="U307" s="175"/>
      <c r="V307" s="175"/>
      <c r="W307" s="175"/>
      <c r="X307" s="597"/>
      <c r="Y307" s="175"/>
      <c r="Z307" s="175"/>
    </row>
    <row r="308" ht="12.0" customHeight="1">
      <c r="A308" s="175"/>
      <c r="B308" s="175"/>
      <c r="C308" s="175"/>
      <c r="D308" s="175"/>
      <c r="E308" s="597"/>
      <c r="F308" s="597"/>
      <c r="G308" s="597"/>
      <c r="H308" s="597"/>
      <c r="I308" s="597"/>
      <c r="J308" s="597"/>
      <c r="K308" s="597"/>
      <c r="L308" s="597"/>
      <c r="M308" s="597"/>
      <c r="N308" s="597"/>
      <c r="O308" s="597"/>
      <c r="P308" s="597"/>
      <c r="Q308" s="597"/>
      <c r="R308" s="597"/>
      <c r="S308" s="175"/>
      <c r="T308" s="175"/>
      <c r="U308" s="175"/>
      <c r="V308" s="175"/>
      <c r="W308" s="175"/>
      <c r="X308" s="597"/>
      <c r="Y308" s="175"/>
      <c r="Z308" s="175"/>
    </row>
    <row r="309" ht="12.0" customHeight="1">
      <c r="A309" s="175"/>
      <c r="B309" s="175"/>
      <c r="C309" s="175"/>
      <c r="D309" s="175"/>
      <c r="E309" s="597"/>
      <c r="F309" s="597"/>
      <c r="G309" s="597"/>
      <c r="H309" s="597"/>
      <c r="I309" s="597"/>
      <c r="J309" s="597"/>
      <c r="K309" s="597"/>
      <c r="L309" s="597"/>
      <c r="M309" s="597"/>
      <c r="N309" s="597"/>
      <c r="O309" s="597"/>
      <c r="P309" s="597"/>
      <c r="Q309" s="597"/>
      <c r="R309" s="597"/>
      <c r="S309" s="175"/>
      <c r="T309" s="175"/>
      <c r="U309" s="175"/>
      <c r="V309" s="175"/>
      <c r="W309" s="175"/>
      <c r="X309" s="597"/>
      <c r="Y309" s="175"/>
      <c r="Z309" s="175"/>
    </row>
    <row r="310" ht="12.0" customHeight="1">
      <c r="A310" s="175"/>
      <c r="B310" s="175"/>
      <c r="C310" s="175"/>
      <c r="D310" s="175"/>
      <c r="E310" s="597"/>
      <c r="F310" s="597"/>
      <c r="G310" s="597"/>
      <c r="H310" s="597"/>
      <c r="I310" s="597"/>
      <c r="J310" s="597"/>
      <c r="K310" s="597"/>
      <c r="L310" s="597"/>
      <c r="M310" s="597"/>
      <c r="N310" s="597"/>
      <c r="O310" s="597"/>
      <c r="P310" s="597"/>
      <c r="Q310" s="597"/>
      <c r="R310" s="597"/>
      <c r="S310" s="175"/>
      <c r="T310" s="175"/>
      <c r="U310" s="175"/>
      <c r="V310" s="175"/>
      <c r="W310" s="175"/>
      <c r="X310" s="597"/>
      <c r="Y310" s="175"/>
      <c r="Z310" s="175"/>
    </row>
    <row r="311" ht="12.0" customHeight="1">
      <c r="A311" s="175"/>
      <c r="B311" s="175"/>
      <c r="C311" s="175"/>
      <c r="D311" s="175"/>
      <c r="E311" s="597"/>
      <c r="F311" s="597"/>
      <c r="G311" s="597"/>
      <c r="H311" s="597"/>
      <c r="I311" s="597"/>
      <c r="J311" s="597"/>
      <c r="K311" s="597"/>
      <c r="L311" s="597"/>
      <c r="M311" s="597"/>
      <c r="N311" s="597"/>
      <c r="O311" s="597"/>
      <c r="P311" s="597"/>
      <c r="Q311" s="597"/>
      <c r="R311" s="597"/>
      <c r="S311" s="175"/>
      <c r="T311" s="175"/>
      <c r="U311" s="175"/>
      <c r="V311" s="175"/>
      <c r="W311" s="175"/>
      <c r="X311" s="597"/>
      <c r="Y311" s="175"/>
      <c r="Z311" s="175"/>
    </row>
    <row r="312" ht="12.0" customHeight="1">
      <c r="A312" s="175"/>
      <c r="B312" s="175"/>
      <c r="C312" s="175"/>
      <c r="D312" s="175"/>
      <c r="E312" s="597"/>
      <c r="F312" s="597"/>
      <c r="G312" s="597"/>
      <c r="H312" s="597"/>
      <c r="I312" s="597"/>
      <c r="J312" s="597"/>
      <c r="K312" s="597"/>
      <c r="L312" s="597"/>
      <c r="M312" s="597"/>
      <c r="N312" s="597"/>
      <c r="O312" s="597"/>
      <c r="P312" s="597"/>
      <c r="Q312" s="597"/>
      <c r="R312" s="597"/>
      <c r="S312" s="175"/>
      <c r="T312" s="175"/>
      <c r="U312" s="175"/>
      <c r="V312" s="175"/>
      <c r="W312" s="175"/>
      <c r="X312" s="597"/>
      <c r="Y312" s="175"/>
      <c r="Z312" s="175"/>
    </row>
    <row r="313" ht="12.0" customHeight="1">
      <c r="A313" s="175"/>
      <c r="B313" s="175"/>
      <c r="C313" s="175"/>
      <c r="D313" s="175"/>
      <c r="E313" s="597"/>
      <c r="F313" s="597"/>
      <c r="G313" s="597"/>
      <c r="H313" s="597"/>
      <c r="I313" s="597"/>
      <c r="J313" s="597"/>
      <c r="K313" s="597"/>
      <c r="L313" s="597"/>
      <c r="M313" s="597"/>
      <c r="N313" s="597"/>
      <c r="O313" s="597"/>
      <c r="P313" s="597"/>
      <c r="Q313" s="597"/>
      <c r="R313" s="597"/>
      <c r="S313" s="175"/>
      <c r="T313" s="175"/>
      <c r="U313" s="175"/>
      <c r="V313" s="175"/>
      <c r="W313" s="175"/>
      <c r="X313" s="597"/>
      <c r="Y313" s="175"/>
      <c r="Z313" s="175"/>
    </row>
    <row r="314" ht="12.0" customHeight="1">
      <c r="A314" s="175"/>
      <c r="B314" s="175"/>
      <c r="C314" s="175"/>
      <c r="D314" s="175"/>
      <c r="E314" s="597"/>
      <c r="F314" s="597"/>
      <c r="G314" s="597"/>
      <c r="H314" s="597"/>
      <c r="I314" s="597"/>
      <c r="J314" s="597"/>
      <c r="K314" s="597"/>
      <c r="L314" s="597"/>
      <c r="M314" s="597"/>
      <c r="N314" s="597"/>
      <c r="O314" s="597"/>
      <c r="P314" s="597"/>
      <c r="Q314" s="597"/>
      <c r="R314" s="597"/>
      <c r="S314" s="175"/>
      <c r="T314" s="175"/>
      <c r="U314" s="175"/>
      <c r="V314" s="175"/>
      <c r="W314" s="175"/>
      <c r="X314" s="597"/>
      <c r="Y314" s="175"/>
      <c r="Z314" s="175"/>
    </row>
    <row r="315" ht="12.0" customHeight="1">
      <c r="A315" s="175"/>
      <c r="B315" s="175"/>
      <c r="C315" s="175"/>
      <c r="D315" s="175"/>
      <c r="E315" s="597"/>
      <c r="F315" s="597"/>
      <c r="G315" s="597"/>
      <c r="H315" s="597"/>
      <c r="I315" s="597"/>
      <c r="J315" s="597"/>
      <c r="K315" s="597"/>
      <c r="L315" s="597"/>
      <c r="M315" s="597"/>
      <c r="N315" s="597"/>
      <c r="O315" s="597"/>
      <c r="P315" s="597"/>
      <c r="Q315" s="597"/>
      <c r="R315" s="597"/>
      <c r="S315" s="175"/>
      <c r="T315" s="175"/>
      <c r="U315" s="175"/>
      <c r="V315" s="175"/>
      <c r="W315" s="175"/>
      <c r="X315" s="597"/>
      <c r="Y315" s="175"/>
      <c r="Z315" s="175"/>
    </row>
    <row r="316" ht="12.0" customHeight="1">
      <c r="A316" s="175"/>
      <c r="B316" s="175"/>
      <c r="C316" s="175"/>
      <c r="D316" s="175"/>
      <c r="E316" s="597"/>
      <c r="F316" s="597"/>
      <c r="G316" s="597"/>
      <c r="H316" s="597"/>
      <c r="I316" s="597"/>
      <c r="J316" s="597"/>
      <c r="K316" s="597"/>
      <c r="L316" s="597"/>
      <c r="M316" s="597"/>
      <c r="N316" s="597"/>
      <c r="O316" s="597"/>
      <c r="P316" s="597"/>
      <c r="Q316" s="597"/>
      <c r="R316" s="597"/>
      <c r="S316" s="175"/>
      <c r="T316" s="175"/>
      <c r="U316" s="175"/>
      <c r="V316" s="175"/>
      <c r="W316" s="175"/>
      <c r="X316" s="597"/>
      <c r="Y316" s="175"/>
      <c r="Z316" s="175"/>
    </row>
    <row r="317" ht="12.0" customHeight="1">
      <c r="A317" s="175"/>
      <c r="B317" s="175"/>
      <c r="C317" s="175"/>
      <c r="D317" s="175"/>
      <c r="E317" s="597"/>
      <c r="F317" s="597"/>
      <c r="G317" s="597"/>
      <c r="H317" s="597"/>
      <c r="I317" s="597"/>
      <c r="J317" s="597"/>
      <c r="K317" s="597"/>
      <c r="L317" s="597"/>
      <c r="M317" s="597"/>
      <c r="N317" s="597"/>
      <c r="O317" s="597"/>
      <c r="P317" s="597"/>
      <c r="Q317" s="597"/>
      <c r="R317" s="597"/>
      <c r="S317" s="175"/>
      <c r="T317" s="175"/>
      <c r="U317" s="175"/>
      <c r="V317" s="175"/>
      <c r="W317" s="175"/>
      <c r="X317" s="597"/>
      <c r="Y317" s="175"/>
      <c r="Z317" s="175"/>
    </row>
    <row r="318" ht="12.0" customHeight="1">
      <c r="A318" s="175"/>
      <c r="B318" s="175"/>
      <c r="C318" s="175"/>
      <c r="D318" s="175"/>
      <c r="E318" s="597"/>
      <c r="F318" s="597"/>
      <c r="G318" s="597"/>
      <c r="H318" s="597"/>
      <c r="I318" s="597"/>
      <c r="J318" s="597"/>
      <c r="K318" s="597"/>
      <c r="L318" s="597"/>
      <c r="M318" s="597"/>
      <c r="N318" s="597"/>
      <c r="O318" s="597"/>
      <c r="P318" s="597"/>
      <c r="Q318" s="597"/>
      <c r="R318" s="597"/>
      <c r="S318" s="175"/>
      <c r="T318" s="175"/>
      <c r="U318" s="175"/>
      <c r="V318" s="175"/>
      <c r="W318" s="175"/>
      <c r="X318" s="597"/>
      <c r="Y318" s="175"/>
      <c r="Z318" s="175"/>
    </row>
    <row r="319" ht="12.0" customHeight="1">
      <c r="A319" s="175"/>
      <c r="B319" s="175"/>
      <c r="C319" s="175"/>
      <c r="D319" s="175"/>
      <c r="E319" s="597"/>
      <c r="F319" s="597"/>
      <c r="G319" s="597"/>
      <c r="H319" s="597"/>
      <c r="I319" s="597"/>
      <c r="J319" s="597"/>
      <c r="K319" s="597"/>
      <c r="L319" s="597"/>
      <c r="M319" s="597"/>
      <c r="N319" s="597"/>
      <c r="O319" s="597"/>
      <c r="P319" s="597"/>
      <c r="Q319" s="597"/>
      <c r="R319" s="597"/>
      <c r="S319" s="175"/>
      <c r="T319" s="175"/>
      <c r="U319" s="175"/>
      <c r="V319" s="175"/>
      <c r="W319" s="175"/>
      <c r="X319" s="597"/>
      <c r="Y319" s="175"/>
      <c r="Z319" s="175"/>
    </row>
    <row r="320" ht="12.0" customHeight="1">
      <c r="A320" s="175"/>
      <c r="B320" s="175"/>
      <c r="C320" s="175"/>
      <c r="D320" s="175"/>
      <c r="E320" s="597"/>
      <c r="F320" s="597"/>
      <c r="G320" s="597"/>
      <c r="H320" s="597"/>
      <c r="I320" s="597"/>
      <c r="J320" s="597"/>
      <c r="K320" s="597"/>
      <c r="L320" s="597"/>
      <c r="M320" s="597"/>
      <c r="N320" s="597"/>
      <c r="O320" s="597"/>
      <c r="P320" s="597"/>
      <c r="Q320" s="597"/>
      <c r="R320" s="597"/>
      <c r="S320" s="175"/>
      <c r="T320" s="175"/>
      <c r="U320" s="175"/>
      <c r="V320" s="175"/>
      <c r="W320" s="175"/>
      <c r="X320" s="597"/>
      <c r="Y320" s="175"/>
      <c r="Z320" s="175"/>
    </row>
    <row r="321" ht="12.0" customHeight="1">
      <c r="A321" s="175"/>
      <c r="B321" s="175"/>
      <c r="C321" s="175"/>
      <c r="D321" s="175"/>
      <c r="E321" s="597"/>
      <c r="F321" s="597"/>
      <c r="G321" s="597"/>
      <c r="H321" s="597"/>
      <c r="I321" s="597"/>
      <c r="J321" s="597"/>
      <c r="K321" s="597"/>
      <c r="L321" s="597"/>
      <c r="M321" s="597"/>
      <c r="N321" s="597"/>
      <c r="O321" s="597"/>
      <c r="P321" s="597"/>
      <c r="Q321" s="597"/>
      <c r="R321" s="597"/>
      <c r="S321" s="175"/>
      <c r="T321" s="175"/>
      <c r="U321" s="175"/>
      <c r="V321" s="175"/>
      <c r="W321" s="175"/>
      <c r="X321" s="597"/>
      <c r="Y321" s="175"/>
      <c r="Z321" s="175"/>
    </row>
    <row r="322" ht="12.0" customHeight="1">
      <c r="A322" s="175"/>
      <c r="B322" s="175"/>
      <c r="C322" s="175"/>
      <c r="D322" s="175"/>
      <c r="E322" s="597"/>
      <c r="F322" s="597"/>
      <c r="G322" s="597"/>
      <c r="H322" s="597"/>
      <c r="I322" s="597"/>
      <c r="J322" s="597"/>
      <c r="K322" s="597"/>
      <c r="L322" s="597"/>
      <c r="M322" s="597"/>
      <c r="N322" s="597"/>
      <c r="O322" s="597"/>
      <c r="P322" s="597"/>
      <c r="Q322" s="597"/>
      <c r="R322" s="597"/>
      <c r="S322" s="175"/>
      <c r="T322" s="175"/>
      <c r="U322" s="175"/>
      <c r="V322" s="175"/>
      <c r="W322" s="175"/>
      <c r="X322" s="597"/>
      <c r="Y322" s="175"/>
      <c r="Z322" s="175"/>
    </row>
    <row r="323" ht="12.0" customHeight="1">
      <c r="A323" s="175"/>
      <c r="B323" s="175"/>
      <c r="C323" s="175"/>
      <c r="D323" s="175"/>
      <c r="E323" s="597"/>
      <c r="F323" s="597"/>
      <c r="G323" s="597"/>
      <c r="H323" s="597"/>
      <c r="I323" s="597"/>
      <c r="J323" s="597"/>
      <c r="K323" s="597"/>
      <c r="L323" s="597"/>
      <c r="M323" s="597"/>
      <c r="N323" s="597"/>
      <c r="O323" s="597"/>
      <c r="P323" s="597"/>
      <c r="Q323" s="597"/>
      <c r="R323" s="597"/>
      <c r="S323" s="175"/>
      <c r="T323" s="175"/>
      <c r="U323" s="175"/>
      <c r="V323" s="175"/>
      <c r="W323" s="175"/>
      <c r="X323" s="597"/>
      <c r="Y323" s="175"/>
      <c r="Z323" s="175"/>
    </row>
    <row r="324" ht="12.0" customHeight="1">
      <c r="A324" s="175"/>
      <c r="B324" s="175"/>
      <c r="C324" s="175"/>
      <c r="D324" s="175"/>
      <c r="E324" s="597"/>
      <c r="F324" s="597"/>
      <c r="G324" s="597"/>
      <c r="H324" s="597"/>
      <c r="I324" s="597"/>
      <c r="J324" s="597"/>
      <c r="K324" s="597"/>
      <c r="L324" s="597"/>
      <c r="M324" s="597"/>
      <c r="N324" s="597"/>
      <c r="O324" s="597"/>
      <c r="P324" s="597"/>
      <c r="Q324" s="597"/>
      <c r="R324" s="597"/>
      <c r="S324" s="175"/>
      <c r="T324" s="175"/>
      <c r="U324" s="175"/>
      <c r="V324" s="175"/>
      <c r="W324" s="175"/>
      <c r="X324" s="597"/>
      <c r="Y324" s="175"/>
      <c r="Z324" s="175"/>
    </row>
    <row r="325" ht="12.0" customHeight="1">
      <c r="A325" s="175"/>
      <c r="B325" s="175"/>
      <c r="C325" s="175"/>
      <c r="D325" s="175"/>
      <c r="E325" s="597"/>
      <c r="F325" s="597"/>
      <c r="G325" s="597"/>
      <c r="H325" s="597"/>
      <c r="I325" s="597"/>
      <c r="J325" s="597"/>
      <c r="K325" s="597"/>
      <c r="L325" s="597"/>
      <c r="M325" s="597"/>
      <c r="N325" s="597"/>
      <c r="O325" s="597"/>
      <c r="P325" s="597"/>
      <c r="Q325" s="597"/>
      <c r="R325" s="597"/>
      <c r="S325" s="175"/>
      <c r="T325" s="175"/>
      <c r="U325" s="175"/>
      <c r="V325" s="175"/>
      <c r="W325" s="175"/>
      <c r="X325" s="597"/>
      <c r="Y325" s="175"/>
      <c r="Z325" s="175"/>
    </row>
    <row r="326" ht="12.0" customHeight="1">
      <c r="A326" s="175"/>
      <c r="B326" s="175"/>
      <c r="C326" s="175"/>
      <c r="D326" s="175"/>
      <c r="E326" s="597"/>
      <c r="F326" s="597"/>
      <c r="G326" s="597"/>
      <c r="H326" s="597"/>
      <c r="I326" s="597"/>
      <c r="J326" s="597"/>
      <c r="K326" s="597"/>
      <c r="L326" s="597"/>
      <c r="M326" s="597"/>
      <c r="N326" s="597"/>
      <c r="O326" s="597"/>
      <c r="P326" s="597"/>
      <c r="Q326" s="597"/>
      <c r="R326" s="597"/>
      <c r="S326" s="175"/>
      <c r="T326" s="175"/>
      <c r="U326" s="175"/>
      <c r="V326" s="175"/>
      <c r="W326" s="175"/>
      <c r="X326" s="597"/>
      <c r="Y326" s="175"/>
      <c r="Z326" s="175"/>
    </row>
    <row r="327" ht="12.0" customHeight="1">
      <c r="A327" s="175"/>
      <c r="B327" s="175"/>
      <c r="C327" s="175"/>
      <c r="D327" s="175"/>
      <c r="E327" s="597"/>
      <c r="F327" s="597"/>
      <c r="G327" s="597"/>
      <c r="H327" s="597"/>
      <c r="I327" s="597"/>
      <c r="J327" s="597"/>
      <c r="K327" s="597"/>
      <c r="L327" s="597"/>
      <c r="M327" s="597"/>
      <c r="N327" s="597"/>
      <c r="O327" s="597"/>
      <c r="P327" s="597"/>
      <c r="Q327" s="597"/>
      <c r="R327" s="597"/>
      <c r="S327" s="175"/>
      <c r="T327" s="175"/>
      <c r="U327" s="175"/>
      <c r="V327" s="175"/>
      <c r="W327" s="175"/>
      <c r="X327" s="597"/>
      <c r="Y327" s="175"/>
      <c r="Z327" s="175"/>
    </row>
    <row r="328" ht="12.0" customHeight="1">
      <c r="A328" s="175"/>
      <c r="B328" s="175"/>
      <c r="C328" s="175"/>
      <c r="D328" s="175"/>
      <c r="E328" s="597"/>
      <c r="F328" s="597"/>
      <c r="G328" s="597"/>
      <c r="H328" s="597"/>
      <c r="I328" s="597"/>
      <c r="J328" s="597"/>
      <c r="K328" s="597"/>
      <c r="L328" s="597"/>
      <c r="M328" s="597"/>
      <c r="N328" s="597"/>
      <c r="O328" s="597"/>
      <c r="P328" s="597"/>
      <c r="Q328" s="597"/>
      <c r="R328" s="597"/>
      <c r="S328" s="175"/>
      <c r="T328" s="175"/>
      <c r="U328" s="175"/>
      <c r="V328" s="175"/>
      <c r="W328" s="175"/>
      <c r="X328" s="597"/>
      <c r="Y328" s="175"/>
      <c r="Z328" s="175"/>
    </row>
    <row r="329" ht="12.0" customHeight="1">
      <c r="A329" s="175"/>
      <c r="B329" s="175"/>
      <c r="C329" s="175"/>
      <c r="D329" s="175"/>
      <c r="E329" s="597"/>
      <c r="F329" s="597"/>
      <c r="G329" s="597"/>
      <c r="H329" s="597"/>
      <c r="I329" s="597"/>
      <c r="J329" s="597"/>
      <c r="K329" s="597"/>
      <c r="L329" s="597"/>
      <c r="M329" s="597"/>
      <c r="N329" s="597"/>
      <c r="O329" s="597"/>
      <c r="P329" s="597"/>
      <c r="Q329" s="597"/>
      <c r="R329" s="597"/>
      <c r="S329" s="175"/>
      <c r="T329" s="175"/>
      <c r="U329" s="175"/>
      <c r="V329" s="175"/>
      <c r="W329" s="175"/>
      <c r="X329" s="597"/>
      <c r="Y329" s="175"/>
      <c r="Z329" s="175"/>
    </row>
    <row r="330" ht="12.0" customHeight="1">
      <c r="A330" s="175"/>
      <c r="B330" s="175"/>
      <c r="C330" s="175"/>
      <c r="D330" s="175"/>
      <c r="E330" s="597"/>
      <c r="F330" s="597"/>
      <c r="G330" s="597"/>
      <c r="H330" s="597"/>
      <c r="I330" s="597"/>
      <c r="J330" s="597"/>
      <c r="K330" s="597"/>
      <c r="L330" s="597"/>
      <c r="M330" s="597"/>
      <c r="N330" s="597"/>
      <c r="O330" s="597"/>
      <c r="P330" s="597"/>
      <c r="Q330" s="597"/>
      <c r="R330" s="597"/>
      <c r="S330" s="175"/>
      <c r="T330" s="175"/>
      <c r="U330" s="175"/>
      <c r="V330" s="175"/>
      <c r="W330" s="175"/>
      <c r="X330" s="597"/>
      <c r="Y330" s="175"/>
      <c r="Z330" s="175"/>
    </row>
    <row r="331" ht="12.0" customHeight="1">
      <c r="A331" s="175"/>
      <c r="B331" s="175"/>
      <c r="C331" s="175"/>
      <c r="D331" s="175"/>
      <c r="E331" s="597"/>
      <c r="F331" s="597"/>
      <c r="G331" s="597"/>
      <c r="H331" s="597"/>
      <c r="I331" s="597"/>
      <c r="J331" s="597"/>
      <c r="K331" s="597"/>
      <c r="L331" s="597"/>
      <c r="M331" s="597"/>
      <c r="N331" s="597"/>
      <c r="O331" s="597"/>
      <c r="P331" s="597"/>
      <c r="Q331" s="597"/>
      <c r="R331" s="597"/>
      <c r="S331" s="175"/>
      <c r="T331" s="175"/>
      <c r="U331" s="175"/>
      <c r="V331" s="175"/>
      <c r="W331" s="175"/>
      <c r="X331" s="597"/>
      <c r="Y331" s="175"/>
      <c r="Z331" s="175"/>
    </row>
    <row r="332" ht="12.0" customHeight="1">
      <c r="A332" s="175"/>
      <c r="B332" s="175"/>
      <c r="C332" s="175"/>
      <c r="D332" s="175"/>
      <c r="E332" s="597"/>
      <c r="F332" s="597"/>
      <c r="G332" s="597"/>
      <c r="H332" s="597"/>
      <c r="I332" s="597"/>
      <c r="J332" s="597"/>
      <c r="K332" s="597"/>
      <c r="L332" s="597"/>
      <c r="M332" s="597"/>
      <c r="N332" s="597"/>
      <c r="O332" s="597"/>
      <c r="P332" s="597"/>
      <c r="Q332" s="597"/>
      <c r="R332" s="597"/>
      <c r="S332" s="175"/>
      <c r="T332" s="175"/>
      <c r="U332" s="175"/>
      <c r="V332" s="175"/>
      <c r="W332" s="175"/>
      <c r="X332" s="597"/>
      <c r="Y332" s="175"/>
      <c r="Z332" s="175"/>
    </row>
    <row r="333" ht="12.0" customHeight="1">
      <c r="A333" s="175"/>
      <c r="B333" s="175"/>
      <c r="C333" s="175"/>
      <c r="D333" s="175"/>
      <c r="E333" s="597"/>
      <c r="F333" s="597"/>
      <c r="G333" s="597"/>
      <c r="H333" s="597"/>
      <c r="I333" s="597"/>
      <c r="J333" s="597"/>
      <c r="K333" s="597"/>
      <c r="L333" s="597"/>
      <c r="M333" s="597"/>
      <c r="N333" s="597"/>
      <c r="O333" s="597"/>
      <c r="P333" s="597"/>
      <c r="Q333" s="597"/>
      <c r="R333" s="597"/>
      <c r="S333" s="175"/>
      <c r="T333" s="175"/>
      <c r="U333" s="175"/>
      <c r="V333" s="175"/>
      <c r="W333" s="175"/>
      <c r="X333" s="597"/>
      <c r="Y333" s="175"/>
      <c r="Z333" s="175"/>
    </row>
    <row r="334" ht="12.0" customHeight="1">
      <c r="A334" s="175"/>
      <c r="B334" s="175"/>
      <c r="C334" s="175"/>
      <c r="D334" s="175"/>
      <c r="E334" s="597"/>
      <c r="F334" s="597"/>
      <c r="G334" s="597"/>
      <c r="H334" s="597"/>
      <c r="I334" s="597"/>
      <c r="J334" s="597"/>
      <c r="K334" s="597"/>
      <c r="L334" s="597"/>
      <c r="M334" s="597"/>
      <c r="N334" s="597"/>
      <c r="O334" s="597"/>
      <c r="P334" s="597"/>
      <c r="Q334" s="597"/>
      <c r="R334" s="597"/>
      <c r="S334" s="175"/>
      <c r="T334" s="175"/>
      <c r="U334" s="175"/>
      <c r="V334" s="175"/>
      <c r="W334" s="175"/>
      <c r="X334" s="597"/>
      <c r="Y334" s="175"/>
      <c r="Z334" s="175"/>
    </row>
    <row r="335" ht="12.0" customHeight="1">
      <c r="A335" s="175"/>
      <c r="B335" s="175"/>
      <c r="C335" s="175"/>
      <c r="D335" s="175"/>
      <c r="E335" s="597"/>
      <c r="F335" s="597"/>
      <c r="G335" s="597"/>
      <c r="H335" s="597"/>
      <c r="I335" s="597"/>
      <c r="J335" s="597"/>
      <c r="K335" s="597"/>
      <c r="L335" s="597"/>
      <c r="M335" s="597"/>
      <c r="N335" s="597"/>
      <c r="O335" s="597"/>
      <c r="P335" s="597"/>
      <c r="Q335" s="597"/>
      <c r="R335" s="597"/>
      <c r="S335" s="175"/>
      <c r="T335" s="175"/>
      <c r="U335" s="175"/>
      <c r="V335" s="175"/>
      <c r="W335" s="175"/>
      <c r="X335" s="597"/>
      <c r="Y335" s="175"/>
      <c r="Z335" s="175"/>
    </row>
    <row r="336" ht="12.0" customHeight="1">
      <c r="A336" s="175"/>
      <c r="B336" s="175"/>
      <c r="C336" s="175"/>
      <c r="D336" s="175"/>
      <c r="E336" s="597"/>
      <c r="F336" s="597"/>
      <c r="G336" s="597"/>
      <c r="H336" s="597"/>
      <c r="I336" s="597"/>
      <c r="J336" s="597"/>
      <c r="K336" s="597"/>
      <c r="L336" s="597"/>
      <c r="M336" s="597"/>
      <c r="N336" s="597"/>
      <c r="O336" s="597"/>
      <c r="P336" s="597"/>
      <c r="Q336" s="597"/>
      <c r="R336" s="597"/>
      <c r="S336" s="175"/>
      <c r="T336" s="175"/>
      <c r="U336" s="175"/>
      <c r="V336" s="175"/>
      <c r="W336" s="175"/>
      <c r="X336" s="597"/>
      <c r="Y336" s="175"/>
      <c r="Z336" s="175"/>
    </row>
    <row r="337" ht="12.0" customHeight="1">
      <c r="A337" s="175"/>
      <c r="B337" s="175"/>
      <c r="C337" s="175"/>
      <c r="D337" s="175"/>
      <c r="E337" s="597"/>
      <c r="F337" s="597"/>
      <c r="G337" s="597"/>
      <c r="H337" s="597"/>
      <c r="I337" s="597"/>
      <c r="J337" s="597"/>
      <c r="K337" s="597"/>
      <c r="L337" s="597"/>
      <c r="M337" s="597"/>
      <c r="N337" s="597"/>
      <c r="O337" s="597"/>
      <c r="P337" s="597"/>
      <c r="Q337" s="597"/>
      <c r="R337" s="597"/>
      <c r="S337" s="175"/>
      <c r="T337" s="175"/>
      <c r="U337" s="175"/>
      <c r="V337" s="175"/>
      <c r="W337" s="175"/>
      <c r="X337" s="597"/>
      <c r="Y337" s="175"/>
      <c r="Z337" s="175"/>
    </row>
    <row r="338" ht="12.0" customHeight="1">
      <c r="A338" s="175"/>
      <c r="B338" s="175"/>
      <c r="C338" s="175"/>
      <c r="D338" s="175"/>
      <c r="E338" s="597"/>
      <c r="F338" s="597"/>
      <c r="G338" s="597"/>
      <c r="H338" s="597"/>
      <c r="I338" s="597"/>
      <c r="J338" s="597"/>
      <c r="K338" s="597"/>
      <c r="L338" s="597"/>
      <c r="M338" s="597"/>
      <c r="N338" s="597"/>
      <c r="O338" s="597"/>
      <c r="P338" s="597"/>
      <c r="Q338" s="597"/>
      <c r="R338" s="597"/>
      <c r="S338" s="175"/>
      <c r="T338" s="175"/>
      <c r="U338" s="175"/>
      <c r="V338" s="175"/>
      <c r="W338" s="175"/>
      <c r="X338" s="597"/>
      <c r="Y338" s="175"/>
      <c r="Z338" s="175"/>
    </row>
    <row r="339" ht="12.0" customHeight="1">
      <c r="A339" s="175"/>
      <c r="B339" s="175"/>
      <c r="C339" s="175"/>
      <c r="D339" s="175"/>
      <c r="E339" s="597"/>
      <c r="F339" s="597"/>
      <c r="G339" s="597"/>
      <c r="H339" s="597"/>
      <c r="I339" s="597"/>
      <c r="J339" s="597"/>
      <c r="K339" s="597"/>
      <c r="L339" s="597"/>
      <c r="M339" s="597"/>
      <c r="N339" s="597"/>
      <c r="O339" s="597"/>
      <c r="P339" s="597"/>
      <c r="Q339" s="597"/>
      <c r="R339" s="597"/>
      <c r="S339" s="175"/>
      <c r="T339" s="175"/>
      <c r="U339" s="175"/>
      <c r="V339" s="175"/>
      <c r="W339" s="175"/>
      <c r="X339" s="597"/>
      <c r="Y339" s="175"/>
      <c r="Z339" s="175"/>
    </row>
    <row r="340" ht="12.0" customHeight="1">
      <c r="A340" s="175"/>
      <c r="B340" s="175"/>
      <c r="C340" s="175"/>
      <c r="D340" s="175"/>
      <c r="E340" s="597"/>
      <c r="F340" s="597"/>
      <c r="G340" s="597"/>
      <c r="H340" s="597"/>
      <c r="I340" s="597"/>
      <c r="J340" s="597"/>
      <c r="K340" s="597"/>
      <c r="L340" s="597"/>
      <c r="M340" s="597"/>
      <c r="N340" s="597"/>
      <c r="O340" s="597"/>
      <c r="P340" s="597"/>
      <c r="Q340" s="597"/>
      <c r="R340" s="597"/>
      <c r="S340" s="175"/>
      <c r="T340" s="175"/>
      <c r="U340" s="175"/>
      <c r="V340" s="175"/>
      <c r="W340" s="175"/>
      <c r="X340" s="597"/>
      <c r="Y340" s="175"/>
      <c r="Z340" s="175"/>
    </row>
    <row r="341" ht="12.0" customHeight="1">
      <c r="A341" s="175"/>
      <c r="B341" s="175"/>
      <c r="C341" s="175"/>
      <c r="D341" s="175"/>
      <c r="E341" s="597"/>
      <c r="F341" s="597"/>
      <c r="G341" s="597"/>
      <c r="H341" s="597"/>
      <c r="I341" s="597"/>
      <c r="J341" s="597"/>
      <c r="K341" s="597"/>
      <c r="L341" s="597"/>
      <c r="M341" s="597"/>
      <c r="N341" s="597"/>
      <c r="O341" s="597"/>
      <c r="P341" s="597"/>
      <c r="Q341" s="597"/>
      <c r="R341" s="597"/>
      <c r="S341" s="175"/>
      <c r="T341" s="175"/>
      <c r="U341" s="175"/>
      <c r="V341" s="175"/>
      <c r="W341" s="175"/>
      <c r="X341" s="597"/>
      <c r="Y341" s="175"/>
      <c r="Z341" s="175"/>
    </row>
    <row r="342" ht="12.0" customHeight="1">
      <c r="A342" s="175"/>
      <c r="B342" s="175"/>
      <c r="C342" s="175"/>
      <c r="D342" s="175"/>
      <c r="E342" s="597"/>
      <c r="F342" s="597"/>
      <c r="G342" s="597"/>
      <c r="H342" s="597"/>
      <c r="I342" s="597"/>
      <c r="J342" s="597"/>
      <c r="K342" s="597"/>
      <c r="L342" s="597"/>
      <c r="M342" s="597"/>
      <c r="N342" s="597"/>
      <c r="O342" s="597"/>
      <c r="P342" s="597"/>
      <c r="Q342" s="597"/>
      <c r="R342" s="597"/>
      <c r="S342" s="175"/>
      <c r="T342" s="175"/>
      <c r="U342" s="175"/>
      <c r="V342" s="175"/>
      <c r="W342" s="175"/>
      <c r="X342" s="597"/>
      <c r="Y342" s="175"/>
      <c r="Z342" s="175"/>
    </row>
    <row r="343" ht="12.0" customHeight="1">
      <c r="A343" s="175"/>
      <c r="B343" s="175"/>
      <c r="C343" s="175"/>
      <c r="D343" s="175"/>
      <c r="E343" s="597"/>
      <c r="F343" s="597"/>
      <c r="G343" s="597"/>
      <c r="H343" s="597"/>
      <c r="I343" s="597"/>
      <c r="J343" s="597"/>
      <c r="K343" s="597"/>
      <c r="L343" s="597"/>
      <c r="M343" s="597"/>
      <c r="N343" s="597"/>
      <c r="O343" s="597"/>
      <c r="P343" s="597"/>
      <c r="Q343" s="597"/>
      <c r="R343" s="597"/>
      <c r="S343" s="175"/>
      <c r="T343" s="175"/>
      <c r="U343" s="175"/>
      <c r="V343" s="175"/>
      <c r="W343" s="175"/>
      <c r="X343" s="597"/>
      <c r="Y343" s="175"/>
      <c r="Z343" s="175"/>
    </row>
    <row r="344" ht="12.0" customHeight="1">
      <c r="A344" s="175"/>
      <c r="B344" s="175"/>
      <c r="C344" s="175"/>
      <c r="D344" s="175"/>
      <c r="E344" s="597"/>
      <c r="F344" s="597"/>
      <c r="G344" s="597"/>
      <c r="H344" s="597"/>
      <c r="I344" s="597"/>
      <c r="J344" s="597"/>
      <c r="K344" s="597"/>
      <c r="L344" s="597"/>
      <c r="M344" s="597"/>
      <c r="N344" s="597"/>
      <c r="O344" s="597"/>
      <c r="P344" s="597"/>
      <c r="Q344" s="597"/>
      <c r="R344" s="597"/>
      <c r="S344" s="175"/>
      <c r="T344" s="175"/>
      <c r="U344" s="175"/>
      <c r="V344" s="175"/>
      <c r="W344" s="175"/>
      <c r="X344" s="597"/>
      <c r="Y344" s="175"/>
      <c r="Z344" s="175"/>
    </row>
    <row r="345" ht="12.0" customHeight="1">
      <c r="A345" s="175"/>
      <c r="B345" s="175"/>
      <c r="C345" s="175"/>
      <c r="D345" s="175"/>
      <c r="E345" s="597"/>
      <c r="F345" s="597"/>
      <c r="G345" s="597"/>
      <c r="H345" s="597"/>
      <c r="I345" s="597"/>
      <c r="J345" s="597"/>
      <c r="K345" s="597"/>
      <c r="L345" s="597"/>
      <c r="M345" s="597"/>
      <c r="N345" s="597"/>
      <c r="O345" s="597"/>
      <c r="P345" s="597"/>
      <c r="Q345" s="597"/>
      <c r="R345" s="597"/>
      <c r="S345" s="175"/>
      <c r="T345" s="175"/>
      <c r="U345" s="175"/>
      <c r="V345" s="175"/>
      <c r="W345" s="175"/>
      <c r="X345" s="597"/>
      <c r="Y345" s="175"/>
      <c r="Z345" s="175"/>
    </row>
    <row r="346" ht="12.0" customHeight="1">
      <c r="A346" s="175"/>
      <c r="B346" s="175"/>
      <c r="C346" s="175"/>
      <c r="D346" s="175"/>
      <c r="E346" s="597"/>
      <c r="F346" s="597"/>
      <c r="G346" s="597"/>
      <c r="H346" s="597"/>
      <c r="I346" s="597"/>
      <c r="J346" s="597"/>
      <c r="K346" s="597"/>
      <c r="L346" s="597"/>
      <c r="M346" s="597"/>
      <c r="N346" s="597"/>
      <c r="O346" s="597"/>
      <c r="P346" s="597"/>
      <c r="Q346" s="597"/>
      <c r="R346" s="597"/>
      <c r="S346" s="175"/>
      <c r="T346" s="175"/>
      <c r="U346" s="175"/>
      <c r="V346" s="175"/>
      <c r="W346" s="175"/>
      <c r="X346" s="597"/>
      <c r="Y346" s="175"/>
      <c r="Z346" s="175"/>
    </row>
    <row r="347" ht="12.0" customHeight="1">
      <c r="A347" s="175"/>
      <c r="B347" s="175"/>
      <c r="C347" s="175"/>
      <c r="D347" s="175"/>
      <c r="E347" s="597"/>
      <c r="F347" s="597"/>
      <c r="G347" s="597"/>
      <c r="H347" s="597"/>
      <c r="I347" s="597"/>
      <c r="J347" s="597"/>
      <c r="K347" s="597"/>
      <c r="L347" s="597"/>
      <c r="M347" s="597"/>
      <c r="N347" s="597"/>
      <c r="O347" s="597"/>
      <c r="P347" s="597"/>
      <c r="Q347" s="597"/>
      <c r="R347" s="597"/>
      <c r="S347" s="175"/>
      <c r="T347" s="175"/>
      <c r="U347" s="175"/>
      <c r="V347" s="175"/>
      <c r="W347" s="175"/>
      <c r="X347" s="597"/>
      <c r="Y347" s="175"/>
      <c r="Z347" s="175"/>
    </row>
    <row r="348" ht="12.0" customHeight="1">
      <c r="A348" s="175"/>
      <c r="B348" s="175"/>
      <c r="C348" s="175"/>
      <c r="D348" s="175"/>
      <c r="E348" s="597"/>
      <c r="F348" s="597"/>
      <c r="G348" s="597"/>
      <c r="H348" s="597"/>
      <c r="I348" s="597"/>
      <c r="J348" s="597"/>
      <c r="K348" s="597"/>
      <c r="L348" s="597"/>
      <c r="M348" s="597"/>
      <c r="N348" s="597"/>
      <c r="O348" s="597"/>
      <c r="P348" s="597"/>
      <c r="Q348" s="597"/>
      <c r="R348" s="597"/>
      <c r="S348" s="175"/>
      <c r="T348" s="175"/>
      <c r="U348" s="175"/>
      <c r="V348" s="175"/>
      <c r="W348" s="175"/>
      <c r="X348" s="597"/>
      <c r="Y348" s="175"/>
      <c r="Z348" s="175"/>
    </row>
    <row r="349" ht="12.0" customHeight="1">
      <c r="A349" s="175"/>
      <c r="B349" s="175"/>
      <c r="C349" s="175"/>
      <c r="D349" s="175"/>
      <c r="E349" s="597"/>
      <c r="F349" s="597"/>
      <c r="G349" s="597"/>
      <c r="H349" s="597"/>
      <c r="I349" s="597"/>
      <c r="J349" s="597"/>
      <c r="K349" s="597"/>
      <c r="L349" s="597"/>
      <c r="M349" s="597"/>
      <c r="N349" s="597"/>
      <c r="O349" s="597"/>
      <c r="P349" s="597"/>
      <c r="Q349" s="597"/>
      <c r="R349" s="597"/>
      <c r="S349" s="175"/>
      <c r="T349" s="175"/>
      <c r="U349" s="175"/>
      <c r="V349" s="175"/>
      <c r="W349" s="175"/>
      <c r="X349" s="597"/>
      <c r="Y349" s="175"/>
      <c r="Z349" s="175"/>
    </row>
    <row r="350" ht="12.0" customHeight="1">
      <c r="A350" s="175"/>
      <c r="B350" s="175"/>
      <c r="C350" s="175"/>
      <c r="D350" s="175"/>
      <c r="E350" s="597"/>
      <c r="F350" s="597"/>
      <c r="G350" s="597"/>
      <c r="H350" s="597"/>
      <c r="I350" s="597"/>
      <c r="J350" s="597"/>
      <c r="K350" s="597"/>
      <c r="L350" s="597"/>
      <c r="M350" s="597"/>
      <c r="N350" s="597"/>
      <c r="O350" s="597"/>
      <c r="P350" s="597"/>
      <c r="Q350" s="597"/>
      <c r="R350" s="597"/>
      <c r="S350" s="175"/>
      <c r="T350" s="175"/>
      <c r="U350" s="175"/>
      <c r="V350" s="175"/>
      <c r="W350" s="175"/>
      <c r="X350" s="597"/>
      <c r="Y350" s="175"/>
      <c r="Z350" s="175"/>
    </row>
    <row r="351" ht="12.0" customHeight="1">
      <c r="A351" s="175"/>
      <c r="B351" s="175"/>
      <c r="C351" s="175"/>
      <c r="D351" s="175"/>
      <c r="E351" s="597"/>
      <c r="F351" s="597"/>
      <c r="G351" s="597"/>
      <c r="H351" s="597"/>
      <c r="I351" s="597"/>
      <c r="J351" s="597"/>
      <c r="K351" s="597"/>
      <c r="L351" s="597"/>
      <c r="M351" s="597"/>
      <c r="N351" s="597"/>
      <c r="O351" s="597"/>
      <c r="P351" s="597"/>
      <c r="Q351" s="597"/>
      <c r="R351" s="597"/>
      <c r="S351" s="175"/>
      <c r="T351" s="175"/>
      <c r="U351" s="175"/>
      <c r="V351" s="175"/>
      <c r="W351" s="175"/>
      <c r="X351" s="597"/>
      <c r="Y351" s="175"/>
      <c r="Z351" s="175"/>
    </row>
    <row r="352" ht="12.0" customHeight="1">
      <c r="A352" s="175"/>
      <c r="B352" s="175"/>
      <c r="C352" s="175"/>
      <c r="D352" s="175"/>
      <c r="E352" s="597"/>
      <c r="F352" s="597"/>
      <c r="G352" s="597"/>
      <c r="H352" s="597"/>
      <c r="I352" s="597"/>
      <c r="J352" s="597"/>
      <c r="K352" s="597"/>
      <c r="L352" s="597"/>
      <c r="M352" s="597"/>
      <c r="N352" s="597"/>
      <c r="O352" s="597"/>
      <c r="P352" s="597"/>
      <c r="Q352" s="597"/>
      <c r="R352" s="597"/>
      <c r="S352" s="175"/>
      <c r="T352" s="175"/>
      <c r="U352" s="175"/>
      <c r="V352" s="175"/>
      <c r="W352" s="175"/>
      <c r="X352" s="597"/>
      <c r="Y352" s="175"/>
      <c r="Z352" s="175"/>
    </row>
    <row r="353" ht="12.0" customHeight="1">
      <c r="A353" s="175"/>
      <c r="B353" s="175"/>
      <c r="C353" s="175"/>
      <c r="D353" s="175"/>
      <c r="E353" s="597"/>
      <c r="F353" s="597"/>
      <c r="G353" s="597"/>
      <c r="H353" s="597"/>
      <c r="I353" s="597"/>
      <c r="J353" s="597"/>
      <c r="K353" s="597"/>
      <c r="L353" s="597"/>
      <c r="M353" s="597"/>
      <c r="N353" s="597"/>
      <c r="O353" s="597"/>
      <c r="P353" s="597"/>
      <c r="Q353" s="597"/>
      <c r="R353" s="597"/>
      <c r="S353" s="175"/>
      <c r="T353" s="175"/>
      <c r="U353" s="175"/>
      <c r="V353" s="175"/>
      <c r="W353" s="175"/>
      <c r="X353" s="597"/>
      <c r="Y353" s="175"/>
      <c r="Z353" s="175"/>
    </row>
    <row r="354" ht="12.0" customHeight="1">
      <c r="A354" s="175"/>
      <c r="B354" s="175"/>
      <c r="C354" s="175"/>
      <c r="D354" s="175"/>
      <c r="E354" s="597"/>
      <c r="F354" s="597"/>
      <c r="G354" s="597"/>
      <c r="H354" s="597"/>
      <c r="I354" s="597"/>
      <c r="J354" s="597"/>
      <c r="K354" s="597"/>
      <c r="L354" s="597"/>
      <c r="M354" s="597"/>
      <c r="N354" s="597"/>
      <c r="O354" s="597"/>
      <c r="P354" s="597"/>
      <c r="Q354" s="597"/>
      <c r="R354" s="597"/>
      <c r="S354" s="175"/>
      <c r="T354" s="175"/>
      <c r="U354" s="175"/>
      <c r="V354" s="175"/>
      <c r="W354" s="175"/>
      <c r="X354" s="597"/>
      <c r="Y354" s="175"/>
      <c r="Z354" s="175"/>
    </row>
    <row r="355" ht="12.0" customHeight="1">
      <c r="A355" s="175"/>
      <c r="B355" s="175"/>
      <c r="C355" s="175"/>
      <c r="D355" s="175"/>
      <c r="E355" s="597"/>
      <c r="F355" s="597"/>
      <c r="G355" s="597"/>
      <c r="H355" s="597"/>
      <c r="I355" s="597"/>
      <c r="J355" s="597"/>
      <c r="K355" s="597"/>
      <c r="L355" s="597"/>
      <c r="M355" s="597"/>
      <c r="N355" s="597"/>
      <c r="O355" s="597"/>
      <c r="P355" s="597"/>
      <c r="Q355" s="597"/>
      <c r="R355" s="597"/>
      <c r="S355" s="175"/>
      <c r="T355" s="175"/>
      <c r="U355" s="175"/>
      <c r="V355" s="175"/>
      <c r="W355" s="175"/>
      <c r="X355" s="597"/>
      <c r="Y355" s="175"/>
      <c r="Z355" s="175"/>
    </row>
    <row r="356" ht="12.0" customHeight="1">
      <c r="A356" s="175"/>
      <c r="B356" s="175"/>
      <c r="C356" s="175"/>
      <c r="D356" s="175"/>
      <c r="E356" s="597"/>
      <c r="F356" s="597"/>
      <c r="G356" s="597"/>
      <c r="H356" s="597"/>
      <c r="I356" s="597"/>
      <c r="J356" s="597"/>
      <c r="K356" s="597"/>
      <c r="L356" s="597"/>
      <c r="M356" s="597"/>
      <c r="N356" s="597"/>
      <c r="O356" s="597"/>
      <c r="P356" s="597"/>
      <c r="Q356" s="597"/>
      <c r="R356" s="597"/>
      <c r="S356" s="175"/>
      <c r="T356" s="175"/>
      <c r="U356" s="175"/>
      <c r="V356" s="175"/>
      <c r="W356" s="175"/>
      <c r="X356" s="597"/>
      <c r="Y356" s="175"/>
      <c r="Z356" s="175"/>
    </row>
    <row r="357" ht="12.0" customHeight="1">
      <c r="A357" s="175"/>
      <c r="B357" s="175"/>
      <c r="C357" s="175"/>
      <c r="D357" s="175"/>
      <c r="E357" s="597"/>
      <c r="F357" s="597"/>
      <c r="G357" s="597"/>
      <c r="H357" s="597"/>
      <c r="I357" s="597"/>
      <c r="J357" s="597"/>
      <c r="K357" s="597"/>
      <c r="L357" s="597"/>
      <c r="M357" s="597"/>
      <c r="N357" s="597"/>
      <c r="O357" s="597"/>
      <c r="P357" s="597"/>
      <c r="Q357" s="597"/>
      <c r="R357" s="597"/>
      <c r="S357" s="175"/>
      <c r="T357" s="175"/>
      <c r="U357" s="175"/>
      <c r="V357" s="175"/>
      <c r="W357" s="175"/>
      <c r="X357" s="597"/>
      <c r="Y357" s="175"/>
      <c r="Z357" s="175"/>
    </row>
    <row r="358" ht="12.0" customHeight="1">
      <c r="A358" s="175"/>
      <c r="B358" s="175"/>
      <c r="C358" s="175"/>
      <c r="D358" s="175"/>
      <c r="E358" s="597"/>
      <c r="F358" s="597"/>
      <c r="G358" s="597"/>
      <c r="H358" s="597"/>
      <c r="I358" s="597"/>
      <c r="J358" s="597"/>
      <c r="K358" s="597"/>
      <c r="L358" s="597"/>
      <c r="M358" s="597"/>
      <c r="N358" s="597"/>
      <c r="O358" s="597"/>
      <c r="P358" s="597"/>
      <c r="Q358" s="597"/>
      <c r="R358" s="597"/>
      <c r="S358" s="175"/>
      <c r="T358" s="175"/>
      <c r="U358" s="175"/>
      <c r="V358" s="175"/>
      <c r="W358" s="175"/>
      <c r="X358" s="597"/>
      <c r="Y358" s="175"/>
      <c r="Z358" s="175"/>
    </row>
    <row r="359" ht="12.0" customHeight="1">
      <c r="A359" s="175"/>
      <c r="B359" s="175"/>
      <c r="C359" s="175"/>
      <c r="D359" s="175"/>
      <c r="E359" s="597"/>
      <c r="F359" s="597"/>
      <c r="G359" s="597"/>
      <c r="H359" s="597"/>
      <c r="I359" s="597"/>
      <c r="J359" s="597"/>
      <c r="K359" s="597"/>
      <c r="L359" s="597"/>
      <c r="M359" s="597"/>
      <c r="N359" s="597"/>
      <c r="O359" s="597"/>
      <c r="P359" s="597"/>
      <c r="Q359" s="597"/>
      <c r="R359" s="597"/>
      <c r="S359" s="175"/>
      <c r="T359" s="175"/>
      <c r="U359" s="175"/>
      <c r="V359" s="175"/>
      <c r="W359" s="175"/>
      <c r="X359" s="597"/>
      <c r="Y359" s="175"/>
      <c r="Z359" s="175"/>
    </row>
    <row r="360" ht="12.0" customHeight="1">
      <c r="A360" s="175"/>
      <c r="B360" s="175"/>
      <c r="C360" s="175"/>
      <c r="D360" s="175"/>
      <c r="E360" s="597"/>
      <c r="F360" s="597"/>
      <c r="G360" s="597"/>
      <c r="H360" s="597"/>
      <c r="I360" s="597"/>
      <c r="J360" s="597"/>
      <c r="K360" s="597"/>
      <c r="L360" s="597"/>
      <c r="M360" s="597"/>
      <c r="N360" s="597"/>
      <c r="O360" s="597"/>
      <c r="P360" s="597"/>
      <c r="Q360" s="597"/>
      <c r="R360" s="597"/>
      <c r="S360" s="175"/>
      <c r="T360" s="175"/>
      <c r="U360" s="175"/>
      <c r="V360" s="175"/>
      <c r="W360" s="175"/>
      <c r="X360" s="597"/>
      <c r="Y360" s="175"/>
      <c r="Z360" s="175"/>
    </row>
    <row r="361" ht="12.0" customHeight="1">
      <c r="A361" s="175"/>
      <c r="B361" s="175"/>
      <c r="C361" s="175"/>
      <c r="D361" s="175"/>
      <c r="E361" s="597"/>
      <c r="F361" s="597"/>
      <c r="G361" s="597"/>
      <c r="H361" s="597"/>
      <c r="I361" s="597"/>
      <c r="J361" s="597"/>
      <c r="K361" s="597"/>
      <c r="L361" s="597"/>
      <c r="M361" s="597"/>
      <c r="N361" s="597"/>
      <c r="O361" s="597"/>
      <c r="P361" s="597"/>
      <c r="Q361" s="597"/>
      <c r="R361" s="597"/>
      <c r="S361" s="175"/>
      <c r="T361" s="175"/>
      <c r="U361" s="175"/>
      <c r="V361" s="175"/>
      <c r="W361" s="175"/>
      <c r="X361" s="597"/>
      <c r="Y361" s="175"/>
      <c r="Z361" s="175"/>
    </row>
    <row r="362" ht="12.0" customHeight="1">
      <c r="A362" s="175"/>
      <c r="B362" s="175"/>
      <c r="C362" s="175"/>
      <c r="D362" s="175"/>
      <c r="E362" s="597"/>
      <c r="F362" s="597"/>
      <c r="G362" s="597"/>
      <c r="H362" s="597"/>
      <c r="I362" s="597"/>
      <c r="J362" s="597"/>
      <c r="K362" s="597"/>
      <c r="L362" s="597"/>
      <c r="M362" s="597"/>
      <c r="N362" s="597"/>
      <c r="O362" s="597"/>
      <c r="P362" s="597"/>
      <c r="Q362" s="597"/>
      <c r="R362" s="597"/>
      <c r="S362" s="175"/>
      <c r="T362" s="175"/>
      <c r="U362" s="175"/>
      <c r="V362" s="175"/>
      <c r="W362" s="175"/>
      <c r="X362" s="597"/>
      <c r="Y362" s="175"/>
      <c r="Z362" s="175"/>
    </row>
    <row r="363" ht="12.0" customHeight="1">
      <c r="A363" s="175"/>
      <c r="B363" s="175"/>
      <c r="C363" s="175"/>
      <c r="D363" s="175"/>
      <c r="E363" s="597"/>
      <c r="F363" s="597"/>
      <c r="G363" s="597"/>
      <c r="H363" s="597"/>
      <c r="I363" s="597"/>
      <c r="J363" s="597"/>
      <c r="K363" s="597"/>
      <c r="L363" s="597"/>
      <c r="M363" s="597"/>
      <c r="N363" s="597"/>
      <c r="O363" s="597"/>
      <c r="P363" s="597"/>
      <c r="Q363" s="597"/>
      <c r="R363" s="597"/>
      <c r="S363" s="175"/>
      <c r="T363" s="175"/>
      <c r="U363" s="175"/>
      <c r="V363" s="175"/>
      <c r="W363" s="175"/>
      <c r="X363" s="597"/>
      <c r="Y363" s="175"/>
      <c r="Z363" s="175"/>
    </row>
    <row r="364" ht="12.0" customHeight="1">
      <c r="A364" s="175"/>
      <c r="B364" s="175"/>
      <c r="C364" s="175"/>
      <c r="D364" s="175"/>
      <c r="E364" s="597"/>
      <c r="F364" s="597"/>
      <c r="G364" s="597"/>
      <c r="H364" s="597"/>
      <c r="I364" s="597"/>
      <c r="J364" s="597"/>
      <c r="K364" s="597"/>
      <c r="L364" s="597"/>
      <c r="M364" s="597"/>
      <c r="N364" s="597"/>
      <c r="O364" s="597"/>
      <c r="P364" s="597"/>
      <c r="Q364" s="597"/>
      <c r="R364" s="597"/>
      <c r="S364" s="175"/>
      <c r="T364" s="175"/>
      <c r="U364" s="175"/>
      <c r="V364" s="175"/>
      <c r="W364" s="175"/>
      <c r="X364" s="597"/>
      <c r="Y364" s="175"/>
      <c r="Z364" s="175"/>
    </row>
    <row r="365" ht="12.0" customHeight="1">
      <c r="A365" s="175"/>
      <c r="B365" s="175"/>
      <c r="C365" s="175"/>
      <c r="D365" s="175"/>
      <c r="E365" s="597"/>
      <c r="F365" s="597"/>
      <c r="G365" s="597"/>
      <c r="H365" s="597"/>
      <c r="I365" s="597"/>
      <c r="J365" s="597"/>
      <c r="K365" s="597"/>
      <c r="L365" s="597"/>
      <c r="M365" s="597"/>
      <c r="N365" s="597"/>
      <c r="O365" s="597"/>
      <c r="P365" s="597"/>
      <c r="Q365" s="597"/>
      <c r="R365" s="597"/>
      <c r="S365" s="175"/>
      <c r="T365" s="175"/>
      <c r="U365" s="175"/>
      <c r="V365" s="175"/>
      <c r="W365" s="175"/>
      <c r="X365" s="597"/>
      <c r="Y365" s="175"/>
      <c r="Z365" s="175"/>
    </row>
    <row r="366" ht="12.0" customHeight="1">
      <c r="A366" s="175"/>
      <c r="B366" s="175"/>
      <c r="C366" s="175"/>
      <c r="D366" s="175"/>
      <c r="E366" s="597"/>
      <c r="F366" s="597"/>
      <c r="G366" s="597"/>
      <c r="H366" s="597"/>
      <c r="I366" s="597"/>
      <c r="J366" s="597"/>
      <c r="K366" s="597"/>
      <c r="L366" s="597"/>
      <c r="M366" s="597"/>
      <c r="N366" s="597"/>
      <c r="O366" s="597"/>
      <c r="P366" s="597"/>
      <c r="Q366" s="597"/>
      <c r="R366" s="597"/>
      <c r="S366" s="175"/>
      <c r="T366" s="175"/>
      <c r="U366" s="175"/>
      <c r="V366" s="175"/>
      <c r="W366" s="175"/>
      <c r="X366" s="597"/>
      <c r="Y366" s="175"/>
      <c r="Z366" s="175"/>
    </row>
    <row r="367" ht="12.0" customHeight="1">
      <c r="A367" s="175"/>
      <c r="B367" s="175"/>
      <c r="C367" s="175"/>
      <c r="D367" s="175"/>
      <c r="E367" s="597"/>
      <c r="F367" s="597"/>
      <c r="G367" s="597"/>
      <c r="H367" s="597"/>
      <c r="I367" s="597"/>
      <c r="J367" s="597"/>
      <c r="K367" s="597"/>
      <c r="L367" s="597"/>
      <c r="M367" s="597"/>
      <c r="N367" s="597"/>
      <c r="O367" s="597"/>
      <c r="P367" s="597"/>
      <c r="Q367" s="597"/>
      <c r="R367" s="597"/>
      <c r="S367" s="175"/>
      <c r="T367" s="175"/>
      <c r="U367" s="175"/>
      <c r="V367" s="175"/>
      <c r="W367" s="175"/>
      <c r="X367" s="597"/>
      <c r="Y367" s="175"/>
      <c r="Z367" s="175"/>
    </row>
    <row r="368" ht="12.0" customHeight="1">
      <c r="A368" s="175"/>
      <c r="B368" s="175"/>
      <c r="C368" s="175"/>
      <c r="D368" s="175"/>
      <c r="E368" s="597"/>
      <c r="F368" s="597"/>
      <c r="G368" s="597"/>
      <c r="H368" s="597"/>
      <c r="I368" s="597"/>
      <c r="J368" s="597"/>
      <c r="K368" s="597"/>
      <c r="L368" s="597"/>
      <c r="M368" s="597"/>
      <c r="N368" s="597"/>
      <c r="O368" s="597"/>
      <c r="P368" s="597"/>
      <c r="Q368" s="597"/>
      <c r="R368" s="597"/>
      <c r="S368" s="175"/>
      <c r="T368" s="175"/>
      <c r="U368" s="175"/>
      <c r="V368" s="175"/>
      <c r="W368" s="175"/>
      <c r="X368" s="597"/>
      <c r="Y368" s="175"/>
      <c r="Z368" s="175"/>
    </row>
    <row r="369" ht="12.0" customHeight="1">
      <c r="A369" s="175"/>
      <c r="B369" s="175"/>
      <c r="C369" s="175"/>
      <c r="D369" s="175"/>
      <c r="E369" s="597"/>
      <c r="F369" s="597"/>
      <c r="G369" s="597"/>
      <c r="H369" s="597"/>
      <c r="I369" s="597"/>
      <c r="J369" s="597"/>
      <c r="K369" s="597"/>
      <c r="L369" s="597"/>
      <c r="M369" s="597"/>
      <c r="N369" s="597"/>
      <c r="O369" s="597"/>
      <c r="P369" s="597"/>
      <c r="Q369" s="597"/>
      <c r="R369" s="597"/>
      <c r="S369" s="175"/>
      <c r="T369" s="175"/>
      <c r="U369" s="175"/>
      <c r="V369" s="175"/>
      <c r="W369" s="175"/>
      <c r="X369" s="597"/>
      <c r="Y369" s="175"/>
      <c r="Z369" s="175"/>
    </row>
    <row r="370" ht="12.0" customHeight="1">
      <c r="A370" s="175"/>
      <c r="B370" s="175"/>
      <c r="C370" s="175"/>
      <c r="D370" s="175"/>
      <c r="E370" s="597"/>
      <c r="F370" s="597"/>
      <c r="G370" s="597"/>
      <c r="H370" s="597"/>
      <c r="I370" s="597"/>
      <c r="J370" s="597"/>
      <c r="K370" s="597"/>
      <c r="L370" s="597"/>
      <c r="M370" s="597"/>
      <c r="N370" s="597"/>
      <c r="O370" s="597"/>
      <c r="P370" s="597"/>
      <c r="Q370" s="597"/>
      <c r="R370" s="597"/>
      <c r="S370" s="175"/>
      <c r="T370" s="175"/>
      <c r="U370" s="175"/>
      <c r="V370" s="175"/>
      <c r="W370" s="175"/>
      <c r="X370" s="597"/>
      <c r="Y370" s="175"/>
      <c r="Z370" s="175"/>
    </row>
    <row r="371" ht="12.0" customHeight="1">
      <c r="A371" s="175"/>
      <c r="B371" s="175"/>
      <c r="C371" s="175"/>
      <c r="D371" s="175"/>
      <c r="E371" s="597"/>
      <c r="F371" s="597"/>
      <c r="G371" s="597"/>
      <c r="H371" s="597"/>
      <c r="I371" s="597"/>
      <c r="J371" s="597"/>
      <c r="K371" s="597"/>
      <c r="L371" s="597"/>
      <c r="M371" s="597"/>
      <c r="N371" s="597"/>
      <c r="O371" s="597"/>
      <c r="P371" s="597"/>
      <c r="Q371" s="597"/>
      <c r="R371" s="597"/>
      <c r="S371" s="175"/>
      <c r="T371" s="175"/>
      <c r="U371" s="175"/>
      <c r="V371" s="175"/>
      <c r="W371" s="175"/>
      <c r="X371" s="597"/>
      <c r="Y371" s="175"/>
      <c r="Z371" s="175"/>
    </row>
    <row r="372" ht="12.0" customHeight="1">
      <c r="A372" s="175"/>
      <c r="B372" s="175"/>
      <c r="C372" s="175"/>
      <c r="D372" s="175"/>
      <c r="E372" s="597"/>
      <c r="F372" s="597"/>
      <c r="G372" s="597"/>
      <c r="H372" s="597"/>
      <c r="I372" s="597"/>
      <c r="J372" s="597"/>
      <c r="K372" s="597"/>
      <c r="L372" s="597"/>
      <c r="M372" s="597"/>
      <c r="N372" s="597"/>
      <c r="O372" s="597"/>
      <c r="P372" s="597"/>
      <c r="Q372" s="597"/>
      <c r="R372" s="597"/>
      <c r="S372" s="175"/>
      <c r="T372" s="175"/>
      <c r="U372" s="175"/>
      <c r="V372" s="175"/>
      <c r="W372" s="175"/>
      <c r="X372" s="597"/>
      <c r="Y372" s="175"/>
      <c r="Z372" s="175"/>
    </row>
    <row r="373" ht="12.0" customHeight="1">
      <c r="A373" s="175"/>
      <c r="B373" s="175"/>
      <c r="C373" s="175"/>
      <c r="D373" s="175"/>
      <c r="E373" s="597"/>
      <c r="F373" s="597"/>
      <c r="G373" s="597"/>
      <c r="H373" s="597"/>
      <c r="I373" s="597"/>
      <c r="J373" s="597"/>
      <c r="K373" s="597"/>
      <c r="L373" s="597"/>
      <c r="M373" s="597"/>
      <c r="N373" s="597"/>
      <c r="O373" s="597"/>
      <c r="P373" s="597"/>
      <c r="Q373" s="597"/>
      <c r="R373" s="597"/>
      <c r="S373" s="175"/>
      <c r="T373" s="175"/>
      <c r="U373" s="175"/>
      <c r="V373" s="175"/>
      <c r="W373" s="175"/>
      <c r="X373" s="597"/>
      <c r="Y373" s="175"/>
      <c r="Z373" s="175"/>
    </row>
    <row r="374" ht="12.0" customHeight="1">
      <c r="A374" s="175"/>
      <c r="B374" s="175"/>
      <c r="C374" s="175"/>
      <c r="D374" s="175"/>
      <c r="E374" s="597"/>
      <c r="F374" s="597"/>
      <c r="G374" s="597"/>
      <c r="H374" s="597"/>
      <c r="I374" s="597"/>
      <c r="J374" s="597"/>
      <c r="K374" s="597"/>
      <c r="L374" s="597"/>
      <c r="M374" s="597"/>
      <c r="N374" s="597"/>
      <c r="O374" s="597"/>
      <c r="P374" s="597"/>
      <c r="Q374" s="597"/>
      <c r="R374" s="597"/>
      <c r="S374" s="175"/>
      <c r="T374" s="175"/>
      <c r="U374" s="175"/>
      <c r="V374" s="175"/>
      <c r="W374" s="175"/>
      <c r="X374" s="597"/>
      <c r="Y374" s="175"/>
      <c r="Z374" s="175"/>
    </row>
    <row r="375" ht="12.0" customHeight="1">
      <c r="A375" s="175"/>
      <c r="B375" s="175"/>
      <c r="C375" s="175"/>
      <c r="D375" s="175"/>
      <c r="E375" s="597"/>
      <c r="F375" s="597"/>
      <c r="G375" s="597"/>
      <c r="H375" s="597"/>
      <c r="I375" s="597"/>
      <c r="J375" s="597"/>
      <c r="K375" s="597"/>
      <c r="L375" s="597"/>
      <c r="M375" s="597"/>
      <c r="N375" s="597"/>
      <c r="O375" s="597"/>
      <c r="P375" s="597"/>
      <c r="Q375" s="597"/>
      <c r="R375" s="597"/>
      <c r="S375" s="175"/>
      <c r="T375" s="175"/>
      <c r="U375" s="175"/>
      <c r="V375" s="175"/>
      <c r="W375" s="175"/>
      <c r="X375" s="597"/>
      <c r="Y375" s="175"/>
      <c r="Z375" s="175"/>
    </row>
    <row r="376" ht="12.0" customHeight="1">
      <c r="A376" s="175"/>
      <c r="B376" s="175"/>
      <c r="C376" s="175"/>
      <c r="D376" s="175"/>
      <c r="E376" s="597"/>
      <c r="F376" s="597"/>
      <c r="G376" s="597"/>
      <c r="H376" s="597"/>
      <c r="I376" s="597"/>
      <c r="J376" s="597"/>
      <c r="K376" s="597"/>
      <c r="L376" s="597"/>
      <c r="M376" s="597"/>
      <c r="N376" s="597"/>
      <c r="O376" s="597"/>
      <c r="P376" s="597"/>
      <c r="Q376" s="597"/>
      <c r="R376" s="597"/>
      <c r="S376" s="175"/>
      <c r="T376" s="175"/>
      <c r="U376" s="175"/>
      <c r="V376" s="175"/>
      <c r="W376" s="175"/>
      <c r="X376" s="597"/>
      <c r="Y376" s="175"/>
      <c r="Z376" s="175"/>
    </row>
    <row r="377" ht="12.0" customHeight="1">
      <c r="A377" s="175"/>
      <c r="B377" s="175"/>
      <c r="C377" s="175"/>
      <c r="D377" s="175"/>
      <c r="E377" s="597"/>
      <c r="F377" s="597"/>
      <c r="G377" s="597"/>
      <c r="H377" s="597"/>
      <c r="I377" s="597"/>
      <c r="J377" s="597"/>
      <c r="K377" s="597"/>
      <c r="L377" s="597"/>
      <c r="M377" s="597"/>
      <c r="N377" s="597"/>
      <c r="O377" s="597"/>
      <c r="P377" s="597"/>
      <c r="Q377" s="597"/>
      <c r="R377" s="597"/>
      <c r="S377" s="175"/>
      <c r="T377" s="175"/>
      <c r="U377" s="175"/>
      <c r="V377" s="175"/>
      <c r="W377" s="175"/>
      <c r="X377" s="597"/>
      <c r="Y377" s="175"/>
      <c r="Z377" s="175"/>
    </row>
    <row r="378" ht="12.0" customHeight="1">
      <c r="A378" s="175"/>
      <c r="B378" s="175"/>
      <c r="C378" s="175"/>
      <c r="D378" s="175"/>
      <c r="E378" s="597"/>
      <c r="F378" s="597"/>
      <c r="G378" s="597"/>
      <c r="H378" s="597"/>
      <c r="I378" s="597"/>
      <c r="J378" s="597"/>
      <c r="K378" s="597"/>
      <c r="L378" s="597"/>
      <c r="M378" s="597"/>
      <c r="N378" s="597"/>
      <c r="O378" s="597"/>
      <c r="P378" s="597"/>
      <c r="Q378" s="597"/>
      <c r="R378" s="597"/>
      <c r="S378" s="175"/>
      <c r="T378" s="175"/>
      <c r="U378" s="175"/>
      <c r="V378" s="175"/>
      <c r="W378" s="175"/>
      <c r="X378" s="597"/>
      <c r="Y378" s="175"/>
      <c r="Z378" s="175"/>
    </row>
    <row r="379" ht="12.0" customHeight="1">
      <c r="A379" s="175"/>
      <c r="B379" s="175"/>
      <c r="C379" s="175"/>
      <c r="D379" s="175"/>
      <c r="E379" s="597"/>
      <c r="F379" s="597"/>
      <c r="G379" s="597"/>
      <c r="H379" s="597"/>
      <c r="I379" s="597"/>
      <c r="J379" s="597"/>
      <c r="K379" s="597"/>
      <c r="L379" s="597"/>
      <c r="M379" s="597"/>
      <c r="N379" s="597"/>
      <c r="O379" s="597"/>
      <c r="P379" s="597"/>
      <c r="Q379" s="597"/>
      <c r="R379" s="597"/>
      <c r="S379" s="175"/>
      <c r="T379" s="175"/>
      <c r="U379" s="175"/>
      <c r="V379" s="175"/>
      <c r="W379" s="175"/>
      <c r="X379" s="597"/>
      <c r="Y379" s="175"/>
      <c r="Z379" s="175"/>
    </row>
    <row r="380" ht="12.0" customHeight="1">
      <c r="A380" s="175"/>
      <c r="B380" s="175"/>
      <c r="C380" s="175"/>
      <c r="D380" s="175"/>
      <c r="E380" s="597"/>
      <c r="F380" s="597"/>
      <c r="G380" s="597"/>
      <c r="H380" s="597"/>
      <c r="I380" s="597"/>
      <c r="J380" s="597"/>
      <c r="K380" s="597"/>
      <c r="L380" s="597"/>
      <c r="M380" s="597"/>
      <c r="N380" s="597"/>
      <c r="O380" s="597"/>
      <c r="P380" s="597"/>
      <c r="Q380" s="597"/>
      <c r="R380" s="597"/>
      <c r="S380" s="175"/>
      <c r="T380" s="175"/>
      <c r="U380" s="175"/>
      <c r="V380" s="175"/>
      <c r="W380" s="175"/>
      <c r="X380" s="597"/>
      <c r="Y380" s="175"/>
      <c r="Z380" s="175"/>
    </row>
    <row r="381" ht="12.0" customHeight="1">
      <c r="A381" s="175"/>
      <c r="B381" s="175"/>
      <c r="C381" s="175"/>
      <c r="D381" s="175"/>
      <c r="E381" s="597"/>
      <c r="F381" s="597"/>
      <c r="G381" s="597"/>
      <c r="H381" s="597"/>
      <c r="I381" s="597"/>
      <c r="J381" s="597"/>
      <c r="K381" s="597"/>
      <c r="L381" s="597"/>
      <c r="M381" s="597"/>
      <c r="N381" s="597"/>
      <c r="O381" s="597"/>
      <c r="P381" s="597"/>
      <c r="Q381" s="597"/>
      <c r="R381" s="597"/>
      <c r="S381" s="175"/>
      <c r="T381" s="175"/>
      <c r="U381" s="175"/>
      <c r="V381" s="175"/>
      <c r="W381" s="175"/>
      <c r="X381" s="597"/>
      <c r="Y381" s="175"/>
      <c r="Z381" s="175"/>
    </row>
    <row r="382" ht="12.0" customHeight="1">
      <c r="A382" s="175"/>
      <c r="B382" s="175"/>
      <c r="C382" s="175"/>
      <c r="D382" s="175"/>
      <c r="E382" s="597"/>
      <c r="F382" s="597"/>
      <c r="G382" s="597"/>
      <c r="H382" s="597"/>
      <c r="I382" s="597"/>
      <c r="J382" s="597"/>
      <c r="K382" s="597"/>
      <c r="L382" s="597"/>
      <c r="M382" s="597"/>
      <c r="N382" s="597"/>
      <c r="O382" s="597"/>
      <c r="P382" s="597"/>
      <c r="Q382" s="597"/>
      <c r="R382" s="597"/>
      <c r="S382" s="175"/>
      <c r="T382" s="175"/>
      <c r="U382" s="175"/>
      <c r="V382" s="175"/>
      <c r="W382" s="175"/>
      <c r="X382" s="597"/>
      <c r="Y382" s="175"/>
      <c r="Z382" s="175"/>
    </row>
    <row r="383" ht="12.0" customHeight="1">
      <c r="A383" s="175"/>
      <c r="B383" s="175"/>
      <c r="C383" s="175"/>
      <c r="D383" s="175"/>
      <c r="E383" s="597"/>
      <c r="F383" s="597"/>
      <c r="G383" s="597"/>
      <c r="H383" s="597"/>
      <c r="I383" s="597"/>
      <c r="J383" s="597"/>
      <c r="K383" s="597"/>
      <c r="L383" s="597"/>
      <c r="M383" s="597"/>
      <c r="N383" s="597"/>
      <c r="O383" s="597"/>
      <c r="P383" s="597"/>
      <c r="Q383" s="597"/>
      <c r="R383" s="597"/>
      <c r="S383" s="175"/>
      <c r="T383" s="175"/>
      <c r="U383" s="175"/>
      <c r="V383" s="175"/>
      <c r="W383" s="175"/>
      <c r="X383" s="597"/>
      <c r="Y383" s="175"/>
      <c r="Z383" s="175"/>
    </row>
    <row r="384" ht="12.0" customHeight="1">
      <c r="A384" s="175"/>
      <c r="B384" s="175"/>
      <c r="C384" s="175"/>
      <c r="D384" s="175"/>
      <c r="E384" s="597"/>
      <c r="F384" s="597"/>
      <c r="G384" s="597"/>
      <c r="H384" s="597"/>
      <c r="I384" s="597"/>
      <c r="J384" s="597"/>
      <c r="K384" s="597"/>
      <c r="L384" s="597"/>
      <c r="M384" s="597"/>
      <c r="N384" s="597"/>
      <c r="O384" s="597"/>
      <c r="P384" s="597"/>
      <c r="Q384" s="597"/>
      <c r="R384" s="597"/>
      <c r="S384" s="175"/>
      <c r="T384" s="175"/>
      <c r="U384" s="175"/>
      <c r="V384" s="175"/>
      <c r="W384" s="175"/>
      <c r="X384" s="597"/>
      <c r="Y384" s="175"/>
      <c r="Z384" s="175"/>
    </row>
    <row r="385" ht="12.0" customHeight="1">
      <c r="A385" s="175"/>
      <c r="B385" s="175"/>
      <c r="C385" s="175"/>
      <c r="D385" s="175"/>
      <c r="E385" s="597"/>
      <c r="F385" s="597"/>
      <c r="G385" s="597"/>
      <c r="H385" s="597"/>
      <c r="I385" s="597"/>
      <c r="J385" s="597"/>
      <c r="K385" s="597"/>
      <c r="L385" s="597"/>
      <c r="M385" s="597"/>
      <c r="N385" s="597"/>
      <c r="O385" s="597"/>
      <c r="P385" s="597"/>
      <c r="Q385" s="597"/>
      <c r="R385" s="597"/>
      <c r="S385" s="175"/>
      <c r="T385" s="175"/>
      <c r="U385" s="175"/>
      <c r="V385" s="175"/>
      <c r="W385" s="175"/>
      <c r="X385" s="597"/>
      <c r="Y385" s="175"/>
      <c r="Z385" s="175"/>
    </row>
    <row r="386" ht="12.0" customHeight="1">
      <c r="A386" s="175"/>
      <c r="B386" s="175"/>
      <c r="C386" s="175"/>
      <c r="D386" s="175"/>
      <c r="E386" s="597"/>
      <c r="F386" s="597"/>
      <c r="G386" s="597"/>
      <c r="H386" s="597"/>
      <c r="I386" s="597"/>
      <c r="J386" s="597"/>
      <c r="K386" s="597"/>
      <c r="L386" s="597"/>
      <c r="M386" s="597"/>
      <c r="N386" s="597"/>
      <c r="O386" s="597"/>
      <c r="P386" s="597"/>
      <c r="Q386" s="597"/>
      <c r="R386" s="597"/>
      <c r="S386" s="175"/>
      <c r="T386" s="175"/>
      <c r="U386" s="175"/>
      <c r="V386" s="175"/>
      <c r="W386" s="175"/>
      <c r="X386" s="597"/>
      <c r="Y386" s="175"/>
      <c r="Z386" s="175"/>
    </row>
    <row r="387" ht="12.0" customHeight="1">
      <c r="A387" s="175"/>
      <c r="B387" s="175"/>
      <c r="C387" s="175"/>
      <c r="D387" s="175"/>
      <c r="E387" s="597"/>
      <c r="F387" s="597"/>
      <c r="G387" s="597"/>
      <c r="H387" s="597"/>
      <c r="I387" s="597"/>
      <c r="J387" s="597"/>
      <c r="K387" s="597"/>
      <c r="L387" s="597"/>
      <c r="M387" s="597"/>
      <c r="N387" s="597"/>
      <c r="O387" s="597"/>
      <c r="P387" s="597"/>
      <c r="Q387" s="597"/>
      <c r="R387" s="597"/>
      <c r="S387" s="175"/>
      <c r="T387" s="175"/>
      <c r="U387" s="175"/>
      <c r="V387" s="175"/>
      <c r="W387" s="175"/>
      <c r="X387" s="597"/>
      <c r="Y387" s="175"/>
      <c r="Z387" s="175"/>
    </row>
    <row r="388" ht="12.0" customHeight="1">
      <c r="A388" s="175"/>
      <c r="B388" s="175"/>
      <c r="C388" s="175"/>
      <c r="D388" s="175"/>
      <c r="E388" s="597"/>
      <c r="F388" s="597"/>
      <c r="G388" s="597"/>
      <c r="H388" s="597"/>
      <c r="I388" s="597"/>
      <c r="J388" s="597"/>
      <c r="K388" s="597"/>
      <c r="L388" s="597"/>
      <c r="M388" s="597"/>
      <c r="N388" s="597"/>
      <c r="O388" s="597"/>
      <c r="P388" s="597"/>
      <c r="Q388" s="597"/>
      <c r="R388" s="597"/>
      <c r="S388" s="175"/>
      <c r="T388" s="175"/>
      <c r="U388" s="175"/>
      <c r="V388" s="175"/>
      <c r="W388" s="175"/>
      <c r="X388" s="597"/>
      <c r="Y388" s="175"/>
      <c r="Z388" s="175"/>
    </row>
    <row r="389" ht="12.0" customHeight="1">
      <c r="A389" s="175"/>
      <c r="B389" s="175"/>
      <c r="C389" s="175"/>
      <c r="D389" s="175"/>
      <c r="E389" s="597"/>
      <c r="F389" s="597"/>
      <c r="G389" s="597"/>
      <c r="H389" s="597"/>
      <c r="I389" s="597"/>
      <c r="J389" s="597"/>
      <c r="K389" s="597"/>
      <c r="L389" s="597"/>
      <c r="M389" s="597"/>
      <c r="N389" s="597"/>
      <c r="O389" s="597"/>
      <c r="P389" s="597"/>
      <c r="Q389" s="597"/>
      <c r="R389" s="597"/>
      <c r="S389" s="175"/>
      <c r="T389" s="175"/>
      <c r="U389" s="175"/>
      <c r="V389" s="175"/>
      <c r="W389" s="175"/>
      <c r="X389" s="597"/>
      <c r="Y389" s="175"/>
      <c r="Z389" s="175"/>
    </row>
    <row r="390" ht="12.0" customHeight="1">
      <c r="A390" s="175"/>
      <c r="B390" s="175"/>
      <c r="C390" s="175"/>
      <c r="D390" s="175"/>
      <c r="E390" s="597"/>
      <c r="F390" s="597"/>
      <c r="G390" s="597"/>
      <c r="H390" s="597"/>
      <c r="I390" s="597"/>
      <c r="J390" s="597"/>
      <c r="K390" s="597"/>
      <c r="L390" s="597"/>
      <c r="M390" s="597"/>
      <c r="N390" s="597"/>
      <c r="O390" s="597"/>
      <c r="P390" s="597"/>
      <c r="Q390" s="597"/>
      <c r="R390" s="597"/>
      <c r="S390" s="175"/>
      <c r="T390" s="175"/>
      <c r="U390" s="175"/>
      <c r="V390" s="175"/>
      <c r="W390" s="175"/>
      <c r="X390" s="597"/>
      <c r="Y390" s="175"/>
      <c r="Z390" s="175"/>
    </row>
    <row r="391" ht="12.0" customHeight="1">
      <c r="A391" s="175"/>
      <c r="B391" s="175"/>
      <c r="C391" s="175"/>
      <c r="D391" s="175"/>
      <c r="E391" s="597"/>
      <c r="F391" s="597"/>
      <c r="G391" s="597"/>
      <c r="H391" s="597"/>
      <c r="I391" s="597"/>
      <c r="J391" s="597"/>
      <c r="K391" s="597"/>
      <c r="L391" s="597"/>
      <c r="M391" s="597"/>
      <c r="N391" s="597"/>
      <c r="O391" s="597"/>
      <c r="P391" s="597"/>
      <c r="Q391" s="597"/>
      <c r="R391" s="597"/>
      <c r="S391" s="175"/>
      <c r="T391" s="175"/>
      <c r="U391" s="175"/>
      <c r="V391" s="175"/>
      <c r="W391" s="175"/>
      <c r="X391" s="597"/>
      <c r="Y391" s="175"/>
      <c r="Z391" s="175"/>
    </row>
    <row r="392" ht="12.0" customHeight="1">
      <c r="A392" s="175"/>
      <c r="B392" s="175"/>
      <c r="C392" s="175"/>
      <c r="D392" s="175"/>
      <c r="E392" s="597"/>
      <c r="F392" s="597"/>
      <c r="G392" s="597"/>
      <c r="H392" s="597"/>
      <c r="I392" s="597"/>
      <c r="J392" s="597"/>
      <c r="K392" s="597"/>
      <c r="L392" s="597"/>
      <c r="M392" s="597"/>
      <c r="N392" s="597"/>
      <c r="O392" s="597"/>
      <c r="P392" s="597"/>
      <c r="Q392" s="597"/>
      <c r="R392" s="597"/>
      <c r="S392" s="175"/>
      <c r="T392" s="175"/>
      <c r="U392" s="175"/>
      <c r="V392" s="175"/>
      <c r="W392" s="175"/>
      <c r="X392" s="597"/>
      <c r="Y392" s="175"/>
      <c r="Z392" s="175"/>
    </row>
    <row r="393" ht="12.0" customHeight="1">
      <c r="A393" s="175"/>
      <c r="B393" s="175"/>
      <c r="C393" s="175"/>
      <c r="D393" s="175"/>
      <c r="E393" s="597"/>
      <c r="F393" s="597"/>
      <c r="G393" s="597"/>
      <c r="H393" s="597"/>
      <c r="I393" s="597"/>
      <c r="J393" s="597"/>
      <c r="K393" s="597"/>
      <c r="L393" s="597"/>
      <c r="M393" s="597"/>
      <c r="N393" s="597"/>
      <c r="O393" s="597"/>
      <c r="P393" s="597"/>
      <c r="Q393" s="597"/>
      <c r="R393" s="597"/>
      <c r="S393" s="175"/>
      <c r="T393" s="175"/>
      <c r="U393" s="175"/>
      <c r="V393" s="175"/>
      <c r="W393" s="175"/>
      <c r="X393" s="597"/>
      <c r="Y393" s="175"/>
      <c r="Z393" s="175"/>
    </row>
    <row r="394" ht="12.0" customHeight="1">
      <c r="A394" s="175"/>
      <c r="B394" s="175"/>
      <c r="C394" s="175"/>
      <c r="D394" s="175"/>
      <c r="E394" s="597"/>
      <c r="F394" s="597"/>
      <c r="G394" s="597"/>
      <c r="H394" s="597"/>
      <c r="I394" s="597"/>
      <c r="J394" s="597"/>
      <c r="K394" s="597"/>
      <c r="L394" s="597"/>
      <c r="M394" s="597"/>
      <c r="N394" s="597"/>
      <c r="O394" s="597"/>
      <c r="P394" s="597"/>
      <c r="Q394" s="597"/>
      <c r="R394" s="597"/>
      <c r="S394" s="175"/>
      <c r="T394" s="175"/>
      <c r="U394" s="175"/>
      <c r="V394" s="175"/>
      <c r="W394" s="175"/>
      <c r="X394" s="597"/>
      <c r="Y394" s="175"/>
      <c r="Z394" s="175"/>
    </row>
    <row r="395" ht="12.0" customHeight="1">
      <c r="A395" s="175"/>
      <c r="B395" s="175"/>
      <c r="C395" s="175"/>
      <c r="D395" s="175"/>
      <c r="E395" s="597"/>
      <c r="F395" s="597"/>
      <c r="G395" s="597"/>
      <c r="H395" s="597"/>
      <c r="I395" s="597"/>
      <c r="J395" s="597"/>
      <c r="K395" s="597"/>
      <c r="L395" s="597"/>
      <c r="M395" s="597"/>
      <c r="N395" s="597"/>
      <c r="O395" s="597"/>
      <c r="P395" s="597"/>
      <c r="Q395" s="597"/>
      <c r="R395" s="597"/>
      <c r="S395" s="175"/>
      <c r="T395" s="175"/>
      <c r="U395" s="175"/>
      <c r="V395" s="175"/>
      <c r="W395" s="175"/>
      <c r="X395" s="597"/>
      <c r="Y395" s="175"/>
      <c r="Z395" s="175"/>
    </row>
    <row r="396" ht="12.0" customHeight="1">
      <c r="A396" s="175"/>
      <c r="B396" s="175"/>
      <c r="C396" s="175"/>
      <c r="D396" s="175"/>
      <c r="E396" s="597"/>
      <c r="F396" s="597"/>
      <c r="G396" s="597"/>
      <c r="H396" s="597"/>
      <c r="I396" s="597"/>
      <c r="J396" s="597"/>
      <c r="K396" s="597"/>
      <c r="L396" s="597"/>
      <c r="M396" s="597"/>
      <c r="N396" s="597"/>
      <c r="O396" s="597"/>
      <c r="P396" s="597"/>
      <c r="Q396" s="597"/>
      <c r="R396" s="597"/>
      <c r="S396" s="175"/>
      <c r="T396" s="175"/>
      <c r="U396" s="175"/>
      <c r="V396" s="175"/>
      <c r="W396" s="175"/>
      <c r="X396" s="597"/>
      <c r="Y396" s="175"/>
      <c r="Z396" s="175"/>
    </row>
    <row r="397" ht="12.0" customHeight="1">
      <c r="A397" s="175"/>
      <c r="B397" s="175"/>
      <c r="C397" s="175"/>
      <c r="D397" s="175"/>
      <c r="E397" s="597"/>
      <c r="F397" s="597"/>
      <c r="G397" s="597"/>
      <c r="H397" s="597"/>
      <c r="I397" s="597"/>
      <c r="J397" s="597"/>
      <c r="K397" s="597"/>
      <c r="L397" s="597"/>
      <c r="M397" s="597"/>
      <c r="N397" s="597"/>
      <c r="O397" s="597"/>
      <c r="P397" s="597"/>
      <c r="Q397" s="597"/>
      <c r="R397" s="597"/>
      <c r="S397" s="175"/>
      <c r="T397" s="175"/>
      <c r="U397" s="175"/>
      <c r="V397" s="175"/>
      <c r="W397" s="175"/>
      <c r="X397" s="597"/>
      <c r="Y397" s="175"/>
      <c r="Z397" s="175"/>
    </row>
    <row r="398" ht="12.0" customHeight="1">
      <c r="A398" s="175"/>
      <c r="B398" s="175"/>
      <c r="C398" s="175"/>
      <c r="D398" s="175"/>
      <c r="E398" s="597"/>
      <c r="F398" s="597"/>
      <c r="G398" s="597"/>
      <c r="H398" s="597"/>
      <c r="I398" s="597"/>
      <c r="J398" s="597"/>
      <c r="K398" s="597"/>
      <c r="L398" s="597"/>
      <c r="M398" s="597"/>
      <c r="N398" s="597"/>
      <c r="O398" s="597"/>
      <c r="P398" s="597"/>
      <c r="Q398" s="597"/>
      <c r="R398" s="597"/>
      <c r="S398" s="175"/>
      <c r="T398" s="175"/>
      <c r="U398" s="175"/>
      <c r="V398" s="175"/>
      <c r="W398" s="175"/>
      <c r="X398" s="597"/>
      <c r="Y398" s="175"/>
      <c r="Z398" s="175"/>
    </row>
    <row r="399" ht="12.0" customHeight="1">
      <c r="A399" s="175"/>
      <c r="B399" s="175"/>
      <c r="C399" s="175"/>
      <c r="D399" s="175"/>
      <c r="E399" s="597"/>
      <c r="F399" s="597"/>
      <c r="G399" s="597"/>
      <c r="H399" s="597"/>
      <c r="I399" s="597"/>
      <c r="J399" s="597"/>
      <c r="K399" s="597"/>
      <c r="L399" s="597"/>
      <c r="M399" s="597"/>
      <c r="N399" s="597"/>
      <c r="O399" s="597"/>
      <c r="P399" s="597"/>
      <c r="Q399" s="597"/>
      <c r="R399" s="597"/>
      <c r="S399" s="175"/>
      <c r="T399" s="175"/>
      <c r="U399" s="175"/>
      <c r="V399" s="175"/>
      <c r="W399" s="175"/>
      <c r="X399" s="597"/>
      <c r="Y399" s="175"/>
      <c r="Z399" s="175"/>
    </row>
    <row r="400" ht="12.0" customHeight="1">
      <c r="A400" s="175"/>
      <c r="B400" s="175"/>
      <c r="C400" s="175"/>
      <c r="D400" s="175"/>
      <c r="E400" s="597"/>
      <c r="F400" s="597"/>
      <c r="G400" s="597"/>
      <c r="H400" s="597"/>
      <c r="I400" s="597"/>
      <c r="J400" s="597"/>
      <c r="K400" s="597"/>
      <c r="L400" s="597"/>
      <c r="M400" s="597"/>
      <c r="N400" s="597"/>
      <c r="O400" s="597"/>
      <c r="P400" s="597"/>
      <c r="Q400" s="597"/>
      <c r="R400" s="597"/>
      <c r="S400" s="175"/>
      <c r="T400" s="175"/>
      <c r="U400" s="175"/>
      <c r="V400" s="175"/>
      <c r="W400" s="175"/>
      <c r="X400" s="597"/>
      <c r="Y400" s="175"/>
      <c r="Z400" s="175"/>
    </row>
    <row r="401" ht="12.0" customHeight="1">
      <c r="A401" s="175"/>
      <c r="B401" s="175"/>
      <c r="C401" s="175"/>
      <c r="D401" s="175"/>
      <c r="E401" s="597"/>
      <c r="F401" s="597"/>
      <c r="G401" s="597"/>
      <c r="H401" s="597"/>
      <c r="I401" s="597"/>
      <c r="J401" s="597"/>
      <c r="K401" s="597"/>
      <c r="L401" s="597"/>
      <c r="M401" s="597"/>
      <c r="N401" s="597"/>
      <c r="O401" s="597"/>
      <c r="P401" s="597"/>
      <c r="Q401" s="597"/>
      <c r="R401" s="597"/>
      <c r="S401" s="175"/>
      <c r="T401" s="175"/>
      <c r="U401" s="175"/>
      <c r="V401" s="175"/>
      <c r="W401" s="175"/>
      <c r="X401" s="597"/>
      <c r="Y401" s="175"/>
      <c r="Z401" s="175"/>
    </row>
    <row r="402" ht="12.0" customHeight="1">
      <c r="A402" s="175"/>
      <c r="B402" s="175"/>
      <c r="C402" s="175"/>
      <c r="D402" s="175"/>
      <c r="E402" s="597"/>
      <c r="F402" s="597"/>
      <c r="G402" s="597"/>
      <c r="H402" s="597"/>
      <c r="I402" s="597"/>
      <c r="J402" s="597"/>
      <c r="K402" s="597"/>
      <c r="L402" s="597"/>
      <c r="M402" s="597"/>
      <c r="N402" s="597"/>
      <c r="O402" s="597"/>
      <c r="P402" s="597"/>
      <c r="Q402" s="597"/>
      <c r="R402" s="597"/>
      <c r="S402" s="175"/>
      <c r="T402" s="175"/>
      <c r="U402" s="175"/>
      <c r="V402" s="175"/>
      <c r="W402" s="175"/>
      <c r="X402" s="597"/>
      <c r="Y402" s="175"/>
      <c r="Z402" s="175"/>
    </row>
    <row r="403" ht="12.0" customHeight="1">
      <c r="A403" s="175"/>
      <c r="B403" s="175"/>
      <c r="C403" s="175"/>
      <c r="D403" s="175"/>
      <c r="E403" s="597"/>
      <c r="F403" s="597"/>
      <c r="G403" s="597"/>
      <c r="H403" s="597"/>
      <c r="I403" s="597"/>
      <c r="J403" s="597"/>
      <c r="K403" s="597"/>
      <c r="L403" s="597"/>
      <c r="M403" s="597"/>
      <c r="N403" s="597"/>
      <c r="O403" s="597"/>
      <c r="P403" s="597"/>
      <c r="Q403" s="597"/>
      <c r="R403" s="597"/>
      <c r="S403" s="175"/>
      <c r="T403" s="175"/>
      <c r="U403" s="175"/>
      <c r="V403" s="175"/>
      <c r="W403" s="175"/>
      <c r="X403" s="597"/>
      <c r="Y403" s="175"/>
      <c r="Z403" s="175"/>
    </row>
    <row r="404" ht="12.0" customHeight="1">
      <c r="A404" s="175"/>
      <c r="B404" s="175"/>
      <c r="C404" s="175"/>
      <c r="D404" s="175"/>
      <c r="E404" s="597"/>
      <c r="F404" s="597"/>
      <c r="G404" s="597"/>
      <c r="H404" s="597"/>
      <c r="I404" s="597"/>
      <c r="J404" s="597"/>
      <c r="K404" s="597"/>
      <c r="L404" s="597"/>
      <c r="M404" s="597"/>
      <c r="N404" s="597"/>
      <c r="O404" s="597"/>
      <c r="P404" s="597"/>
      <c r="Q404" s="597"/>
      <c r="R404" s="597"/>
      <c r="S404" s="175"/>
      <c r="T404" s="175"/>
      <c r="U404" s="175"/>
      <c r="V404" s="175"/>
      <c r="W404" s="175"/>
      <c r="X404" s="597"/>
      <c r="Y404" s="175"/>
      <c r="Z404" s="175"/>
    </row>
    <row r="405" ht="12.0" customHeight="1">
      <c r="A405" s="175"/>
      <c r="B405" s="175"/>
      <c r="C405" s="175"/>
      <c r="D405" s="175"/>
      <c r="E405" s="597"/>
      <c r="F405" s="597"/>
      <c r="G405" s="597"/>
      <c r="H405" s="597"/>
      <c r="I405" s="597"/>
      <c r="J405" s="597"/>
      <c r="K405" s="597"/>
      <c r="L405" s="597"/>
      <c r="M405" s="597"/>
      <c r="N405" s="597"/>
      <c r="O405" s="597"/>
      <c r="P405" s="597"/>
      <c r="Q405" s="597"/>
      <c r="R405" s="597"/>
      <c r="S405" s="175"/>
      <c r="T405" s="175"/>
      <c r="U405" s="175"/>
      <c r="V405" s="175"/>
      <c r="W405" s="175"/>
      <c r="X405" s="597"/>
      <c r="Y405" s="175"/>
      <c r="Z405" s="175"/>
    </row>
    <row r="406" ht="12.0" customHeight="1">
      <c r="A406" s="175"/>
      <c r="B406" s="175"/>
      <c r="C406" s="175"/>
      <c r="D406" s="175"/>
      <c r="E406" s="597"/>
      <c r="F406" s="597"/>
      <c r="G406" s="597"/>
      <c r="H406" s="597"/>
      <c r="I406" s="597"/>
      <c r="J406" s="597"/>
      <c r="K406" s="597"/>
      <c r="L406" s="597"/>
      <c r="M406" s="597"/>
      <c r="N406" s="597"/>
      <c r="O406" s="597"/>
      <c r="P406" s="597"/>
      <c r="Q406" s="597"/>
      <c r="R406" s="597"/>
      <c r="S406" s="175"/>
      <c r="T406" s="175"/>
      <c r="U406" s="175"/>
      <c r="V406" s="175"/>
      <c r="W406" s="175"/>
      <c r="X406" s="597"/>
      <c r="Y406" s="175"/>
      <c r="Z406" s="175"/>
    </row>
    <row r="407" ht="12.0" customHeight="1">
      <c r="A407" s="175"/>
      <c r="B407" s="175"/>
      <c r="C407" s="175"/>
      <c r="D407" s="175"/>
      <c r="E407" s="597"/>
      <c r="F407" s="597"/>
      <c r="G407" s="597"/>
      <c r="H407" s="597"/>
      <c r="I407" s="597"/>
      <c r="J407" s="597"/>
      <c r="K407" s="597"/>
      <c r="L407" s="597"/>
      <c r="M407" s="597"/>
      <c r="N407" s="597"/>
      <c r="O407" s="597"/>
      <c r="P407" s="597"/>
      <c r="Q407" s="597"/>
      <c r="R407" s="597"/>
      <c r="S407" s="175"/>
      <c r="T407" s="175"/>
      <c r="U407" s="175"/>
      <c r="V407" s="175"/>
      <c r="W407" s="175"/>
      <c r="X407" s="597"/>
      <c r="Y407" s="175"/>
      <c r="Z407" s="175"/>
    </row>
    <row r="408" ht="12.0" customHeight="1">
      <c r="A408" s="175"/>
      <c r="B408" s="175"/>
      <c r="C408" s="175"/>
      <c r="D408" s="175"/>
      <c r="E408" s="597"/>
      <c r="F408" s="597"/>
      <c r="G408" s="597"/>
      <c r="H408" s="597"/>
      <c r="I408" s="597"/>
      <c r="J408" s="597"/>
      <c r="K408" s="597"/>
      <c r="L408" s="597"/>
      <c r="M408" s="597"/>
      <c r="N408" s="597"/>
      <c r="O408" s="597"/>
      <c r="P408" s="597"/>
      <c r="Q408" s="597"/>
      <c r="R408" s="597"/>
      <c r="S408" s="175"/>
      <c r="T408" s="175"/>
      <c r="U408" s="175"/>
      <c r="V408" s="175"/>
      <c r="W408" s="175"/>
      <c r="X408" s="597"/>
      <c r="Y408" s="175"/>
      <c r="Z408" s="175"/>
    </row>
    <row r="409" ht="12.0" customHeight="1">
      <c r="A409" s="175"/>
      <c r="B409" s="175"/>
      <c r="C409" s="175"/>
      <c r="D409" s="175"/>
      <c r="E409" s="597"/>
      <c r="F409" s="597"/>
      <c r="G409" s="597"/>
      <c r="H409" s="597"/>
      <c r="I409" s="597"/>
      <c r="J409" s="597"/>
      <c r="K409" s="597"/>
      <c r="L409" s="597"/>
      <c r="M409" s="597"/>
      <c r="N409" s="597"/>
      <c r="O409" s="597"/>
      <c r="P409" s="597"/>
      <c r="Q409" s="597"/>
      <c r="R409" s="597"/>
      <c r="S409" s="175"/>
      <c r="T409" s="175"/>
      <c r="U409" s="175"/>
      <c r="V409" s="175"/>
      <c r="W409" s="175"/>
      <c r="X409" s="597"/>
      <c r="Y409" s="175"/>
      <c r="Z409" s="175"/>
    </row>
    <row r="410" ht="12.0" customHeight="1">
      <c r="A410" s="175"/>
      <c r="B410" s="175"/>
      <c r="C410" s="175"/>
      <c r="D410" s="175"/>
      <c r="E410" s="597"/>
      <c r="F410" s="597"/>
      <c r="G410" s="597"/>
      <c r="H410" s="597"/>
      <c r="I410" s="597"/>
      <c r="J410" s="597"/>
      <c r="K410" s="597"/>
      <c r="L410" s="597"/>
      <c r="M410" s="597"/>
      <c r="N410" s="597"/>
      <c r="O410" s="597"/>
      <c r="P410" s="597"/>
      <c r="Q410" s="597"/>
      <c r="R410" s="597"/>
      <c r="S410" s="175"/>
      <c r="T410" s="175"/>
      <c r="U410" s="175"/>
      <c r="V410" s="175"/>
      <c r="W410" s="175"/>
      <c r="X410" s="597"/>
      <c r="Y410" s="175"/>
      <c r="Z410" s="175"/>
    </row>
    <row r="411" ht="12.0" customHeight="1">
      <c r="A411" s="175"/>
      <c r="B411" s="175"/>
      <c r="C411" s="175"/>
      <c r="D411" s="175"/>
      <c r="E411" s="597"/>
      <c r="F411" s="597"/>
      <c r="G411" s="597"/>
      <c r="H411" s="597"/>
      <c r="I411" s="597"/>
      <c r="J411" s="597"/>
      <c r="K411" s="597"/>
      <c r="L411" s="597"/>
      <c r="M411" s="597"/>
      <c r="N411" s="597"/>
      <c r="O411" s="597"/>
      <c r="P411" s="597"/>
      <c r="Q411" s="597"/>
      <c r="R411" s="597"/>
      <c r="S411" s="175"/>
      <c r="T411" s="175"/>
      <c r="U411" s="175"/>
      <c r="V411" s="175"/>
      <c r="W411" s="175"/>
      <c r="X411" s="597"/>
      <c r="Y411" s="175"/>
      <c r="Z411" s="175"/>
    </row>
    <row r="412" ht="12.0" customHeight="1">
      <c r="A412" s="175"/>
      <c r="B412" s="175"/>
      <c r="C412" s="175"/>
      <c r="D412" s="175"/>
      <c r="E412" s="597"/>
      <c r="F412" s="597"/>
      <c r="G412" s="597"/>
      <c r="H412" s="597"/>
      <c r="I412" s="597"/>
      <c r="J412" s="597"/>
      <c r="K412" s="597"/>
      <c r="L412" s="597"/>
      <c r="M412" s="597"/>
      <c r="N412" s="597"/>
      <c r="O412" s="597"/>
      <c r="P412" s="597"/>
      <c r="Q412" s="597"/>
      <c r="R412" s="597"/>
      <c r="S412" s="175"/>
      <c r="T412" s="175"/>
      <c r="U412" s="175"/>
      <c r="V412" s="175"/>
      <c r="W412" s="175"/>
      <c r="X412" s="597"/>
      <c r="Y412" s="175"/>
      <c r="Z412" s="175"/>
    </row>
    <row r="413" ht="12.0" customHeight="1">
      <c r="A413" s="175"/>
      <c r="B413" s="175"/>
      <c r="C413" s="175"/>
      <c r="D413" s="175"/>
      <c r="E413" s="597"/>
      <c r="F413" s="597"/>
      <c r="G413" s="597"/>
      <c r="H413" s="597"/>
      <c r="I413" s="597"/>
      <c r="J413" s="597"/>
      <c r="K413" s="597"/>
      <c r="L413" s="597"/>
      <c r="M413" s="597"/>
      <c r="N413" s="597"/>
      <c r="O413" s="597"/>
      <c r="P413" s="597"/>
      <c r="Q413" s="597"/>
      <c r="R413" s="597"/>
      <c r="S413" s="175"/>
      <c r="T413" s="175"/>
      <c r="U413" s="175"/>
      <c r="V413" s="175"/>
      <c r="W413" s="175"/>
      <c r="X413" s="597"/>
      <c r="Y413" s="175"/>
      <c r="Z413" s="175"/>
    </row>
    <row r="414" ht="12.0" customHeight="1">
      <c r="A414" s="175"/>
      <c r="B414" s="175"/>
      <c r="C414" s="175"/>
      <c r="D414" s="175"/>
      <c r="E414" s="597"/>
      <c r="F414" s="597"/>
      <c r="G414" s="597"/>
      <c r="H414" s="597"/>
      <c r="I414" s="597"/>
      <c r="J414" s="597"/>
      <c r="K414" s="597"/>
      <c r="L414" s="597"/>
      <c r="M414" s="597"/>
      <c r="N414" s="597"/>
      <c r="O414" s="597"/>
      <c r="P414" s="597"/>
      <c r="Q414" s="597"/>
      <c r="R414" s="597"/>
      <c r="S414" s="175"/>
      <c r="T414" s="175"/>
      <c r="U414" s="175"/>
      <c r="V414" s="175"/>
      <c r="W414" s="175"/>
      <c r="X414" s="597"/>
      <c r="Y414" s="175"/>
      <c r="Z414" s="175"/>
    </row>
    <row r="415" ht="12.0" customHeight="1">
      <c r="A415" s="175"/>
      <c r="B415" s="175"/>
      <c r="C415" s="175"/>
      <c r="D415" s="175"/>
      <c r="E415" s="597"/>
      <c r="F415" s="597"/>
      <c r="G415" s="597"/>
      <c r="H415" s="597"/>
      <c r="I415" s="597"/>
      <c r="J415" s="597"/>
      <c r="K415" s="597"/>
      <c r="L415" s="597"/>
      <c r="M415" s="597"/>
      <c r="N415" s="597"/>
      <c r="O415" s="597"/>
      <c r="P415" s="597"/>
      <c r="Q415" s="597"/>
      <c r="R415" s="597"/>
      <c r="S415" s="175"/>
      <c r="T415" s="175"/>
      <c r="U415" s="175"/>
      <c r="V415" s="175"/>
      <c r="W415" s="175"/>
      <c r="X415" s="597"/>
      <c r="Y415" s="175"/>
      <c r="Z415" s="175"/>
    </row>
    <row r="416" ht="12.0" customHeight="1">
      <c r="A416" s="175"/>
      <c r="B416" s="175"/>
      <c r="C416" s="175"/>
      <c r="D416" s="175"/>
      <c r="E416" s="597"/>
      <c r="F416" s="597"/>
      <c r="G416" s="597"/>
      <c r="H416" s="597"/>
      <c r="I416" s="597"/>
      <c r="J416" s="597"/>
      <c r="K416" s="597"/>
      <c r="L416" s="597"/>
      <c r="M416" s="597"/>
      <c r="N416" s="597"/>
      <c r="O416" s="597"/>
      <c r="P416" s="597"/>
      <c r="Q416" s="597"/>
      <c r="R416" s="597"/>
      <c r="S416" s="175"/>
      <c r="T416" s="175"/>
      <c r="U416" s="175"/>
      <c r="V416" s="175"/>
      <c r="W416" s="175"/>
      <c r="X416" s="597"/>
      <c r="Y416" s="175"/>
      <c r="Z416" s="175"/>
    </row>
    <row r="417" ht="12.0" customHeight="1">
      <c r="A417" s="175"/>
      <c r="B417" s="175"/>
      <c r="C417" s="175"/>
      <c r="D417" s="175"/>
      <c r="E417" s="597"/>
      <c r="F417" s="597"/>
      <c r="G417" s="597"/>
      <c r="H417" s="597"/>
      <c r="I417" s="597"/>
      <c r="J417" s="597"/>
      <c r="K417" s="597"/>
      <c r="L417" s="597"/>
      <c r="M417" s="597"/>
      <c r="N417" s="597"/>
      <c r="O417" s="597"/>
      <c r="P417" s="597"/>
      <c r="Q417" s="597"/>
      <c r="R417" s="597"/>
      <c r="S417" s="175"/>
      <c r="T417" s="175"/>
      <c r="U417" s="175"/>
      <c r="V417" s="175"/>
      <c r="W417" s="175"/>
      <c r="X417" s="597"/>
      <c r="Y417" s="175"/>
      <c r="Z417" s="175"/>
    </row>
    <row r="418" ht="12.0" customHeight="1">
      <c r="A418" s="175"/>
      <c r="B418" s="175"/>
      <c r="C418" s="175"/>
      <c r="D418" s="175"/>
      <c r="E418" s="597"/>
      <c r="F418" s="597"/>
      <c r="G418" s="597"/>
      <c r="H418" s="597"/>
      <c r="I418" s="597"/>
      <c r="J418" s="597"/>
      <c r="K418" s="597"/>
      <c r="L418" s="597"/>
      <c r="M418" s="597"/>
      <c r="N418" s="597"/>
      <c r="O418" s="597"/>
      <c r="P418" s="597"/>
      <c r="Q418" s="597"/>
      <c r="R418" s="597"/>
      <c r="S418" s="175"/>
      <c r="T418" s="175"/>
      <c r="U418" s="175"/>
      <c r="V418" s="175"/>
      <c r="W418" s="175"/>
      <c r="X418" s="597"/>
      <c r="Y418" s="175"/>
      <c r="Z418" s="175"/>
    </row>
    <row r="419" ht="12.0" customHeight="1">
      <c r="A419" s="175"/>
      <c r="B419" s="175"/>
      <c r="C419" s="175"/>
      <c r="D419" s="175"/>
      <c r="E419" s="597"/>
      <c r="F419" s="597"/>
      <c r="G419" s="597"/>
      <c r="H419" s="597"/>
      <c r="I419" s="597"/>
      <c r="J419" s="597"/>
      <c r="K419" s="597"/>
      <c r="L419" s="597"/>
      <c r="M419" s="597"/>
      <c r="N419" s="597"/>
      <c r="O419" s="597"/>
      <c r="P419" s="597"/>
      <c r="Q419" s="597"/>
      <c r="R419" s="597"/>
      <c r="S419" s="175"/>
      <c r="T419" s="175"/>
      <c r="U419" s="175"/>
      <c r="V419" s="175"/>
      <c r="W419" s="175"/>
      <c r="X419" s="597"/>
      <c r="Y419" s="175"/>
      <c r="Z419" s="175"/>
    </row>
    <row r="420" ht="12.0" customHeight="1">
      <c r="A420" s="175"/>
      <c r="B420" s="175"/>
      <c r="C420" s="175"/>
      <c r="D420" s="175"/>
      <c r="E420" s="597"/>
      <c r="F420" s="597"/>
      <c r="G420" s="597"/>
      <c r="H420" s="597"/>
      <c r="I420" s="597"/>
      <c r="J420" s="597"/>
      <c r="K420" s="597"/>
      <c r="L420" s="597"/>
      <c r="M420" s="597"/>
      <c r="N420" s="597"/>
      <c r="O420" s="597"/>
      <c r="P420" s="597"/>
      <c r="Q420" s="597"/>
      <c r="R420" s="597"/>
      <c r="S420" s="175"/>
      <c r="T420" s="175"/>
      <c r="U420" s="175"/>
      <c r="V420" s="175"/>
      <c r="W420" s="175"/>
      <c r="X420" s="597"/>
      <c r="Y420" s="175"/>
      <c r="Z420" s="175"/>
    </row>
    <row r="421" ht="12.0" customHeight="1">
      <c r="A421" s="175"/>
      <c r="B421" s="175"/>
      <c r="C421" s="175"/>
      <c r="D421" s="175"/>
      <c r="E421" s="597"/>
      <c r="F421" s="597"/>
      <c r="G421" s="597"/>
      <c r="H421" s="597"/>
      <c r="I421" s="597"/>
      <c r="J421" s="597"/>
      <c r="K421" s="597"/>
      <c r="L421" s="597"/>
      <c r="M421" s="597"/>
      <c r="N421" s="597"/>
      <c r="O421" s="597"/>
      <c r="P421" s="597"/>
      <c r="Q421" s="597"/>
      <c r="R421" s="597"/>
      <c r="S421" s="175"/>
      <c r="T421" s="175"/>
      <c r="U421" s="175"/>
      <c r="V421" s="175"/>
      <c r="W421" s="175"/>
      <c r="X421" s="597"/>
      <c r="Y421" s="175"/>
      <c r="Z421" s="175"/>
    </row>
    <row r="422" ht="12.0" customHeight="1">
      <c r="A422" s="175"/>
      <c r="B422" s="175"/>
      <c r="C422" s="175"/>
      <c r="D422" s="175"/>
      <c r="E422" s="597"/>
      <c r="F422" s="597"/>
      <c r="G422" s="597"/>
      <c r="H422" s="597"/>
      <c r="I422" s="597"/>
      <c r="J422" s="597"/>
      <c r="K422" s="597"/>
      <c r="L422" s="597"/>
      <c r="M422" s="597"/>
      <c r="N422" s="597"/>
      <c r="O422" s="597"/>
      <c r="P422" s="597"/>
      <c r="Q422" s="597"/>
      <c r="R422" s="597"/>
      <c r="S422" s="175"/>
      <c r="T422" s="175"/>
      <c r="U422" s="175"/>
      <c r="V422" s="175"/>
      <c r="W422" s="175"/>
      <c r="X422" s="597"/>
      <c r="Y422" s="175"/>
      <c r="Z422" s="175"/>
    </row>
    <row r="423" ht="12.0" customHeight="1">
      <c r="A423" s="175"/>
      <c r="B423" s="175"/>
      <c r="C423" s="175"/>
      <c r="D423" s="175"/>
      <c r="E423" s="597"/>
      <c r="F423" s="597"/>
      <c r="G423" s="597"/>
      <c r="H423" s="597"/>
      <c r="I423" s="597"/>
      <c r="J423" s="597"/>
      <c r="K423" s="597"/>
      <c r="L423" s="597"/>
      <c r="M423" s="597"/>
      <c r="N423" s="597"/>
      <c r="O423" s="597"/>
      <c r="P423" s="597"/>
      <c r="Q423" s="597"/>
      <c r="R423" s="597"/>
      <c r="S423" s="175"/>
      <c r="T423" s="175"/>
      <c r="U423" s="175"/>
      <c r="V423" s="175"/>
      <c r="W423" s="175"/>
      <c r="X423" s="597"/>
      <c r="Y423" s="175"/>
      <c r="Z423" s="175"/>
    </row>
    <row r="424" ht="12.0" customHeight="1">
      <c r="A424" s="175"/>
      <c r="B424" s="175"/>
      <c r="C424" s="175"/>
      <c r="D424" s="175"/>
      <c r="E424" s="597"/>
      <c r="F424" s="597"/>
      <c r="G424" s="597"/>
      <c r="H424" s="597"/>
      <c r="I424" s="597"/>
      <c r="J424" s="597"/>
      <c r="K424" s="597"/>
      <c r="L424" s="597"/>
      <c r="M424" s="597"/>
      <c r="N424" s="597"/>
      <c r="O424" s="597"/>
      <c r="P424" s="597"/>
      <c r="Q424" s="597"/>
      <c r="R424" s="597"/>
      <c r="S424" s="175"/>
      <c r="T424" s="175"/>
      <c r="U424" s="175"/>
      <c r="V424" s="175"/>
      <c r="W424" s="175"/>
      <c r="X424" s="597"/>
      <c r="Y424" s="175"/>
      <c r="Z424" s="175"/>
    </row>
    <row r="425" ht="12.0" customHeight="1">
      <c r="A425" s="175"/>
      <c r="B425" s="175"/>
      <c r="C425" s="175"/>
      <c r="D425" s="175"/>
      <c r="E425" s="597"/>
      <c r="F425" s="597"/>
      <c r="G425" s="597"/>
      <c r="H425" s="597"/>
      <c r="I425" s="597"/>
      <c r="J425" s="597"/>
      <c r="K425" s="597"/>
      <c r="L425" s="597"/>
      <c r="M425" s="597"/>
      <c r="N425" s="597"/>
      <c r="O425" s="597"/>
      <c r="P425" s="597"/>
      <c r="Q425" s="597"/>
      <c r="R425" s="597"/>
      <c r="S425" s="175"/>
      <c r="T425" s="175"/>
      <c r="U425" s="175"/>
      <c r="V425" s="175"/>
      <c r="W425" s="175"/>
      <c r="X425" s="597"/>
      <c r="Y425" s="175"/>
      <c r="Z425" s="175"/>
    </row>
    <row r="426" ht="12.0" customHeight="1">
      <c r="A426" s="175"/>
      <c r="B426" s="175"/>
      <c r="C426" s="175"/>
      <c r="D426" s="175"/>
      <c r="E426" s="597"/>
      <c r="F426" s="597"/>
      <c r="G426" s="597"/>
      <c r="H426" s="597"/>
      <c r="I426" s="597"/>
      <c r="J426" s="597"/>
      <c r="K426" s="597"/>
      <c r="L426" s="597"/>
      <c r="M426" s="597"/>
      <c r="N426" s="597"/>
      <c r="O426" s="597"/>
      <c r="P426" s="597"/>
      <c r="Q426" s="597"/>
      <c r="R426" s="597"/>
      <c r="S426" s="175"/>
      <c r="T426" s="175"/>
      <c r="U426" s="175"/>
      <c r="V426" s="175"/>
      <c r="W426" s="175"/>
      <c r="X426" s="597"/>
      <c r="Y426" s="175"/>
      <c r="Z426" s="175"/>
    </row>
    <row r="427" ht="12.0" customHeight="1">
      <c r="A427" s="175"/>
      <c r="B427" s="175"/>
      <c r="C427" s="175"/>
      <c r="D427" s="175"/>
      <c r="E427" s="597"/>
      <c r="F427" s="597"/>
      <c r="G427" s="597"/>
      <c r="H427" s="597"/>
      <c r="I427" s="597"/>
      <c r="J427" s="597"/>
      <c r="K427" s="597"/>
      <c r="L427" s="597"/>
      <c r="M427" s="597"/>
      <c r="N427" s="597"/>
      <c r="O427" s="597"/>
      <c r="P427" s="597"/>
      <c r="Q427" s="597"/>
      <c r="R427" s="597"/>
      <c r="S427" s="175"/>
      <c r="T427" s="175"/>
      <c r="U427" s="175"/>
      <c r="V427" s="175"/>
      <c r="W427" s="175"/>
      <c r="X427" s="597"/>
      <c r="Y427" s="175"/>
      <c r="Z427" s="175"/>
    </row>
    <row r="428" ht="12.0" customHeight="1">
      <c r="A428" s="175"/>
      <c r="B428" s="175"/>
      <c r="C428" s="175"/>
      <c r="D428" s="175"/>
      <c r="E428" s="597"/>
      <c r="F428" s="597"/>
      <c r="G428" s="597"/>
      <c r="H428" s="597"/>
      <c r="I428" s="597"/>
      <c r="J428" s="597"/>
      <c r="K428" s="597"/>
      <c r="L428" s="597"/>
      <c r="M428" s="597"/>
      <c r="N428" s="597"/>
      <c r="O428" s="597"/>
      <c r="P428" s="597"/>
      <c r="Q428" s="597"/>
      <c r="R428" s="597"/>
      <c r="S428" s="175"/>
      <c r="T428" s="175"/>
      <c r="U428" s="175"/>
      <c r="V428" s="175"/>
      <c r="W428" s="175"/>
      <c r="X428" s="597"/>
      <c r="Y428" s="175"/>
      <c r="Z428" s="175"/>
    </row>
    <row r="429" ht="12.0" customHeight="1">
      <c r="A429" s="175"/>
      <c r="B429" s="175"/>
      <c r="C429" s="175"/>
      <c r="D429" s="175"/>
      <c r="E429" s="597"/>
      <c r="F429" s="597"/>
      <c r="G429" s="597"/>
      <c r="H429" s="597"/>
      <c r="I429" s="597"/>
      <c r="J429" s="597"/>
      <c r="K429" s="597"/>
      <c r="L429" s="597"/>
      <c r="M429" s="597"/>
      <c r="N429" s="597"/>
      <c r="O429" s="597"/>
      <c r="P429" s="597"/>
      <c r="Q429" s="597"/>
      <c r="R429" s="597"/>
      <c r="S429" s="175"/>
      <c r="T429" s="175"/>
      <c r="U429" s="175"/>
      <c r="V429" s="175"/>
      <c r="W429" s="175"/>
      <c r="X429" s="597"/>
      <c r="Y429" s="175"/>
      <c r="Z429" s="175"/>
    </row>
    <row r="430" ht="12.0" customHeight="1">
      <c r="A430" s="175"/>
      <c r="B430" s="175"/>
      <c r="C430" s="175"/>
      <c r="D430" s="175"/>
      <c r="E430" s="597"/>
      <c r="F430" s="597"/>
      <c r="G430" s="597"/>
      <c r="H430" s="597"/>
      <c r="I430" s="597"/>
      <c r="J430" s="597"/>
      <c r="K430" s="597"/>
      <c r="L430" s="597"/>
      <c r="M430" s="597"/>
      <c r="N430" s="597"/>
      <c r="O430" s="597"/>
      <c r="P430" s="597"/>
      <c r="Q430" s="597"/>
      <c r="R430" s="597"/>
      <c r="S430" s="175"/>
      <c r="T430" s="175"/>
      <c r="U430" s="175"/>
      <c r="V430" s="175"/>
      <c r="W430" s="175"/>
      <c r="X430" s="597"/>
      <c r="Y430" s="175"/>
      <c r="Z430" s="175"/>
    </row>
    <row r="431" ht="12.0" customHeight="1">
      <c r="A431" s="175"/>
      <c r="B431" s="175"/>
      <c r="C431" s="175"/>
      <c r="D431" s="175"/>
      <c r="E431" s="597"/>
      <c r="F431" s="597"/>
      <c r="G431" s="597"/>
      <c r="H431" s="597"/>
      <c r="I431" s="597"/>
      <c r="J431" s="597"/>
      <c r="K431" s="597"/>
      <c r="L431" s="597"/>
      <c r="M431" s="597"/>
      <c r="N431" s="597"/>
      <c r="O431" s="597"/>
      <c r="P431" s="597"/>
      <c r="Q431" s="597"/>
      <c r="R431" s="597"/>
      <c r="S431" s="175"/>
      <c r="T431" s="175"/>
      <c r="U431" s="175"/>
      <c r="V431" s="175"/>
      <c r="W431" s="175"/>
      <c r="X431" s="597"/>
      <c r="Y431" s="175"/>
      <c r="Z431" s="175"/>
    </row>
    <row r="432" ht="12.0" customHeight="1">
      <c r="A432" s="175"/>
      <c r="B432" s="175"/>
      <c r="C432" s="175"/>
      <c r="D432" s="175"/>
      <c r="E432" s="597"/>
      <c r="F432" s="597"/>
      <c r="G432" s="597"/>
      <c r="H432" s="597"/>
      <c r="I432" s="597"/>
      <c r="J432" s="597"/>
      <c r="K432" s="597"/>
      <c r="L432" s="597"/>
      <c r="M432" s="597"/>
      <c r="N432" s="597"/>
      <c r="O432" s="597"/>
      <c r="P432" s="597"/>
      <c r="Q432" s="597"/>
      <c r="R432" s="597"/>
      <c r="S432" s="175"/>
      <c r="T432" s="175"/>
      <c r="U432" s="175"/>
      <c r="V432" s="175"/>
      <c r="W432" s="175"/>
      <c r="X432" s="597"/>
      <c r="Y432" s="175"/>
      <c r="Z432" s="175"/>
    </row>
    <row r="433" ht="12.0" customHeight="1">
      <c r="A433" s="175"/>
      <c r="B433" s="175"/>
      <c r="C433" s="175"/>
      <c r="D433" s="175"/>
      <c r="E433" s="597"/>
      <c r="F433" s="597"/>
      <c r="G433" s="597"/>
      <c r="H433" s="597"/>
      <c r="I433" s="597"/>
      <c r="J433" s="597"/>
      <c r="K433" s="597"/>
      <c r="L433" s="597"/>
      <c r="M433" s="597"/>
      <c r="N433" s="597"/>
      <c r="O433" s="597"/>
      <c r="P433" s="597"/>
      <c r="Q433" s="597"/>
      <c r="R433" s="597"/>
      <c r="S433" s="175"/>
      <c r="T433" s="175"/>
      <c r="U433" s="175"/>
      <c r="V433" s="175"/>
      <c r="W433" s="175"/>
      <c r="X433" s="597"/>
      <c r="Y433" s="175"/>
      <c r="Z433" s="175"/>
    </row>
    <row r="434" ht="12.0" customHeight="1">
      <c r="A434" s="175"/>
      <c r="B434" s="175"/>
      <c r="C434" s="175"/>
      <c r="D434" s="175"/>
      <c r="E434" s="597"/>
      <c r="F434" s="597"/>
      <c r="G434" s="597"/>
      <c r="H434" s="597"/>
      <c r="I434" s="597"/>
      <c r="J434" s="597"/>
      <c r="K434" s="597"/>
      <c r="L434" s="597"/>
      <c r="M434" s="597"/>
      <c r="N434" s="597"/>
      <c r="O434" s="597"/>
      <c r="P434" s="597"/>
      <c r="Q434" s="597"/>
      <c r="R434" s="597"/>
      <c r="S434" s="175"/>
      <c r="T434" s="175"/>
      <c r="U434" s="175"/>
      <c r="V434" s="175"/>
      <c r="W434" s="175"/>
      <c r="X434" s="597"/>
      <c r="Y434" s="175"/>
      <c r="Z434" s="175"/>
    </row>
    <row r="435" ht="12.0" customHeight="1">
      <c r="A435" s="175"/>
      <c r="B435" s="175"/>
      <c r="C435" s="175"/>
      <c r="D435" s="175"/>
      <c r="E435" s="597"/>
      <c r="F435" s="597"/>
      <c r="G435" s="597"/>
      <c r="H435" s="597"/>
      <c r="I435" s="597"/>
      <c r="J435" s="597"/>
      <c r="K435" s="597"/>
      <c r="L435" s="597"/>
      <c r="M435" s="597"/>
      <c r="N435" s="597"/>
      <c r="O435" s="597"/>
      <c r="P435" s="597"/>
      <c r="Q435" s="597"/>
      <c r="R435" s="597"/>
      <c r="S435" s="175"/>
      <c r="T435" s="175"/>
      <c r="U435" s="175"/>
      <c r="V435" s="175"/>
      <c r="W435" s="175"/>
      <c r="X435" s="597"/>
      <c r="Y435" s="175"/>
      <c r="Z435" s="175"/>
    </row>
    <row r="436" ht="12.0" customHeight="1">
      <c r="A436" s="175"/>
      <c r="B436" s="175"/>
      <c r="C436" s="175"/>
      <c r="D436" s="175"/>
      <c r="E436" s="597"/>
      <c r="F436" s="597"/>
      <c r="G436" s="597"/>
      <c r="H436" s="597"/>
      <c r="I436" s="597"/>
      <c r="J436" s="597"/>
      <c r="K436" s="597"/>
      <c r="L436" s="597"/>
      <c r="M436" s="597"/>
      <c r="N436" s="597"/>
      <c r="O436" s="597"/>
      <c r="P436" s="597"/>
      <c r="Q436" s="597"/>
      <c r="R436" s="597"/>
      <c r="S436" s="175"/>
      <c r="T436" s="175"/>
      <c r="U436" s="175"/>
      <c r="V436" s="175"/>
      <c r="W436" s="175"/>
      <c r="X436" s="597"/>
      <c r="Y436" s="175"/>
      <c r="Z436" s="175"/>
    </row>
    <row r="437" ht="12.0" customHeight="1">
      <c r="A437" s="175"/>
      <c r="B437" s="175"/>
      <c r="C437" s="175"/>
      <c r="D437" s="175"/>
      <c r="E437" s="597"/>
      <c r="F437" s="597"/>
      <c r="G437" s="597"/>
      <c r="H437" s="597"/>
      <c r="I437" s="597"/>
      <c r="J437" s="597"/>
      <c r="K437" s="597"/>
      <c r="L437" s="597"/>
      <c r="M437" s="597"/>
      <c r="N437" s="597"/>
      <c r="O437" s="597"/>
      <c r="P437" s="597"/>
      <c r="Q437" s="597"/>
      <c r="R437" s="597"/>
      <c r="S437" s="175"/>
      <c r="T437" s="175"/>
      <c r="U437" s="175"/>
      <c r="V437" s="175"/>
      <c r="W437" s="175"/>
      <c r="X437" s="597"/>
      <c r="Y437" s="175"/>
      <c r="Z437" s="175"/>
    </row>
    <row r="438" ht="12.0" customHeight="1">
      <c r="A438" s="175"/>
      <c r="B438" s="175"/>
      <c r="C438" s="175"/>
      <c r="D438" s="175"/>
      <c r="E438" s="597"/>
      <c r="F438" s="597"/>
      <c r="G438" s="597"/>
      <c r="H438" s="597"/>
      <c r="I438" s="597"/>
      <c r="J438" s="597"/>
      <c r="K438" s="597"/>
      <c r="L438" s="597"/>
      <c r="M438" s="597"/>
      <c r="N438" s="597"/>
      <c r="O438" s="597"/>
      <c r="P438" s="597"/>
      <c r="Q438" s="597"/>
      <c r="R438" s="597"/>
      <c r="S438" s="175"/>
      <c r="T438" s="175"/>
      <c r="U438" s="175"/>
      <c r="V438" s="175"/>
      <c r="W438" s="175"/>
      <c r="X438" s="597"/>
      <c r="Y438" s="175"/>
      <c r="Z438" s="175"/>
    </row>
    <row r="439" ht="12.0" customHeight="1">
      <c r="A439" s="175"/>
      <c r="B439" s="175"/>
      <c r="C439" s="175"/>
      <c r="D439" s="175"/>
      <c r="E439" s="597"/>
      <c r="F439" s="597"/>
      <c r="G439" s="597"/>
      <c r="H439" s="597"/>
      <c r="I439" s="597"/>
      <c r="J439" s="597"/>
      <c r="K439" s="597"/>
      <c r="L439" s="597"/>
      <c r="M439" s="597"/>
      <c r="N439" s="597"/>
      <c r="O439" s="597"/>
      <c r="P439" s="597"/>
      <c r="Q439" s="597"/>
      <c r="R439" s="597"/>
      <c r="S439" s="175"/>
      <c r="T439" s="175"/>
      <c r="U439" s="175"/>
      <c r="V439" s="175"/>
      <c r="W439" s="175"/>
      <c r="X439" s="597"/>
      <c r="Y439" s="175"/>
      <c r="Z439" s="175"/>
    </row>
    <row r="440" ht="12.0" customHeight="1">
      <c r="A440" s="175"/>
      <c r="B440" s="175"/>
      <c r="C440" s="175"/>
      <c r="D440" s="175"/>
      <c r="E440" s="597"/>
      <c r="F440" s="597"/>
      <c r="G440" s="597"/>
      <c r="H440" s="597"/>
      <c r="I440" s="597"/>
      <c r="J440" s="597"/>
      <c r="K440" s="597"/>
      <c r="L440" s="597"/>
      <c r="M440" s="597"/>
      <c r="N440" s="597"/>
      <c r="O440" s="597"/>
      <c r="P440" s="597"/>
      <c r="Q440" s="597"/>
      <c r="R440" s="597"/>
      <c r="S440" s="175"/>
      <c r="T440" s="175"/>
      <c r="U440" s="175"/>
      <c r="V440" s="175"/>
      <c r="W440" s="175"/>
      <c r="X440" s="597"/>
      <c r="Y440" s="175"/>
      <c r="Z440" s="175"/>
    </row>
    <row r="441" ht="12.0" customHeight="1">
      <c r="A441" s="175"/>
      <c r="B441" s="175"/>
      <c r="C441" s="175"/>
      <c r="D441" s="175"/>
      <c r="E441" s="597"/>
      <c r="F441" s="597"/>
      <c r="G441" s="597"/>
      <c r="H441" s="597"/>
      <c r="I441" s="597"/>
      <c r="J441" s="597"/>
      <c r="K441" s="597"/>
      <c r="L441" s="597"/>
      <c r="M441" s="597"/>
      <c r="N441" s="597"/>
      <c r="O441" s="597"/>
      <c r="P441" s="597"/>
      <c r="Q441" s="597"/>
      <c r="R441" s="597"/>
      <c r="S441" s="175"/>
      <c r="T441" s="175"/>
      <c r="U441" s="175"/>
      <c r="V441" s="175"/>
      <c r="W441" s="175"/>
      <c r="X441" s="597"/>
      <c r="Y441" s="175"/>
      <c r="Z441" s="175"/>
    </row>
    <row r="442" ht="12.0" customHeight="1">
      <c r="A442" s="175"/>
      <c r="B442" s="175"/>
      <c r="C442" s="175"/>
      <c r="D442" s="175"/>
      <c r="E442" s="597"/>
      <c r="F442" s="597"/>
      <c r="G442" s="597"/>
      <c r="H442" s="597"/>
      <c r="I442" s="597"/>
      <c r="J442" s="597"/>
      <c r="K442" s="597"/>
      <c r="L442" s="597"/>
      <c r="M442" s="597"/>
      <c r="N442" s="597"/>
      <c r="O442" s="597"/>
      <c r="P442" s="597"/>
      <c r="Q442" s="597"/>
      <c r="R442" s="597"/>
      <c r="S442" s="175"/>
      <c r="T442" s="175"/>
      <c r="U442" s="175"/>
      <c r="V442" s="175"/>
      <c r="W442" s="175"/>
      <c r="X442" s="597"/>
      <c r="Y442" s="175"/>
      <c r="Z442" s="175"/>
    </row>
    <row r="443" ht="12.0" customHeight="1">
      <c r="A443" s="175"/>
      <c r="B443" s="175"/>
      <c r="C443" s="175"/>
      <c r="D443" s="175"/>
      <c r="E443" s="597"/>
      <c r="F443" s="597"/>
      <c r="G443" s="597"/>
      <c r="H443" s="597"/>
      <c r="I443" s="597"/>
      <c r="J443" s="597"/>
      <c r="K443" s="597"/>
      <c r="L443" s="597"/>
      <c r="M443" s="597"/>
      <c r="N443" s="597"/>
      <c r="O443" s="597"/>
      <c r="P443" s="597"/>
      <c r="Q443" s="597"/>
      <c r="R443" s="597"/>
      <c r="S443" s="175"/>
      <c r="T443" s="175"/>
      <c r="U443" s="175"/>
      <c r="V443" s="175"/>
      <c r="W443" s="175"/>
      <c r="X443" s="597"/>
      <c r="Y443" s="175"/>
      <c r="Z443" s="175"/>
    </row>
    <row r="444" ht="12.0" customHeight="1">
      <c r="A444" s="175"/>
      <c r="B444" s="175"/>
      <c r="C444" s="175"/>
      <c r="D444" s="175"/>
      <c r="E444" s="597"/>
      <c r="F444" s="597"/>
      <c r="G444" s="597"/>
      <c r="H444" s="597"/>
      <c r="I444" s="597"/>
      <c r="J444" s="597"/>
      <c r="K444" s="597"/>
      <c r="L444" s="597"/>
      <c r="M444" s="597"/>
      <c r="N444" s="597"/>
      <c r="O444" s="597"/>
      <c r="P444" s="597"/>
      <c r="Q444" s="597"/>
      <c r="R444" s="597"/>
      <c r="S444" s="175"/>
      <c r="T444" s="175"/>
      <c r="U444" s="175"/>
      <c r="V444" s="175"/>
      <c r="W444" s="175"/>
      <c r="X444" s="597"/>
      <c r="Y444" s="175"/>
      <c r="Z444" s="175"/>
    </row>
    <row r="445" ht="12.0" customHeight="1">
      <c r="A445" s="175"/>
      <c r="B445" s="175"/>
      <c r="C445" s="175"/>
      <c r="D445" s="175"/>
      <c r="E445" s="597"/>
      <c r="F445" s="597"/>
      <c r="G445" s="597"/>
      <c r="H445" s="597"/>
      <c r="I445" s="597"/>
      <c r="J445" s="597"/>
      <c r="K445" s="597"/>
      <c r="L445" s="597"/>
      <c r="M445" s="597"/>
      <c r="N445" s="597"/>
      <c r="O445" s="597"/>
      <c r="P445" s="597"/>
      <c r="Q445" s="597"/>
      <c r="R445" s="597"/>
      <c r="S445" s="175"/>
      <c r="T445" s="175"/>
      <c r="U445" s="175"/>
      <c r="V445" s="175"/>
      <c r="W445" s="175"/>
      <c r="X445" s="597"/>
      <c r="Y445" s="175"/>
      <c r="Z445" s="175"/>
    </row>
    <row r="446" ht="12.0" customHeight="1">
      <c r="A446" s="175"/>
      <c r="B446" s="175"/>
      <c r="C446" s="175"/>
      <c r="D446" s="175"/>
      <c r="E446" s="597"/>
      <c r="F446" s="597"/>
      <c r="G446" s="597"/>
      <c r="H446" s="597"/>
      <c r="I446" s="597"/>
      <c r="J446" s="597"/>
      <c r="K446" s="597"/>
      <c r="L446" s="597"/>
      <c r="M446" s="597"/>
      <c r="N446" s="597"/>
      <c r="O446" s="597"/>
      <c r="P446" s="597"/>
      <c r="Q446" s="597"/>
      <c r="R446" s="597"/>
      <c r="S446" s="175"/>
      <c r="T446" s="175"/>
      <c r="U446" s="175"/>
      <c r="V446" s="175"/>
      <c r="W446" s="175"/>
      <c r="X446" s="597"/>
      <c r="Y446" s="175"/>
      <c r="Z446" s="175"/>
    </row>
    <row r="447" ht="12.0" customHeight="1">
      <c r="A447" s="175"/>
      <c r="B447" s="175"/>
      <c r="C447" s="175"/>
      <c r="D447" s="175"/>
      <c r="E447" s="597"/>
      <c r="F447" s="597"/>
      <c r="G447" s="597"/>
      <c r="H447" s="597"/>
      <c r="I447" s="597"/>
      <c r="J447" s="597"/>
      <c r="K447" s="597"/>
      <c r="L447" s="597"/>
      <c r="M447" s="597"/>
      <c r="N447" s="597"/>
      <c r="O447" s="597"/>
      <c r="P447" s="597"/>
      <c r="Q447" s="597"/>
      <c r="R447" s="597"/>
      <c r="S447" s="175"/>
      <c r="T447" s="175"/>
      <c r="U447" s="175"/>
      <c r="V447" s="175"/>
      <c r="W447" s="175"/>
      <c r="X447" s="597"/>
      <c r="Y447" s="175"/>
      <c r="Z447" s="175"/>
    </row>
    <row r="448" ht="12.0" customHeight="1">
      <c r="A448" s="175"/>
      <c r="B448" s="175"/>
      <c r="C448" s="175"/>
      <c r="D448" s="175"/>
      <c r="E448" s="597"/>
      <c r="F448" s="597"/>
      <c r="G448" s="597"/>
      <c r="H448" s="597"/>
      <c r="I448" s="597"/>
      <c r="J448" s="597"/>
      <c r="K448" s="597"/>
      <c r="L448" s="597"/>
      <c r="M448" s="597"/>
      <c r="N448" s="597"/>
      <c r="O448" s="597"/>
      <c r="P448" s="597"/>
      <c r="Q448" s="597"/>
      <c r="R448" s="597"/>
      <c r="S448" s="175"/>
      <c r="T448" s="175"/>
      <c r="U448" s="175"/>
      <c r="V448" s="175"/>
      <c r="W448" s="175"/>
      <c r="X448" s="597"/>
      <c r="Y448" s="175"/>
      <c r="Z448" s="175"/>
    </row>
    <row r="449" ht="12.0" customHeight="1">
      <c r="A449" s="175"/>
      <c r="B449" s="175"/>
      <c r="C449" s="175"/>
      <c r="D449" s="175"/>
      <c r="E449" s="597"/>
      <c r="F449" s="597"/>
      <c r="G449" s="597"/>
      <c r="H449" s="597"/>
      <c r="I449" s="597"/>
      <c r="J449" s="597"/>
      <c r="K449" s="597"/>
      <c r="L449" s="597"/>
      <c r="M449" s="597"/>
      <c r="N449" s="597"/>
      <c r="O449" s="597"/>
      <c r="P449" s="597"/>
      <c r="Q449" s="597"/>
      <c r="R449" s="597"/>
      <c r="S449" s="175"/>
      <c r="T449" s="175"/>
      <c r="U449" s="175"/>
      <c r="V449" s="175"/>
      <c r="W449" s="175"/>
      <c r="X449" s="597"/>
      <c r="Y449" s="175"/>
      <c r="Z449" s="175"/>
    </row>
    <row r="450" ht="12.0" customHeight="1">
      <c r="A450" s="175"/>
      <c r="B450" s="175"/>
      <c r="C450" s="175"/>
      <c r="D450" s="175"/>
      <c r="E450" s="597"/>
      <c r="F450" s="597"/>
      <c r="G450" s="597"/>
      <c r="H450" s="597"/>
      <c r="I450" s="597"/>
      <c r="J450" s="597"/>
      <c r="K450" s="597"/>
      <c r="L450" s="597"/>
      <c r="M450" s="597"/>
      <c r="N450" s="597"/>
      <c r="O450" s="597"/>
      <c r="P450" s="597"/>
      <c r="Q450" s="597"/>
      <c r="R450" s="597"/>
      <c r="S450" s="175"/>
      <c r="T450" s="175"/>
      <c r="U450" s="175"/>
      <c r="V450" s="175"/>
      <c r="W450" s="175"/>
      <c r="X450" s="597"/>
      <c r="Y450" s="175"/>
      <c r="Z450" s="175"/>
    </row>
    <row r="451" ht="12.0" customHeight="1">
      <c r="A451" s="175"/>
      <c r="B451" s="175"/>
      <c r="C451" s="175"/>
      <c r="D451" s="175"/>
      <c r="E451" s="597"/>
      <c r="F451" s="597"/>
      <c r="G451" s="597"/>
      <c r="H451" s="597"/>
      <c r="I451" s="597"/>
      <c r="J451" s="597"/>
      <c r="K451" s="597"/>
      <c r="L451" s="597"/>
      <c r="M451" s="597"/>
      <c r="N451" s="597"/>
      <c r="O451" s="597"/>
      <c r="P451" s="597"/>
      <c r="Q451" s="597"/>
      <c r="R451" s="597"/>
      <c r="S451" s="175"/>
      <c r="T451" s="175"/>
      <c r="U451" s="175"/>
      <c r="V451" s="175"/>
      <c r="W451" s="175"/>
      <c r="X451" s="597"/>
      <c r="Y451" s="175"/>
      <c r="Z451" s="175"/>
    </row>
    <row r="452" ht="12.0" customHeight="1">
      <c r="A452" s="175"/>
      <c r="B452" s="175"/>
      <c r="C452" s="175"/>
      <c r="D452" s="175"/>
      <c r="E452" s="597"/>
      <c r="F452" s="597"/>
      <c r="G452" s="597"/>
      <c r="H452" s="597"/>
      <c r="I452" s="597"/>
      <c r="J452" s="597"/>
      <c r="K452" s="597"/>
      <c r="L452" s="597"/>
      <c r="M452" s="597"/>
      <c r="N452" s="597"/>
      <c r="O452" s="597"/>
      <c r="P452" s="597"/>
      <c r="Q452" s="597"/>
      <c r="R452" s="597"/>
      <c r="S452" s="175"/>
      <c r="T452" s="175"/>
      <c r="U452" s="175"/>
      <c r="V452" s="175"/>
      <c r="W452" s="175"/>
      <c r="X452" s="597"/>
      <c r="Y452" s="175"/>
      <c r="Z452" s="175"/>
    </row>
    <row r="453" ht="12.0" customHeight="1">
      <c r="A453" s="175"/>
      <c r="B453" s="175"/>
      <c r="C453" s="175"/>
      <c r="D453" s="175"/>
      <c r="E453" s="597"/>
      <c r="F453" s="597"/>
      <c r="G453" s="597"/>
      <c r="H453" s="597"/>
      <c r="I453" s="597"/>
      <c r="J453" s="597"/>
      <c r="K453" s="597"/>
      <c r="L453" s="597"/>
      <c r="M453" s="597"/>
      <c r="N453" s="597"/>
      <c r="O453" s="597"/>
      <c r="P453" s="597"/>
      <c r="Q453" s="597"/>
      <c r="R453" s="597"/>
      <c r="S453" s="175"/>
      <c r="T453" s="175"/>
      <c r="U453" s="175"/>
      <c r="V453" s="175"/>
      <c r="W453" s="175"/>
      <c r="X453" s="597"/>
      <c r="Y453" s="175"/>
      <c r="Z453" s="175"/>
    </row>
    <row r="454" ht="12.0" customHeight="1">
      <c r="A454" s="175"/>
      <c r="B454" s="175"/>
      <c r="C454" s="175"/>
      <c r="D454" s="175"/>
      <c r="E454" s="597"/>
      <c r="F454" s="597"/>
      <c r="G454" s="597"/>
      <c r="H454" s="597"/>
      <c r="I454" s="597"/>
      <c r="J454" s="597"/>
      <c r="K454" s="597"/>
      <c r="L454" s="597"/>
      <c r="M454" s="597"/>
      <c r="N454" s="597"/>
      <c r="O454" s="597"/>
      <c r="P454" s="597"/>
      <c r="Q454" s="597"/>
      <c r="R454" s="597"/>
      <c r="S454" s="175"/>
      <c r="T454" s="175"/>
      <c r="U454" s="175"/>
      <c r="V454" s="175"/>
      <c r="W454" s="175"/>
      <c r="X454" s="597"/>
      <c r="Y454" s="175"/>
      <c r="Z454" s="175"/>
    </row>
    <row r="455" ht="12.0" customHeight="1">
      <c r="A455" s="175"/>
      <c r="B455" s="175"/>
      <c r="C455" s="175"/>
      <c r="D455" s="175"/>
      <c r="E455" s="597"/>
      <c r="F455" s="597"/>
      <c r="G455" s="597"/>
      <c r="H455" s="597"/>
      <c r="I455" s="597"/>
      <c r="J455" s="597"/>
      <c r="K455" s="597"/>
      <c r="L455" s="597"/>
      <c r="M455" s="597"/>
      <c r="N455" s="597"/>
      <c r="O455" s="597"/>
      <c r="P455" s="597"/>
      <c r="Q455" s="597"/>
      <c r="R455" s="597"/>
      <c r="S455" s="175"/>
      <c r="T455" s="175"/>
      <c r="U455" s="175"/>
      <c r="V455" s="175"/>
      <c r="W455" s="175"/>
      <c r="X455" s="597"/>
      <c r="Y455" s="175"/>
      <c r="Z455" s="175"/>
    </row>
    <row r="456" ht="12.0" customHeight="1">
      <c r="A456" s="175"/>
      <c r="B456" s="175"/>
      <c r="C456" s="175"/>
      <c r="D456" s="175"/>
      <c r="E456" s="597"/>
      <c r="F456" s="597"/>
      <c r="G456" s="597"/>
      <c r="H456" s="597"/>
      <c r="I456" s="597"/>
      <c r="J456" s="597"/>
      <c r="K456" s="597"/>
      <c r="L456" s="597"/>
      <c r="M456" s="597"/>
      <c r="N456" s="597"/>
      <c r="O456" s="597"/>
      <c r="P456" s="597"/>
      <c r="Q456" s="597"/>
      <c r="R456" s="597"/>
      <c r="S456" s="175"/>
      <c r="T456" s="175"/>
      <c r="U456" s="175"/>
      <c r="V456" s="175"/>
      <c r="W456" s="175"/>
      <c r="X456" s="597"/>
      <c r="Y456" s="175"/>
      <c r="Z456" s="175"/>
    </row>
    <row r="457" ht="12.0" customHeight="1">
      <c r="A457" s="175"/>
      <c r="B457" s="175"/>
      <c r="C457" s="175"/>
      <c r="D457" s="175"/>
      <c r="E457" s="597"/>
      <c r="F457" s="597"/>
      <c r="G457" s="597"/>
      <c r="H457" s="597"/>
      <c r="I457" s="597"/>
      <c r="J457" s="597"/>
      <c r="K457" s="597"/>
      <c r="L457" s="597"/>
      <c r="M457" s="597"/>
      <c r="N457" s="597"/>
      <c r="O457" s="597"/>
      <c r="P457" s="597"/>
      <c r="Q457" s="597"/>
      <c r="R457" s="597"/>
      <c r="S457" s="175"/>
      <c r="T457" s="175"/>
      <c r="U457" s="175"/>
      <c r="V457" s="175"/>
      <c r="W457" s="175"/>
      <c r="X457" s="597"/>
      <c r="Y457" s="175"/>
      <c r="Z457" s="175"/>
    </row>
    <row r="458" ht="12.0" customHeight="1">
      <c r="A458" s="175"/>
      <c r="B458" s="175"/>
      <c r="C458" s="175"/>
      <c r="D458" s="175"/>
      <c r="E458" s="597"/>
      <c r="F458" s="597"/>
      <c r="G458" s="597"/>
      <c r="H458" s="597"/>
      <c r="I458" s="597"/>
      <c r="J458" s="597"/>
      <c r="K458" s="597"/>
      <c r="L458" s="597"/>
      <c r="M458" s="597"/>
      <c r="N458" s="597"/>
      <c r="O458" s="597"/>
      <c r="P458" s="597"/>
      <c r="Q458" s="597"/>
      <c r="R458" s="597"/>
      <c r="S458" s="175"/>
      <c r="T458" s="175"/>
      <c r="U458" s="175"/>
      <c r="V458" s="175"/>
      <c r="W458" s="175"/>
      <c r="X458" s="597"/>
      <c r="Y458" s="175"/>
      <c r="Z458" s="175"/>
    </row>
    <row r="459" ht="12.0" customHeight="1">
      <c r="A459" s="175"/>
      <c r="B459" s="175"/>
      <c r="C459" s="175"/>
      <c r="D459" s="175"/>
      <c r="E459" s="597"/>
      <c r="F459" s="597"/>
      <c r="G459" s="597"/>
      <c r="H459" s="597"/>
      <c r="I459" s="597"/>
      <c r="J459" s="597"/>
      <c r="K459" s="597"/>
      <c r="L459" s="597"/>
      <c r="M459" s="597"/>
      <c r="N459" s="597"/>
      <c r="O459" s="597"/>
      <c r="P459" s="597"/>
      <c r="Q459" s="597"/>
      <c r="R459" s="597"/>
      <c r="S459" s="175"/>
      <c r="T459" s="175"/>
      <c r="U459" s="175"/>
      <c r="V459" s="175"/>
      <c r="W459" s="175"/>
      <c r="X459" s="597"/>
      <c r="Y459" s="175"/>
      <c r="Z459" s="175"/>
    </row>
    <row r="460" ht="12.0" customHeight="1">
      <c r="A460" s="175"/>
      <c r="B460" s="175"/>
      <c r="C460" s="175"/>
      <c r="D460" s="175"/>
      <c r="E460" s="597"/>
      <c r="F460" s="597"/>
      <c r="G460" s="597"/>
      <c r="H460" s="597"/>
      <c r="I460" s="597"/>
      <c r="J460" s="597"/>
      <c r="K460" s="597"/>
      <c r="L460" s="597"/>
      <c r="M460" s="597"/>
      <c r="N460" s="597"/>
      <c r="O460" s="597"/>
      <c r="P460" s="597"/>
      <c r="Q460" s="597"/>
      <c r="R460" s="597"/>
      <c r="S460" s="175"/>
      <c r="T460" s="175"/>
      <c r="U460" s="175"/>
      <c r="V460" s="175"/>
      <c r="W460" s="175"/>
      <c r="X460" s="597"/>
      <c r="Y460" s="175"/>
      <c r="Z460" s="175"/>
    </row>
    <row r="461" ht="12.0" customHeight="1">
      <c r="A461" s="175"/>
      <c r="B461" s="175"/>
      <c r="C461" s="175"/>
      <c r="D461" s="175"/>
      <c r="E461" s="597"/>
      <c r="F461" s="597"/>
      <c r="G461" s="597"/>
      <c r="H461" s="597"/>
      <c r="I461" s="597"/>
      <c r="J461" s="597"/>
      <c r="K461" s="597"/>
      <c r="L461" s="597"/>
      <c r="M461" s="597"/>
      <c r="N461" s="597"/>
      <c r="O461" s="597"/>
      <c r="P461" s="597"/>
      <c r="Q461" s="597"/>
      <c r="R461" s="597"/>
      <c r="S461" s="175"/>
      <c r="T461" s="175"/>
      <c r="U461" s="175"/>
      <c r="V461" s="175"/>
      <c r="W461" s="175"/>
      <c r="X461" s="597"/>
      <c r="Y461" s="175"/>
      <c r="Z461" s="175"/>
    </row>
    <row r="462" ht="12.0" customHeight="1">
      <c r="A462" s="175"/>
      <c r="B462" s="175"/>
      <c r="C462" s="175"/>
      <c r="D462" s="175"/>
      <c r="E462" s="597"/>
      <c r="F462" s="597"/>
      <c r="G462" s="597"/>
      <c r="H462" s="597"/>
      <c r="I462" s="597"/>
      <c r="J462" s="597"/>
      <c r="K462" s="597"/>
      <c r="L462" s="597"/>
      <c r="M462" s="597"/>
      <c r="N462" s="597"/>
      <c r="O462" s="597"/>
      <c r="P462" s="597"/>
      <c r="Q462" s="597"/>
      <c r="R462" s="597"/>
      <c r="S462" s="175"/>
      <c r="T462" s="175"/>
      <c r="U462" s="175"/>
      <c r="V462" s="175"/>
      <c r="W462" s="175"/>
      <c r="X462" s="597"/>
      <c r="Y462" s="175"/>
      <c r="Z462" s="175"/>
    </row>
    <row r="463" ht="12.0" customHeight="1">
      <c r="A463" s="175"/>
      <c r="B463" s="175"/>
      <c r="C463" s="175"/>
      <c r="D463" s="175"/>
      <c r="E463" s="597"/>
      <c r="F463" s="597"/>
      <c r="G463" s="597"/>
      <c r="H463" s="597"/>
      <c r="I463" s="597"/>
      <c r="J463" s="597"/>
      <c r="K463" s="597"/>
      <c r="L463" s="597"/>
      <c r="M463" s="597"/>
      <c r="N463" s="597"/>
      <c r="O463" s="597"/>
      <c r="P463" s="597"/>
      <c r="Q463" s="597"/>
      <c r="R463" s="597"/>
      <c r="S463" s="175"/>
      <c r="T463" s="175"/>
      <c r="U463" s="175"/>
      <c r="V463" s="175"/>
      <c r="W463" s="175"/>
      <c r="X463" s="597"/>
      <c r="Y463" s="175"/>
      <c r="Z463" s="175"/>
    </row>
    <row r="464" ht="12.0" customHeight="1">
      <c r="A464" s="175"/>
      <c r="B464" s="175"/>
      <c r="C464" s="175"/>
      <c r="D464" s="175"/>
      <c r="E464" s="597"/>
      <c r="F464" s="597"/>
      <c r="G464" s="597"/>
      <c r="H464" s="597"/>
      <c r="I464" s="597"/>
      <c r="J464" s="597"/>
      <c r="K464" s="597"/>
      <c r="L464" s="597"/>
      <c r="M464" s="597"/>
      <c r="N464" s="597"/>
      <c r="O464" s="597"/>
      <c r="P464" s="597"/>
      <c r="Q464" s="597"/>
      <c r="R464" s="597"/>
      <c r="S464" s="175"/>
      <c r="T464" s="175"/>
      <c r="U464" s="175"/>
      <c r="V464" s="175"/>
      <c r="W464" s="175"/>
      <c r="X464" s="597"/>
      <c r="Y464" s="175"/>
      <c r="Z464" s="175"/>
    </row>
    <row r="465" ht="12.0" customHeight="1">
      <c r="A465" s="175"/>
      <c r="B465" s="175"/>
      <c r="C465" s="175"/>
      <c r="D465" s="175"/>
      <c r="E465" s="597"/>
      <c r="F465" s="597"/>
      <c r="G465" s="597"/>
      <c r="H465" s="597"/>
      <c r="I465" s="597"/>
      <c r="J465" s="597"/>
      <c r="K465" s="597"/>
      <c r="L465" s="597"/>
      <c r="M465" s="597"/>
      <c r="N465" s="597"/>
      <c r="O465" s="597"/>
      <c r="P465" s="597"/>
      <c r="Q465" s="597"/>
      <c r="R465" s="597"/>
      <c r="S465" s="175"/>
      <c r="T465" s="175"/>
      <c r="U465" s="175"/>
      <c r="V465" s="175"/>
      <c r="W465" s="175"/>
      <c r="X465" s="597"/>
      <c r="Y465" s="175"/>
      <c r="Z465" s="175"/>
    </row>
    <row r="466" ht="12.0" customHeight="1">
      <c r="A466" s="175"/>
      <c r="B466" s="175"/>
      <c r="C466" s="175"/>
      <c r="D466" s="175"/>
      <c r="E466" s="597"/>
      <c r="F466" s="597"/>
      <c r="G466" s="597"/>
      <c r="H466" s="597"/>
      <c r="I466" s="597"/>
      <c r="J466" s="597"/>
      <c r="K466" s="597"/>
      <c r="L466" s="597"/>
      <c r="M466" s="597"/>
      <c r="N466" s="597"/>
      <c r="O466" s="597"/>
      <c r="P466" s="597"/>
      <c r="Q466" s="597"/>
      <c r="R466" s="597"/>
      <c r="S466" s="175"/>
      <c r="T466" s="175"/>
      <c r="U466" s="175"/>
      <c r="V466" s="175"/>
      <c r="W466" s="175"/>
      <c r="X466" s="597"/>
      <c r="Y466" s="175"/>
      <c r="Z466" s="175"/>
    </row>
    <row r="467" ht="12.0" customHeight="1">
      <c r="A467" s="175"/>
      <c r="B467" s="175"/>
      <c r="C467" s="175"/>
      <c r="D467" s="175"/>
      <c r="E467" s="597"/>
      <c r="F467" s="597"/>
      <c r="G467" s="597"/>
      <c r="H467" s="597"/>
      <c r="I467" s="597"/>
      <c r="J467" s="597"/>
      <c r="K467" s="597"/>
      <c r="L467" s="597"/>
      <c r="M467" s="597"/>
      <c r="N467" s="597"/>
      <c r="O467" s="597"/>
      <c r="P467" s="597"/>
      <c r="Q467" s="597"/>
      <c r="R467" s="597"/>
      <c r="S467" s="175"/>
      <c r="T467" s="175"/>
      <c r="U467" s="175"/>
      <c r="V467" s="175"/>
      <c r="W467" s="175"/>
      <c r="X467" s="597"/>
      <c r="Y467" s="175"/>
      <c r="Z467" s="175"/>
    </row>
    <row r="468" ht="12.0" customHeight="1">
      <c r="A468" s="175"/>
      <c r="B468" s="175"/>
      <c r="C468" s="175"/>
      <c r="D468" s="175"/>
      <c r="E468" s="597"/>
      <c r="F468" s="597"/>
      <c r="G468" s="597"/>
      <c r="H468" s="597"/>
      <c r="I468" s="597"/>
      <c r="J468" s="597"/>
      <c r="K468" s="597"/>
      <c r="L468" s="597"/>
      <c r="M468" s="597"/>
      <c r="N468" s="597"/>
      <c r="O468" s="597"/>
      <c r="P468" s="597"/>
      <c r="Q468" s="597"/>
      <c r="R468" s="597"/>
      <c r="S468" s="175"/>
      <c r="T468" s="175"/>
      <c r="U468" s="175"/>
      <c r="V468" s="175"/>
      <c r="W468" s="175"/>
      <c r="X468" s="597"/>
      <c r="Y468" s="175"/>
      <c r="Z468" s="175"/>
    </row>
    <row r="469" ht="12.0" customHeight="1">
      <c r="A469" s="175"/>
      <c r="B469" s="175"/>
      <c r="C469" s="175"/>
      <c r="D469" s="175"/>
      <c r="E469" s="597"/>
      <c r="F469" s="597"/>
      <c r="G469" s="597"/>
      <c r="H469" s="597"/>
      <c r="I469" s="597"/>
      <c r="J469" s="597"/>
      <c r="K469" s="597"/>
      <c r="L469" s="597"/>
      <c r="M469" s="597"/>
      <c r="N469" s="597"/>
      <c r="O469" s="597"/>
      <c r="P469" s="597"/>
      <c r="Q469" s="597"/>
      <c r="R469" s="597"/>
      <c r="S469" s="175"/>
      <c r="T469" s="175"/>
      <c r="U469" s="175"/>
      <c r="V469" s="175"/>
      <c r="W469" s="175"/>
      <c r="X469" s="597"/>
      <c r="Y469" s="175"/>
      <c r="Z469" s="175"/>
    </row>
    <row r="470" ht="12.0" customHeight="1">
      <c r="A470" s="175"/>
      <c r="B470" s="175"/>
      <c r="C470" s="175"/>
      <c r="D470" s="175"/>
      <c r="E470" s="597"/>
      <c r="F470" s="597"/>
      <c r="G470" s="597"/>
      <c r="H470" s="597"/>
      <c r="I470" s="597"/>
      <c r="J470" s="597"/>
      <c r="K470" s="597"/>
      <c r="L470" s="597"/>
      <c r="M470" s="597"/>
      <c r="N470" s="597"/>
      <c r="O470" s="597"/>
      <c r="P470" s="597"/>
      <c r="Q470" s="597"/>
      <c r="R470" s="597"/>
      <c r="S470" s="175"/>
      <c r="T470" s="175"/>
      <c r="U470" s="175"/>
      <c r="V470" s="175"/>
      <c r="W470" s="175"/>
      <c r="X470" s="597"/>
      <c r="Y470" s="175"/>
      <c r="Z470" s="175"/>
    </row>
    <row r="471" ht="12.0" customHeight="1">
      <c r="A471" s="175"/>
      <c r="B471" s="175"/>
      <c r="C471" s="175"/>
      <c r="D471" s="175"/>
      <c r="E471" s="597"/>
      <c r="F471" s="597"/>
      <c r="G471" s="597"/>
      <c r="H471" s="597"/>
      <c r="I471" s="597"/>
      <c r="J471" s="597"/>
      <c r="K471" s="597"/>
      <c r="L471" s="597"/>
      <c r="M471" s="597"/>
      <c r="N471" s="597"/>
      <c r="O471" s="597"/>
      <c r="P471" s="597"/>
      <c r="Q471" s="597"/>
      <c r="R471" s="597"/>
      <c r="S471" s="175"/>
      <c r="T471" s="175"/>
      <c r="U471" s="175"/>
      <c r="V471" s="175"/>
      <c r="W471" s="175"/>
      <c r="X471" s="597"/>
      <c r="Y471" s="175"/>
      <c r="Z471" s="175"/>
    </row>
    <row r="472" ht="12.0" customHeight="1">
      <c r="A472" s="175"/>
      <c r="B472" s="175"/>
      <c r="C472" s="175"/>
      <c r="D472" s="175"/>
      <c r="E472" s="597"/>
      <c r="F472" s="597"/>
      <c r="G472" s="597"/>
      <c r="H472" s="597"/>
      <c r="I472" s="597"/>
      <c r="J472" s="597"/>
      <c r="K472" s="597"/>
      <c r="L472" s="597"/>
      <c r="M472" s="597"/>
      <c r="N472" s="597"/>
      <c r="O472" s="597"/>
      <c r="P472" s="597"/>
      <c r="Q472" s="597"/>
      <c r="R472" s="597"/>
      <c r="S472" s="175"/>
      <c r="T472" s="175"/>
      <c r="U472" s="175"/>
      <c r="V472" s="175"/>
      <c r="W472" s="175"/>
      <c r="X472" s="597"/>
      <c r="Y472" s="175"/>
      <c r="Z472" s="175"/>
    </row>
    <row r="473" ht="12.0" customHeight="1">
      <c r="A473" s="175"/>
      <c r="B473" s="175"/>
      <c r="C473" s="175"/>
      <c r="D473" s="175"/>
      <c r="E473" s="597"/>
      <c r="F473" s="597"/>
      <c r="G473" s="597"/>
      <c r="H473" s="597"/>
      <c r="I473" s="597"/>
      <c r="J473" s="597"/>
      <c r="K473" s="597"/>
      <c r="L473" s="597"/>
      <c r="M473" s="597"/>
      <c r="N473" s="597"/>
      <c r="O473" s="597"/>
      <c r="P473" s="597"/>
      <c r="Q473" s="597"/>
      <c r="R473" s="597"/>
      <c r="S473" s="175"/>
      <c r="T473" s="175"/>
      <c r="U473" s="175"/>
      <c r="V473" s="175"/>
      <c r="W473" s="175"/>
      <c r="X473" s="597"/>
      <c r="Y473" s="175"/>
      <c r="Z473" s="175"/>
    </row>
    <row r="474" ht="12.0" customHeight="1">
      <c r="A474" s="175"/>
      <c r="B474" s="175"/>
      <c r="C474" s="175"/>
      <c r="D474" s="175"/>
      <c r="E474" s="597"/>
      <c r="F474" s="597"/>
      <c r="G474" s="597"/>
      <c r="H474" s="597"/>
      <c r="I474" s="597"/>
      <c r="J474" s="597"/>
      <c r="K474" s="597"/>
      <c r="L474" s="597"/>
      <c r="M474" s="597"/>
      <c r="N474" s="597"/>
      <c r="O474" s="597"/>
      <c r="P474" s="597"/>
      <c r="Q474" s="597"/>
      <c r="R474" s="597"/>
      <c r="S474" s="175"/>
      <c r="T474" s="175"/>
      <c r="U474" s="175"/>
      <c r="V474" s="175"/>
      <c r="W474" s="175"/>
      <c r="X474" s="597"/>
      <c r="Y474" s="175"/>
      <c r="Z474" s="175"/>
    </row>
    <row r="475" ht="12.0" customHeight="1">
      <c r="A475" s="175"/>
      <c r="B475" s="175"/>
      <c r="C475" s="175"/>
      <c r="D475" s="175"/>
      <c r="E475" s="597"/>
      <c r="F475" s="597"/>
      <c r="G475" s="597"/>
      <c r="H475" s="597"/>
      <c r="I475" s="597"/>
      <c r="J475" s="597"/>
      <c r="K475" s="597"/>
      <c r="L475" s="597"/>
      <c r="M475" s="597"/>
      <c r="N475" s="597"/>
      <c r="O475" s="597"/>
      <c r="P475" s="597"/>
      <c r="Q475" s="597"/>
      <c r="R475" s="597"/>
      <c r="S475" s="175"/>
      <c r="T475" s="175"/>
      <c r="U475" s="175"/>
      <c r="V475" s="175"/>
      <c r="W475" s="175"/>
      <c r="X475" s="597"/>
      <c r="Y475" s="175"/>
      <c r="Z475" s="175"/>
    </row>
    <row r="476" ht="12.0" customHeight="1">
      <c r="A476" s="175"/>
      <c r="B476" s="175"/>
      <c r="C476" s="175"/>
      <c r="D476" s="175"/>
      <c r="E476" s="597"/>
      <c r="F476" s="597"/>
      <c r="G476" s="597"/>
      <c r="H476" s="597"/>
      <c r="I476" s="597"/>
      <c r="J476" s="597"/>
      <c r="K476" s="597"/>
      <c r="L476" s="597"/>
      <c r="M476" s="597"/>
      <c r="N476" s="597"/>
      <c r="O476" s="597"/>
      <c r="P476" s="597"/>
      <c r="Q476" s="597"/>
      <c r="R476" s="597"/>
      <c r="S476" s="175"/>
      <c r="T476" s="175"/>
      <c r="U476" s="175"/>
      <c r="V476" s="175"/>
      <c r="W476" s="175"/>
      <c r="X476" s="597"/>
      <c r="Y476" s="175"/>
      <c r="Z476" s="175"/>
    </row>
    <row r="477" ht="12.0" customHeight="1">
      <c r="A477" s="175"/>
      <c r="B477" s="175"/>
      <c r="C477" s="175"/>
      <c r="D477" s="175"/>
      <c r="E477" s="597"/>
      <c r="F477" s="597"/>
      <c r="G477" s="597"/>
      <c r="H477" s="597"/>
      <c r="I477" s="597"/>
      <c r="J477" s="597"/>
      <c r="K477" s="597"/>
      <c r="L477" s="597"/>
      <c r="M477" s="597"/>
      <c r="N477" s="597"/>
      <c r="O477" s="597"/>
      <c r="P477" s="597"/>
      <c r="Q477" s="597"/>
      <c r="R477" s="597"/>
      <c r="S477" s="175"/>
      <c r="T477" s="175"/>
      <c r="U477" s="175"/>
      <c r="V477" s="175"/>
      <c r="W477" s="175"/>
      <c r="X477" s="597"/>
      <c r="Y477" s="175"/>
      <c r="Z477" s="175"/>
    </row>
    <row r="478" ht="12.0" customHeight="1">
      <c r="A478" s="175"/>
      <c r="B478" s="175"/>
      <c r="C478" s="175"/>
      <c r="D478" s="175"/>
      <c r="E478" s="597"/>
      <c r="F478" s="597"/>
      <c r="G478" s="597"/>
      <c r="H478" s="597"/>
      <c r="I478" s="597"/>
      <c r="J478" s="597"/>
      <c r="K478" s="597"/>
      <c r="L478" s="597"/>
      <c r="M478" s="597"/>
      <c r="N478" s="597"/>
      <c r="O478" s="597"/>
      <c r="P478" s="597"/>
      <c r="Q478" s="597"/>
      <c r="R478" s="597"/>
      <c r="S478" s="175"/>
      <c r="T478" s="175"/>
      <c r="U478" s="175"/>
      <c r="V478" s="175"/>
      <c r="W478" s="175"/>
      <c r="X478" s="597"/>
      <c r="Y478" s="175"/>
      <c r="Z478" s="175"/>
    </row>
    <row r="479" ht="12.0" customHeight="1">
      <c r="A479" s="175"/>
      <c r="B479" s="175"/>
      <c r="C479" s="175"/>
      <c r="D479" s="175"/>
      <c r="E479" s="597"/>
      <c r="F479" s="597"/>
      <c r="G479" s="597"/>
      <c r="H479" s="597"/>
      <c r="I479" s="597"/>
      <c r="J479" s="597"/>
      <c r="K479" s="597"/>
      <c r="L479" s="597"/>
      <c r="M479" s="597"/>
      <c r="N479" s="597"/>
      <c r="O479" s="597"/>
      <c r="P479" s="597"/>
      <c r="Q479" s="597"/>
      <c r="R479" s="597"/>
      <c r="S479" s="175"/>
      <c r="T479" s="175"/>
      <c r="U479" s="175"/>
      <c r="V479" s="175"/>
      <c r="W479" s="175"/>
      <c r="X479" s="597"/>
      <c r="Y479" s="175"/>
      <c r="Z479" s="175"/>
    </row>
    <row r="480" ht="12.0" customHeight="1">
      <c r="A480" s="175"/>
      <c r="B480" s="175"/>
      <c r="C480" s="175"/>
      <c r="D480" s="175"/>
      <c r="E480" s="597"/>
      <c r="F480" s="597"/>
      <c r="G480" s="597"/>
      <c r="H480" s="597"/>
      <c r="I480" s="597"/>
      <c r="J480" s="597"/>
      <c r="K480" s="597"/>
      <c r="L480" s="597"/>
      <c r="M480" s="597"/>
      <c r="N480" s="597"/>
      <c r="O480" s="597"/>
      <c r="P480" s="597"/>
      <c r="Q480" s="597"/>
      <c r="R480" s="597"/>
      <c r="S480" s="175"/>
      <c r="T480" s="175"/>
      <c r="U480" s="175"/>
      <c r="V480" s="175"/>
      <c r="W480" s="175"/>
      <c r="X480" s="597"/>
      <c r="Y480" s="175"/>
      <c r="Z480" s="175"/>
    </row>
    <row r="481" ht="12.0" customHeight="1">
      <c r="A481" s="175"/>
      <c r="B481" s="175"/>
      <c r="C481" s="175"/>
      <c r="D481" s="175"/>
      <c r="E481" s="597"/>
      <c r="F481" s="597"/>
      <c r="G481" s="597"/>
      <c r="H481" s="597"/>
      <c r="I481" s="597"/>
      <c r="J481" s="597"/>
      <c r="K481" s="597"/>
      <c r="L481" s="597"/>
      <c r="M481" s="597"/>
      <c r="N481" s="597"/>
      <c r="O481" s="597"/>
      <c r="P481" s="597"/>
      <c r="Q481" s="597"/>
      <c r="R481" s="597"/>
      <c r="S481" s="175"/>
      <c r="T481" s="175"/>
      <c r="U481" s="175"/>
      <c r="V481" s="175"/>
      <c r="W481" s="175"/>
      <c r="X481" s="597"/>
      <c r="Y481" s="175"/>
      <c r="Z481" s="175"/>
    </row>
    <row r="482" ht="12.0" customHeight="1">
      <c r="A482" s="175"/>
      <c r="B482" s="175"/>
      <c r="C482" s="175"/>
      <c r="D482" s="175"/>
      <c r="E482" s="597"/>
      <c r="F482" s="597"/>
      <c r="G482" s="597"/>
      <c r="H482" s="597"/>
      <c r="I482" s="597"/>
      <c r="J482" s="597"/>
      <c r="K482" s="597"/>
      <c r="L482" s="597"/>
      <c r="M482" s="597"/>
      <c r="N482" s="597"/>
      <c r="O482" s="597"/>
      <c r="P482" s="597"/>
      <c r="Q482" s="597"/>
      <c r="R482" s="597"/>
      <c r="S482" s="175"/>
      <c r="T482" s="175"/>
      <c r="U482" s="175"/>
      <c r="V482" s="175"/>
      <c r="W482" s="175"/>
      <c r="X482" s="597"/>
      <c r="Y482" s="175"/>
      <c r="Z482" s="175"/>
    </row>
    <row r="483" ht="12.0" customHeight="1">
      <c r="A483" s="175"/>
      <c r="B483" s="175"/>
      <c r="C483" s="175"/>
      <c r="D483" s="175"/>
      <c r="E483" s="597"/>
      <c r="F483" s="597"/>
      <c r="G483" s="597"/>
      <c r="H483" s="597"/>
      <c r="I483" s="597"/>
      <c r="J483" s="597"/>
      <c r="K483" s="597"/>
      <c r="L483" s="597"/>
      <c r="M483" s="597"/>
      <c r="N483" s="597"/>
      <c r="O483" s="597"/>
      <c r="P483" s="597"/>
      <c r="Q483" s="597"/>
      <c r="R483" s="597"/>
      <c r="S483" s="175"/>
      <c r="T483" s="175"/>
      <c r="U483" s="175"/>
      <c r="V483" s="175"/>
      <c r="W483" s="175"/>
      <c r="X483" s="597"/>
      <c r="Y483" s="175"/>
      <c r="Z483" s="175"/>
    </row>
    <row r="484" ht="12.0" customHeight="1">
      <c r="A484" s="175"/>
      <c r="B484" s="175"/>
      <c r="C484" s="175"/>
      <c r="D484" s="175"/>
      <c r="E484" s="597"/>
      <c r="F484" s="597"/>
      <c r="G484" s="597"/>
      <c r="H484" s="597"/>
      <c r="I484" s="597"/>
      <c r="J484" s="597"/>
      <c r="K484" s="597"/>
      <c r="L484" s="597"/>
      <c r="M484" s="597"/>
      <c r="N484" s="597"/>
      <c r="O484" s="597"/>
      <c r="P484" s="597"/>
      <c r="Q484" s="597"/>
      <c r="R484" s="597"/>
      <c r="S484" s="175"/>
      <c r="T484" s="175"/>
      <c r="U484" s="175"/>
      <c r="V484" s="175"/>
      <c r="W484" s="175"/>
      <c r="X484" s="597"/>
      <c r="Y484" s="175"/>
      <c r="Z484" s="175"/>
    </row>
    <row r="485" ht="12.0" customHeight="1">
      <c r="A485" s="175"/>
      <c r="B485" s="175"/>
      <c r="C485" s="175"/>
      <c r="D485" s="175"/>
      <c r="E485" s="597"/>
      <c r="F485" s="597"/>
      <c r="G485" s="597"/>
      <c r="H485" s="597"/>
      <c r="I485" s="597"/>
      <c r="J485" s="597"/>
      <c r="K485" s="597"/>
      <c r="L485" s="597"/>
      <c r="M485" s="597"/>
      <c r="N485" s="597"/>
      <c r="O485" s="597"/>
      <c r="P485" s="597"/>
      <c r="Q485" s="597"/>
      <c r="R485" s="597"/>
      <c r="S485" s="175"/>
      <c r="T485" s="175"/>
      <c r="U485" s="175"/>
      <c r="V485" s="175"/>
      <c r="W485" s="175"/>
      <c r="X485" s="597"/>
      <c r="Y485" s="175"/>
      <c r="Z485" s="175"/>
    </row>
    <row r="486" ht="12.0" customHeight="1">
      <c r="A486" s="175"/>
      <c r="B486" s="175"/>
      <c r="C486" s="175"/>
      <c r="D486" s="175"/>
      <c r="E486" s="597"/>
      <c r="F486" s="597"/>
      <c r="G486" s="597"/>
      <c r="H486" s="597"/>
      <c r="I486" s="597"/>
      <c r="J486" s="597"/>
      <c r="K486" s="597"/>
      <c r="L486" s="597"/>
      <c r="M486" s="597"/>
      <c r="N486" s="597"/>
      <c r="O486" s="597"/>
      <c r="P486" s="597"/>
      <c r="Q486" s="597"/>
      <c r="R486" s="597"/>
      <c r="S486" s="175"/>
      <c r="T486" s="175"/>
      <c r="U486" s="175"/>
      <c r="V486" s="175"/>
      <c r="W486" s="175"/>
      <c r="X486" s="597"/>
      <c r="Y486" s="175"/>
      <c r="Z486" s="175"/>
    </row>
    <row r="487" ht="12.0" customHeight="1">
      <c r="A487" s="175"/>
      <c r="B487" s="175"/>
      <c r="C487" s="175"/>
      <c r="D487" s="175"/>
      <c r="E487" s="597"/>
      <c r="F487" s="597"/>
      <c r="G487" s="597"/>
      <c r="H487" s="597"/>
      <c r="I487" s="597"/>
      <c r="J487" s="597"/>
      <c r="K487" s="597"/>
      <c r="L487" s="597"/>
      <c r="M487" s="597"/>
      <c r="N487" s="597"/>
      <c r="O487" s="597"/>
      <c r="P487" s="597"/>
      <c r="Q487" s="597"/>
      <c r="R487" s="597"/>
      <c r="S487" s="175"/>
      <c r="T487" s="175"/>
      <c r="U487" s="175"/>
      <c r="V487" s="175"/>
      <c r="W487" s="175"/>
      <c r="X487" s="597"/>
      <c r="Y487" s="175"/>
      <c r="Z487" s="175"/>
    </row>
    <row r="488" ht="12.0" customHeight="1">
      <c r="A488" s="175"/>
      <c r="B488" s="175"/>
      <c r="C488" s="175"/>
      <c r="D488" s="175"/>
      <c r="E488" s="597"/>
      <c r="F488" s="597"/>
      <c r="G488" s="597"/>
      <c r="H488" s="597"/>
      <c r="I488" s="597"/>
      <c r="J488" s="597"/>
      <c r="K488" s="597"/>
      <c r="L488" s="597"/>
      <c r="M488" s="597"/>
      <c r="N488" s="597"/>
      <c r="O488" s="597"/>
      <c r="P488" s="597"/>
      <c r="Q488" s="597"/>
      <c r="R488" s="597"/>
      <c r="S488" s="175"/>
      <c r="T488" s="175"/>
      <c r="U488" s="175"/>
      <c r="V488" s="175"/>
      <c r="W488" s="175"/>
      <c r="X488" s="597"/>
      <c r="Y488" s="175"/>
      <c r="Z488" s="175"/>
    </row>
    <row r="489" ht="12.0" customHeight="1">
      <c r="A489" s="175"/>
      <c r="B489" s="175"/>
      <c r="C489" s="175"/>
      <c r="D489" s="175"/>
      <c r="E489" s="597"/>
      <c r="F489" s="597"/>
      <c r="G489" s="597"/>
      <c r="H489" s="597"/>
      <c r="I489" s="597"/>
      <c r="J489" s="597"/>
      <c r="K489" s="597"/>
      <c r="L489" s="597"/>
      <c r="M489" s="597"/>
      <c r="N489" s="597"/>
      <c r="O489" s="597"/>
      <c r="P489" s="597"/>
      <c r="Q489" s="597"/>
      <c r="R489" s="597"/>
      <c r="S489" s="175"/>
      <c r="T489" s="175"/>
      <c r="U489" s="175"/>
      <c r="V489" s="175"/>
      <c r="W489" s="175"/>
      <c r="X489" s="597"/>
      <c r="Y489" s="175"/>
      <c r="Z489" s="175"/>
    </row>
    <row r="490" ht="12.0" customHeight="1">
      <c r="A490" s="175"/>
      <c r="B490" s="175"/>
      <c r="C490" s="175"/>
      <c r="D490" s="175"/>
      <c r="E490" s="597"/>
      <c r="F490" s="597"/>
      <c r="G490" s="597"/>
      <c r="H490" s="597"/>
      <c r="I490" s="597"/>
      <c r="J490" s="597"/>
      <c r="K490" s="597"/>
      <c r="L490" s="597"/>
      <c r="M490" s="597"/>
      <c r="N490" s="597"/>
      <c r="O490" s="597"/>
      <c r="P490" s="597"/>
      <c r="Q490" s="597"/>
      <c r="R490" s="597"/>
      <c r="S490" s="175"/>
      <c r="T490" s="175"/>
      <c r="U490" s="175"/>
      <c r="V490" s="175"/>
      <c r="W490" s="175"/>
      <c r="X490" s="597"/>
      <c r="Y490" s="175"/>
      <c r="Z490" s="175"/>
    </row>
    <row r="491" ht="12.0" customHeight="1">
      <c r="A491" s="175"/>
      <c r="B491" s="175"/>
      <c r="C491" s="175"/>
      <c r="D491" s="175"/>
      <c r="E491" s="597"/>
      <c r="F491" s="597"/>
      <c r="G491" s="597"/>
      <c r="H491" s="597"/>
      <c r="I491" s="597"/>
      <c r="J491" s="597"/>
      <c r="K491" s="597"/>
      <c r="L491" s="597"/>
      <c r="M491" s="597"/>
      <c r="N491" s="597"/>
      <c r="O491" s="597"/>
      <c r="P491" s="597"/>
      <c r="Q491" s="597"/>
      <c r="R491" s="597"/>
      <c r="S491" s="175"/>
      <c r="T491" s="175"/>
      <c r="U491" s="175"/>
      <c r="V491" s="175"/>
      <c r="W491" s="175"/>
      <c r="X491" s="597"/>
      <c r="Y491" s="175"/>
      <c r="Z491" s="175"/>
    </row>
    <row r="492" ht="12.0" customHeight="1">
      <c r="A492" s="175"/>
      <c r="B492" s="175"/>
      <c r="C492" s="175"/>
      <c r="D492" s="175"/>
      <c r="E492" s="597"/>
      <c r="F492" s="597"/>
      <c r="G492" s="597"/>
      <c r="H492" s="597"/>
      <c r="I492" s="597"/>
      <c r="J492" s="597"/>
      <c r="K492" s="597"/>
      <c r="L492" s="597"/>
      <c r="M492" s="597"/>
      <c r="N492" s="597"/>
      <c r="O492" s="597"/>
      <c r="P492" s="597"/>
      <c r="Q492" s="597"/>
      <c r="R492" s="597"/>
      <c r="S492" s="175"/>
      <c r="T492" s="175"/>
      <c r="U492" s="175"/>
      <c r="V492" s="175"/>
      <c r="W492" s="175"/>
      <c r="X492" s="597"/>
      <c r="Y492" s="175"/>
      <c r="Z492" s="175"/>
    </row>
    <row r="493" ht="12.0" customHeight="1">
      <c r="A493" s="175"/>
      <c r="B493" s="175"/>
      <c r="C493" s="175"/>
      <c r="D493" s="175"/>
      <c r="E493" s="597"/>
      <c r="F493" s="597"/>
      <c r="G493" s="597"/>
      <c r="H493" s="597"/>
      <c r="I493" s="597"/>
      <c r="J493" s="597"/>
      <c r="K493" s="597"/>
      <c r="L493" s="597"/>
      <c r="M493" s="597"/>
      <c r="N493" s="597"/>
      <c r="O493" s="597"/>
      <c r="P493" s="597"/>
      <c r="Q493" s="597"/>
      <c r="R493" s="597"/>
      <c r="S493" s="175"/>
      <c r="T493" s="175"/>
      <c r="U493" s="175"/>
      <c r="V493" s="175"/>
      <c r="W493" s="175"/>
      <c r="X493" s="597"/>
      <c r="Y493" s="175"/>
      <c r="Z493" s="175"/>
    </row>
    <row r="494" ht="12.0" customHeight="1">
      <c r="A494" s="175"/>
      <c r="B494" s="175"/>
      <c r="C494" s="175"/>
      <c r="D494" s="175"/>
      <c r="E494" s="597"/>
      <c r="F494" s="597"/>
      <c r="G494" s="597"/>
      <c r="H494" s="597"/>
      <c r="I494" s="597"/>
      <c r="J494" s="597"/>
      <c r="K494" s="597"/>
      <c r="L494" s="597"/>
      <c r="M494" s="597"/>
      <c r="N494" s="597"/>
      <c r="O494" s="597"/>
      <c r="P494" s="597"/>
      <c r="Q494" s="597"/>
      <c r="R494" s="597"/>
      <c r="S494" s="175"/>
      <c r="T494" s="175"/>
      <c r="U494" s="175"/>
      <c r="V494" s="175"/>
      <c r="W494" s="175"/>
      <c r="X494" s="597"/>
      <c r="Y494" s="175"/>
      <c r="Z494" s="175"/>
    </row>
    <row r="495" ht="12.0" customHeight="1">
      <c r="A495" s="175"/>
      <c r="B495" s="175"/>
      <c r="C495" s="175"/>
      <c r="D495" s="175"/>
      <c r="E495" s="597"/>
      <c r="F495" s="597"/>
      <c r="G495" s="597"/>
      <c r="H495" s="597"/>
      <c r="I495" s="597"/>
      <c r="J495" s="597"/>
      <c r="K495" s="597"/>
      <c r="L495" s="597"/>
      <c r="M495" s="597"/>
      <c r="N495" s="597"/>
      <c r="O495" s="597"/>
      <c r="P495" s="597"/>
      <c r="Q495" s="597"/>
      <c r="R495" s="597"/>
      <c r="S495" s="175"/>
      <c r="T495" s="175"/>
      <c r="U495" s="175"/>
      <c r="V495" s="175"/>
      <c r="W495" s="175"/>
      <c r="X495" s="597"/>
      <c r="Y495" s="175"/>
      <c r="Z495" s="175"/>
    </row>
    <row r="496" ht="12.0" customHeight="1">
      <c r="A496" s="175"/>
      <c r="B496" s="175"/>
      <c r="C496" s="175"/>
      <c r="D496" s="175"/>
      <c r="E496" s="597"/>
      <c r="F496" s="597"/>
      <c r="G496" s="597"/>
      <c r="H496" s="597"/>
      <c r="I496" s="597"/>
      <c r="J496" s="597"/>
      <c r="K496" s="597"/>
      <c r="L496" s="597"/>
      <c r="M496" s="597"/>
      <c r="N496" s="597"/>
      <c r="O496" s="597"/>
      <c r="P496" s="597"/>
      <c r="Q496" s="597"/>
      <c r="R496" s="597"/>
      <c r="S496" s="175"/>
      <c r="T496" s="175"/>
      <c r="U496" s="175"/>
      <c r="V496" s="175"/>
      <c r="W496" s="175"/>
      <c r="X496" s="597"/>
      <c r="Y496" s="175"/>
      <c r="Z496" s="175"/>
    </row>
    <row r="497" ht="12.0" customHeight="1">
      <c r="A497" s="175"/>
      <c r="B497" s="175"/>
      <c r="C497" s="175"/>
      <c r="D497" s="175"/>
      <c r="E497" s="597"/>
      <c r="F497" s="597"/>
      <c r="G497" s="597"/>
      <c r="H497" s="597"/>
      <c r="I497" s="597"/>
      <c r="J497" s="597"/>
      <c r="K497" s="597"/>
      <c r="L497" s="597"/>
      <c r="M497" s="597"/>
      <c r="N497" s="597"/>
      <c r="O497" s="597"/>
      <c r="P497" s="597"/>
      <c r="Q497" s="597"/>
      <c r="R497" s="597"/>
      <c r="S497" s="175"/>
      <c r="T497" s="175"/>
      <c r="U497" s="175"/>
      <c r="V497" s="175"/>
      <c r="W497" s="175"/>
      <c r="X497" s="597"/>
      <c r="Y497" s="175"/>
      <c r="Z497" s="175"/>
    </row>
    <row r="498" ht="12.0" customHeight="1">
      <c r="A498" s="175"/>
      <c r="B498" s="175"/>
      <c r="C498" s="175"/>
      <c r="D498" s="175"/>
      <c r="E498" s="597"/>
      <c r="F498" s="597"/>
      <c r="G498" s="597"/>
      <c r="H498" s="597"/>
      <c r="I498" s="597"/>
      <c r="J498" s="597"/>
      <c r="K498" s="597"/>
      <c r="L498" s="597"/>
      <c r="M498" s="597"/>
      <c r="N498" s="597"/>
      <c r="O498" s="597"/>
      <c r="P498" s="597"/>
      <c r="Q498" s="597"/>
      <c r="R498" s="597"/>
      <c r="S498" s="175"/>
      <c r="T498" s="175"/>
      <c r="U498" s="175"/>
      <c r="V498" s="175"/>
      <c r="W498" s="175"/>
      <c r="X498" s="597"/>
      <c r="Y498" s="175"/>
      <c r="Z498" s="175"/>
    </row>
    <row r="499" ht="12.0" customHeight="1">
      <c r="A499" s="175"/>
      <c r="B499" s="175"/>
      <c r="C499" s="175"/>
      <c r="D499" s="175"/>
      <c r="E499" s="597"/>
      <c r="F499" s="597"/>
      <c r="G499" s="597"/>
      <c r="H499" s="597"/>
      <c r="I499" s="597"/>
      <c r="J499" s="597"/>
      <c r="K499" s="597"/>
      <c r="L499" s="597"/>
      <c r="M499" s="597"/>
      <c r="N499" s="597"/>
      <c r="O499" s="597"/>
      <c r="P499" s="597"/>
      <c r="Q499" s="597"/>
      <c r="R499" s="597"/>
      <c r="S499" s="175"/>
      <c r="T499" s="175"/>
      <c r="U499" s="175"/>
      <c r="V499" s="175"/>
      <c r="W499" s="175"/>
      <c r="X499" s="597"/>
      <c r="Y499" s="175"/>
      <c r="Z499" s="175"/>
    </row>
    <row r="500" ht="12.0" customHeight="1">
      <c r="A500" s="175"/>
      <c r="B500" s="175"/>
      <c r="C500" s="175"/>
      <c r="D500" s="175"/>
      <c r="E500" s="597"/>
      <c r="F500" s="597"/>
      <c r="G500" s="597"/>
      <c r="H500" s="597"/>
      <c r="I500" s="597"/>
      <c r="J500" s="597"/>
      <c r="K500" s="597"/>
      <c r="L500" s="597"/>
      <c r="M500" s="597"/>
      <c r="N500" s="597"/>
      <c r="O500" s="597"/>
      <c r="P500" s="597"/>
      <c r="Q500" s="597"/>
      <c r="R500" s="597"/>
      <c r="S500" s="175"/>
      <c r="T500" s="175"/>
      <c r="U500" s="175"/>
      <c r="V500" s="175"/>
      <c r="W500" s="175"/>
      <c r="X500" s="597"/>
      <c r="Y500" s="175"/>
      <c r="Z500" s="175"/>
    </row>
    <row r="501" ht="12.0" customHeight="1">
      <c r="A501" s="175"/>
      <c r="B501" s="175"/>
      <c r="C501" s="175"/>
      <c r="D501" s="175"/>
      <c r="E501" s="597"/>
      <c r="F501" s="597"/>
      <c r="G501" s="597"/>
      <c r="H501" s="597"/>
      <c r="I501" s="597"/>
      <c r="J501" s="597"/>
      <c r="K501" s="597"/>
      <c r="L501" s="597"/>
      <c r="M501" s="597"/>
      <c r="N501" s="597"/>
      <c r="O501" s="597"/>
      <c r="P501" s="597"/>
      <c r="Q501" s="597"/>
      <c r="R501" s="597"/>
      <c r="S501" s="175"/>
      <c r="T501" s="175"/>
      <c r="U501" s="175"/>
      <c r="V501" s="175"/>
      <c r="W501" s="175"/>
      <c r="X501" s="597"/>
      <c r="Y501" s="175"/>
      <c r="Z501" s="175"/>
    </row>
    <row r="502" ht="12.0" customHeight="1">
      <c r="A502" s="175"/>
      <c r="B502" s="175"/>
      <c r="C502" s="175"/>
      <c r="D502" s="175"/>
      <c r="E502" s="597"/>
      <c r="F502" s="597"/>
      <c r="G502" s="597"/>
      <c r="H502" s="597"/>
      <c r="I502" s="597"/>
      <c r="J502" s="597"/>
      <c r="K502" s="597"/>
      <c r="L502" s="597"/>
      <c r="M502" s="597"/>
      <c r="N502" s="597"/>
      <c r="O502" s="597"/>
      <c r="P502" s="597"/>
      <c r="Q502" s="597"/>
      <c r="R502" s="597"/>
      <c r="S502" s="175"/>
      <c r="T502" s="175"/>
      <c r="U502" s="175"/>
      <c r="V502" s="175"/>
      <c r="W502" s="175"/>
      <c r="X502" s="597"/>
      <c r="Y502" s="175"/>
      <c r="Z502" s="175"/>
    </row>
    <row r="503" ht="12.0" customHeight="1">
      <c r="A503" s="175"/>
      <c r="B503" s="175"/>
      <c r="C503" s="175"/>
      <c r="D503" s="175"/>
      <c r="E503" s="597"/>
      <c r="F503" s="597"/>
      <c r="G503" s="597"/>
      <c r="H503" s="597"/>
      <c r="I503" s="597"/>
      <c r="J503" s="597"/>
      <c r="K503" s="597"/>
      <c r="L503" s="597"/>
      <c r="M503" s="597"/>
      <c r="N503" s="597"/>
      <c r="O503" s="597"/>
      <c r="P503" s="597"/>
      <c r="Q503" s="597"/>
      <c r="R503" s="597"/>
      <c r="S503" s="175"/>
      <c r="T503" s="175"/>
      <c r="U503" s="175"/>
      <c r="V503" s="175"/>
      <c r="W503" s="175"/>
      <c r="X503" s="597"/>
      <c r="Y503" s="175"/>
      <c r="Z503" s="175"/>
    </row>
    <row r="504" ht="12.0" customHeight="1">
      <c r="A504" s="175"/>
      <c r="B504" s="175"/>
      <c r="C504" s="175"/>
      <c r="D504" s="175"/>
      <c r="E504" s="597"/>
      <c r="F504" s="597"/>
      <c r="G504" s="597"/>
      <c r="H504" s="597"/>
      <c r="I504" s="597"/>
      <c r="J504" s="597"/>
      <c r="K504" s="597"/>
      <c r="L504" s="597"/>
      <c r="M504" s="597"/>
      <c r="N504" s="597"/>
      <c r="O504" s="597"/>
      <c r="P504" s="597"/>
      <c r="Q504" s="597"/>
      <c r="R504" s="597"/>
      <c r="S504" s="175"/>
      <c r="T504" s="175"/>
      <c r="U504" s="175"/>
      <c r="V504" s="175"/>
      <c r="W504" s="175"/>
      <c r="X504" s="597"/>
      <c r="Y504" s="175"/>
      <c r="Z504" s="175"/>
    </row>
    <row r="505" ht="12.0" customHeight="1">
      <c r="A505" s="175"/>
      <c r="B505" s="175"/>
      <c r="C505" s="175"/>
      <c r="D505" s="175"/>
      <c r="E505" s="597"/>
      <c r="F505" s="597"/>
      <c r="G505" s="597"/>
      <c r="H505" s="597"/>
      <c r="I505" s="597"/>
      <c r="J505" s="597"/>
      <c r="K505" s="597"/>
      <c r="L505" s="597"/>
      <c r="M505" s="597"/>
      <c r="N505" s="597"/>
      <c r="O505" s="597"/>
      <c r="P505" s="597"/>
      <c r="Q505" s="597"/>
      <c r="R505" s="597"/>
      <c r="S505" s="175"/>
      <c r="T505" s="175"/>
      <c r="U505" s="175"/>
      <c r="V505" s="175"/>
      <c r="W505" s="175"/>
      <c r="X505" s="597"/>
      <c r="Y505" s="175"/>
      <c r="Z505" s="175"/>
    </row>
    <row r="506" ht="12.0" customHeight="1">
      <c r="A506" s="175"/>
      <c r="B506" s="175"/>
      <c r="C506" s="175"/>
      <c r="D506" s="175"/>
      <c r="E506" s="597"/>
      <c r="F506" s="597"/>
      <c r="G506" s="597"/>
      <c r="H506" s="597"/>
      <c r="I506" s="597"/>
      <c r="J506" s="597"/>
      <c r="K506" s="597"/>
      <c r="L506" s="597"/>
      <c r="M506" s="597"/>
      <c r="N506" s="597"/>
      <c r="O506" s="597"/>
      <c r="P506" s="597"/>
      <c r="Q506" s="597"/>
      <c r="R506" s="597"/>
      <c r="S506" s="175"/>
      <c r="T506" s="175"/>
      <c r="U506" s="175"/>
      <c r="V506" s="175"/>
      <c r="W506" s="175"/>
      <c r="X506" s="597"/>
      <c r="Y506" s="175"/>
      <c r="Z506" s="175"/>
    </row>
    <row r="507" ht="12.0" customHeight="1">
      <c r="A507" s="175"/>
      <c r="B507" s="175"/>
      <c r="C507" s="175"/>
      <c r="D507" s="175"/>
      <c r="E507" s="597"/>
      <c r="F507" s="597"/>
      <c r="G507" s="597"/>
      <c r="H507" s="597"/>
      <c r="I507" s="597"/>
      <c r="J507" s="597"/>
      <c r="K507" s="597"/>
      <c r="L507" s="597"/>
      <c r="M507" s="597"/>
      <c r="N507" s="597"/>
      <c r="O507" s="597"/>
      <c r="P507" s="597"/>
      <c r="Q507" s="597"/>
      <c r="R507" s="597"/>
      <c r="S507" s="175"/>
      <c r="T507" s="175"/>
      <c r="U507" s="175"/>
      <c r="V507" s="175"/>
      <c r="W507" s="175"/>
      <c r="X507" s="597"/>
      <c r="Y507" s="175"/>
      <c r="Z507" s="175"/>
    </row>
    <row r="508" ht="12.0" customHeight="1">
      <c r="A508" s="175"/>
      <c r="B508" s="175"/>
      <c r="C508" s="175"/>
      <c r="D508" s="175"/>
      <c r="E508" s="597"/>
      <c r="F508" s="597"/>
      <c r="G508" s="597"/>
      <c r="H508" s="597"/>
      <c r="I508" s="597"/>
      <c r="J508" s="597"/>
      <c r="K508" s="597"/>
      <c r="L508" s="597"/>
      <c r="M508" s="597"/>
      <c r="N508" s="597"/>
      <c r="O508" s="597"/>
      <c r="P508" s="597"/>
      <c r="Q508" s="597"/>
      <c r="R508" s="597"/>
      <c r="S508" s="175"/>
      <c r="T508" s="175"/>
      <c r="U508" s="175"/>
      <c r="V508" s="175"/>
      <c r="W508" s="175"/>
      <c r="X508" s="597"/>
      <c r="Y508" s="175"/>
      <c r="Z508" s="175"/>
    </row>
    <row r="509" ht="12.0" customHeight="1">
      <c r="A509" s="175"/>
      <c r="B509" s="175"/>
      <c r="C509" s="175"/>
      <c r="D509" s="175"/>
      <c r="E509" s="597"/>
      <c r="F509" s="597"/>
      <c r="G509" s="597"/>
      <c r="H509" s="597"/>
      <c r="I509" s="597"/>
      <c r="J509" s="597"/>
      <c r="K509" s="597"/>
      <c r="L509" s="597"/>
      <c r="M509" s="597"/>
      <c r="N509" s="597"/>
      <c r="O509" s="597"/>
      <c r="P509" s="597"/>
      <c r="Q509" s="597"/>
      <c r="R509" s="597"/>
      <c r="S509" s="175"/>
      <c r="T509" s="175"/>
      <c r="U509" s="175"/>
      <c r="V509" s="175"/>
      <c r="W509" s="175"/>
      <c r="X509" s="597"/>
      <c r="Y509" s="175"/>
      <c r="Z509" s="175"/>
    </row>
    <row r="510" ht="12.0" customHeight="1">
      <c r="A510" s="175"/>
      <c r="B510" s="175"/>
      <c r="C510" s="175"/>
      <c r="D510" s="175"/>
      <c r="E510" s="597"/>
      <c r="F510" s="597"/>
      <c r="G510" s="597"/>
      <c r="H510" s="597"/>
      <c r="I510" s="597"/>
      <c r="J510" s="597"/>
      <c r="K510" s="597"/>
      <c r="L510" s="597"/>
      <c r="M510" s="597"/>
      <c r="N510" s="597"/>
      <c r="O510" s="597"/>
      <c r="P510" s="597"/>
      <c r="Q510" s="597"/>
      <c r="R510" s="597"/>
      <c r="S510" s="175"/>
      <c r="T510" s="175"/>
      <c r="U510" s="175"/>
      <c r="V510" s="175"/>
      <c r="W510" s="175"/>
      <c r="X510" s="597"/>
      <c r="Y510" s="175"/>
      <c r="Z510" s="175"/>
    </row>
    <row r="511" ht="12.0" customHeight="1">
      <c r="A511" s="175"/>
      <c r="B511" s="175"/>
      <c r="C511" s="175"/>
      <c r="D511" s="175"/>
      <c r="E511" s="597"/>
      <c r="F511" s="597"/>
      <c r="G511" s="597"/>
      <c r="H511" s="597"/>
      <c r="I511" s="597"/>
      <c r="J511" s="597"/>
      <c r="K511" s="597"/>
      <c r="L511" s="597"/>
      <c r="M511" s="597"/>
      <c r="N511" s="597"/>
      <c r="O511" s="597"/>
      <c r="P511" s="597"/>
      <c r="Q511" s="597"/>
      <c r="R511" s="597"/>
      <c r="S511" s="175"/>
      <c r="T511" s="175"/>
      <c r="U511" s="175"/>
      <c r="V511" s="175"/>
      <c r="W511" s="175"/>
      <c r="X511" s="597"/>
      <c r="Y511" s="175"/>
      <c r="Z511" s="175"/>
    </row>
    <row r="512" ht="12.0" customHeight="1">
      <c r="A512" s="175"/>
      <c r="B512" s="175"/>
      <c r="C512" s="175"/>
      <c r="D512" s="175"/>
      <c r="E512" s="597"/>
      <c r="F512" s="597"/>
      <c r="G512" s="597"/>
      <c r="H512" s="597"/>
      <c r="I512" s="597"/>
      <c r="J512" s="597"/>
      <c r="K512" s="597"/>
      <c r="L512" s="597"/>
      <c r="M512" s="597"/>
      <c r="N512" s="597"/>
      <c r="O512" s="597"/>
      <c r="P512" s="597"/>
      <c r="Q512" s="597"/>
      <c r="R512" s="597"/>
      <c r="S512" s="175"/>
      <c r="T512" s="175"/>
      <c r="U512" s="175"/>
      <c r="V512" s="175"/>
      <c r="W512" s="175"/>
      <c r="X512" s="597"/>
      <c r="Y512" s="175"/>
      <c r="Z512" s="175"/>
    </row>
    <row r="513" ht="12.0" customHeight="1">
      <c r="A513" s="175"/>
      <c r="B513" s="175"/>
      <c r="C513" s="175"/>
      <c r="D513" s="175"/>
      <c r="E513" s="597"/>
      <c r="F513" s="597"/>
      <c r="G513" s="597"/>
      <c r="H513" s="597"/>
      <c r="I513" s="597"/>
      <c r="J513" s="597"/>
      <c r="K513" s="597"/>
      <c r="L513" s="597"/>
      <c r="M513" s="597"/>
      <c r="N513" s="597"/>
      <c r="O513" s="597"/>
      <c r="P513" s="597"/>
      <c r="Q513" s="597"/>
      <c r="R513" s="597"/>
      <c r="S513" s="175"/>
      <c r="T513" s="175"/>
      <c r="U513" s="175"/>
      <c r="V513" s="175"/>
      <c r="W513" s="175"/>
      <c r="X513" s="597"/>
      <c r="Y513" s="175"/>
      <c r="Z513" s="175"/>
    </row>
    <row r="514" ht="12.0" customHeight="1">
      <c r="A514" s="175"/>
      <c r="B514" s="175"/>
      <c r="C514" s="175"/>
      <c r="D514" s="175"/>
      <c r="E514" s="597"/>
      <c r="F514" s="597"/>
      <c r="G514" s="597"/>
      <c r="H514" s="597"/>
      <c r="I514" s="597"/>
      <c r="J514" s="597"/>
      <c r="K514" s="597"/>
      <c r="L514" s="597"/>
      <c r="M514" s="597"/>
      <c r="N514" s="597"/>
      <c r="O514" s="597"/>
      <c r="P514" s="597"/>
      <c r="Q514" s="597"/>
      <c r="R514" s="597"/>
      <c r="S514" s="175"/>
      <c r="T514" s="175"/>
      <c r="U514" s="175"/>
      <c r="V514" s="175"/>
      <c r="W514" s="175"/>
      <c r="X514" s="597"/>
      <c r="Y514" s="175"/>
      <c r="Z514" s="175"/>
    </row>
    <row r="515" ht="12.0" customHeight="1">
      <c r="A515" s="175"/>
      <c r="B515" s="175"/>
      <c r="C515" s="175"/>
      <c r="D515" s="175"/>
      <c r="E515" s="597"/>
      <c r="F515" s="597"/>
      <c r="G515" s="597"/>
      <c r="H515" s="597"/>
      <c r="I515" s="597"/>
      <c r="J515" s="597"/>
      <c r="K515" s="597"/>
      <c r="L515" s="597"/>
      <c r="M515" s="597"/>
      <c r="N515" s="597"/>
      <c r="O515" s="597"/>
      <c r="P515" s="597"/>
      <c r="Q515" s="597"/>
      <c r="R515" s="597"/>
      <c r="S515" s="175"/>
      <c r="T515" s="175"/>
      <c r="U515" s="175"/>
      <c r="V515" s="175"/>
      <c r="W515" s="175"/>
      <c r="X515" s="597"/>
      <c r="Y515" s="175"/>
      <c r="Z515" s="175"/>
    </row>
    <row r="516" ht="12.0" customHeight="1">
      <c r="A516" s="175"/>
      <c r="B516" s="175"/>
      <c r="C516" s="175"/>
      <c r="D516" s="175"/>
      <c r="E516" s="597"/>
      <c r="F516" s="597"/>
      <c r="G516" s="597"/>
      <c r="H516" s="597"/>
      <c r="I516" s="597"/>
      <c r="J516" s="597"/>
      <c r="K516" s="597"/>
      <c r="L516" s="597"/>
      <c r="M516" s="597"/>
      <c r="N516" s="597"/>
      <c r="O516" s="597"/>
      <c r="P516" s="597"/>
      <c r="Q516" s="597"/>
      <c r="R516" s="597"/>
      <c r="S516" s="175"/>
      <c r="T516" s="175"/>
      <c r="U516" s="175"/>
      <c r="V516" s="175"/>
      <c r="W516" s="175"/>
      <c r="X516" s="597"/>
      <c r="Y516" s="175"/>
      <c r="Z516" s="175"/>
    </row>
    <row r="517" ht="12.0" customHeight="1">
      <c r="A517" s="175"/>
      <c r="B517" s="175"/>
      <c r="C517" s="175"/>
      <c r="D517" s="175"/>
      <c r="E517" s="597"/>
      <c r="F517" s="597"/>
      <c r="G517" s="597"/>
      <c r="H517" s="597"/>
      <c r="I517" s="597"/>
      <c r="J517" s="597"/>
      <c r="K517" s="597"/>
      <c r="L517" s="597"/>
      <c r="M517" s="597"/>
      <c r="N517" s="597"/>
      <c r="O517" s="597"/>
      <c r="P517" s="597"/>
      <c r="Q517" s="597"/>
      <c r="R517" s="597"/>
      <c r="S517" s="175"/>
      <c r="T517" s="175"/>
      <c r="U517" s="175"/>
      <c r="V517" s="175"/>
      <c r="W517" s="175"/>
      <c r="X517" s="597"/>
      <c r="Y517" s="175"/>
      <c r="Z517" s="175"/>
    </row>
    <row r="518" ht="12.0" customHeight="1">
      <c r="A518" s="175"/>
      <c r="B518" s="175"/>
      <c r="C518" s="175"/>
      <c r="D518" s="175"/>
      <c r="E518" s="597"/>
      <c r="F518" s="597"/>
      <c r="G518" s="597"/>
      <c r="H518" s="597"/>
      <c r="I518" s="597"/>
      <c r="J518" s="597"/>
      <c r="K518" s="597"/>
      <c r="L518" s="597"/>
      <c r="M518" s="597"/>
      <c r="N518" s="597"/>
      <c r="O518" s="597"/>
      <c r="P518" s="597"/>
      <c r="Q518" s="597"/>
      <c r="R518" s="597"/>
      <c r="S518" s="175"/>
      <c r="T518" s="175"/>
      <c r="U518" s="175"/>
      <c r="V518" s="175"/>
      <c r="W518" s="175"/>
      <c r="X518" s="597"/>
      <c r="Y518" s="175"/>
      <c r="Z518" s="175"/>
    </row>
    <row r="519" ht="12.0" customHeight="1">
      <c r="A519" s="175"/>
      <c r="B519" s="175"/>
      <c r="C519" s="175"/>
      <c r="D519" s="175"/>
      <c r="E519" s="597"/>
      <c r="F519" s="597"/>
      <c r="G519" s="597"/>
      <c r="H519" s="597"/>
      <c r="I519" s="597"/>
      <c r="J519" s="597"/>
      <c r="K519" s="597"/>
      <c r="L519" s="597"/>
      <c r="M519" s="597"/>
      <c r="N519" s="597"/>
      <c r="O519" s="597"/>
      <c r="P519" s="597"/>
      <c r="Q519" s="597"/>
      <c r="R519" s="597"/>
      <c r="S519" s="175"/>
      <c r="T519" s="175"/>
      <c r="U519" s="175"/>
      <c r="V519" s="175"/>
      <c r="W519" s="175"/>
      <c r="X519" s="597"/>
      <c r="Y519" s="175"/>
      <c r="Z519" s="175"/>
    </row>
    <row r="520" ht="12.0" customHeight="1">
      <c r="A520" s="175"/>
      <c r="B520" s="175"/>
      <c r="C520" s="175"/>
      <c r="D520" s="175"/>
      <c r="E520" s="597"/>
      <c r="F520" s="597"/>
      <c r="G520" s="597"/>
      <c r="H520" s="597"/>
      <c r="I520" s="597"/>
      <c r="J520" s="597"/>
      <c r="K520" s="597"/>
      <c r="L520" s="597"/>
      <c r="M520" s="597"/>
      <c r="N520" s="597"/>
      <c r="O520" s="597"/>
      <c r="P520" s="597"/>
      <c r="Q520" s="597"/>
      <c r="R520" s="597"/>
      <c r="S520" s="175"/>
      <c r="T520" s="175"/>
      <c r="U520" s="175"/>
      <c r="V520" s="175"/>
      <c r="W520" s="175"/>
      <c r="X520" s="597"/>
      <c r="Y520" s="175"/>
      <c r="Z520" s="175"/>
    </row>
    <row r="521" ht="12.0" customHeight="1">
      <c r="A521" s="175"/>
      <c r="B521" s="175"/>
      <c r="C521" s="175"/>
      <c r="D521" s="175"/>
      <c r="E521" s="597"/>
      <c r="F521" s="597"/>
      <c r="G521" s="597"/>
      <c r="H521" s="597"/>
      <c r="I521" s="597"/>
      <c r="J521" s="597"/>
      <c r="K521" s="597"/>
      <c r="L521" s="597"/>
      <c r="M521" s="597"/>
      <c r="N521" s="597"/>
      <c r="O521" s="597"/>
      <c r="P521" s="597"/>
      <c r="Q521" s="597"/>
      <c r="R521" s="597"/>
      <c r="S521" s="175"/>
      <c r="T521" s="175"/>
      <c r="U521" s="175"/>
      <c r="V521" s="175"/>
      <c r="W521" s="175"/>
      <c r="X521" s="597"/>
      <c r="Y521" s="175"/>
      <c r="Z521" s="175"/>
    </row>
    <row r="522" ht="12.0" customHeight="1">
      <c r="A522" s="175"/>
      <c r="B522" s="175"/>
      <c r="C522" s="175"/>
      <c r="D522" s="175"/>
      <c r="E522" s="597"/>
      <c r="F522" s="597"/>
      <c r="G522" s="597"/>
      <c r="H522" s="597"/>
      <c r="I522" s="597"/>
      <c r="J522" s="597"/>
      <c r="K522" s="597"/>
      <c r="L522" s="597"/>
      <c r="M522" s="597"/>
      <c r="N522" s="597"/>
      <c r="O522" s="597"/>
      <c r="P522" s="597"/>
      <c r="Q522" s="597"/>
      <c r="R522" s="597"/>
      <c r="S522" s="175"/>
      <c r="T522" s="175"/>
      <c r="U522" s="175"/>
      <c r="V522" s="175"/>
      <c r="W522" s="175"/>
      <c r="X522" s="597"/>
      <c r="Y522" s="175"/>
      <c r="Z522" s="175"/>
    </row>
    <row r="523" ht="12.0" customHeight="1">
      <c r="A523" s="175"/>
      <c r="B523" s="175"/>
      <c r="C523" s="175"/>
      <c r="D523" s="175"/>
      <c r="E523" s="597"/>
      <c r="F523" s="597"/>
      <c r="G523" s="597"/>
      <c r="H523" s="597"/>
      <c r="I523" s="597"/>
      <c r="J523" s="597"/>
      <c r="K523" s="597"/>
      <c r="L523" s="597"/>
      <c r="M523" s="597"/>
      <c r="N523" s="597"/>
      <c r="O523" s="597"/>
      <c r="P523" s="597"/>
      <c r="Q523" s="597"/>
      <c r="R523" s="597"/>
      <c r="S523" s="175"/>
      <c r="T523" s="175"/>
      <c r="U523" s="175"/>
      <c r="V523" s="175"/>
      <c r="W523" s="175"/>
      <c r="X523" s="597"/>
      <c r="Y523" s="175"/>
      <c r="Z523" s="175"/>
    </row>
    <row r="524" ht="12.0" customHeight="1">
      <c r="A524" s="175"/>
      <c r="B524" s="175"/>
      <c r="C524" s="175"/>
      <c r="D524" s="175"/>
      <c r="E524" s="597"/>
      <c r="F524" s="597"/>
      <c r="G524" s="597"/>
      <c r="H524" s="597"/>
      <c r="I524" s="597"/>
      <c r="J524" s="597"/>
      <c r="K524" s="597"/>
      <c r="L524" s="597"/>
      <c r="M524" s="597"/>
      <c r="N524" s="597"/>
      <c r="O524" s="597"/>
      <c r="P524" s="597"/>
      <c r="Q524" s="597"/>
      <c r="R524" s="597"/>
      <c r="S524" s="175"/>
      <c r="T524" s="175"/>
      <c r="U524" s="175"/>
      <c r="V524" s="175"/>
      <c r="W524" s="175"/>
      <c r="X524" s="597"/>
      <c r="Y524" s="175"/>
      <c r="Z524" s="175"/>
    </row>
    <row r="525" ht="12.0" customHeight="1">
      <c r="A525" s="175"/>
      <c r="B525" s="175"/>
      <c r="C525" s="175"/>
      <c r="D525" s="175"/>
      <c r="E525" s="597"/>
      <c r="F525" s="597"/>
      <c r="G525" s="597"/>
      <c r="H525" s="597"/>
      <c r="I525" s="597"/>
      <c r="J525" s="597"/>
      <c r="K525" s="597"/>
      <c r="L525" s="597"/>
      <c r="M525" s="597"/>
      <c r="N525" s="597"/>
      <c r="O525" s="597"/>
      <c r="P525" s="597"/>
      <c r="Q525" s="597"/>
      <c r="R525" s="597"/>
      <c r="S525" s="175"/>
      <c r="T525" s="175"/>
      <c r="U525" s="175"/>
      <c r="V525" s="175"/>
      <c r="W525" s="175"/>
      <c r="X525" s="597"/>
      <c r="Y525" s="175"/>
      <c r="Z525" s="175"/>
    </row>
    <row r="526" ht="12.0" customHeight="1">
      <c r="A526" s="175"/>
      <c r="B526" s="175"/>
      <c r="C526" s="175"/>
      <c r="D526" s="175"/>
      <c r="E526" s="597"/>
      <c r="F526" s="597"/>
      <c r="G526" s="597"/>
      <c r="H526" s="597"/>
      <c r="I526" s="597"/>
      <c r="J526" s="597"/>
      <c r="K526" s="597"/>
      <c r="L526" s="597"/>
      <c r="M526" s="597"/>
      <c r="N526" s="597"/>
      <c r="O526" s="597"/>
      <c r="P526" s="597"/>
      <c r="Q526" s="597"/>
      <c r="R526" s="597"/>
      <c r="S526" s="175"/>
      <c r="T526" s="175"/>
      <c r="U526" s="175"/>
      <c r="V526" s="175"/>
      <c r="W526" s="175"/>
      <c r="X526" s="597"/>
      <c r="Y526" s="175"/>
      <c r="Z526" s="175"/>
    </row>
    <row r="527" ht="12.0" customHeight="1">
      <c r="A527" s="175"/>
      <c r="B527" s="175"/>
      <c r="C527" s="175"/>
      <c r="D527" s="175"/>
      <c r="E527" s="597"/>
      <c r="F527" s="597"/>
      <c r="G527" s="597"/>
      <c r="H527" s="597"/>
      <c r="I527" s="597"/>
      <c r="J527" s="597"/>
      <c r="K527" s="597"/>
      <c r="L527" s="597"/>
      <c r="M527" s="597"/>
      <c r="N527" s="597"/>
      <c r="O527" s="597"/>
      <c r="P527" s="597"/>
      <c r="Q527" s="597"/>
      <c r="R527" s="597"/>
      <c r="S527" s="175"/>
      <c r="T527" s="175"/>
      <c r="U527" s="175"/>
      <c r="V527" s="175"/>
      <c r="W527" s="175"/>
      <c r="X527" s="597"/>
      <c r="Y527" s="175"/>
      <c r="Z527" s="175"/>
    </row>
    <row r="528" ht="12.0" customHeight="1">
      <c r="A528" s="175"/>
      <c r="B528" s="175"/>
      <c r="C528" s="175"/>
      <c r="D528" s="175"/>
      <c r="E528" s="597"/>
      <c r="F528" s="597"/>
      <c r="G528" s="597"/>
      <c r="H528" s="597"/>
      <c r="I528" s="597"/>
      <c r="J528" s="597"/>
      <c r="K528" s="597"/>
      <c r="L528" s="597"/>
      <c r="M528" s="597"/>
      <c r="N528" s="597"/>
      <c r="O528" s="597"/>
      <c r="P528" s="597"/>
      <c r="Q528" s="597"/>
      <c r="R528" s="597"/>
      <c r="S528" s="175"/>
      <c r="T528" s="175"/>
      <c r="U528" s="175"/>
      <c r="V528" s="175"/>
      <c r="W528" s="175"/>
      <c r="X528" s="597"/>
      <c r="Y528" s="175"/>
      <c r="Z528" s="175"/>
    </row>
    <row r="529" ht="12.0" customHeight="1">
      <c r="A529" s="175"/>
      <c r="B529" s="175"/>
      <c r="C529" s="175"/>
      <c r="D529" s="175"/>
      <c r="E529" s="597"/>
      <c r="F529" s="597"/>
      <c r="G529" s="597"/>
      <c r="H529" s="597"/>
      <c r="I529" s="597"/>
      <c r="J529" s="597"/>
      <c r="K529" s="597"/>
      <c r="L529" s="597"/>
      <c r="M529" s="597"/>
      <c r="N529" s="597"/>
      <c r="O529" s="597"/>
      <c r="P529" s="597"/>
      <c r="Q529" s="597"/>
      <c r="R529" s="597"/>
      <c r="S529" s="175"/>
      <c r="T529" s="175"/>
      <c r="U529" s="175"/>
      <c r="V529" s="175"/>
      <c r="W529" s="175"/>
      <c r="X529" s="597"/>
      <c r="Y529" s="175"/>
      <c r="Z529" s="175"/>
    </row>
    <row r="530" ht="12.0" customHeight="1">
      <c r="A530" s="175"/>
      <c r="B530" s="175"/>
      <c r="C530" s="175"/>
      <c r="D530" s="175"/>
      <c r="E530" s="597"/>
      <c r="F530" s="597"/>
      <c r="G530" s="597"/>
      <c r="H530" s="597"/>
      <c r="I530" s="597"/>
      <c r="J530" s="597"/>
      <c r="K530" s="597"/>
      <c r="L530" s="597"/>
      <c r="M530" s="597"/>
      <c r="N530" s="597"/>
      <c r="O530" s="597"/>
      <c r="P530" s="597"/>
      <c r="Q530" s="597"/>
      <c r="R530" s="597"/>
      <c r="S530" s="175"/>
      <c r="T530" s="175"/>
      <c r="U530" s="175"/>
      <c r="V530" s="175"/>
      <c r="W530" s="175"/>
      <c r="X530" s="597"/>
      <c r="Y530" s="175"/>
      <c r="Z530" s="175"/>
    </row>
    <row r="531" ht="12.0" customHeight="1">
      <c r="A531" s="175"/>
      <c r="B531" s="175"/>
      <c r="C531" s="175"/>
      <c r="D531" s="175"/>
      <c r="E531" s="597"/>
      <c r="F531" s="597"/>
      <c r="G531" s="597"/>
      <c r="H531" s="597"/>
      <c r="I531" s="597"/>
      <c r="J531" s="597"/>
      <c r="K531" s="597"/>
      <c r="L531" s="597"/>
      <c r="M531" s="597"/>
      <c r="N531" s="597"/>
      <c r="O531" s="597"/>
      <c r="P531" s="597"/>
      <c r="Q531" s="597"/>
      <c r="R531" s="597"/>
      <c r="S531" s="175"/>
      <c r="T531" s="175"/>
      <c r="U531" s="175"/>
      <c r="V531" s="175"/>
      <c r="W531" s="175"/>
      <c r="X531" s="597"/>
      <c r="Y531" s="175"/>
      <c r="Z531" s="175"/>
    </row>
    <row r="532" ht="12.0" customHeight="1">
      <c r="A532" s="175"/>
      <c r="B532" s="175"/>
      <c r="C532" s="175"/>
      <c r="D532" s="175"/>
      <c r="E532" s="597"/>
      <c r="F532" s="597"/>
      <c r="G532" s="597"/>
      <c r="H532" s="597"/>
      <c r="I532" s="597"/>
      <c r="J532" s="597"/>
      <c r="K532" s="597"/>
      <c r="L532" s="597"/>
      <c r="M532" s="597"/>
      <c r="N532" s="597"/>
      <c r="O532" s="597"/>
      <c r="P532" s="597"/>
      <c r="Q532" s="597"/>
      <c r="R532" s="597"/>
      <c r="S532" s="175"/>
      <c r="T532" s="175"/>
      <c r="U532" s="175"/>
      <c r="V532" s="175"/>
      <c r="W532" s="175"/>
      <c r="X532" s="597"/>
      <c r="Y532" s="175"/>
      <c r="Z532" s="175"/>
    </row>
    <row r="533" ht="12.0" customHeight="1">
      <c r="A533" s="175"/>
      <c r="B533" s="175"/>
      <c r="C533" s="175"/>
      <c r="D533" s="175"/>
      <c r="E533" s="597"/>
      <c r="F533" s="597"/>
      <c r="G533" s="597"/>
      <c r="H533" s="597"/>
      <c r="I533" s="597"/>
      <c r="J533" s="597"/>
      <c r="K533" s="597"/>
      <c r="L533" s="597"/>
      <c r="M533" s="597"/>
      <c r="N533" s="597"/>
      <c r="O533" s="597"/>
      <c r="P533" s="597"/>
      <c r="Q533" s="597"/>
      <c r="R533" s="597"/>
      <c r="S533" s="175"/>
      <c r="T533" s="175"/>
      <c r="U533" s="175"/>
      <c r="V533" s="175"/>
      <c r="W533" s="175"/>
      <c r="X533" s="597"/>
      <c r="Y533" s="175"/>
      <c r="Z533" s="175"/>
    </row>
    <row r="534" ht="12.0" customHeight="1">
      <c r="A534" s="175"/>
      <c r="B534" s="175"/>
      <c r="C534" s="175"/>
      <c r="D534" s="175"/>
      <c r="E534" s="597"/>
      <c r="F534" s="597"/>
      <c r="G534" s="597"/>
      <c r="H534" s="597"/>
      <c r="I534" s="597"/>
      <c r="J534" s="597"/>
      <c r="K534" s="597"/>
      <c r="L534" s="597"/>
      <c r="M534" s="597"/>
      <c r="N534" s="597"/>
      <c r="O534" s="597"/>
      <c r="P534" s="597"/>
      <c r="Q534" s="597"/>
      <c r="R534" s="597"/>
      <c r="S534" s="175"/>
      <c r="T534" s="175"/>
      <c r="U534" s="175"/>
      <c r="V534" s="175"/>
      <c r="W534" s="175"/>
      <c r="X534" s="597"/>
      <c r="Y534" s="175"/>
      <c r="Z534" s="175"/>
    </row>
    <row r="535" ht="12.0" customHeight="1">
      <c r="A535" s="175"/>
      <c r="B535" s="175"/>
      <c r="C535" s="175"/>
      <c r="D535" s="175"/>
      <c r="E535" s="597"/>
      <c r="F535" s="597"/>
      <c r="G535" s="597"/>
      <c r="H535" s="597"/>
      <c r="I535" s="597"/>
      <c r="J535" s="597"/>
      <c r="K535" s="597"/>
      <c r="L535" s="597"/>
      <c r="M535" s="597"/>
      <c r="N535" s="597"/>
      <c r="O535" s="597"/>
      <c r="P535" s="597"/>
      <c r="Q535" s="597"/>
      <c r="R535" s="597"/>
      <c r="S535" s="175"/>
      <c r="T535" s="175"/>
      <c r="U535" s="175"/>
      <c r="V535" s="175"/>
      <c r="W535" s="175"/>
      <c r="X535" s="597"/>
      <c r="Y535" s="175"/>
      <c r="Z535" s="175"/>
    </row>
    <row r="536" ht="12.0" customHeight="1">
      <c r="A536" s="175"/>
      <c r="B536" s="175"/>
      <c r="C536" s="175"/>
      <c r="D536" s="175"/>
      <c r="E536" s="597"/>
      <c r="F536" s="597"/>
      <c r="G536" s="597"/>
      <c r="H536" s="597"/>
      <c r="I536" s="597"/>
      <c r="J536" s="597"/>
      <c r="K536" s="597"/>
      <c r="L536" s="597"/>
      <c r="M536" s="597"/>
      <c r="N536" s="597"/>
      <c r="O536" s="597"/>
      <c r="P536" s="597"/>
      <c r="Q536" s="597"/>
      <c r="R536" s="597"/>
      <c r="S536" s="175"/>
      <c r="T536" s="175"/>
      <c r="U536" s="175"/>
      <c r="V536" s="175"/>
      <c r="W536" s="175"/>
      <c r="X536" s="597"/>
      <c r="Y536" s="175"/>
      <c r="Z536" s="175"/>
    </row>
    <row r="537" ht="12.0" customHeight="1">
      <c r="A537" s="175"/>
      <c r="B537" s="175"/>
      <c r="C537" s="175"/>
      <c r="D537" s="175"/>
      <c r="E537" s="597"/>
      <c r="F537" s="597"/>
      <c r="G537" s="597"/>
      <c r="H537" s="597"/>
      <c r="I537" s="597"/>
      <c r="J537" s="597"/>
      <c r="K537" s="597"/>
      <c r="L537" s="597"/>
      <c r="M537" s="597"/>
      <c r="N537" s="597"/>
      <c r="O537" s="597"/>
      <c r="P537" s="597"/>
      <c r="Q537" s="597"/>
      <c r="R537" s="597"/>
      <c r="S537" s="175"/>
      <c r="T537" s="175"/>
      <c r="U537" s="175"/>
      <c r="V537" s="175"/>
      <c r="W537" s="175"/>
      <c r="X537" s="597"/>
      <c r="Y537" s="175"/>
      <c r="Z537" s="175"/>
    </row>
    <row r="538" ht="12.0" customHeight="1">
      <c r="A538" s="175"/>
      <c r="B538" s="175"/>
      <c r="C538" s="175"/>
      <c r="D538" s="175"/>
      <c r="E538" s="597"/>
      <c r="F538" s="597"/>
      <c r="G538" s="597"/>
      <c r="H538" s="597"/>
      <c r="I538" s="597"/>
      <c r="J538" s="597"/>
      <c r="K538" s="597"/>
      <c r="L538" s="597"/>
      <c r="M538" s="597"/>
      <c r="N538" s="597"/>
      <c r="O538" s="597"/>
      <c r="P538" s="597"/>
      <c r="Q538" s="597"/>
      <c r="R538" s="597"/>
      <c r="S538" s="175"/>
      <c r="T538" s="175"/>
      <c r="U538" s="175"/>
      <c r="V538" s="175"/>
      <c r="W538" s="175"/>
      <c r="X538" s="597"/>
      <c r="Y538" s="175"/>
      <c r="Z538" s="175"/>
    </row>
    <row r="539" ht="12.0" customHeight="1">
      <c r="A539" s="175"/>
      <c r="B539" s="175"/>
      <c r="C539" s="175"/>
      <c r="D539" s="175"/>
      <c r="E539" s="597"/>
      <c r="F539" s="597"/>
      <c r="G539" s="597"/>
      <c r="H539" s="597"/>
      <c r="I539" s="597"/>
      <c r="J539" s="597"/>
      <c r="K539" s="597"/>
      <c r="L539" s="597"/>
      <c r="M539" s="597"/>
      <c r="N539" s="597"/>
      <c r="O539" s="597"/>
      <c r="P539" s="597"/>
      <c r="Q539" s="597"/>
      <c r="R539" s="597"/>
      <c r="S539" s="175"/>
      <c r="T539" s="175"/>
      <c r="U539" s="175"/>
      <c r="V539" s="175"/>
      <c r="W539" s="175"/>
      <c r="X539" s="597"/>
      <c r="Y539" s="175"/>
      <c r="Z539" s="175"/>
    </row>
    <row r="540" ht="12.0" customHeight="1">
      <c r="A540" s="175"/>
      <c r="B540" s="175"/>
      <c r="C540" s="175"/>
      <c r="D540" s="175"/>
      <c r="E540" s="597"/>
      <c r="F540" s="597"/>
      <c r="G540" s="597"/>
      <c r="H540" s="597"/>
      <c r="I540" s="597"/>
      <c r="J540" s="597"/>
      <c r="K540" s="597"/>
      <c r="L540" s="597"/>
      <c r="M540" s="597"/>
      <c r="N540" s="597"/>
      <c r="O540" s="597"/>
      <c r="P540" s="597"/>
      <c r="Q540" s="597"/>
      <c r="R540" s="597"/>
      <c r="S540" s="175"/>
      <c r="T540" s="175"/>
      <c r="U540" s="175"/>
      <c r="V540" s="175"/>
      <c r="W540" s="175"/>
      <c r="X540" s="597"/>
      <c r="Y540" s="175"/>
      <c r="Z540" s="175"/>
    </row>
    <row r="541" ht="12.0" customHeight="1">
      <c r="A541" s="175"/>
      <c r="B541" s="175"/>
      <c r="C541" s="175"/>
      <c r="D541" s="175"/>
      <c r="E541" s="597"/>
      <c r="F541" s="597"/>
      <c r="G541" s="597"/>
      <c r="H541" s="597"/>
      <c r="I541" s="597"/>
      <c r="J541" s="597"/>
      <c r="K541" s="597"/>
      <c r="L541" s="597"/>
      <c r="M541" s="597"/>
      <c r="N541" s="597"/>
      <c r="O541" s="597"/>
      <c r="P541" s="597"/>
      <c r="Q541" s="597"/>
      <c r="R541" s="597"/>
      <c r="S541" s="175"/>
      <c r="T541" s="175"/>
      <c r="U541" s="175"/>
      <c r="V541" s="175"/>
      <c r="W541" s="175"/>
      <c r="X541" s="597"/>
      <c r="Y541" s="175"/>
      <c r="Z541" s="175"/>
    </row>
    <row r="542" ht="12.0" customHeight="1">
      <c r="A542" s="175"/>
      <c r="B542" s="175"/>
      <c r="C542" s="175"/>
      <c r="D542" s="175"/>
      <c r="E542" s="597"/>
      <c r="F542" s="597"/>
      <c r="G542" s="597"/>
      <c r="H542" s="597"/>
      <c r="I542" s="597"/>
      <c r="J542" s="597"/>
      <c r="K542" s="597"/>
      <c r="L542" s="597"/>
      <c r="M542" s="597"/>
      <c r="N542" s="597"/>
      <c r="O542" s="597"/>
      <c r="P542" s="597"/>
      <c r="Q542" s="597"/>
      <c r="R542" s="597"/>
      <c r="S542" s="175"/>
      <c r="T542" s="175"/>
      <c r="U542" s="175"/>
      <c r="V542" s="175"/>
      <c r="W542" s="175"/>
      <c r="X542" s="597"/>
      <c r="Y542" s="175"/>
      <c r="Z542" s="175"/>
    </row>
    <row r="543" ht="12.0" customHeight="1">
      <c r="A543" s="175"/>
      <c r="B543" s="175"/>
      <c r="C543" s="175"/>
      <c r="D543" s="175"/>
      <c r="E543" s="597"/>
      <c r="F543" s="597"/>
      <c r="G543" s="597"/>
      <c r="H543" s="597"/>
      <c r="I543" s="597"/>
      <c r="J543" s="597"/>
      <c r="K543" s="597"/>
      <c r="L543" s="597"/>
      <c r="M543" s="597"/>
      <c r="N543" s="597"/>
      <c r="O543" s="597"/>
      <c r="P543" s="597"/>
      <c r="Q543" s="597"/>
      <c r="R543" s="597"/>
      <c r="S543" s="175"/>
      <c r="T543" s="175"/>
      <c r="U543" s="175"/>
      <c r="V543" s="175"/>
      <c r="W543" s="175"/>
      <c r="X543" s="597"/>
      <c r="Y543" s="175"/>
      <c r="Z543" s="175"/>
    </row>
    <row r="544" ht="12.0" customHeight="1">
      <c r="A544" s="175"/>
      <c r="B544" s="175"/>
      <c r="C544" s="175"/>
      <c r="D544" s="175"/>
      <c r="E544" s="597"/>
      <c r="F544" s="597"/>
      <c r="G544" s="597"/>
      <c r="H544" s="597"/>
      <c r="I544" s="597"/>
      <c r="J544" s="597"/>
      <c r="K544" s="597"/>
      <c r="L544" s="597"/>
      <c r="M544" s="597"/>
      <c r="N544" s="597"/>
      <c r="O544" s="597"/>
      <c r="P544" s="597"/>
      <c r="Q544" s="597"/>
      <c r="R544" s="597"/>
      <c r="S544" s="175"/>
      <c r="T544" s="175"/>
      <c r="U544" s="175"/>
      <c r="V544" s="175"/>
      <c r="W544" s="175"/>
      <c r="X544" s="597"/>
      <c r="Y544" s="175"/>
      <c r="Z544" s="175"/>
    </row>
    <row r="545" ht="12.0" customHeight="1">
      <c r="A545" s="175"/>
      <c r="B545" s="175"/>
      <c r="C545" s="175"/>
      <c r="D545" s="175"/>
      <c r="E545" s="597"/>
      <c r="F545" s="597"/>
      <c r="G545" s="597"/>
      <c r="H545" s="597"/>
      <c r="I545" s="597"/>
      <c r="J545" s="597"/>
      <c r="K545" s="597"/>
      <c r="L545" s="597"/>
      <c r="M545" s="597"/>
      <c r="N545" s="597"/>
      <c r="O545" s="597"/>
      <c r="P545" s="597"/>
      <c r="Q545" s="597"/>
      <c r="R545" s="597"/>
      <c r="S545" s="175"/>
      <c r="T545" s="175"/>
      <c r="U545" s="175"/>
      <c r="V545" s="175"/>
      <c r="W545" s="175"/>
      <c r="X545" s="597"/>
      <c r="Y545" s="175"/>
      <c r="Z545" s="175"/>
    </row>
    <row r="546" ht="12.0" customHeight="1">
      <c r="A546" s="175"/>
      <c r="B546" s="175"/>
      <c r="C546" s="175"/>
      <c r="D546" s="175"/>
      <c r="E546" s="597"/>
      <c r="F546" s="597"/>
      <c r="G546" s="597"/>
      <c r="H546" s="597"/>
      <c r="I546" s="597"/>
      <c r="J546" s="597"/>
      <c r="K546" s="597"/>
      <c r="L546" s="597"/>
      <c r="M546" s="597"/>
      <c r="N546" s="597"/>
      <c r="O546" s="597"/>
      <c r="P546" s="597"/>
      <c r="Q546" s="597"/>
      <c r="R546" s="597"/>
      <c r="S546" s="175"/>
      <c r="T546" s="175"/>
      <c r="U546" s="175"/>
      <c r="V546" s="175"/>
      <c r="W546" s="175"/>
      <c r="X546" s="597"/>
      <c r="Y546" s="175"/>
      <c r="Z546" s="175"/>
    </row>
    <row r="547" ht="12.0" customHeight="1">
      <c r="A547" s="175"/>
      <c r="B547" s="175"/>
      <c r="C547" s="175"/>
      <c r="D547" s="175"/>
      <c r="E547" s="597"/>
      <c r="F547" s="597"/>
      <c r="G547" s="597"/>
      <c r="H547" s="597"/>
      <c r="I547" s="597"/>
      <c r="J547" s="597"/>
      <c r="K547" s="597"/>
      <c r="L547" s="597"/>
      <c r="M547" s="597"/>
      <c r="N547" s="597"/>
      <c r="O547" s="597"/>
      <c r="P547" s="597"/>
      <c r="Q547" s="597"/>
      <c r="R547" s="597"/>
      <c r="S547" s="175"/>
      <c r="T547" s="175"/>
      <c r="U547" s="175"/>
      <c r="V547" s="175"/>
      <c r="W547" s="175"/>
      <c r="X547" s="597"/>
      <c r="Y547" s="175"/>
      <c r="Z547" s="175"/>
    </row>
    <row r="548" ht="12.0" customHeight="1">
      <c r="A548" s="175"/>
      <c r="B548" s="175"/>
      <c r="C548" s="175"/>
      <c r="D548" s="175"/>
      <c r="E548" s="597"/>
      <c r="F548" s="597"/>
      <c r="G548" s="597"/>
      <c r="H548" s="597"/>
      <c r="I548" s="597"/>
      <c r="J548" s="597"/>
      <c r="K548" s="597"/>
      <c r="L548" s="597"/>
      <c r="M548" s="597"/>
      <c r="N548" s="597"/>
      <c r="O548" s="597"/>
      <c r="P548" s="597"/>
      <c r="Q548" s="597"/>
      <c r="R548" s="597"/>
      <c r="S548" s="175"/>
      <c r="T548" s="175"/>
      <c r="U548" s="175"/>
      <c r="V548" s="175"/>
      <c r="W548" s="175"/>
      <c r="X548" s="597"/>
      <c r="Y548" s="175"/>
      <c r="Z548" s="175"/>
    </row>
    <row r="549" ht="12.0" customHeight="1">
      <c r="A549" s="175"/>
      <c r="B549" s="175"/>
      <c r="C549" s="175"/>
      <c r="D549" s="175"/>
      <c r="E549" s="597"/>
      <c r="F549" s="597"/>
      <c r="G549" s="597"/>
      <c r="H549" s="597"/>
      <c r="I549" s="597"/>
      <c r="J549" s="597"/>
      <c r="K549" s="597"/>
      <c r="L549" s="597"/>
      <c r="M549" s="597"/>
      <c r="N549" s="597"/>
      <c r="O549" s="597"/>
      <c r="P549" s="597"/>
      <c r="Q549" s="597"/>
      <c r="R549" s="597"/>
      <c r="S549" s="175"/>
      <c r="T549" s="175"/>
      <c r="U549" s="175"/>
      <c r="V549" s="175"/>
      <c r="W549" s="175"/>
      <c r="X549" s="597"/>
      <c r="Y549" s="175"/>
      <c r="Z549" s="175"/>
    </row>
    <row r="550" ht="12.0" customHeight="1">
      <c r="A550" s="175"/>
      <c r="B550" s="175"/>
      <c r="C550" s="175"/>
      <c r="D550" s="175"/>
      <c r="E550" s="597"/>
      <c r="F550" s="597"/>
      <c r="G550" s="597"/>
      <c r="H550" s="597"/>
      <c r="I550" s="597"/>
      <c r="J550" s="597"/>
      <c r="K550" s="597"/>
      <c r="L550" s="597"/>
      <c r="M550" s="597"/>
      <c r="N550" s="597"/>
      <c r="O550" s="597"/>
      <c r="P550" s="597"/>
      <c r="Q550" s="597"/>
      <c r="R550" s="597"/>
      <c r="S550" s="175"/>
      <c r="T550" s="175"/>
      <c r="U550" s="175"/>
      <c r="V550" s="175"/>
      <c r="W550" s="175"/>
      <c r="X550" s="597"/>
      <c r="Y550" s="175"/>
      <c r="Z550" s="175"/>
    </row>
    <row r="551" ht="12.0" customHeight="1">
      <c r="A551" s="175"/>
      <c r="B551" s="175"/>
      <c r="C551" s="175"/>
      <c r="D551" s="175"/>
      <c r="E551" s="597"/>
      <c r="F551" s="597"/>
      <c r="G551" s="597"/>
      <c r="H551" s="597"/>
      <c r="I551" s="597"/>
      <c r="J551" s="597"/>
      <c r="K551" s="597"/>
      <c r="L551" s="597"/>
      <c r="M551" s="597"/>
      <c r="N551" s="597"/>
      <c r="O551" s="597"/>
      <c r="P551" s="597"/>
      <c r="Q551" s="597"/>
      <c r="R551" s="597"/>
      <c r="S551" s="175"/>
      <c r="T551" s="175"/>
      <c r="U551" s="175"/>
      <c r="V551" s="175"/>
      <c r="W551" s="175"/>
      <c r="X551" s="597"/>
      <c r="Y551" s="175"/>
      <c r="Z551" s="175"/>
    </row>
    <row r="552" ht="12.0" customHeight="1">
      <c r="A552" s="175"/>
      <c r="B552" s="175"/>
      <c r="C552" s="175"/>
      <c r="D552" s="175"/>
      <c r="E552" s="597"/>
      <c r="F552" s="597"/>
      <c r="G552" s="597"/>
      <c r="H552" s="597"/>
      <c r="I552" s="597"/>
      <c r="J552" s="597"/>
      <c r="K552" s="597"/>
      <c r="L552" s="597"/>
      <c r="M552" s="597"/>
      <c r="N552" s="597"/>
      <c r="O552" s="597"/>
      <c r="P552" s="597"/>
      <c r="Q552" s="597"/>
      <c r="R552" s="597"/>
      <c r="S552" s="175"/>
      <c r="T552" s="175"/>
      <c r="U552" s="175"/>
      <c r="V552" s="175"/>
      <c r="W552" s="175"/>
      <c r="X552" s="597"/>
      <c r="Y552" s="175"/>
      <c r="Z552" s="175"/>
    </row>
    <row r="553" ht="12.0" customHeight="1">
      <c r="A553" s="175"/>
      <c r="B553" s="175"/>
      <c r="C553" s="175"/>
      <c r="D553" s="175"/>
      <c r="E553" s="597"/>
      <c r="F553" s="597"/>
      <c r="G553" s="597"/>
      <c r="H553" s="597"/>
      <c r="I553" s="597"/>
      <c r="J553" s="597"/>
      <c r="K553" s="597"/>
      <c r="L553" s="597"/>
      <c r="M553" s="597"/>
      <c r="N553" s="597"/>
      <c r="O553" s="597"/>
      <c r="P553" s="597"/>
      <c r="Q553" s="597"/>
      <c r="R553" s="597"/>
      <c r="S553" s="175"/>
      <c r="T553" s="175"/>
      <c r="U553" s="175"/>
      <c r="V553" s="175"/>
      <c r="W553" s="175"/>
      <c r="X553" s="597"/>
      <c r="Y553" s="175"/>
      <c r="Z553" s="175"/>
    </row>
    <row r="554" ht="12.0" customHeight="1">
      <c r="A554" s="175"/>
      <c r="B554" s="175"/>
      <c r="C554" s="175"/>
      <c r="D554" s="175"/>
      <c r="E554" s="597"/>
      <c r="F554" s="597"/>
      <c r="G554" s="597"/>
      <c r="H554" s="597"/>
      <c r="I554" s="597"/>
      <c r="J554" s="597"/>
      <c r="K554" s="597"/>
      <c r="L554" s="597"/>
      <c r="M554" s="597"/>
      <c r="N554" s="597"/>
      <c r="O554" s="597"/>
      <c r="P554" s="597"/>
      <c r="Q554" s="597"/>
      <c r="R554" s="597"/>
      <c r="S554" s="175"/>
      <c r="T554" s="175"/>
      <c r="U554" s="175"/>
      <c r="V554" s="175"/>
      <c r="W554" s="175"/>
      <c r="X554" s="597"/>
      <c r="Y554" s="175"/>
      <c r="Z554" s="175"/>
    </row>
    <row r="555" ht="12.0" customHeight="1">
      <c r="A555" s="175"/>
      <c r="B555" s="175"/>
      <c r="C555" s="175"/>
      <c r="D555" s="175"/>
      <c r="E555" s="597"/>
      <c r="F555" s="597"/>
      <c r="G555" s="597"/>
      <c r="H555" s="597"/>
      <c r="I555" s="597"/>
      <c r="J555" s="597"/>
      <c r="K555" s="597"/>
      <c r="L555" s="597"/>
      <c r="M555" s="597"/>
      <c r="N555" s="597"/>
      <c r="O555" s="597"/>
      <c r="P555" s="597"/>
      <c r="Q555" s="597"/>
      <c r="R555" s="597"/>
      <c r="S555" s="175"/>
      <c r="T555" s="175"/>
      <c r="U555" s="175"/>
      <c r="V555" s="175"/>
      <c r="W555" s="175"/>
      <c r="X555" s="597"/>
      <c r="Y555" s="175"/>
      <c r="Z555" s="175"/>
    </row>
    <row r="556" ht="12.0" customHeight="1">
      <c r="A556" s="175"/>
      <c r="B556" s="175"/>
      <c r="C556" s="175"/>
      <c r="D556" s="175"/>
      <c r="E556" s="597"/>
      <c r="F556" s="597"/>
      <c r="G556" s="597"/>
      <c r="H556" s="597"/>
      <c r="I556" s="597"/>
      <c r="J556" s="597"/>
      <c r="K556" s="597"/>
      <c r="L556" s="597"/>
      <c r="M556" s="597"/>
      <c r="N556" s="597"/>
      <c r="O556" s="597"/>
      <c r="P556" s="597"/>
      <c r="Q556" s="597"/>
      <c r="R556" s="597"/>
      <c r="S556" s="175"/>
      <c r="T556" s="175"/>
      <c r="U556" s="175"/>
      <c r="V556" s="175"/>
      <c r="W556" s="175"/>
      <c r="X556" s="597"/>
      <c r="Y556" s="175"/>
      <c r="Z556" s="175"/>
    </row>
    <row r="557" ht="12.0" customHeight="1">
      <c r="A557" s="175"/>
      <c r="B557" s="175"/>
      <c r="C557" s="175"/>
      <c r="D557" s="175"/>
      <c r="E557" s="597"/>
      <c r="F557" s="597"/>
      <c r="G557" s="597"/>
      <c r="H557" s="597"/>
      <c r="I557" s="597"/>
      <c r="J557" s="597"/>
      <c r="K557" s="597"/>
      <c r="L557" s="597"/>
      <c r="M557" s="597"/>
      <c r="N557" s="597"/>
      <c r="O557" s="597"/>
      <c r="P557" s="597"/>
      <c r="Q557" s="597"/>
      <c r="R557" s="597"/>
      <c r="S557" s="175"/>
      <c r="T557" s="175"/>
      <c r="U557" s="175"/>
      <c r="V557" s="175"/>
      <c r="W557" s="175"/>
      <c r="X557" s="597"/>
      <c r="Y557" s="175"/>
      <c r="Z557" s="175"/>
    </row>
    <row r="558" ht="12.0" customHeight="1">
      <c r="A558" s="175"/>
      <c r="B558" s="175"/>
      <c r="C558" s="175"/>
      <c r="D558" s="175"/>
      <c r="E558" s="597"/>
      <c r="F558" s="597"/>
      <c r="G558" s="597"/>
      <c r="H558" s="597"/>
      <c r="I558" s="597"/>
      <c r="J558" s="597"/>
      <c r="K558" s="597"/>
      <c r="L558" s="597"/>
      <c r="M558" s="597"/>
      <c r="N558" s="597"/>
      <c r="O558" s="597"/>
      <c r="P558" s="597"/>
      <c r="Q558" s="597"/>
      <c r="R558" s="597"/>
      <c r="S558" s="175"/>
      <c r="T558" s="175"/>
      <c r="U558" s="175"/>
      <c r="V558" s="175"/>
      <c r="W558" s="175"/>
      <c r="X558" s="597"/>
      <c r="Y558" s="175"/>
      <c r="Z558" s="175"/>
    </row>
    <row r="559" ht="12.0" customHeight="1">
      <c r="A559" s="175"/>
      <c r="B559" s="175"/>
      <c r="C559" s="175"/>
      <c r="D559" s="175"/>
      <c r="E559" s="597"/>
      <c r="F559" s="597"/>
      <c r="G559" s="597"/>
      <c r="H559" s="597"/>
      <c r="I559" s="597"/>
      <c r="J559" s="597"/>
      <c r="K559" s="597"/>
      <c r="L559" s="597"/>
      <c r="M559" s="597"/>
      <c r="N559" s="597"/>
      <c r="O559" s="597"/>
      <c r="P559" s="597"/>
      <c r="Q559" s="597"/>
      <c r="R559" s="597"/>
      <c r="S559" s="175"/>
      <c r="T559" s="175"/>
      <c r="U559" s="175"/>
      <c r="V559" s="175"/>
      <c r="W559" s="175"/>
      <c r="X559" s="597"/>
      <c r="Y559" s="175"/>
      <c r="Z559" s="175"/>
    </row>
    <row r="560" ht="12.0" customHeight="1">
      <c r="A560" s="175"/>
      <c r="B560" s="175"/>
      <c r="C560" s="175"/>
      <c r="D560" s="175"/>
      <c r="E560" s="597"/>
      <c r="F560" s="597"/>
      <c r="G560" s="597"/>
      <c r="H560" s="597"/>
      <c r="I560" s="597"/>
      <c r="J560" s="597"/>
      <c r="K560" s="597"/>
      <c r="L560" s="597"/>
      <c r="M560" s="597"/>
      <c r="N560" s="597"/>
      <c r="O560" s="597"/>
      <c r="P560" s="597"/>
      <c r="Q560" s="597"/>
      <c r="R560" s="597"/>
      <c r="S560" s="175"/>
      <c r="T560" s="175"/>
      <c r="U560" s="175"/>
      <c r="V560" s="175"/>
      <c r="W560" s="175"/>
      <c r="X560" s="597"/>
      <c r="Y560" s="175"/>
      <c r="Z560" s="175"/>
    </row>
    <row r="561" ht="12.0" customHeight="1">
      <c r="A561" s="175"/>
      <c r="B561" s="175"/>
      <c r="C561" s="175"/>
      <c r="D561" s="175"/>
      <c r="E561" s="597"/>
      <c r="F561" s="597"/>
      <c r="G561" s="597"/>
      <c r="H561" s="597"/>
      <c r="I561" s="597"/>
      <c r="J561" s="597"/>
      <c r="K561" s="597"/>
      <c r="L561" s="597"/>
      <c r="M561" s="597"/>
      <c r="N561" s="597"/>
      <c r="O561" s="597"/>
      <c r="P561" s="597"/>
      <c r="Q561" s="597"/>
      <c r="R561" s="597"/>
      <c r="S561" s="175"/>
      <c r="T561" s="175"/>
      <c r="U561" s="175"/>
      <c r="V561" s="175"/>
      <c r="W561" s="175"/>
      <c r="X561" s="597"/>
      <c r="Y561" s="175"/>
      <c r="Z561" s="175"/>
    </row>
    <row r="562" ht="12.0" customHeight="1">
      <c r="A562" s="175"/>
      <c r="B562" s="175"/>
      <c r="C562" s="175"/>
      <c r="D562" s="175"/>
      <c r="E562" s="597"/>
      <c r="F562" s="597"/>
      <c r="G562" s="597"/>
      <c r="H562" s="597"/>
      <c r="I562" s="597"/>
      <c r="J562" s="597"/>
      <c r="K562" s="597"/>
      <c r="L562" s="597"/>
      <c r="M562" s="597"/>
      <c r="N562" s="597"/>
      <c r="O562" s="597"/>
      <c r="P562" s="597"/>
      <c r="Q562" s="597"/>
      <c r="R562" s="597"/>
      <c r="S562" s="175"/>
      <c r="T562" s="175"/>
      <c r="U562" s="175"/>
      <c r="V562" s="175"/>
      <c r="W562" s="175"/>
      <c r="X562" s="597"/>
      <c r="Y562" s="175"/>
      <c r="Z562" s="175"/>
    </row>
    <row r="563" ht="12.0" customHeight="1">
      <c r="A563" s="175"/>
      <c r="B563" s="175"/>
      <c r="C563" s="175"/>
      <c r="D563" s="175"/>
      <c r="E563" s="597"/>
      <c r="F563" s="597"/>
      <c r="G563" s="597"/>
      <c r="H563" s="597"/>
      <c r="I563" s="597"/>
      <c r="J563" s="597"/>
      <c r="K563" s="597"/>
      <c r="L563" s="597"/>
      <c r="M563" s="597"/>
      <c r="N563" s="597"/>
      <c r="O563" s="597"/>
      <c r="P563" s="597"/>
      <c r="Q563" s="597"/>
      <c r="R563" s="597"/>
      <c r="S563" s="175"/>
      <c r="T563" s="175"/>
      <c r="U563" s="175"/>
      <c r="V563" s="175"/>
      <c r="W563" s="175"/>
      <c r="X563" s="597"/>
      <c r="Y563" s="175"/>
      <c r="Z563" s="175"/>
    </row>
    <row r="564" ht="12.0" customHeight="1">
      <c r="A564" s="175"/>
      <c r="B564" s="175"/>
      <c r="C564" s="175"/>
      <c r="D564" s="175"/>
      <c r="E564" s="597"/>
      <c r="F564" s="597"/>
      <c r="G564" s="597"/>
      <c r="H564" s="597"/>
      <c r="I564" s="597"/>
      <c r="J564" s="597"/>
      <c r="K564" s="597"/>
      <c r="L564" s="597"/>
      <c r="M564" s="597"/>
      <c r="N564" s="597"/>
      <c r="O564" s="597"/>
      <c r="P564" s="597"/>
      <c r="Q564" s="597"/>
      <c r="R564" s="597"/>
      <c r="S564" s="175"/>
      <c r="T564" s="175"/>
      <c r="U564" s="175"/>
      <c r="V564" s="175"/>
      <c r="W564" s="175"/>
      <c r="X564" s="597"/>
      <c r="Y564" s="175"/>
      <c r="Z564" s="175"/>
    </row>
    <row r="565" ht="12.0" customHeight="1">
      <c r="A565" s="175"/>
      <c r="B565" s="175"/>
      <c r="C565" s="175"/>
      <c r="D565" s="175"/>
      <c r="E565" s="597"/>
      <c r="F565" s="597"/>
      <c r="G565" s="597"/>
      <c r="H565" s="597"/>
      <c r="I565" s="597"/>
      <c r="J565" s="597"/>
      <c r="K565" s="597"/>
      <c r="L565" s="597"/>
      <c r="M565" s="597"/>
      <c r="N565" s="597"/>
      <c r="O565" s="597"/>
      <c r="P565" s="597"/>
      <c r="Q565" s="597"/>
      <c r="R565" s="597"/>
      <c r="S565" s="175"/>
      <c r="T565" s="175"/>
      <c r="U565" s="175"/>
      <c r="V565" s="175"/>
      <c r="W565" s="175"/>
      <c r="X565" s="597"/>
      <c r="Y565" s="175"/>
      <c r="Z565" s="175"/>
    </row>
    <row r="566" ht="12.0" customHeight="1">
      <c r="A566" s="175"/>
      <c r="B566" s="175"/>
      <c r="C566" s="175"/>
      <c r="D566" s="175"/>
      <c r="E566" s="597"/>
      <c r="F566" s="597"/>
      <c r="G566" s="597"/>
      <c r="H566" s="597"/>
      <c r="I566" s="597"/>
      <c r="J566" s="597"/>
      <c r="K566" s="597"/>
      <c r="L566" s="597"/>
      <c r="M566" s="597"/>
      <c r="N566" s="597"/>
      <c r="O566" s="597"/>
      <c r="P566" s="597"/>
      <c r="Q566" s="597"/>
      <c r="R566" s="597"/>
      <c r="S566" s="175"/>
      <c r="T566" s="175"/>
      <c r="U566" s="175"/>
      <c r="V566" s="175"/>
      <c r="W566" s="175"/>
      <c r="X566" s="597"/>
      <c r="Y566" s="175"/>
      <c r="Z566" s="175"/>
    </row>
    <row r="567" ht="12.0" customHeight="1">
      <c r="A567" s="175"/>
      <c r="B567" s="175"/>
      <c r="C567" s="175"/>
      <c r="D567" s="175"/>
      <c r="E567" s="597"/>
      <c r="F567" s="597"/>
      <c r="G567" s="597"/>
      <c r="H567" s="597"/>
      <c r="I567" s="597"/>
      <c r="J567" s="597"/>
      <c r="K567" s="597"/>
      <c r="L567" s="597"/>
      <c r="M567" s="597"/>
      <c r="N567" s="597"/>
      <c r="O567" s="597"/>
      <c r="P567" s="597"/>
      <c r="Q567" s="597"/>
      <c r="R567" s="597"/>
      <c r="S567" s="175"/>
      <c r="T567" s="175"/>
      <c r="U567" s="175"/>
      <c r="V567" s="175"/>
      <c r="W567" s="175"/>
      <c r="X567" s="597"/>
      <c r="Y567" s="175"/>
      <c r="Z567" s="175"/>
    </row>
    <row r="568" ht="12.0" customHeight="1">
      <c r="A568" s="175"/>
      <c r="B568" s="175"/>
      <c r="C568" s="175"/>
      <c r="D568" s="175"/>
      <c r="E568" s="597"/>
      <c r="F568" s="597"/>
      <c r="G568" s="597"/>
      <c r="H568" s="597"/>
      <c r="I568" s="597"/>
      <c r="J568" s="597"/>
      <c r="K568" s="597"/>
      <c r="L568" s="597"/>
      <c r="M568" s="597"/>
      <c r="N568" s="597"/>
      <c r="O568" s="597"/>
      <c r="P568" s="597"/>
      <c r="Q568" s="597"/>
      <c r="R568" s="597"/>
      <c r="S568" s="175"/>
      <c r="T568" s="175"/>
      <c r="U568" s="175"/>
      <c r="V568" s="175"/>
      <c r="W568" s="175"/>
      <c r="X568" s="597"/>
      <c r="Y568" s="175"/>
      <c r="Z568" s="175"/>
    </row>
    <row r="569" ht="12.0" customHeight="1">
      <c r="A569" s="175"/>
      <c r="B569" s="175"/>
      <c r="C569" s="175"/>
      <c r="D569" s="175"/>
      <c r="E569" s="597"/>
      <c r="F569" s="597"/>
      <c r="G569" s="597"/>
      <c r="H569" s="597"/>
      <c r="I569" s="597"/>
      <c r="J569" s="597"/>
      <c r="K569" s="597"/>
      <c r="L569" s="597"/>
      <c r="M569" s="597"/>
      <c r="N569" s="597"/>
      <c r="O569" s="597"/>
      <c r="P569" s="597"/>
      <c r="Q569" s="597"/>
      <c r="R569" s="597"/>
      <c r="S569" s="175"/>
      <c r="T569" s="175"/>
      <c r="U569" s="175"/>
      <c r="V569" s="175"/>
      <c r="W569" s="175"/>
      <c r="X569" s="597"/>
      <c r="Y569" s="175"/>
      <c r="Z569" s="175"/>
    </row>
    <row r="570" ht="12.0" customHeight="1">
      <c r="A570" s="175"/>
      <c r="B570" s="175"/>
      <c r="C570" s="175"/>
      <c r="D570" s="175"/>
      <c r="E570" s="597"/>
      <c r="F570" s="597"/>
      <c r="G570" s="597"/>
      <c r="H570" s="597"/>
      <c r="I570" s="597"/>
      <c r="J570" s="597"/>
      <c r="K570" s="597"/>
      <c r="L570" s="597"/>
      <c r="M570" s="597"/>
      <c r="N570" s="597"/>
      <c r="O570" s="597"/>
      <c r="P570" s="597"/>
      <c r="Q570" s="597"/>
      <c r="R570" s="597"/>
      <c r="S570" s="175"/>
      <c r="T570" s="175"/>
      <c r="U570" s="175"/>
      <c r="V570" s="175"/>
      <c r="W570" s="175"/>
      <c r="X570" s="597"/>
      <c r="Y570" s="175"/>
      <c r="Z570" s="175"/>
    </row>
    <row r="571" ht="12.0" customHeight="1">
      <c r="A571" s="175"/>
      <c r="B571" s="175"/>
      <c r="C571" s="175"/>
      <c r="D571" s="175"/>
      <c r="E571" s="597"/>
      <c r="F571" s="597"/>
      <c r="G571" s="597"/>
      <c r="H571" s="597"/>
      <c r="I571" s="597"/>
      <c r="J571" s="597"/>
      <c r="K571" s="597"/>
      <c r="L571" s="597"/>
      <c r="M571" s="597"/>
      <c r="N571" s="597"/>
      <c r="O571" s="597"/>
      <c r="P571" s="597"/>
      <c r="Q571" s="597"/>
      <c r="R571" s="597"/>
      <c r="S571" s="175"/>
      <c r="T571" s="175"/>
      <c r="U571" s="175"/>
      <c r="V571" s="175"/>
      <c r="W571" s="175"/>
      <c r="X571" s="597"/>
      <c r="Y571" s="175"/>
      <c r="Z571" s="175"/>
    </row>
    <row r="572" ht="12.0" customHeight="1">
      <c r="A572" s="175"/>
      <c r="B572" s="175"/>
      <c r="C572" s="175"/>
      <c r="D572" s="175"/>
      <c r="E572" s="597"/>
      <c r="F572" s="597"/>
      <c r="G572" s="597"/>
      <c r="H572" s="597"/>
      <c r="I572" s="597"/>
      <c r="J572" s="597"/>
      <c r="K572" s="597"/>
      <c r="L572" s="597"/>
      <c r="M572" s="597"/>
      <c r="N572" s="597"/>
      <c r="O572" s="597"/>
      <c r="P572" s="597"/>
      <c r="Q572" s="597"/>
      <c r="R572" s="597"/>
      <c r="S572" s="175"/>
      <c r="T572" s="175"/>
      <c r="U572" s="175"/>
      <c r="V572" s="175"/>
      <c r="W572" s="175"/>
      <c r="X572" s="597"/>
      <c r="Y572" s="175"/>
      <c r="Z572" s="175"/>
    </row>
    <row r="573" ht="12.0" customHeight="1">
      <c r="A573" s="175"/>
      <c r="B573" s="175"/>
      <c r="C573" s="175"/>
      <c r="D573" s="175"/>
      <c r="E573" s="597"/>
      <c r="F573" s="597"/>
      <c r="G573" s="597"/>
      <c r="H573" s="597"/>
      <c r="I573" s="597"/>
      <c r="J573" s="597"/>
      <c r="K573" s="597"/>
      <c r="L573" s="597"/>
      <c r="M573" s="597"/>
      <c r="N573" s="597"/>
      <c r="O573" s="597"/>
      <c r="P573" s="597"/>
      <c r="Q573" s="597"/>
      <c r="R573" s="597"/>
      <c r="S573" s="175"/>
      <c r="T573" s="175"/>
      <c r="U573" s="175"/>
      <c r="V573" s="175"/>
      <c r="W573" s="175"/>
      <c r="X573" s="597"/>
      <c r="Y573" s="175"/>
      <c r="Z573" s="175"/>
    </row>
    <row r="574" ht="12.0" customHeight="1">
      <c r="A574" s="175"/>
      <c r="B574" s="175"/>
      <c r="C574" s="175"/>
      <c r="D574" s="175"/>
      <c r="E574" s="597"/>
      <c r="F574" s="597"/>
      <c r="G574" s="597"/>
      <c r="H574" s="597"/>
      <c r="I574" s="597"/>
      <c r="J574" s="597"/>
      <c r="K574" s="597"/>
      <c r="L574" s="597"/>
      <c r="M574" s="597"/>
      <c r="N574" s="597"/>
      <c r="O574" s="597"/>
      <c r="P574" s="597"/>
      <c r="Q574" s="597"/>
      <c r="R574" s="597"/>
      <c r="S574" s="175"/>
      <c r="T574" s="175"/>
      <c r="U574" s="175"/>
      <c r="V574" s="175"/>
      <c r="W574" s="175"/>
      <c r="X574" s="597"/>
      <c r="Y574" s="175"/>
      <c r="Z574" s="175"/>
    </row>
    <row r="575" ht="12.0" customHeight="1">
      <c r="A575" s="175"/>
      <c r="B575" s="175"/>
      <c r="C575" s="175"/>
      <c r="D575" s="175"/>
      <c r="E575" s="597"/>
      <c r="F575" s="597"/>
      <c r="G575" s="597"/>
      <c r="H575" s="597"/>
      <c r="I575" s="597"/>
      <c r="J575" s="597"/>
      <c r="K575" s="597"/>
      <c r="L575" s="597"/>
      <c r="M575" s="597"/>
      <c r="N575" s="597"/>
      <c r="O575" s="597"/>
      <c r="P575" s="597"/>
      <c r="Q575" s="597"/>
      <c r="R575" s="597"/>
      <c r="S575" s="175"/>
      <c r="T575" s="175"/>
      <c r="U575" s="175"/>
      <c r="V575" s="175"/>
      <c r="W575" s="175"/>
      <c r="X575" s="597"/>
      <c r="Y575" s="175"/>
      <c r="Z575" s="175"/>
    </row>
    <row r="576" ht="12.0" customHeight="1">
      <c r="A576" s="175"/>
      <c r="B576" s="175"/>
      <c r="C576" s="175"/>
      <c r="D576" s="175"/>
      <c r="E576" s="597"/>
      <c r="F576" s="597"/>
      <c r="G576" s="597"/>
      <c r="H576" s="597"/>
      <c r="I576" s="597"/>
      <c r="J576" s="597"/>
      <c r="K576" s="597"/>
      <c r="L576" s="597"/>
      <c r="M576" s="597"/>
      <c r="N576" s="597"/>
      <c r="O576" s="597"/>
      <c r="P576" s="597"/>
      <c r="Q576" s="597"/>
      <c r="R576" s="597"/>
      <c r="S576" s="175"/>
      <c r="T576" s="175"/>
      <c r="U576" s="175"/>
      <c r="V576" s="175"/>
      <c r="W576" s="175"/>
      <c r="X576" s="597"/>
      <c r="Y576" s="175"/>
      <c r="Z576" s="175"/>
    </row>
    <row r="577" ht="12.0" customHeight="1">
      <c r="A577" s="175"/>
      <c r="B577" s="175"/>
      <c r="C577" s="175"/>
      <c r="D577" s="175"/>
      <c r="E577" s="597"/>
      <c r="F577" s="597"/>
      <c r="G577" s="597"/>
      <c r="H577" s="597"/>
      <c r="I577" s="597"/>
      <c r="J577" s="597"/>
      <c r="K577" s="597"/>
      <c r="L577" s="597"/>
      <c r="M577" s="597"/>
      <c r="N577" s="597"/>
      <c r="O577" s="597"/>
      <c r="P577" s="597"/>
      <c r="Q577" s="597"/>
      <c r="R577" s="597"/>
      <c r="S577" s="175"/>
      <c r="T577" s="175"/>
      <c r="U577" s="175"/>
      <c r="V577" s="175"/>
      <c r="W577" s="175"/>
      <c r="X577" s="597"/>
      <c r="Y577" s="175"/>
      <c r="Z577" s="175"/>
    </row>
    <row r="578" ht="12.0" customHeight="1">
      <c r="A578" s="175"/>
      <c r="B578" s="175"/>
      <c r="C578" s="175"/>
      <c r="D578" s="175"/>
      <c r="E578" s="597"/>
      <c r="F578" s="597"/>
      <c r="G578" s="597"/>
      <c r="H578" s="597"/>
      <c r="I578" s="597"/>
      <c r="J578" s="597"/>
      <c r="K578" s="597"/>
      <c r="L578" s="597"/>
      <c r="M578" s="597"/>
      <c r="N578" s="597"/>
      <c r="O578" s="597"/>
      <c r="P578" s="597"/>
      <c r="Q578" s="597"/>
      <c r="R578" s="597"/>
      <c r="S578" s="175"/>
      <c r="T578" s="175"/>
      <c r="U578" s="175"/>
      <c r="V578" s="175"/>
      <c r="W578" s="175"/>
      <c r="X578" s="597"/>
      <c r="Y578" s="175"/>
      <c r="Z578" s="175"/>
    </row>
    <row r="579" ht="12.0" customHeight="1">
      <c r="A579" s="175"/>
      <c r="B579" s="175"/>
      <c r="C579" s="175"/>
      <c r="D579" s="175"/>
      <c r="E579" s="597"/>
      <c r="F579" s="597"/>
      <c r="G579" s="597"/>
      <c r="H579" s="597"/>
      <c r="I579" s="597"/>
      <c r="J579" s="597"/>
      <c r="K579" s="597"/>
      <c r="L579" s="597"/>
      <c r="M579" s="597"/>
      <c r="N579" s="597"/>
      <c r="O579" s="597"/>
      <c r="P579" s="597"/>
      <c r="Q579" s="597"/>
      <c r="R579" s="597"/>
      <c r="S579" s="175"/>
      <c r="T579" s="175"/>
      <c r="U579" s="175"/>
      <c r="V579" s="175"/>
      <c r="W579" s="175"/>
      <c r="X579" s="597"/>
      <c r="Y579" s="175"/>
      <c r="Z579" s="175"/>
    </row>
    <row r="580" ht="12.0" customHeight="1">
      <c r="A580" s="175"/>
      <c r="B580" s="175"/>
      <c r="C580" s="175"/>
      <c r="D580" s="175"/>
      <c r="E580" s="597"/>
      <c r="F580" s="597"/>
      <c r="G580" s="597"/>
      <c r="H580" s="597"/>
      <c r="I580" s="597"/>
      <c r="J580" s="597"/>
      <c r="K580" s="597"/>
      <c r="L580" s="597"/>
      <c r="M580" s="597"/>
      <c r="N580" s="597"/>
      <c r="O580" s="597"/>
      <c r="P580" s="597"/>
      <c r="Q580" s="597"/>
      <c r="R580" s="597"/>
      <c r="S580" s="175"/>
      <c r="T580" s="175"/>
      <c r="U580" s="175"/>
      <c r="V580" s="175"/>
      <c r="W580" s="175"/>
      <c r="X580" s="597"/>
      <c r="Y580" s="175"/>
      <c r="Z580" s="175"/>
    </row>
    <row r="581" ht="12.0" customHeight="1">
      <c r="A581" s="175"/>
      <c r="B581" s="175"/>
      <c r="C581" s="175"/>
      <c r="D581" s="175"/>
      <c r="E581" s="597"/>
      <c r="F581" s="597"/>
      <c r="G581" s="597"/>
      <c r="H581" s="597"/>
      <c r="I581" s="597"/>
      <c r="J581" s="597"/>
      <c r="K581" s="597"/>
      <c r="L581" s="597"/>
      <c r="M581" s="597"/>
      <c r="N581" s="597"/>
      <c r="O581" s="597"/>
      <c r="P581" s="597"/>
      <c r="Q581" s="597"/>
      <c r="R581" s="597"/>
      <c r="S581" s="175"/>
      <c r="T581" s="175"/>
      <c r="U581" s="175"/>
      <c r="V581" s="175"/>
      <c r="W581" s="175"/>
      <c r="X581" s="597"/>
      <c r="Y581" s="175"/>
      <c r="Z581" s="175"/>
    </row>
    <row r="582" ht="12.0" customHeight="1">
      <c r="A582" s="175"/>
      <c r="B582" s="175"/>
      <c r="C582" s="175"/>
      <c r="D582" s="175"/>
      <c r="E582" s="597"/>
      <c r="F582" s="597"/>
      <c r="G582" s="597"/>
      <c r="H582" s="597"/>
      <c r="I582" s="597"/>
      <c r="J582" s="597"/>
      <c r="K582" s="597"/>
      <c r="L582" s="597"/>
      <c r="M582" s="597"/>
      <c r="N582" s="597"/>
      <c r="O582" s="597"/>
      <c r="P582" s="597"/>
      <c r="Q582" s="597"/>
      <c r="R582" s="597"/>
      <c r="S582" s="175"/>
      <c r="T582" s="175"/>
      <c r="U582" s="175"/>
      <c r="V582" s="175"/>
      <c r="W582" s="175"/>
      <c r="X582" s="597"/>
      <c r="Y582" s="175"/>
      <c r="Z582" s="175"/>
    </row>
    <row r="583" ht="12.0" customHeight="1">
      <c r="A583" s="175"/>
      <c r="B583" s="175"/>
      <c r="C583" s="175"/>
      <c r="D583" s="175"/>
      <c r="E583" s="597"/>
      <c r="F583" s="597"/>
      <c r="G583" s="597"/>
      <c r="H583" s="597"/>
      <c r="I583" s="597"/>
      <c r="J583" s="597"/>
      <c r="K583" s="597"/>
      <c r="L583" s="597"/>
      <c r="M583" s="597"/>
      <c r="N583" s="597"/>
      <c r="O583" s="597"/>
      <c r="P583" s="597"/>
      <c r="Q583" s="597"/>
      <c r="R583" s="597"/>
      <c r="S583" s="175"/>
      <c r="T583" s="175"/>
      <c r="U583" s="175"/>
      <c r="V583" s="175"/>
      <c r="W583" s="175"/>
      <c r="X583" s="597"/>
      <c r="Y583" s="175"/>
      <c r="Z583" s="175"/>
    </row>
    <row r="584" ht="12.0" customHeight="1">
      <c r="A584" s="175"/>
      <c r="B584" s="175"/>
      <c r="C584" s="175"/>
      <c r="D584" s="175"/>
      <c r="E584" s="597"/>
      <c r="F584" s="597"/>
      <c r="G584" s="597"/>
      <c r="H584" s="597"/>
      <c r="I584" s="597"/>
      <c r="J584" s="597"/>
      <c r="K584" s="597"/>
      <c r="L584" s="597"/>
      <c r="M584" s="597"/>
      <c r="N584" s="597"/>
      <c r="O584" s="597"/>
      <c r="P584" s="597"/>
      <c r="Q584" s="597"/>
      <c r="R584" s="597"/>
      <c r="S584" s="175"/>
      <c r="T584" s="175"/>
      <c r="U584" s="175"/>
      <c r="V584" s="175"/>
      <c r="W584" s="175"/>
      <c r="X584" s="597"/>
      <c r="Y584" s="175"/>
      <c r="Z584" s="175"/>
    </row>
    <row r="585" ht="12.0" customHeight="1">
      <c r="A585" s="175"/>
      <c r="B585" s="175"/>
      <c r="C585" s="175"/>
      <c r="D585" s="175"/>
      <c r="E585" s="597"/>
      <c r="F585" s="597"/>
      <c r="G585" s="597"/>
      <c r="H585" s="597"/>
      <c r="I585" s="597"/>
      <c r="J585" s="597"/>
      <c r="K585" s="597"/>
      <c r="L585" s="597"/>
      <c r="M585" s="597"/>
      <c r="N585" s="597"/>
      <c r="O585" s="597"/>
      <c r="P585" s="597"/>
      <c r="Q585" s="597"/>
      <c r="R585" s="597"/>
      <c r="S585" s="175"/>
      <c r="T585" s="175"/>
      <c r="U585" s="175"/>
      <c r="V585" s="175"/>
      <c r="W585" s="175"/>
      <c r="X585" s="597"/>
      <c r="Y585" s="175"/>
      <c r="Z585" s="175"/>
    </row>
    <row r="586" ht="12.0" customHeight="1">
      <c r="A586" s="175"/>
      <c r="B586" s="175"/>
      <c r="C586" s="175"/>
      <c r="D586" s="175"/>
      <c r="E586" s="597"/>
      <c r="F586" s="597"/>
      <c r="G586" s="597"/>
      <c r="H586" s="597"/>
      <c r="I586" s="597"/>
      <c r="J586" s="597"/>
      <c r="K586" s="597"/>
      <c r="L586" s="597"/>
      <c r="M586" s="597"/>
      <c r="N586" s="597"/>
      <c r="O586" s="597"/>
      <c r="P586" s="597"/>
      <c r="Q586" s="597"/>
      <c r="R586" s="597"/>
      <c r="S586" s="175"/>
      <c r="T586" s="175"/>
      <c r="U586" s="175"/>
      <c r="V586" s="175"/>
      <c r="W586" s="175"/>
      <c r="X586" s="597"/>
      <c r="Y586" s="175"/>
      <c r="Z586" s="175"/>
    </row>
    <row r="587" ht="12.0" customHeight="1">
      <c r="A587" s="175"/>
      <c r="B587" s="175"/>
      <c r="C587" s="175"/>
      <c r="D587" s="175"/>
      <c r="E587" s="597"/>
      <c r="F587" s="597"/>
      <c r="G587" s="597"/>
      <c r="H587" s="597"/>
      <c r="I587" s="597"/>
      <c r="J587" s="597"/>
      <c r="K587" s="597"/>
      <c r="L587" s="597"/>
      <c r="M587" s="597"/>
      <c r="N587" s="597"/>
      <c r="O587" s="597"/>
      <c r="P587" s="597"/>
      <c r="Q587" s="597"/>
      <c r="R587" s="597"/>
      <c r="S587" s="175"/>
      <c r="T587" s="175"/>
      <c r="U587" s="175"/>
      <c r="V587" s="175"/>
      <c r="W587" s="175"/>
      <c r="X587" s="597"/>
      <c r="Y587" s="175"/>
      <c r="Z587" s="175"/>
    </row>
    <row r="588" ht="12.0" customHeight="1">
      <c r="A588" s="175"/>
      <c r="B588" s="175"/>
      <c r="C588" s="175"/>
      <c r="D588" s="175"/>
      <c r="E588" s="597"/>
      <c r="F588" s="597"/>
      <c r="G588" s="597"/>
      <c r="H588" s="597"/>
      <c r="I588" s="597"/>
      <c r="J588" s="597"/>
      <c r="K588" s="597"/>
      <c r="L588" s="597"/>
      <c r="M588" s="597"/>
      <c r="N588" s="597"/>
      <c r="O588" s="597"/>
      <c r="P588" s="597"/>
      <c r="Q588" s="597"/>
      <c r="R588" s="597"/>
      <c r="S588" s="175"/>
      <c r="T588" s="175"/>
      <c r="U588" s="175"/>
      <c r="V588" s="175"/>
      <c r="W588" s="175"/>
      <c r="X588" s="597"/>
      <c r="Y588" s="175"/>
      <c r="Z588" s="175"/>
    </row>
    <row r="589" ht="12.0" customHeight="1">
      <c r="A589" s="175"/>
      <c r="B589" s="175"/>
      <c r="C589" s="175"/>
      <c r="D589" s="175"/>
      <c r="E589" s="597"/>
      <c r="F589" s="597"/>
      <c r="G589" s="597"/>
      <c r="H589" s="597"/>
      <c r="I589" s="597"/>
      <c r="J589" s="597"/>
      <c r="K589" s="597"/>
      <c r="L589" s="597"/>
      <c r="M589" s="597"/>
      <c r="N589" s="597"/>
      <c r="O589" s="597"/>
      <c r="P589" s="597"/>
      <c r="Q589" s="597"/>
      <c r="R589" s="597"/>
      <c r="S589" s="175"/>
      <c r="T589" s="175"/>
      <c r="U589" s="175"/>
      <c r="V589" s="175"/>
      <c r="W589" s="175"/>
      <c r="X589" s="597"/>
      <c r="Y589" s="175"/>
      <c r="Z589" s="175"/>
    </row>
    <row r="590" ht="12.0" customHeight="1">
      <c r="A590" s="175"/>
      <c r="B590" s="175"/>
      <c r="C590" s="175"/>
      <c r="D590" s="175"/>
      <c r="E590" s="597"/>
      <c r="F590" s="597"/>
      <c r="G590" s="597"/>
      <c r="H590" s="597"/>
      <c r="I590" s="597"/>
      <c r="J590" s="597"/>
      <c r="K590" s="597"/>
      <c r="L590" s="597"/>
      <c r="M590" s="597"/>
      <c r="N590" s="597"/>
      <c r="O590" s="597"/>
      <c r="P590" s="597"/>
      <c r="Q590" s="597"/>
      <c r="R590" s="597"/>
      <c r="S590" s="175"/>
      <c r="T590" s="175"/>
      <c r="U590" s="175"/>
      <c r="V590" s="175"/>
      <c r="W590" s="175"/>
      <c r="X590" s="597"/>
      <c r="Y590" s="175"/>
      <c r="Z590" s="175"/>
    </row>
    <row r="591" ht="12.0" customHeight="1">
      <c r="A591" s="175"/>
      <c r="B591" s="175"/>
      <c r="C591" s="175"/>
      <c r="D591" s="175"/>
      <c r="E591" s="597"/>
      <c r="F591" s="597"/>
      <c r="G591" s="597"/>
      <c r="H591" s="597"/>
      <c r="I591" s="597"/>
      <c r="J591" s="597"/>
      <c r="K591" s="597"/>
      <c r="L591" s="597"/>
      <c r="M591" s="597"/>
      <c r="N591" s="597"/>
      <c r="O591" s="597"/>
      <c r="P591" s="597"/>
      <c r="Q591" s="597"/>
      <c r="R591" s="597"/>
      <c r="S591" s="175"/>
      <c r="T591" s="175"/>
      <c r="U591" s="175"/>
      <c r="V591" s="175"/>
      <c r="W591" s="175"/>
      <c r="X591" s="597"/>
      <c r="Y591" s="175"/>
      <c r="Z591" s="175"/>
    </row>
    <row r="592" ht="12.0" customHeight="1">
      <c r="A592" s="175"/>
      <c r="B592" s="175"/>
      <c r="C592" s="175"/>
      <c r="D592" s="175"/>
      <c r="E592" s="597"/>
      <c r="F592" s="597"/>
      <c r="G592" s="597"/>
      <c r="H592" s="597"/>
      <c r="I592" s="597"/>
      <c r="J592" s="597"/>
      <c r="K592" s="597"/>
      <c r="L592" s="597"/>
      <c r="M592" s="597"/>
      <c r="N592" s="597"/>
      <c r="O592" s="597"/>
      <c r="P592" s="597"/>
      <c r="Q592" s="597"/>
      <c r="R592" s="597"/>
      <c r="S592" s="175"/>
      <c r="T592" s="175"/>
      <c r="U592" s="175"/>
      <c r="V592" s="175"/>
      <c r="W592" s="175"/>
      <c r="X592" s="597"/>
      <c r="Y592" s="175"/>
      <c r="Z592" s="175"/>
    </row>
    <row r="593" ht="12.0" customHeight="1">
      <c r="A593" s="175"/>
      <c r="B593" s="175"/>
      <c r="C593" s="175"/>
      <c r="D593" s="175"/>
      <c r="E593" s="597"/>
      <c r="F593" s="597"/>
      <c r="G593" s="597"/>
      <c r="H593" s="597"/>
      <c r="I593" s="597"/>
      <c r="J593" s="597"/>
      <c r="K593" s="597"/>
      <c r="L593" s="597"/>
      <c r="M593" s="597"/>
      <c r="N593" s="597"/>
      <c r="O593" s="597"/>
      <c r="P593" s="597"/>
      <c r="Q593" s="597"/>
      <c r="R593" s="597"/>
      <c r="S593" s="175"/>
      <c r="T593" s="175"/>
      <c r="U593" s="175"/>
      <c r="V593" s="175"/>
      <c r="W593" s="175"/>
      <c r="X593" s="597"/>
      <c r="Y593" s="175"/>
      <c r="Z593" s="175"/>
    </row>
    <row r="594" ht="12.0" customHeight="1">
      <c r="A594" s="175"/>
      <c r="B594" s="175"/>
      <c r="C594" s="175"/>
      <c r="D594" s="175"/>
      <c r="E594" s="597"/>
      <c r="F594" s="597"/>
      <c r="G594" s="597"/>
      <c r="H594" s="597"/>
      <c r="I594" s="597"/>
      <c r="J594" s="597"/>
      <c r="K594" s="597"/>
      <c r="L594" s="597"/>
      <c r="M594" s="597"/>
      <c r="N594" s="597"/>
      <c r="O594" s="597"/>
      <c r="P594" s="597"/>
      <c r="Q594" s="597"/>
      <c r="R594" s="597"/>
      <c r="S594" s="175"/>
      <c r="T594" s="175"/>
      <c r="U594" s="175"/>
      <c r="V594" s="175"/>
      <c r="W594" s="175"/>
      <c r="X594" s="597"/>
      <c r="Y594" s="175"/>
      <c r="Z594" s="175"/>
    </row>
    <row r="595" ht="12.0" customHeight="1">
      <c r="A595" s="175"/>
      <c r="B595" s="175"/>
      <c r="C595" s="175"/>
      <c r="D595" s="175"/>
      <c r="E595" s="597"/>
      <c r="F595" s="597"/>
      <c r="G595" s="597"/>
      <c r="H595" s="597"/>
      <c r="I595" s="597"/>
      <c r="J595" s="597"/>
      <c r="K595" s="597"/>
      <c r="L595" s="597"/>
      <c r="M595" s="597"/>
      <c r="N595" s="597"/>
      <c r="O595" s="597"/>
      <c r="P595" s="597"/>
      <c r="Q595" s="597"/>
      <c r="R595" s="597"/>
      <c r="S595" s="175"/>
      <c r="T595" s="175"/>
      <c r="U595" s="175"/>
      <c r="V595" s="175"/>
      <c r="W595" s="175"/>
      <c r="X595" s="597"/>
      <c r="Y595" s="175"/>
      <c r="Z595" s="175"/>
    </row>
    <row r="596" ht="12.0" customHeight="1">
      <c r="A596" s="175"/>
      <c r="B596" s="175"/>
      <c r="C596" s="175"/>
      <c r="D596" s="175"/>
      <c r="E596" s="597"/>
      <c r="F596" s="597"/>
      <c r="G596" s="597"/>
      <c r="H596" s="597"/>
      <c r="I596" s="597"/>
      <c r="J596" s="597"/>
      <c r="K596" s="597"/>
      <c r="L596" s="597"/>
      <c r="M596" s="597"/>
      <c r="N596" s="597"/>
      <c r="O596" s="597"/>
      <c r="P596" s="597"/>
      <c r="Q596" s="597"/>
      <c r="R596" s="597"/>
      <c r="S596" s="175"/>
      <c r="T596" s="175"/>
      <c r="U596" s="175"/>
      <c r="V596" s="175"/>
      <c r="W596" s="175"/>
      <c r="X596" s="597"/>
      <c r="Y596" s="175"/>
      <c r="Z596" s="175"/>
    </row>
    <row r="597" ht="12.0" customHeight="1">
      <c r="A597" s="175"/>
      <c r="B597" s="175"/>
      <c r="C597" s="175"/>
      <c r="D597" s="175"/>
      <c r="E597" s="597"/>
      <c r="F597" s="597"/>
      <c r="G597" s="597"/>
      <c r="H597" s="597"/>
      <c r="I597" s="597"/>
      <c r="J597" s="597"/>
      <c r="K597" s="597"/>
      <c r="L597" s="597"/>
      <c r="M597" s="597"/>
      <c r="N597" s="597"/>
      <c r="O597" s="597"/>
      <c r="P597" s="597"/>
      <c r="Q597" s="597"/>
      <c r="R597" s="597"/>
      <c r="S597" s="175"/>
      <c r="T597" s="175"/>
      <c r="U597" s="175"/>
      <c r="V597" s="175"/>
      <c r="W597" s="175"/>
      <c r="X597" s="597"/>
      <c r="Y597" s="175"/>
      <c r="Z597" s="175"/>
    </row>
    <row r="598" ht="12.0" customHeight="1">
      <c r="A598" s="175"/>
      <c r="B598" s="175"/>
      <c r="C598" s="175"/>
      <c r="D598" s="175"/>
      <c r="E598" s="597"/>
      <c r="F598" s="597"/>
      <c r="G598" s="597"/>
      <c r="H598" s="597"/>
      <c r="I598" s="597"/>
      <c r="J598" s="597"/>
      <c r="K598" s="597"/>
      <c r="L598" s="597"/>
      <c r="M598" s="597"/>
      <c r="N598" s="597"/>
      <c r="O598" s="597"/>
      <c r="P598" s="597"/>
      <c r="Q598" s="597"/>
      <c r="R598" s="597"/>
      <c r="S598" s="175"/>
      <c r="T598" s="175"/>
      <c r="U598" s="175"/>
      <c r="V598" s="175"/>
      <c r="W598" s="175"/>
      <c r="X598" s="597"/>
      <c r="Y598" s="175"/>
      <c r="Z598" s="175"/>
    </row>
    <row r="599" ht="12.0" customHeight="1">
      <c r="A599" s="175"/>
      <c r="B599" s="175"/>
      <c r="C599" s="175"/>
      <c r="D599" s="175"/>
      <c r="E599" s="597"/>
      <c r="F599" s="597"/>
      <c r="G599" s="597"/>
      <c r="H599" s="597"/>
      <c r="I599" s="597"/>
      <c r="J599" s="597"/>
      <c r="K599" s="597"/>
      <c r="L599" s="597"/>
      <c r="M599" s="597"/>
      <c r="N599" s="597"/>
      <c r="O599" s="597"/>
      <c r="P599" s="597"/>
      <c r="Q599" s="597"/>
      <c r="R599" s="597"/>
      <c r="S599" s="175"/>
      <c r="T599" s="175"/>
      <c r="U599" s="175"/>
      <c r="V599" s="175"/>
      <c r="W599" s="175"/>
      <c r="X599" s="597"/>
      <c r="Y599" s="175"/>
      <c r="Z599" s="175"/>
    </row>
    <row r="600" ht="12.0" customHeight="1">
      <c r="A600" s="175"/>
      <c r="B600" s="175"/>
      <c r="C600" s="175"/>
      <c r="D600" s="175"/>
      <c r="E600" s="597"/>
      <c r="F600" s="597"/>
      <c r="G600" s="597"/>
      <c r="H600" s="597"/>
      <c r="I600" s="597"/>
      <c r="J600" s="597"/>
      <c r="K600" s="597"/>
      <c r="L600" s="597"/>
      <c r="M600" s="597"/>
      <c r="N600" s="597"/>
      <c r="O600" s="597"/>
      <c r="P600" s="597"/>
      <c r="Q600" s="597"/>
      <c r="R600" s="597"/>
      <c r="S600" s="175"/>
      <c r="T600" s="175"/>
      <c r="U600" s="175"/>
      <c r="V600" s="175"/>
      <c r="W600" s="175"/>
      <c r="X600" s="597"/>
      <c r="Y600" s="175"/>
      <c r="Z600" s="175"/>
    </row>
    <row r="601" ht="12.0" customHeight="1">
      <c r="A601" s="175"/>
      <c r="B601" s="175"/>
      <c r="C601" s="175"/>
      <c r="D601" s="175"/>
      <c r="E601" s="597"/>
      <c r="F601" s="597"/>
      <c r="G601" s="597"/>
      <c r="H601" s="597"/>
      <c r="I601" s="597"/>
      <c r="J601" s="597"/>
      <c r="K601" s="597"/>
      <c r="L601" s="597"/>
      <c r="M601" s="597"/>
      <c r="N601" s="597"/>
      <c r="O601" s="597"/>
      <c r="P601" s="597"/>
      <c r="Q601" s="597"/>
      <c r="R601" s="597"/>
      <c r="S601" s="175"/>
      <c r="T601" s="175"/>
      <c r="U601" s="175"/>
      <c r="V601" s="175"/>
      <c r="W601" s="175"/>
      <c r="X601" s="597"/>
      <c r="Y601" s="175"/>
      <c r="Z601" s="175"/>
    </row>
    <row r="602" ht="12.0" customHeight="1">
      <c r="A602" s="175"/>
      <c r="B602" s="175"/>
      <c r="C602" s="175"/>
      <c r="D602" s="175"/>
      <c r="E602" s="597"/>
      <c r="F602" s="597"/>
      <c r="G602" s="597"/>
      <c r="H602" s="597"/>
      <c r="I602" s="597"/>
      <c r="J602" s="597"/>
      <c r="K602" s="597"/>
      <c r="L602" s="597"/>
      <c r="M602" s="597"/>
      <c r="N602" s="597"/>
      <c r="O602" s="597"/>
      <c r="P602" s="597"/>
      <c r="Q602" s="597"/>
      <c r="R602" s="597"/>
      <c r="S602" s="175"/>
      <c r="T602" s="175"/>
      <c r="U602" s="175"/>
      <c r="V602" s="175"/>
      <c r="W602" s="175"/>
      <c r="X602" s="597"/>
      <c r="Y602" s="175"/>
      <c r="Z602" s="175"/>
    </row>
    <row r="603" ht="12.0" customHeight="1">
      <c r="A603" s="175"/>
      <c r="B603" s="175"/>
      <c r="C603" s="175"/>
      <c r="D603" s="175"/>
      <c r="E603" s="597"/>
      <c r="F603" s="597"/>
      <c r="G603" s="597"/>
      <c r="H603" s="597"/>
      <c r="I603" s="597"/>
      <c r="J603" s="597"/>
      <c r="K603" s="597"/>
      <c r="L603" s="597"/>
      <c r="M603" s="597"/>
      <c r="N603" s="597"/>
      <c r="O603" s="597"/>
      <c r="P603" s="597"/>
      <c r="Q603" s="597"/>
      <c r="R603" s="597"/>
      <c r="S603" s="175"/>
      <c r="T603" s="175"/>
      <c r="U603" s="175"/>
      <c r="V603" s="175"/>
      <c r="W603" s="175"/>
      <c r="X603" s="597"/>
      <c r="Y603" s="175"/>
      <c r="Z603" s="175"/>
    </row>
    <row r="604" ht="12.0" customHeight="1">
      <c r="A604" s="175"/>
      <c r="B604" s="175"/>
      <c r="C604" s="175"/>
      <c r="D604" s="175"/>
      <c r="E604" s="597"/>
      <c r="F604" s="597"/>
      <c r="G604" s="597"/>
      <c r="H604" s="597"/>
      <c r="I604" s="597"/>
      <c r="J604" s="597"/>
      <c r="K604" s="597"/>
      <c r="L604" s="597"/>
      <c r="M604" s="597"/>
      <c r="N604" s="597"/>
      <c r="O604" s="597"/>
      <c r="P604" s="597"/>
      <c r="Q604" s="597"/>
      <c r="R604" s="597"/>
      <c r="S604" s="175"/>
      <c r="T604" s="175"/>
      <c r="U604" s="175"/>
      <c r="V604" s="175"/>
      <c r="W604" s="175"/>
      <c r="X604" s="597"/>
      <c r="Y604" s="175"/>
      <c r="Z604" s="175"/>
    </row>
    <row r="605" ht="12.0" customHeight="1">
      <c r="A605" s="175"/>
      <c r="B605" s="175"/>
      <c r="C605" s="175"/>
      <c r="D605" s="175"/>
      <c r="E605" s="597"/>
      <c r="F605" s="597"/>
      <c r="G605" s="597"/>
      <c r="H605" s="597"/>
      <c r="I605" s="597"/>
      <c r="J605" s="597"/>
      <c r="K605" s="597"/>
      <c r="L605" s="597"/>
      <c r="M605" s="597"/>
      <c r="N605" s="597"/>
      <c r="O605" s="597"/>
      <c r="P605" s="597"/>
      <c r="Q605" s="597"/>
      <c r="R605" s="597"/>
      <c r="S605" s="175"/>
      <c r="T605" s="175"/>
      <c r="U605" s="175"/>
      <c r="V605" s="175"/>
      <c r="W605" s="175"/>
      <c r="X605" s="597"/>
      <c r="Y605" s="175"/>
      <c r="Z605" s="175"/>
    </row>
    <row r="606" ht="12.0" customHeight="1">
      <c r="A606" s="175"/>
      <c r="B606" s="175"/>
      <c r="C606" s="175"/>
      <c r="D606" s="175"/>
      <c r="E606" s="597"/>
      <c r="F606" s="597"/>
      <c r="G606" s="597"/>
      <c r="H606" s="597"/>
      <c r="I606" s="597"/>
      <c r="J606" s="597"/>
      <c r="K606" s="597"/>
      <c r="L606" s="597"/>
      <c r="M606" s="597"/>
      <c r="N606" s="597"/>
      <c r="O606" s="597"/>
      <c r="P606" s="597"/>
      <c r="Q606" s="597"/>
      <c r="R606" s="597"/>
      <c r="S606" s="175"/>
      <c r="T606" s="175"/>
      <c r="U606" s="175"/>
      <c r="V606" s="175"/>
      <c r="W606" s="175"/>
      <c r="X606" s="597"/>
      <c r="Y606" s="175"/>
      <c r="Z606" s="175"/>
    </row>
    <row r="607" ht="12.0" customHeight="1">
      <c r="A607" s="175"/>
      <c r="B607" s="175"/>
      <c r="C607" s="175"/>
      <c r="D607" s="175"/>
      <c r="E607" s="597"/>
      <c r="F607" s="597"/>
      <c r="G607" s="597"/>
      <c r="H607" s="597"/>
      <c r="I607" s="597"/>
      <c r="J607" s="597"/>
      <c r="K607" s="597"/>
      <c r="L607" s="597"/>
      <c r="M607" s="597"/>
      <c r="N607" s="597"/>
      <c r="O607" s="597"/>
      <c r="P607" s="597"/>
      <c r="Q607" s="597"/>
      <c r="R607" s="597"/>
      <c r="S607" s="175"/>
      <c r="T607" s="175"/>
      <c r="U607" s="175"/>
      <c r="V607" s="175"/>
      <c r="W607" s="175"/>
      <c r="X607" s="597"/>
      <c r="Y607" s="175"/>
      <c r="Z607" s="175"/>
    </row>
    <row r="608" ht="12.0" customHeight="1">
      <c r="A608" s="175"/>
      <c r="B608" s="175"/>
      <c r="C608" s="175"/>
      <c r="D608" s="175"/>
      <c r="E608" s="597"/>
      <c r="F608" s="597"/>
      <c r="G608" s="597"/>
      <c r="H608" s="597"/>
      <c r="I608" s="597"/>
      <c r="J608" s="597"/>
      <c r="K608" s="597"/>
      <c r="L608" s="597"/>
      <c r="M608" s="597"/>
      <c r="N608" s="597"/>
      <c r="O608" s="597"/>
      <c r="P608" s="597"/>
      <c r="Q608" s="597"/>
      <c r="R608" s="597"/>
      <c r="S608" s="175"/>
      <c r="T608" s="175"/>
      <c r="U608" s="175"/>
      <c r="V608" s="175"/>
      <c r="W608" s="175"/>
      <c r="X608" s="597"/>
      <c r="Y608" s="175"/>
      <c r="Z608" s="175"/>
    </row>
    <row r="609" ht="12.0" customHeight="1">
      <c r="A609" s="175"/>
      <c r="B609" s="175"/>
      <c r="C609" s="175"/>
      <c r="D609" s="175"/>
      <c r="E609" s="597"/>
      <c r="F609" s="597"/>
      <c r="G609" s="597"/>
      <c r="H609" s="597"/>
      <c r="I609" s="597"/>
      <c r="J609" s="597"/>
      <c r="K609" s="597"/>
      <c r="L609" s="597"/>
      <c r="M609" s="597"/>
      <c r="N609" s="597"/>
      <c r="O609" s="597"/>
      <c r="P609" s="597"/>
      <c r="Q609" s="597"/>
      <c r="R609" s="597"/>
      <c r="S609" s="175"/>
      <c r="T609" s="175"/>
      <c r="U609" s="175"/>
      <c r="V609" s="175"/>
      <c r="W609" s="175"/>
      <c r="X609" s="597"/>
      <c r="Y609" s="175"/>
      <c r="Z609" s="175"/>
    </row>
    <row r="610" ht="12.0" customHeight="1">
      <c r="A610" s="175"/>
      <c r="B610" s="175"/>
      <c r="C610" s="175"/>
      <c r="D610" s="175"/>
      <c r="E610" s="597"/>
      <c r="F610" s="597"/>
      <c r="G610" s="597"/>
      <c r="H610" s="597"/>
      <c r="I610" s="597"/>
      <c r="J610" s="597"/>
      <c r="K610" s="597"/>
      <c r="L610" s="597"/>
      <c r="M610" s="597"/>
      <c r="N610" s="597"/>
      <c r="O610" s="597"/>
      <c r="P610" s="597"/>
      <c r="Q610" s="597"/>
      <c r="R610" s="597"/>
      <c r="S610" s="175"/>
      <c r="T610" s="175"/>
      <c r="U610" s="175"/>
      <c r="V610" s="175"/>
      <c r="W610" s="175"/>
      <c r="X610" s="597"/>
      <c r="Y610" s="175"/>
      <c r="Z610" s="175"/>
    </row>
    <row r="611" ht="12.0" customHeight="1">
      <c r="A611" s="175"/>
      <c r="B611" s="175"/>
      <c r="C611" s="175"/>
      <c r="D611" s="175"/>
      <c r="E611" s="597"/>
      <c r="F611" s="597"/>
      <c r="G611" s="597"/>
      <c r="H611" s="597"/>
      <c r="I611" s="597"/>
      <c r="J611" s="597"/>
      <c r="K611" s="597"/>
      <c r="L611" s="597"/>
      <c r="M611" s="597"/>
      <c r="N611" s="597"/>
      <c r="O611" s="597"/>
      <c r="P611" s="597"/>
      <c r="Q611" s="597"/>
      <c r="R611" s="597"/>
      <c r="S611" s="175"/>
      <c r="T611" s="175"/>
      <c r="U611" s="175"/>
      <c r="V611" s="175"/>
      <c r="W611" s="175"/>
      <c r="X611" s="597"/>
      <c r="Y611" s="175"/>
      <c r="Z611" s="175"/>
    </row>
    <row r="612" ht="12.0" customHeight="1">
      <c r="A612" s="175"/>
      <c r="B612" s="175"/>
      <c r="C612" s="175"/>
      <c r="D612" s="175"/>
      <c r="E612" s="597"/>
      <c r="F612" s="597"/>
      <c r="G612" s="597"/>
      <c r="H612" s="597"/>
      <c r="I612" s="597"/>
      <c r="J612" s="597"/>
      <c r="K612" s="597"/>
      <c r="L612" s="597"/>
      <c r="M612" s="597"/>
      <c r="N612" s="597"/>
      <c r="O612" s="597"/>
      <c r="P612" s="597"/>
      <c r="Q612" s="597"/>
      <c r="R612" s="597"/>
      <c r="S612" s="175"/>
      <c r="T612" s="175"/>
      <c r="U612" s="175"/>
      <c r="V612" s="175"/>
      <c r="W612" s="175"/>
      <c r="X612" s="597"/>
      <c r="Y612" s="175"/>
      <c r="Z612" s="175"/>
    </row>
    <row r="613" ht="12.0" customHeight="1">
      <c r="A613" s="175"/>
      <c r="B613" s="175"/>
      <c r="C613" s="175"/>
      <c r="D613" s="175"/>
      <c r="E613" s="597"/>
      <c r="F613" s="597"/>
      <c r="G613" s="597"/>
      <c r="H613" s="597"/>
      <c r="I613" s="597"/>
      <c r="J613" s="597"/>
      <c r="K613" s="597"/>
      <c r="L613" s="597"/>
      <c r="M613" s="597"/>
      <c r="N613" s="597"/>
      <c r="O613" s="597"/>
      <c r="P613" s="597"/>
      <c r="Q613" s="597"/>
      <c r="R613" s="597"/>
      <c r="S613" s="175"/>
      <c r="T613" s="175"/>
      <c r="U613" s="175"/>
      <c r="V613" s="175"/>
      <c r="W613" s="175"/>
      <c r="X613" s="597"/>
      <c r="Y613" s="175"/>
      <c r="Z613" s="175"/>
    </row>
    <row r="614" ht="12.0" customHeight="1">
      <c r="A614" s="175"/>
      <c r="B614" s="175"/>
      <c r="C614" s="175"/>
      <c r="D614" s="175"/>
      <c r="E614" s="597"/>
      <c r="F614" s="597"/>
      <c r="G614" s="597"/>
      <c r="H614" s="597"/>
      <c r="I614" s="597"/>
      <c r="J614" s="597"/>
      <c r="K614" s="597"/>
      <c r="L614" s="597"/>
      <c r="M614" s="597"/>
      <c r="N614" s="597"/>
      <c r="O614" s="597"/>
      <c r="P614" s="597"/>
      <c r="Q614" s="597"/>
      <c r="R614" s="597"/>
      <c r="S614" s="175"/>
      <c r="T614" s="175"/>
      <c r="U614" s="175"/>
      <c r="V614" s="175"/>
      <c r="W614" s="175"/>
      <c r="X614" s="597"/>
      <c r="Y614" s="175"/>
      <c r="Z614" s="175"/>
    </row>
    <row r="615" ht="12.0" customHeight="1">
      <c r="A615" s="175"/>
      <c r="B615" s="175"/>
      <c r="C615" s="175"/>
      <c r="D615" s="175"/>
      <c r="E615" s="597"/>
      <c r="F615" s="597"/>
      <c r="G615" s="597"/>
      <c r="H615" s="597"/>
      <c r="I615" s="597"/>
      <c r="J615" s="597"/>
      <c r="K615" s="597"/>
      <c r="L615" s="597"/>
      <c r="M615" s="597"/>
      <c r="N615" s="597"/>
      <c r="O615" s="597"/>
      <c r="P615" s="597"/>
      <c r="Q615" s="597"/>
      <c r="R615" s="597"/>
      <c r="S615" s="175"/>
      <c r="T615" s="175"/>
      <c r="U615" s="175"/>
      <c r="V615" s="175"/>
      <c r="W615" s="175"/>
      <c r="X615" s="597"/>
      <c r="Y615" s="175"/>
      <c r="Z615" s="175"/>
    </row>
    <row r="616" ht="12.0" customHeight="1">
      <c r="A616" s="175"/>
      <c r="B616" s="175"/>
      <c r="C616" s="175"/>
      <c r="D616" s="175"/>
      <c r="E616" s="597"/>
      <c r="F616" s="597"/>
      <c r="G616" s="597"/>
      <c r="H616" s="597"/>
      <c r="I616" s="597"/>
      <c r="J616" s="597"/>
      <c r="K616" s="597"/>
      <c r="L616" s="597"/>
      <c r="M616" s="597"/>
      <c r="N616" s="597"/>
      <c r="O616" s="597"/>
      <c r="P616" s="597"/>
      <c r="Q616" s="597"/>
      <c r="R616" s="597"/>
      <c r="S616" s="175"/>
      <c r="T616" s="175"/>
      <c r="U616" s="175"/>
      <c r="V616" s="175"/>
      <c r="W616" s="175"/>
      <c r="X616" s="597"/>
      <c r="Y616" s="175"/>
      <c r="Z616" s="175"/>
    </row>
    <row r="617" ht="12.0" customHeight="1">
      <c r="A617" s="175"/>
      <c r="B617" s="175"/>
      <c r="C617" s="175"/>
      <c r="D617" s="175"/>
      <c r="E617" s="597"/>
      <c r="F617" s="597"/>
      <c r="G617" s="597"/>
      <c r="H617" s="597"/>
      <c r="I617" s="597"/>
      <c r="J617" s="597"/>
      <c r="K617" s="597"/>
      <c r="L617" s="597"/>
      <c r="M617" s="597"/>
      <c r="N617" s="597"/>
      <c r="O617" s="597"/>
      <c r="P617" s="597"/>
      <c r="Q617" s="597"/>
      <c r="R617" s="597"/>
      <c r="S617" s="175"/>
      <c r="T617" s="175"/>
      <c r="U617" s="175"/>
      <c r="V617" s="175"/>
      <c r="W617" s="175"/>
      <c r="X617" s="597"/>
      <c r="Y617" s="175"/>
      <c r="Z617" s="175"/>
    </row>
    <row r="618" ht="12.0" customHeight="1">
      <c r="A618" s="175"/>
      <c r="B618" s="175"/>
      <c r="C618" s="175"/>
      <c r="D618" s="175"/>
      <c r="E618" s="597"/>
      <c r="F618" s="597"/>
      <c r="G618" s="597"/>
      <c r="H618" s="597"/>
      <c r="I618" s="597"/>
      <c r="J618" s="597"/>
      <c r="K618" s="597"/>
      <c r="L618" s="597"/>
      <c r="M618" s="597"/>
      <c r="N618" s="597"/>
      <c r="O618" s="597"/>
      <c r="P618" s="597"/>
      <c r="Q618" s="597"/>
      <c r="R618" s="597"/>
      <c r="S618" s="175"/>
      <c r="T618" s="175"/>
      <c r="U618" s="175"/>
      <c r="V618" s="175"/>
      <c r="W618" s="175"/>
      <c r="X618" s="597"/>
      <c r="Y618" s="175"/>
      <c r="Z618" s="175"/>
    </row>
    <row r="619" ht="12.0" customHeight="1">
      <c r="A619" s="175"/>
      <c r="B619" s="175"/>
      <c r="C619" s="175"/>
      <c r="D619" s="175"/>
      <c r="E619" s="597"/>
      <c r="F619" s="597"/>
      <c r="G619" s="597"/>
      <c r="H619" s="597"/>
      <c r="I619" s="597"/>
      <c r="J619" s="597"/>
      <c r="K619" s="597"/>
      <c r="L619" s="597"/>
      <c r="M619" s="597"/>
      <c r="N619" s="597"/>
      <c r="O619" s="597"/>
      <c r="P619" s="597"/>
      <c r="Q619" s="597"/>
      <c r="R619" s="597"/>
      <c r="S619" s="175"/>
      <c r="T619" s="175"/>
      <c r="U619" s="175"/>
      <c r="V619" s="175"/>
      <c r="W619" s="175"/>
      <c r="X619" s="597"/>
      <c r="Y619" s="175"/>
      <c r="Z619" s="175"/>
    </row>
    <row r="620" ht="12.0" customHeight="1">
      <c r="A620" s="175"/>
      <c r="B620" s="175"/>
      <c r="C620" s="175"/>
      <c r="D620" s="175"/>
      <c r="E620" s="597"/>
      <c r="F620" s="597"/>
      <c r="G620" s="597"/>
      <c r="H620" s="597"/>
      <c r="I620" s="597"/>
      <c r="J620" s="597"/>
      <c r="K620" s="597"/>
      <c r="L620" s="597"/>
      <c r="M620" s="597"/>
      <c r="N620" s="597"/>
      <c r="O620" s="597"/>
      <c r="P620" s="597"/>
      <c r="Q620" s="597"/>
      <c r="R620" s="597"/>
      <c r="S620" s="175"/>
      <c r="T620" s="175"/>
      <c r="U620" s="175"/>
      <c r="V620" s="175"/>
      <c r="W620" s="175"/>
      <c r="X620" s="597"/>
      <c r="Y620" s="175"/>
      <c r="Z620" s="175"/>
    </row>
    <row r="621" ht="12.0" customHeight="1">
      <c r="A621" s="175"/>
      <c r="B621" s="175"/>
      <c r="C621" s="175"/>
      <c r="D621" s="175"/>
      <c r="E621" s="597"/>
      <c r="F621" s="597"/>
      <c r="G621" s="597"/>
      <c r="H621" s="597"/>
      <c r="I621" s="597"/>
      <c r="J621" s="597"/>
      <c r="K621" s="597"/>
      <c r="L621" s="597"/>
      <c r="M621" s="597"/>
      <c r="N621" s="597"/>
      <c r="O621" s="597"/>
      <c r="P621" s="597"/>
      <c r="Q621" s="597"/>
      <c r="R621" s="597"/>
      <c r="S621" s="175"/>
      <c r="T621" s="175"/>
      <c r="U621" s="175"/>
      <c r="V621" s="175"/>
      <c r="W621" s="175"/>
      <c r="X621" s="597"/>
      <c r="Y621" s="175"/>
      <c r="Z621" s="175"/>
    </row>
    <row r="622" ht="12.0" customHeight="1">
      <c r="A622" s="175"/>
      <c r="B622" s="175"/>
      <c r="C622" s="175"/>
      <c r="D622" s="175"/>
      <c r="E622" s="597"/>
      <c r="F622" s="597"/>
      <c r="G622" s="597"/>
      <c r="H622" s="597"/>
      <c r="I622" s="597"/>
      <c r="J622" s="597"/>
      <c r="K622" s="597"/>
      <c r="L622" s="597"/>
      <c r="M622" s="597"/>
      <c r="N622" s="597"/>
      <c r="O622" s="597"/>
      <c r="P622" s="597"/>
      <c r="Q622" s="597"/>
      <c r="R622" s="597"/>
      <c r="S622" s="175"/>
      <c r="T622" s="175"/>
      <c r="U622" s="175"/>
      <c r="V622" s="175"/>
      <c r="W622" s="175"/>
      <c r="X622" s="597"/>
      <c r="Y622" s="175"/>
      <c r="Z622" s="175"/>
    </row>
    <row r="623" ht="12.0" customHeight="1">
      <c r="A623" s="175"/>
      <c r="B623" s="175"/>
      <c r="C623" s="175"/>
      <c r="D623" s="175"/>
      <c r="E623" s="597"/>
      <c r="F623" s="597"/>
      <c r="G623" s="597"/>
      <c r="H623" s="597"/>
      <c r="I623" s="597"/>
      <c r="J623" s="597"/>
      <c r="K623" s="597"/>
      <c r="L623" s="597"/>
      <c r="M623" s="597"/>
      <c r="N623" s="597"/>
      <c r="O623" s="597"/>
      <c r="P623" s="597"/>
      <c r="Q623" s="597"/>
      <c r="R623" s="597"/>
      <c r="S623" s="175"/>
      <c r="T623" s="175"/>
      <c r="U623" s="175"/>
      <c r="V623" s="175"/>
      <c r="W623" s="175"/>
      <c r="X623" s="597"/>
      <c r="Y623" s="175"/>
      <c r="Z623" s="175"/>
    </row>
    <row r="624" ht="12.0" customHeight="1">
      <c r="A624" s="175"/>
      <c r="B624" s="175"/>
      <c r="C624" s="175"/>
      <c r="D624" s="175"/>
      <c r="E624" s="597"/>
      <c r="F624" s="597"/>
      <c r="G624" s="597"/>
      <c r="H624" s="597"/>
      <c r="I624" s="597"/>
      <c r="J624" s="597"/>
      <c r="K624" s="597"/>
      <c r="L624" s="597"/>
      <c r="M624" s="597"/>
      <c r="N624" s="597"/>
      <c r="O624" s="597"/>
      <c r="P624" s="597"/>
      <c r="Q624" s="597"/>
      <c r="R624" s="597"/>
      <c r="S624" s="175"/>
      <c r="T624" s="175"/>
      <c r="U624" s="175"/>
      <c r="V624" s="175"/>
      <c r="W624" s="175"/>
      <c r="X624" s="597"/>
      <c r="Y624" s="175"/>
      <c r="Z624" s="175"/>
    </row>
    <row r="625" ht="12.0" customHeight="1">
      <c r="A625" s="175"/>
      <c r="B625" s="175"/>
      <c r="C625" s="175"/>
      <c r="D625" s="175"/>
      <c r="E625" s="597"/>
      <c r="F625" s="597"/>
      <c r="G625" s="597"/>
      <c r="H625" s="597"/>
      <c r="I625" s="597"/>
      <c r="J625" s="597"/>
      <c r="K625" s="597"/>
      <c r="L625" s="597"/>
      <c r="M625" s="597"/>
      <c r="N625" s="597"/>
      <c r="O625" s="597"/>
      <c r="P625" s="597"/>
      <c r="Q625" s="597"/>
      <c r="R625" s="597"/>
      <c r="S625" s="175"/>
      <c r="T625" s="175"/>
      <c r="U625" s="175"/>
      <c r="V625" s="175"/>
      <c r="W625" s="175"/>
      <c r="X625" s="597"/>
      <c r="Y625" s="175"/>
      <c r="Z625" s="175"/>
    </row>
    <row r="626" ht="12.0" customHeight="1">
      <c r="A626" s="175"/>
      <c r="B626" s="175"/>
      <c r="C626" s="175"/>
      <c r="D626" s="175"/>
      <c r="E626" s="597"/>
      <c r="F626" s="597"/>
      <c r="G626" s="597"/>
      <c r="H626" s="597"/>
      <c r="I626" s="597"/>
      <c r="J626" s="597"/>
      <c r="K626" s="597"/>
      <c r="L626" s="597"/>
      <c r="M626" s="597"/>
      <c r="N626" s="597"/>
      <c r="O626" s="597"/>
      <c r="P626" s="597"/>
      <c r="Q626" s="597"/>
      <c r="R626" s="597"/>
      <c r="S626" s="175"/>
      <c r="T626" s="175"/>
      <c r="U626" s="175"/>
      <c r="V626" s="175"/>
      <c r="W626" s="175"/>
      <c r="X626" s="597"/>
      <c r="Y626" s="175"/>
      <c r="Z626" s="175"/>
    </row>
    <row r="627" ht="12.0" customHeight="1">
      <c r="A627" s="175"/>
      <c r="B627" s="175"/>
      <c r="C627" s="175"/>
      <c r="D627" s="175"/>
      <c r="E627" s="597"/>
      <c r="F627" s="597"/>
      <c r="G627" s="597"/>
      <c r="H627" s="597"/>
      <c r="I627" s="597"/>
      <c r="J627" s="597"/>
      <c r="K627" s="597"/>
      <c r="L627" s="597"/>
      <c r="M627" s="597"/>
      <c r="N627" s="597"/>
      <c r="O627" s="597"/>
      <c r="P627" s="597"/>
      <c r="Q627" s="597"/>
      <c r="R627" s="597"/>
      <c r="S627" s="175"/>
      <c r="T627" s="175"/>
      <c r="U627" s="175"/>
      <c r="V627" s="175"/>
      <c r="W627" s="175"/>
      <c r="X627" s="597"/>
      <c r="Y627" s="175"/>
      <c r="Z627" s="175"/>
    </row>
    <row r="628" ht="12.0" customHeight="1">
      <c r="A628" s="175"/>
      <c r="B628" s="175"/>
      <c r="C628" s="175"/>
      <c r="D628" s="175"/>
      <c r="E628" s="597"/>
      <c r="F628" s="597"/>
      <c r="G628" s="597"/>
      <c r="H628" s="597"/>
      <c r="I628" s="597"/>
      <c r="J628" s="597"/>
      <c r="K628" s="597"/>
      <c r="L628" s="597"/>
      <c r="M628" s="597"/>
      <c r="N628" s="597"/>
      <c r="O628" s="597"/>
      <c r="P628" s="597"/>
      <c r="Q628" s="597"/>
      <c r="R628" s="597"/>
      <c r="S628" s="175"/>
      <c r="T628" s="175"/>
      <c r="U628" s="175"/>
      <c r="V628" s="175"/>
      <c r="W628" s="175"/>
      <c r="X628" s="597"/>
      <c r="Y628" s="175"/>
      <c r="Z628" s="175"/>
    </row>
    <row r="629" ht="12.0" customHeight="1">
      <c r="A629" s="175"/>
      <c r="B629" s="175"/>
      <c r="C629" s="175"/>
      <c r="D629" s="175"/>
      <c r="E629" s="597"/>
      <c r="F629" s="597"/>
      <c r="G629" s="597"/>
      <c r="H629" s="597"/>
      <c r="I629" s="597"/>
      <c r="J629" s="597"/>
      <c r="K629" s="597"/>
      <c r="L629" s="597"/>
      <c r="M629" s="597"/>
      <c r="N629" s="597"/>
      <c r="O629" s="597"/>
      <c r="P629" s="597"/>
      <c r="Q629" s="597"/>
      <c r="R629" s="597"/>
      <c r="S629" s="175"/>
      <c r="T629" s="175"/>
      <c r="U629" s="175"/>
      <c r="V629" s="175"/>
      <c r="W629" s="175"/>
      <c r="X629" s="597"/>
      <c r="Y629" s="175"/>
      <c r="Z629" s="175"/>
    </row>
    <row r="630" ht="12.0" customHeight="1">
      <c r="A630" s="175"/>
      <c r="B630" s="175"/>
      <c r="C630" s="175"/>
      <c r="D630" s="175"/>
      <c r="E630" s="597"/>
      <c r="F630" s="597"/>
      <c r="G630" s="597"/>
      <c r="H630" s="597"/>
      <c r="I630" s="597"/>
      <c r="J630" s="597"/>
      <c r="K630" s="597"/>
      <c r="L630" s="597"/>
      <c r="M630" s="597"/>
      <c r="N630" s="597"/>
      <c r="O630" s="597"/>
      <c r="P630" s="597"/>
      <c r="Q630" s="597"/>
      <c r="R630" s="597"/>
      <c r="S630" s="175"/>
      <c r="T630" s="175"/>
      <c r="U630" s="175"/>
      <c r="V630" s="175"/>
      <c r="W630" s="175"/>
      <c r="X630" s="597"/>
      <c r="Y630" s="175"/>
      <c r="Z630" s="175"/>
    </row>
    <row r="631" ht="12.0" customHeight="1">
      <c r="A631" s="175"/>
      <c r="B631" s="175"/>
      <c r="C631" s="175"/>
      <c r="D631" s="175"/>
      <c r="E631" s="597"/>
      <c r="F631" s="597"/>
      <c r="G631" s="597"/>
      <c r="H631" s="597"/>
      <c r="I631" s="597"/>
      <c r="J631" s="597"/>
      <c r="K631" s="597"/>
      <c r="L631" s="597"/>
      <c r="M631" s="597"/>
      <c r="N631" s="597"/>
      <c r="O631" s="597"/>
      <c r="P631" s="597"/>
      <c r="Q631" s="597"/>
      <c r="R631" s="597"/>
      <c r="S631" s="175"/>
      <c r="T631" s="175"/>
      <c r="U631" s="175"/>
      <c r="V631" s="175"/>
      <c r="W631" s="175"/>
      <c r="X631" s="597"/>
      <c r="Y631" s="175"/>
      <c r="Z631" s="175"/>
    </row>
    <row r="632" ht="12.0" customHeight="1">
      <c r="A632" s="175"/>
      <c r="B632" s="175"/>
      <c r="C632" s="175"/>
      <c r="D632" s="175"/>
      <c r="E632" s="597"/>
      <c r="F632" s="597"/>
      <c r="G632" s="597"/>
      <c r="H632" s="597"/>
      <c r="I632" s="597"/>
      <c r="J632" s="597"/>
      <c r="K632" s="597"/>
      <c r="L632" s="597"/>
      <c r="M632" s="597"/>
      <c r="N632" s="597"/>
      <c r="O632" s="597"/>
      <c r="P632" s="597"/>
      <c r="Q632" s="597"/>
      <c r="R632" s="597"/>
      <c r="S632" s="175"/>
      <c r="T632" s="175"/>
      <c r="U632" s="175"/>
      <c r="V632" s="175"/>
      <c r="W632" s="175"/>
      <c r="X632" s="597"/>
      <c r="Y632" s="175"/>
      <c r="Z632" s="175"/>
    </row>
    <row r="633" ht="12.0" customHeight="1">
      <c r="A633" s="175"/>
      <c r="B633" s="175"/>
      <c r="C633" s="175"/>
      <c r="D633" s="175"/>
      <c r="E633" s="597"/>
      <c r="F633" s="597"/>
      <c r="G633" s="597"/>
      <c r="H633" s="597"/>
      <c r="I633" s="597"/>
      <c r="J633" s="597"/>
      <c r="K633" s="597"/>
      <c r="L633" s="597"/>
      <c r="M633" s="597"/>
      <c r="N633" s="597"/>
      <c r="O633" s="597"/>
      <c r="P633" s="597"/>
      <c r="Q633" s="597"/>
      <c r="R633" s="597"/>
      <c r="S633" s="175"/>
      <c r="T633" s="175"/>
      <c r="U633" s="175"/>
      <c r="V633" s="175"/>
      <c r="W633" s="175"/>
      <c r="X633" s="597"/>
      <c r="Y633" s="175"/>
      <c r="Z633" s="175"/>
    </row>
    <row r="634" ht="12.0" customHeight="1">
      <c r="A634" s="175"/>
      <c r="B634" s="175"/>
      <c r="C634" s="175"/>
      <c r="D634" s="175"/>
      <c r="E634" s="597"/>
      <c r="F634" s="597"/>
      <c r="G634" s="597"/>
      <c r="H634" s="597"/>
      <c r="I634" s="597"/>
      <c r="J634" s="597"/>
      <c r="K634" s="597"/>
      <c r="L634" s="597"/>
      <c r="M634" s="597"/>
      <c r="N634" s="597"/>
      <c r="O634" s="597"/>
      <c r="P634" s="597"/>
      <c r="Q634" s="597"/>
      <c r="R634" s="597"/>
      <c r="S634" s="175"/>
      <c r="T634" s="175"/>
      <c r="U634" s="175"/>
      <c r="V634" s="175"/>
      <c r="W634" s="175"/>
      <c r="X634" s="597"/>
      <c r="Y634" s="175"/>
      <c r="Z634" s="175"/>
    </row>
    <row r="635" ht="12.0" customHeight="1">
      <c r="A635" s="175"/>
      <c r="B635" s="175"/>
      <c r="C635" s="175"/>
      <c r="D635" s="175"/>
      <c r="E635" s="597"/>
      <c r="F635" s="597"/>
      <c r="G635" s="597"/>
      <c r="H635" s="597"/>
      <c r="I635" s="597"/>
      <c r="J635" s="597"/>
      <c r="K635" s="597"/>
      <c r="L635" s="597"/>
      <c r="M635" s="597"/>
      <c r="N635" s="597"/>
      <c r="O635" s="597"/>
      <c r="P635" s="597"/>
      <c r="Q635" s="597"/>
      <c r="R635" s="597"/>
      <c r="S635" s="175"/>
      <c r="T635" s="175"/>
      <c r="U635" s="175"/>
      <c r="V635" s="175"/>
      <c r="W635" s="175"/>
      <c r="X635" s="597"/>
      <c r="Y635" s="175"/>
      <c r="Z635" s="175"/>
    </row>
    <row r="636" ht="12.0" customHeight="1">
      <c r="A636" s="175"/>
      <c r="B636" s="175"/>
      <c r="C636" s="175"/>
      <c r="D636" s="175"/>
      <c r="E636" s="597"/>
      <c r="F636" s="597"/>
      <c r="G636" s="597"/>
      <c r="H636" s="597"/>
      <c r="I636" s="597"/>
      <c r="J636" s="597"/>
      <c r="K636" s="597"/>
      <c r="L636" s="597"/>
      <c r="M636" s="597"/>
      <c r="N636" s="597"/>
      <c r="O636" s="597"/>
      <c r="P636" s="597"/>
      <c r="Q636" s="597"/>
      <c r="R636" s="597"/>
      <c r="S636" s="175"/>
      <c r="T636" s="175"/>
      <c r="U636" s="175"/>
      <c r="V636" s="175"/>
      <c r="W636" s="175"/>
      <c r="X636" s="597"/>
      <c r="Y636" s="175"/>
      <c r="Z636" s="175"/>
    </row>
    <row r="637" ht="12.0" customHeight="1">
      <c r="A637" s="175"/>
      <c r="B637" s="175"/>
      <c r="C637" s="175"/>
      <c r="D637" s="175"/>
      <c r="E637" s="597"/>
      <c r="F637" s="597"/>
      <c r="G637" s="597"/>
      <c r="H637" s="597"/>
      <c r="I637" s="597"/>
      <c r="J637" s="597"/>
      <c r="K637" s="597"/>
      <c r="L637" s="597"/>
      <c r="M637" s="597"/>
      <c r="N637" s="597"/>
      <c r="O637" s="597"/>
      <c r="P637" s="597"/>
      <c r="Q637" s="597"/>
      <c r="R637" s="597"/>
      <c r="S637" s="175"/>
      <c r="T637" s="175"/>
      <c r="U637" s="175"/>
      <c r="V637" s="175"/>
      <c r="W637" s="175"/>
      <c r="X637" s="597"/>
      <c r="Y637" s="175"/>
      <c r="Z637" s="175"/>
    </row>
    <row r="638" ht="12.0" customHeight="1">
      <c r="A638" s="175"/>
      <c r="B638" s="175"/>
      <c r="C638" s="175"/>
      <c r="D638" s="175"/>
      <c r="E638" s="597"/>
      <c r="F638" s="597"/>
      <c r="G638" s="597"/>
      <c r="H638" s="597"/>
      <c r="I638" s="597"/>
      <c r="J638" s="597"/>
      <c r="K638" s="597"/>
      <c r="L638" s="597"/>
      <c r="M638" s="597"/>
      <c r="N638" s="597"/>
      <c r="O638" s="597"/>
      <c r="P638" s="597"/>
      <c r="Q638" s="597"/>
      <c r="R638" s="597"/>
      <c r="S638" s="175"/>
      <c r="T638" s="175"/>
      <c r="U638" s="175"/>
      <c r="V638" s="175"/>
      <c r="W638" s="175"/>
      <c r="X638" s="597"/>
      <c r="Y638" s="175"/>
      <c r="Z638" s="175"/>
    </row>
    <row r="639" ht="12.0" customHeight="1">
      <c r="A639" s="175"/>
      <c r="B639" s="175"/>
      <c r="C639" s="175"/>
      <c r="D639" s="175"/>
      <c r="E639" s="597"/>
      <c r="F639" s="597"/>
      <c r="G639" s="597"/>
      <c r="H639" s="597"/>
      <c r="I639" s="597"/>
      <c r="J639" s="597"/>
      <c r="K639" s="597"/>
      <c r="L639" s="597"/>
      <c r="M639" s="597"/>
      <c r="N639" s="597"/>
      <c r="O639" s="597"/>
      <c r="P639" s="597"/>
      <c r="Q639" s="597"/>
      <c r="R639" s="597"/>
      <c r="S639" s="175"/>
      <c r="T639" s="175"/>
      <c r="U639" s="175"/>
      <c r="V639" s="175"/>
      <c r="W639" s="175"/>
      <c r="X639" s="597"/>
      <c r="Y639" s="175"/>
      <c r="Z639" s="175"/>
    </row>
    <row r="640" ht="12.0" customHeight="1">
      <c r="A640" s="175"/>
      <c r="B640" s="175"/>
      <c r="C640" s="175"/>
      <c r="D640" s="175"/>
      <c r="E640" s="597"/>
      <c r="F640" s="597"/>
      <c r="G640" s="597"/>
      <c r="H640" s="597"/>
      <c r="I640" s="597"/>
      <c r="J640" s="597"/>
      <c r="K640" s="597"/>
      <c r="L640" s="597"/>
      <c r="M640" s="597"/>
      <c r="N640" s="597"/>
      <c r="O640" s="597"/>
      <c r="P640" s="597"/>
      <c r="Q640" s="597"/>
      <c r="R640" s="597"/>
      <c r="S640" s="175"/>
      <c r="T640" s="175"/>
      <c r="U640" s="175"/>
      <c r="V640" s="175"/>
      <c r="W640" s="175"/>
      <c r="X640" s="597"/>
      <c r="Y640" s="175"/>
      <c r="Z640" s="175"/>
    </row>
    <row r="641" ht="12.0" customHeight="1">
      <c r="A641" s="175"/>
      <c r="B641" s="175"/>
      <c r="C641" s="175"/>
      <c r="D641" s="175"/>
      <c r="E641" s="597"/>
      <c r="F641" s="597"/>
      <c r="G641" s="597"/>
      <c r="H641" s="597"/>
      <c r="I641" s="597"/>
      <c r="J641" s="597"/>
      <c r="K641" s="597"/>
      <c r="L641" s="597"/>
      <c r="M641" s="597"/>
      <c r="N641" s="597"/>
      <c r="O641" s="597"/>
      <c r="P641" s="597"/>
      <c r="Q641" s="597"/>
      <c r="R641" s="597"/>
      <c r="S641" s="175"/>
      <c r="T641" s="175"/>
      <c r="U641" s="175"/>
      <c r="V641" s="175"/>
      <c r="W641" s="175"/>
      <c r="X641" s="597"/>
      <c r="Y641" s="175"/>
      <c r="Z641" s="175"/>
    </row>
    <row r="642" ht="12.0" customHeight="1">
      <c r="A642" s="175"/>
      <c r="B642" s="175"/>
      <c r="C642" s="175"/>
      <c r="D642" s="175"/>
      <c r="E642" s="597"/>
      <c r="F642" s="597"/>
      <c r="G642" s="597"/>
      <c r="H642" s="597"/>
      <c r="I642" s="597"/>
      <c r="J642" s="597"/>
      <c r="K642" s="597"/>
      <c r="L642" s="597"/>
      <c r="M642" s="597"/>
      <c r="N642" s="597"/>
      <c r="O642" s="597"/>
      <c r="P642" s="597"/>
      <c r="Q642" s="597"/>
      <c r="R642" s="597"/>
      <c r="S642" s="175"/>
      <c r="T642" s="175"/>
      <c r="U642" s="175"/>
      <c r="V642" s="175"/>
      <c r="W642" s="175"/>
      <c r="X642" s="597"/>
      <c r="Y642" s="175"/>
      <c r="Z642" s="175"/>
    </row>
    <row r="643" ht="12.0" customHeight="1">
      <c r="A643" s="175"/>
      <c r="B643" s="175"/>
      <c r="C643" s="175"/>
      <c r="D643" s="175"/>
      <c r="E643" s="597"/>
      <c r="F643" s="597"/>
      <c r="G643" s="597"/>
      <c r="H643" s="597"/>
      <c r="I643" s="597"/>
      <c r="J643" s="597"/>
      <c r="K643" s="597"/>
      <c r="L643" s="597"/>
      <c r="M643" s="597"/>
      <c r="N643" s="597"/>
      <c r="O643" s="597"/>
      <c r="P643" s="597"/>
      <c r="Q643" s="597"/>
      <c r="R643" s="597"/>
      <c r="S643" s="175"/>
      <c r="T643" s="175"/>
      <c r="U643" s="175"/>
      <c r="V643" s="175"/>
      <c r="W643" s="175"/>
      <c r="X643" s="597"/>
      <c r="Y643" s="175"/>
      <c r="Z643" s="175"/>
    </row>
    <row r="644" ht="12.0" customHeight="1">
      <c r="A644" s="175"/>
      <c r="B644" s="175"/>
      <c r="C644" s="175"/>
      <c r="D644" s="175"/>
      <c r="E644" s="597"/>
      <c r="F644" s="597"/>
      <c r="G644" s="597"/>
      <c r="H644" s="597"/>
      <c r="I644" s="597"/>
      <c r="J644" s="597"/>
      <c r="K644" s="597"/>
      <c r="L644" s="597"/>
      <c r="M644" s="597"/>
      <c r="N644" s="597"/>
      <c r="O644" s="597"/>
      <c r="P644" s="597"/>
      <c r="Q644" s="597"/>
      <c r="R644" s="597"/>
      <c r="S644" s="175"/>
      <c r="T644" s="175"/>
      <c r="U644" s="175"/>
      <c r="V644" s="175"/>
      <c r="W644" s="175"/>
      <c r="X644" s="597"/>
      <c r="Y644" s="175"/>
      <c r="Z644" s="175"/>
    </row>
    <row r="645" ht="12.0" customHeight="1">
      <c r="A645" s="175"/>
      <c r="B645" s="175"/>
      <c r="C645" s="175"/>
      <c r="D645" s="175"/>
      <c r="E645" s="597"/>
      <c r="F645" s="597"/>
      <c r="G645" s="597"/>
      <c r="H645" s="597"/>
      <c r="I645" s="597"/>
      <c r="J645" s="597"/>
      <c r="K645" s="597"/>
      <c r="L645" s="597"/>
      <c r="M645" s="597"/>
      <c r="N645" s="597"/>
      <c r="O645" s="597"/>
      <c r="P645" s="597"/>
      <c r="Q645" s="597"/>
      <c r="R645" s="597"/>
      <c r="S645" s="175"/>
      <c r="T645" s="175"/>
      <c r="U645" s="175"/>
      <c r="V645" s="175"/>
      <c r="W645" s="175"/>
      <c r="X645" s="597"/>
      <c r="Y645" s="175"/>
      <c r="Z645" s="175"/>
    </row>
    <row r="646" ht="12.0" customHeight="1">
      <c r="A646" s="175"/>
      <c r="B646" s="175"/>
      <c r="C646" s="175"/>
      <c r="D646" s="175"/>
      <c r="E646" s="597"/>
      <c r="F646" s="597"/>
      <c r="G646" s="597"/>
      <c r="H646" s="597"/>
      <c r="I646" s="597"/>
      <c r="J646" s="597"/>
      <c r="K646" s="597"/>
      <c r="L646" s="597"/>
      <c r="M646" s="597"/>
      <c r="N646" s="597"/>
      <c r="O646" s="597"/>
      <c r="P646" s="597"/>
      <c r="Q646" s="597"/>
      <c r="R646" s="597"/>
      <c r="S646" s="175"/>
      <c r="T646" s="175"/>
      <c r="U646" s="175"/>
      <c r="V646" s="175"/>
      <c r="W646" s="175"/>
      <c r="X646" s="597"/>
      <c r="Y646" s="175"/>
      <c r="Z646" s="175"/>
    </row>
    <row r="647" ht="12.0" customHeight="1">
      <c r="A647" s="175"/>
      <c r="B647" s="175"/>
      <c r="C647" s="175"/>
      <c r="D647" s="175"/>
      <c r="E647" s="597"/>
      <c r="F647" s="597"/>
      <c r="G647" s="597"/>
      <c r="H647" s="597"/>
      <c r="I647" s="597"/>
      <c r="J647" s="597"/>
      <c r="K647" s="597"/>
      <c r="L647" s="597"/>
      <c r="M647" s="597"/>
      <c r="N647" s="597"/>
      <c r="O647" s="597"/>
      <c r="P647" s="597"/>
      <c r="Q647" s="597"/>
      <c r="R647" s="597"/>
      <c r="S647" s="175"/>
      <c r="T647" s="175"/>
      <c r="U647" s="175"/>
      <c r="V647" s="175"/>
      <c r="W647" s="175"/>
      <c r="X647" s="597"/>
      <c r="Y647" s="175"/>
      <c r="Z647" s="175"/>
    </row>
    <row r="648" ht="12.0" customHeight="1">
      <c r="A648" s="175"/>
      <c r="B648" s="175"/>
      <c r="C648" s="175"/>
      <c r="D648" s="175"/>
      <c r="E648" s="597"/>
      <c r="F648" s="597"/>
      <c r="G648" s="597"/>
      <c r="H648" s="597"/>
      <c r="I648" s="597"/>
      <c r="J648" s="597"/>
      <c r="K648" s="597"/>
      <c r="L648" s="597"/>
      <c r="M648" s="597"/>
      <c r="N648" s="597"/>
      <c r="O648" s="597"/>
      <c r="P648" s="597"/>
      <c r="Q648" s="597"/>
      <c r="R648" s="597"/>
      <c r="S648" s="175"/>
      <c r="T648" s="175"/>
      <c r="U648" s="175"/>
      <c r="V648" s="175"/>
      <c r="W648" s="175"/>
      <c r="X648" s="597"/>
      <c r="Y648" s="175"/>
      <c r="Z648" s="175"/>
    </row>
    <row r="649" ht="12.0" customHeight="1">
      <c r="A649" s="175"/>
      <c r="B649" s="175"/>
      <c r="C649" s="175"/>
      <c r="D649" s="175"/>
      <c r="E649" s="597"/>
      <c r="F649" s="597"/>
      <c r="G649" s="597"/>
      <c r="H649" s="597"/>
      <c r="I649" s="597"/>
      <c r="J649" s="597"/>
      <c r="K649" s="597"/>
      <c r="L649" s="597"/>
      <c r="M649" s="597"/>
      <c r="N649" s="597"/>
      <c r="O649" s="597"/>
      <c r="P649" s="597"/>
      <c r="Q649" s="597"/>
      <c r="R649" s="597"/>
      <c r="S649" s="175"/>
      <c r="T649" s="175"/>
      <c r="U649" s="175"/>
      <c r="V649" s="175"/>
      <c r="W649" s="175"/>
      <c r="X649" s="597"/>
      <c r="Y649" s="175"/>
      <c r="Z649" s="175"/>
    </row>
    <row r="650" ht="12.0" customHeight="1">
      <c r="A650" s="175"/>
      <c r="B650" s="175"/>
      <c r="C650" s="175"/>
      <c r="D650" s="175"/>
      <c r="E650" s="597"/>
      <c r="F650" s="597"/>
      <c r="G650" s="597"/>
      <c r="H650" s="597"/>
      <c r="I650" s="597"/>
      <c r="J650" s="597"/>
      <c r="K650" s="597"/>
      <c r="L650" s="597"/>
      <c r="M650" s="597"/>
      <c r="N650" s="597"/>
      <c r="O650" s="597"/>
      <c r="P650" s="597"/>
      <c r="Q650" s="597"/>
      <c r="R650" s="597"/>
      <c r="S650" s="175"/>
      <c r="T650" s="175"/>
      <c r="U650" s="175"/>
      <c r="V650" s="175"/>
      <c r="W650" s="175"/>
      <c r="X650" s="597"/>
      <c r="Y650" s="175"/>
      <c r="Z650" s="175"/>
    </row>
    <row r="651" ht="12.0" customHeight="1">
      <c r="A651" s="175"/>
      <c r="B651" s="175"/>
      <c r="C651" s="175"/>
      <c r="D651" s="175"/>
      <c r="E651" s="597"/>
      <c r="F651" s="597"/>
      <c r="G651" s="597"/>
      <c r="H651" s="597"/>
      <c r="I651" s="597"/>
      <c r="J651" s="597"/>
      <c r="K651" s="597"/>
      <c r="L651" s="597"/>
      <c r="M651" s="597"/>
      <c r="N651" s="597"/>
      <c r="O651" s="597"/>
      <c r="P651" s="597"/>
      <c r="Q651" s="597"/>
      <c r="R651" s="597"/>
      <c r="S651" s="175"/>
      <c r="T651" s="175"/>
      <c r="U651" s="175"/>
      <c r="V651" s="175"/>
      <c r="W651" s="175"/>
      <c r="X651" s="597"/>
      <c r="Y651" s="175"/>
      <c r="Z651" s="175"/>
    </row>
    <row r="652" ht="12.0" customHeight="1">
      <c r="A652" s="175"/>
      <c r="B652" s="175"/>
      <c r="C652" s="175"/>
      <c r="D652" s="175"/>
      <c r="E652" s="597"/>
      <c r="F652" s="597"/>
      <c r="G652" s="597"/>
      <c r="H652" s="597"/>
      <c r="I652" s="597"/>
      <c r="J652" s="597"/>
      <c r="K652" s="597"/>
      <c r="L652" s="597"/>
      <c r="M652" s="597"/>
      <c r="N652" s="597"/>
      <c r="O652" s="597"/>
      <c r="P652" s="597"/>
      <c r="Q652" s="597"/>
      <c r="R652" s="597"/>
      <c r="S652" s="175"/>
      <c r="T652" s="175"/>
      <c r="U652" s="175"/>
      <c r="V652" s="175"/>
      <c r="W652" s="175"/>
      <c r="X652" s="597"/>
      <c r="Y652" s="175"/>
      <c r="Z652" s="175"/>
    </row>
    <row r="653" ht="12.0" customHeight="1">
      <c r="A653" s="175"/>
      <c r="B653" s="175"/>
      <c r="C653" s="175"/>
      <c r="D653" s="175"/>
      <c r="E653" s="597"/>
      <c r="F653" s="597"/>
      <c r="G653" s="597"/>
      <c r="H653" s="597"/>
      <c r="I653" s="597"/>
      <c r="J653" s="597"/>
      <c r="K653" s="597"/>
      <c r="L653" s="597"/>
      <c r="M653" s="597"/>
      <c r="N653" s="597"/>
      <c r="O653" s="597"/>
      <c r="P653" s="597"/>
      <c r="Q653" s="597"/>
      <c r="R653" s="597"/>
      <c r="S653" s="175"/>
      <c r="T653" s="175"/>
      <c r="U653" s="175"/>
      <c r="V653" s="175"/>
      <c r="W653" s="175"/>
      <c r="X653" s="597"/>
      <c r="Y653" s="175"/>
      <c r="Z653" s="175"/>
    </row>
    <row r="654" ht="12.0" customHeight="1">
      <c r="A654" s="175"/>
      <c r="B654" s="175"/>
      <c r="C654" s="175"/>
      <c r="D654" s="175"/>
      <c r="E654" s="597"/>
      <c r="F654" s="597"/>
      <c r="G654" s="597"/>
      <c r="H654" s="597"/>
      <c r="I654" s="597"/>
      <c r="J654" s="597"/>
      <c r="K654" s="597"/>
      <c r="L654" s="597"/>
      <c r="M654" s="597"/>
      <c r="N654" s="597"/>
      <c r="O654" s="597"/>
      <c r="P654" s="597"/>
      <c r="Q654" s="597"/>
      <c r="R654" s="597"/>
      <c r="S654" s="175"/>
      <c r="T654" s="175"/>
      <c r="U654" s="175"/>
      <c r="V654" s="175"/>
      <c r="W654" s="175"/>
      <c r="X654" s="597"/>
      <c r="Y654" s="175"/>
      <c r="Z654" s="175"/>
    </row>
    <row r="655" ht="12.0" customHeight="1">
      <c r="A655" s="175"/>
      <c r="B655" s="175"/>
      <c r="C655" s="175"/>
      <c r="D655" s="175"/>
      <c r="E655" s="597"/>
      <c r="F655" s="597"/>
      <c r="G655" s="597"/>
      <c r="H655" s="597"/>
      <c r="I655" s="597"/>
      <c r="J655" s="597"/>
      <c r="K655" s="597"/>
      <c r="L655" s="597"/>
      <c r="M655" s="597"/>
      <c r="N655" s="597"/>
      <c r="O655" s="597"/>
      <c r="P655" s="597"/>
      <c r="Q655" s="597"/>
      <c r="R655" s="597"/>
      <c r="S655" s="175"/>
      <c r="T655" s="175"/>
      <c r="U655" s="175"/>
      <c r="V655" s="175"/>
      <c r="W655" s="175"/>
      <c r="X655" s="597"/>
      <c r="Y655" s="175"/>
      <c r="Z655" s="175"/>
    </row>
    <row r="656" ht="12.0" customHeight="1">
      <c r="A656" s="175"/>
      <c r="B656" s="175"/>
      <c r="C656" s="175"/>
      <c r="D656" s="175"/>
      <c r="E656" s="597"/>
      <c r="F656" s="597"/>
      <c r="G656" s="597"/>
      <c r="H656" s="597"/>
      <c r="I656" s="597"/>
      <c r="J656" s="597"/>
      <c r="K656" s="597"/>
      <c r="L656" s="597"/>
      <c r="M656" s="597"/>
      <c r="N656" s="597"/>
      <c r="O656" s="597"/>
      <c r="P656" s="597"/>
      <c r="Q656" s="597"/>
      <c r="R656" s="597"/>
      <c r="S656" s="175"/>
      <c r="T656" s="175"/>
      <c r="U656" s="175"/>
      <c r="V656" s="175"/>
      <c r="W656" s="175"/>
      <c r="X656" s="597"/>
      <c r="Y656" s="175"/>
      <c r="Z656" s="175"/>
    </row>
    <row r="657" ht="12.0" customHeight="1">
      <c r="A657" s="175"/>
      <c r="B657" s="175"/>
      <c r="C657" s="175"/>
      <c r="D657" s="175"/>
      <c r="E657" s="597"/>
      <c r="F657" s="597"/>
      <c r="G657" s="597"/>
      <c r="H657" s="597"/>
      <c r="I657" s="597"/>
      <c r="J657" s="597"/>
      <c r="K657" s="597"/>
      <c r="L657" s="597"/>
      <c r="M657" s="597"/>
      <c r="N657" s="597"/>
      <c r="O657" s="597"/>
      <c r="P657" s="597"/>
      <c r="Q657" s="597"/>
      <c r="R657" s="597"/>
      <c r="S657" s="175"/>
      <c r="T657" s="175"/>
      <c r="U657" s="175"/>
      <c r="V657" s="175"/>
      <c r="W657" s="175"/>
      <c r="X657" s="597"/>
      <c r="Y657" s="175"/>
      <c r="Z657" s="175"/>
    </row>
    <row r="658" ht="12.0" customHeight="1">
      <c r="A658" s="175"/>
      <c r="B658" s="175"/>
      <c r="C658" s="175"/>
      <c r="D658" s="175"/>
      <c r="E658" s="597"/>
      <c r="F658" s="597"/>
      <c r="G658" s="597"/>
      <c r="H658" s="597"/>
      <c r="I658" s="597"/>
      <c r="J658" s="597"/>
      <c r="K658" s="597"/>
      <c r="L658" s="597"/>
      <c r="M658" s="597"/>
      <c r="N658" s="597"/>
      <c r="O658" s="597"/>
      <c r="P658" s="597"/>
      <c r="Q658" s="597"/>
      <c r="R658" s="597"/>
      <c r="S658" s="175"/>
      <c r="T658" s="175"/>
      <c r="U658" s="175"/>
      <c r="V658" s="175"/>
      <c r="W658" s="175"/>
      <c r="X658" s="597"/>
      <c r="Y658" s="175"/>
      <c r="Z658" s="175"/>
    </row>
    <row r="659" ht="12.0" customHeight="1">
      <c r="A659" s="175"/>
      <c r="B659" s="175"/>
      <c r="C659" s="175"/>
      <c r="D659" s="175"/>
      <c r="E659" s="597"/>
      <c r="F659" s="597"/>
      <c r="G659" s="597"/>
      <c r="H659" s="597"/>
      <c r="I659" s="597"/>
      <c r="J659" s="597"/>
      <c r="K659" s="597"/>
      <c r="L659" s="597"/>
      <c r="M659" s="597"/>
      <c r="N659" s="597"/>
      <c r="O659" s="597"/>
      <c r="P659" s="597"/>
      <c r="Q659" s="597"/>
      <c r="R659" s="597"/>
      <c r="S659" s="175"/>
      <c r="T659" s="175"/>
      <c r="U659" s="175"/>
      <c r="V659" s="175"/>
      <c r="W659" s="175"/>
      <c r="X659" s="597"/>
      <c r="Y659" s="175"/>
      <c r="Z659" s="175"/>
    </row>
    <row r="660" ht="12.0" customHeight="1">
      <c r="A660" s="175"/>
      <c r="B660" s="175"/>
      <c r="C660" s="175"/>
      <c r="D660" s="175"/>
      <c r="E660" s="597"/>
      <c r="F660" s="597"/>
      <c r="G660" s="597"/>
      <c r="H660" s="597"/>
      <c r="I660" s="597"/>
      <c r="J660" s="597"/>
      <c r="K660" s="597"/>
      <c r="L660" s="597"/>
      <c r="M660" s="597"/>
      <c r="N660" s="597"/>
      <c r="O660" s="597"/>
      <c r="P660" s="597"/>
      <c r="Q660" s="597"/>
      <c r="R660" s="597"/>
      <c r="S660" s="175"/>
      <c r="T660" s="175"/>
      <c r="U660" s="175"/>
      <c r="V660" s="175"/>
      <c r="W660" s="175"/>
      <c r="X660" s="597"/>
      <c r="Y660" s="175"/>
      <c r="Z660" s="175"/>
    </row>
    <row r="661" ht="12.0" customHeight="1">
      <c r="A661" s="175"/>
      <c r="B661" s="175"/>
      <c r="C661" s="175"/>
      <c r="D661" s="175"/>
      <c r="E661" s="597"/>
      <c r="F661" s="597"/>
      <c r="G661" s="597"/>
      <c r="H661" s="597"/>
      <c r="I661" s="597"/>
      <c r="J661" s="597"/>
      <c r="K661" s="597"/>
      <c r="L661" s="597"/>
      <c r="M661" s="597"/>
      <c r="N661" s="597"/>
      <c r="O661" s="597"/>
      <c r="P661" s="597"/>
      <c r="Q661" s="597"/>
      <c r="R661" s="597"/>
      <c r="S661" s="175"/>
      <c r="T661" s="175"/>
      <c r="U661" s="175"/>
      <c r="V661" s="175"/>
      <c r="W661" s="175"/>
      <c r="X661" s="597"/>
      <c r="Y661" s="175"/>
      <c r="Z661" s="175"/>
    </row>
    <row r="662" ht="12.0" customHeight="1">
      <c r="A662" s="175"/>
      <c r="B662" s="175"/>
      <c r="C662" s="175"/>
      <c r="D662" s="175"/>
      <c r="E662" s="597"/>
      <c r="F662" s="597"/>
      <c r="G662" s="597"/>
      <c r="H662" s="597"/>
      <c r="I662" s="597"/>
      <c r="J662" s="597"/>
      <c r="K662" s="597"/>
      <c r="L662" s="597"/>
      <c r="M662" s="597"/>
      <c r="N662" s="597"/>
      <c r="O662" s="597"/>
      <c r="P662" s="597"/>
      <c r="Q662" s="597"/>
      <c r="R662" s="597"/>
      <c r="S662" s="175"/>
      <c r="T662" s="175"/>
      <c r="U662" s="175"/>
      <c r="V662" s="175"/>
      <c r="W662" s="175"/>
      <c r="X662" s="597"/>
      <c r="Y662" s="175"/>
      <c r="Z662" s="175"/>
    </row>
    <row r="663" ht="12.0" customHeight="1">
      <c r="A663" s="175"/>
      <c r="B663" s="175"/>
      <c r="C663" s="175"/>
      <c r="D663" s="175"/>
      <c r="E663" s="597"/>
      <c r="F663" s="597"/>
      <c r="G663" s="597"/>
      <c r="H663" s="597"/>
      <c r="I663" s="597"/>
      <c r="J663" s="597"/>
      <c r="K663" s="597"/>
      <c r="L663" s="597"/>
      <c r="M663" s="597"/>
      <c r="N663" s="597"/>
      <c r="O663" s="597"/>
      <c r="P663" s="597"/>
      <c r="Q663" s="597"/>
      <c r="R663" s="597"/>
      <c r="S663" s="175"/>
      <c r="T663" s="175"/>
      <c r="U663" s="175"/>
      <c r="V663" s="175"/>
      <c r="W663" s="175"/>
      <c r="X663" s="597"/>
      <c r="Y663" s="175"/>
      <c r="Z663" s="175"/>
    </row>
    <row r="664" ht="12.0" customHeight="1">
      <c r="A664" s="175"/>
      <c r="B664" s="175"/>
      <c r="C664" s="175"/>
      <c r="D664" s="175"/>
      <c r="E664" s="597"/>
      <c r="F664" s="597"/>
      <c r="G664" s="597"/>
      <c r="H664" s="597"/>
      <c r="I664" s="597"/>
      <c r="J664" s="597"/>
      <c r="K664" s="597"/>
      <c r="L664" s="597"/>
      <c r="M664" s="597"/>
      <c r="N664" s="597"/>
      <c r="O664" s="597"/>
      <c r="P664" s="597"/>
      <c r="Q664" s="597"/>
      <c r="R664" s="597"/>
      <c r="S664" s="175"/>
      <c r="T664" s="175"/>
      <c r="U664" s="175"/>
      <c r="V664" s="175"/>
      <c r="W664" s="175"/>
      <c r="X664" s="597"/>
      <c r="Y664" s="175"/>
      <c r="Z664" s="175"/>
    </row>
    <row r="665" ht="12.0" customHeight="1">
      <c r="A665" s="175"/>
      <c r="B665" s="175"/>
      <c r="C665" s="175"/>
      <c r="D665" s="175"/>
      <c r="E665" s="597"/>
      <c r="F665" s="597"/>
      <c r="G665" s="597"/>
      <c r="H665" s="597"/>
      <c r="I665" s="597"/>
      <c r="J665" s="597"/>
      <c r="K665" s="597"/>
      <c r="L665" s="597"/>
      <c r="M665" s="597"/>
      <c r="N665" s="597"/>
      <c r="O665" s="597"/>
      <c r="P665" s="597"/>
      <c r="Q665" s="597"/>
      <c r="R665" s="597"/>
      <c r="S665" s="175"/>
      <c r="T665" s="175"/>
      <c r="U665" s="175"/>
      <c r="V665" s="175"/>
      <c r="W665" s="175"/>
      <c r="X665" s="597"/>
      <c r="Y665" s="175"/>
      <c r="Z665" s="175"/>
    </row>
    <row r="666" ht="12.0" customHeight="1">
      <c r="A666" s="175"/>
      <c r="B666" s="175"/>
      <c r="C666" s="175"/>
      <c r="D666" s="175"/>
      <c r="E666" s="597"/>
      <c r="F666" s="597"/>
      <c r="G666" s="597"/>
      <c r="H666" s="597"/>
      <c r="I666" s="597"/>
      <c r="J666" s="597"/>
      <c r="K666" s="597"/>
      <c r="L666" s="597"/>
      <c r="M666" s="597"/>
      <c r="N666" s="597"/>
      <c r="O666" s="597"/>
      <c r="P666" s="597"/>
      <c r="Q666" s="597"/>
      <c r="R666" s="597"/>
      <c r="S666" s="175"/>
      <c r="T666" s="175"/>
      <c r="U666" s="175"/>
      <c r="V666" s="175"/>
      <c r="W666" s="175"/>
      <c r="X666" s="597"/>
      <c r="Y666" s="175"/>
      <c r="Z666" s="175"/>
    </row>
    <row r="667" ht="12.0" customHeight="1">
      <c r="A667" s="175"/>
      <c r="B667" s="175"/>
      <c r="C667" s="175"/>
      <c r="D667" s="175"/>
      <c r="E667" s="597"/>
      <c r="F667" s="597"/>
      <c r="G667" s="597"/>
      <c r="H667" s="597"/>
      <c r="I667" s="597"/>
      <c r="J667" s="597"/>
      <c r="K667" s="597"/>
      <c r="L667" s="597"/>
      <c r="M667" s="597"/>
      <c r="N667" s="597"/>
      <c r="O667" s="597"/>
      <c r="P667" s="597"/>
      <c r="Q667" s="597"/>
      <c r="R667" s="597"/>
      <c r="S667" s="175"/>
      <c r="T667" s="175"/>
      <c r="U667" s="175"/>
      <c r="V667" s="175"/>
      <c r="W667" s="175"/>
      <c r="X667" s="597"/>
      <c r="Y667" s="175"/>
      <c r="Z667" s="175"/>
    </row>
    <row r="668" ht="12.0" customHeight="1">
      <c r="A668" s="175"/>
      <c r="B668" s="175"/>
      <c r="C668" s="175"/>
      <c r="D668" s="175"/>
      <c r="E668" s="597"/>
      <c r="F668" s="597"/>
      <c r="G668" s="597"/>
      <c r="H668" s="597"/>
      <c r="I668" s="597"/>
      <c r="J668" s="597"/>
      <c r="K668" s="597"/>
      <c r="L668" s="597"/>
      <c r="M668" s="597"/>
      <c r="N668" s="597"/>
      <c r="O668" s="597"/>
      <c r="P668" s="597"/>
      <c r="Q668" s="597"/>
      <c r="R668" s="597"/>
      <c r="S668" s="175"/>
      <c r="T668" s="175"/>
      <c r="U668" s="175"/>
      <c r="V668" s="175"/>
      <c r="W668" s="175"/>
      <c r="X668" s="597"/>
      <c r="Y668" s="175"/>
      <c r="Z668" s="175"/>
    </row>
    <row r="669" ht="12.0" customHeight="1">
      <c r="A669" s="175"/>
      <c r="B669" s="175"/>
      <c r="C669" s="175"/>
      <c r="D669" s="175"/>
      <c r="E669" s="597"/>
      <c r="F669" s="597"/>
      <c r="G669" s="597"/>
      <c r="H669" s="597"/>
      <c r="I669" s="597"/>
      <c r="J669" s="597"/>
      <c r="K669" s="597"/>
      <c r="L669" s="597"/>
      <c r="M669" s="597"/>
      <c r="N669" s="597"/>
      <c r="O669" s="597"/>
      <c r="P669" s="597"/>
      <c r="Q669" s="597"/>
      <c r="R669" s="597"/>
      <c r="S669" s="175"/>
      <c r="T669" s="175"/>
      <c r="U669" s="175"/>
      <c r="V669" s="175"/>
      <c r="W669" s="175"/>
      <c r="X669" s="597"/>
      <c r="Y669" s="175"/>
      <c r="Z669" s="175"/>
    </row>
    <row r="670" ht="12.0" customHeight="1">
      <c r="A670" s="175"/>
      <c r="B670" s="175"/>
      <c r="C670" s="175"/>
      <c r="D670" s="175"/>
      <c r="E670" s="597"/>
      <c r="F670" s="597"/>
      <c r="G670" s="597"/>
      <c r="H670" s="597"/>
      <c r="I670" s="597"/>
      <c r="J670" s="597"/>
      <c r="K670" s="597"/>
      <c r="L670" s="597"/>
      <c r="M670" s="597"/>
      <c r="N670" s="597"/>
      <c r="O670" s="597"/>
      <c r="P670" s="597"/>
      <c r="Q670" s="597"/>
      <c r="R670" s="597"/>
      <c r="S670" s="175"/>
      <c r="T670" s="175"/>
      <c r="U670" s="175"/>
      <c r="V670" s="175"/>
      <c r="W670" s="175"/>
      <c r="X670" s="597"/>
      <c r="Y670" s="175"/>
      <c r="Z670" s="175"/>
    </row>
    <row r="671" ht="12.0" customHeight="1">
      <c r="A671" s="175"/>
      <c r="B671" s="175"/>
      <c r="C671" s="175"/>
      <c r="D671" s="175"/>
      <c r="E671" s="597"/>
      <c r="F671" s="597"/>
      <c r="G671" s="597"/>
      <c r="H671" s="597"/>
      <c r="I671" s="597"/>
      <c r="J671" s="597"/>
      <c r="K671" s="597"/>
      <c r="L671" s="597"/>
      <c r="M671" s="597"/>
      <c r="N671" s="597"/>
      <c r="O671" s="597"/>
      <c r="P671" s="597"/>
      <c r="Q671" s="597"/>
      <c r="R671" s="597"/>
      <c r="S671" s="175"/>
      <c r="T671" s="175"/>
      <c r="U671" s="175"/>
      <c r="V671" s="175"/>
      <c r="W671" s="175"/>
      <c r="X671" s="597"/>
      <c r="Y671" s="175"/>
      <c r="Z671" s="175"/>
    </row>
    <row r="672" ht="12.0" customHeight="1">
      <c r="A672" s="175"/>
      <c r="B672" s="175"/>
      <c r="C672" s="175"/>
      <c r="D672" s="175"/>
      <c r="E672" s="597"/>
      <c r="F672" s="597"/>
      <c r="G672" s="597"/>
      <c r="H672" s="597"/>
      <c r="I672" s="597"/>
      <c r="J672" s="597"/>
      <c r="K672" s="597"/>
      <c r="L672" s="597"/>
      <c r="M672" s="597"/>
      <c r="N672" s="597"/>
      <c r="O672" s="597"/>
      <c r="P672" s="597"/>
      <c r="Q672" s="597"/>
      <c r="R672" s="597"/>
      <c r="S672" s="175"/>
      <c r="T672" s="175"/>
      <c r="U672" s="175"/>
      <c r="V672" s="175"/>
      <c r="W672" s="175"/>
      <c r="X672" s="597"/>
      <c r="Y672" s="175"/>
      <c r="Z672" s="175"/>
    </row>
    <row r="673" ht="12.0" customHeight="1">
      <c r="A673" s="175"/>
      <c r="B673" s="175"/>
      <c r="C673" s="175"/>
      <c r="D673" s="175"/>
      <c r="E673" s="597"/>
      <c r="F673" s="597"/>
      <c r="G673" s="597"/>
      <c r="H673" s="597"/>
      <c r="I673" s="597"/>
      <c r="J673" s="597"/>
      <c r="K673" s="597"/>
      <c r="L673" s="597"/>
      <c r="M673" s="597"/>
      <c r="N673" s="597"/>
      <c r="O673" s="597"/>
      <c r="P673" s="597"/>
      <c r="Q673" s="597"/>
      <c r="R673" s="597"/>
      <c r="S673" s="175"/>
      <c r="T673" s="175"/>
      <c r="U673" s="175"/>
      <c r="V673" s="175"/>
      <c r="W673" s="175"/>
      <c r="X673" s="597"/>
      <c r="Y673" s="175"/>
      <c r="Z673" s="175"/>
    </row>
    <row r="674" ht="12.0" customHeight="1">
      <c r="A674" s="175"/>
      <c r="B674" s="175"/>
      <c r="C674" s="175"/>
      <c r="D674" s="175"/>
      <c r="E674" s="597"/>
      <c r="F674" s="597"/>
      <c r="G674" s="597"/>
      <c r="H674" s="597"/>
      <c r="I674" s="597"/>
      <c r="J674" s="597"/>
      <c r="K674" s="597"/>
      <c r="L674" s="597"/>
      <c r="M674" s="597"/>
      <c r="N674" s="597"/>
      <c r="O674" s="597"/>
      <c r="P674" s="597"/>
      <c r="Q674" s="597"/>
      <c r="R674" s="597"/>
      <c r="S674" s="175"/>
      <c r="T674" s="175"/>
      <c r="U674" s="175"/>
      <c r="V674" s="175"/>
      <c r="W674" s="175"/>
      <c r="X674" s="597"/>
      <c r="Y674" s="175"/>
      <c r="Z674" s="175"/>
    </row>
    <row r="675" ht="12.0" customHeight="1">
      <c r="A675" s="175"/>
      <c r="B675" s="175"/>
      <c r="C675" s="175"/>
      <c r="D675" s="175"/>
      <c r="E675" s="597"/>
      <c r="F675" s="597"/>
      <c r="G675" s="597"/>
      <c r="H675" s="597"/>
      <c r="I675" s="597"/>
      <c r="J675" s="597"/>
      <c r="K675" s="597"/>
      <c r="L675" s="597"/>
      <c r="M675" s="597"/>
      <c r="N675" s="597"/>
      <c r="O675" s="597"/>
      <c r="P675" s="597"/>
      <c r="Q675" s="597"/>
      <c r="R675" s="597"/>
      <c r="S675" s="175"/>
      <c r="T675" s="175"/>
      <c r="U675" s="175"/>
      <c r="V675" s="175"/>
      <c r="W675" s="175"/>
      <c r="X675" s="597"/>
      <c r="Y675" s="175"/>
      <c r="Z675" s="175"/>
    </row>
    <row r="676" ht="12.0" customHeight="1">
      <c r="A676" s="175"/>
      <c r="B676" s="175"/>
      <c r="C676" s="175"/>
      <c r="D676" s="175"/>
      <c r="E676" s="597"/>
      <c r="F676" s="597"/>
      <c r="G676" s="597"/>
      <c r="H676" s="597"/>
      <c r="I676" s="597"/>
      <c r="J676" s="597"/>
      <c r="K676" s="597"/>
      <c r="L676" s="597"/>
      <c r="M676" s="597"/>
      <c r="N676" s="597"/>
      <c r="O676" s="597"/>
      <c r="P676" s="597"/>
      <c r="Q676" s="597"/>
      <c r="R676" s="597"/>
      <c r="S676" s="175"/>
      <c r="T676" s="175"/>
      <c r="U676" s="175"/>
      <c r="V676" s="175"/>
      <c r="W676" s="175"/>
      <c r="X676" s="597"/>
      <c r="Y676" s="175"/>
      <c r="Z676" s="175"/>
    </row>
    <row r="677" ht="12.0" customHeight="1">
      <c r="A677" s="175"/>
      <c r="B677" s="175"/>
      <c r="C677" s="175"/>
      <c r="D677" s="175"/>
      <c r="E677" s="597"/>
      <c r="F677" s="597"/>
      <c r="G677" s="597"/>
      <c r="H677" s="597"/>
      <c r="I677" s="597"/>
      <c r="J677" s="597"/>
      <c r="K677" s="597"/>
      <c r="L677" s="597"/>
      <c r="M677" s="597"/>
      <c r="N677" s="597"/>
      <c r="O677" s="597"/>
      <c r="P677" s="597"/>
      <c r="Q677" s="597"/>
      <c r="R677" s="597"/>
      <c r="S677" s="175"/>
      <c r="T677" s="175"/>
      <c r="U677" s="175"/>
      <c r="V677" s="175"/>
      <c r="W677" s="175"/>
      <c r="X677" s="597"/>
      <c r="Y677" s="175"/>
      <c r="Z677" s="175"/>
    </row>
    <row r="678" ht="12.0" customHeight="1">
      <c r="A678" s="175"/>
      <c r="B678" s="175"/>
      <c r="C678" s="175"/>
      <c r="D678" s="175"/>
      <c r="E678" s="597"/>
      <c r="F678" s="597"/>
      <c r="G678" s="597"/>
      <c r="H678" s="597"/>
      <c r="I678" s="597"/>
      <c r="J678" s="597"/>
      <c r="K678" s="597"/>
      <c r="L678" s="597"/>
      <c r="M678" s="597"/>
      <c r="N678" s="597"/>
      <c r="O678" s="597"/>
      <c r="P678" s="597"/>
      <c r="Q678" s="597"/>
      <c r="R678" s="597"/>
      <c r="S678" s="175"/>
      <c r="T678" s="175"/>
      <c r="U678" s="175"/>
      <c r="V678" s="175"/>
      <c r="W678" s="175"/>
      <c r="X678" s="597"/>
      <c r="Y678" s="175"/>
      <c r="Z678" s="175"/>
    </row>
    <row r="679" ht="12.0" customHeight="1">
      <c r="A679" s="175"/>
      <c r="B679" s="175"/>
      <c r="C679" s="175"/>
      <c r="D679" s="175"/>
      <c r="E679" s="597"/>
      <c r="F679" s="597"/>
      <c r="G679" s="597"/>
      <c r="H679" s="597"/>
      <c r="I679" s="597"/>
      <c r="J679" s="597"/>
      <c r="K679" s="597"/>
      <c r="L679" s="597"/>
      <c r="M679" s="597"/>
      <c r="N679" s="597"/>
      <c r="O679" s="597"/>
      <c r="P679" s="597"/>
      <c r="Q679" s="597"/>
      <c r="R679" s="597"/>
      <c r="S679" s="175"/>
      <c r="T679" s="175"/>
      <c r="U679" s="175"/>
      <c r="V679" s="175"/>
      <c r="W679" s="175"/>
      <c r="X679" s="597"/>
      <c r="Y679" s="175"/>
      <c r="Z679" s="175"/>
    </row>
    <row r="680" ht="12.0" customHeight="1">
      <c r="A680" s="175"/>
      <c r="B680" s="175"/>
      <c r="C680" s="175"/>
      <c r="D680" s="175"/>
      <c r="E680" s="597"/>
      <c r="F680" s="597"/>
      <c r="G680" s="597"/>
      <c r="H680" s="597"/>
      <c r="I680" s="597"/>
      <c r="J680" s="597"/>
      <c r="K680" s="597"/>
      <c r="L680" s="597"/>
      <c r="M680" s="597"/>
      <c r="N680" s="597"/>
      <c r="O680" s="597"/>
      <c r="P680" s="597"/>
      <c r="Q680" s="597"/>
      <c r="R680" s="597"/>
      <c r="S680" s="175"/>
      <c r="T680" s="175"/>
      <c r="U680" s="175"/>
      <c r="V680" s="175"/>
      <c r="W680" s="175"/>
      <c r="X680" s="597"/>
      <c r="Y680" s="175"/>
      <c r="Z680" s="175"/>
    </row>
    <row r="681" ht="12.0" customHeight="1">
      <c r="A681" s="175"/>
      <c r="B681" s="175"/>
      <c r="C681" s="175"/>
      <c r="D681" s="175"/>
      <c r="E681" s="597"/>
      <c r="F681" s="597"/>
      <c r="G681" s="597"/>
      <c r="H681" s="597"/>
      <c r="I681" s="597"/>
      <c r="J681" s="597"/>
      <c r="K681" s="597"/>
      <c r="L681" s="597"/>
      <c r="M681" s="597"/>
      <c r="N681" s="597"/>
      <c r="O681" s="597"/>
      <c r="P681" s="597"/>
      <c r="Q681" s="597"/>
      <c r="R681" s="597"/>
      <c r="S681" s="175"/>
      <c r="T681" s="175"/>
      <c r="U681" s="175"/>
      <c r="V681" s="175"/>
      <c r="W681" s="175"/>
      <c r="X681" s="597"/>
      <c r="Y681" s="175"/>
      <c r="Z681" s="175"/>
    </row>
    <row r="682" ht="12.0" customHeight="1">
      <c r="A682" s="175"/>
      <c r="B682" s="175"/>
      <c r="C682" s="175"/>
      <c r="D682" s="175"/>
      <c r="E682" s="597"/>
      <c r="F682" s="597"/>
      <c r="G682" s="597"/>
      <c r="H682" s="597"/>
      <c r="I682" s="597"/>
      <c r="J682" s="597"/>
      <c r="K682" s="597"/>
      <c r="L682" s="597"/>
      <c r="M682" s="597"/>
      <c r="N682" s="597"/>
      <c r="O682" s="597"/>
      <c r="P682" s="597"/>
      <c r="Q682" s="597"/>
      <c r="R682" s="597"/>
      <c r="S682" s="175"/>
      <c r="T682" s="175"/>
      <c r="U682" s="175"/>
      <c r="V682" s="175"/>
      <c r="W682" s="175"/>
      <c r="X682" s="597"/>
      <c r="Y682" s="175"/>
      <c r="Z682" s="175"/>
    </row>
    <row r="683" ht="12.0" customHeight="1">
      <c r="A683" s="175"/>
      <c r="B683" s="175"/>
      <c r="C683" s="175"/>
      <c r="D683" s="175"/>
      <c r="E683" s="597"/>
      <c r="F683" s="597"/>
      <c r="G683" s="597"/>
      <c r="H683" s="597"/>
      <c r="I683" s="597"/>
      <c r="J683" s="597"/>
      <c r="K683" s="597"/>
      <c r="L683" s="597"/>
      <c r="M683" s="597"/>
      <c r="N683" s="597"/>
      <c r="O683" s="597"/>
      <c r="P683" s="597"/>
      <c r="Q683" s="597"/>
      <c r="R683" s="597"/>
      <c r="S683" s="175"/>
      <c r="T683" s="175"/>
      <c r="U683" s="175"/>
      <c r="V683" s="175"/>
      <c r="W683" s="175"/>
      <c r="X683" s="597"/>
      <c r="Y683" s="175"/>
      <c r="Z683" s="175"/>
    </row>
    <row r="684" ht="12.0" customHeight="1">
      <c r="A684" s="175"/>
      <c r="B684" s="175"/>
      <c r="C684" s="175"/>
      <c r="D684" s="175"/>
      <c r="E684" s="597"/>
      <c r="F684" s="597"/>
      <c r="G684" s="597"/>
      <c r="H684" s="597"/>
      <c r="I684" s="597"/>
      <c r="J684" s="597"/>
      <c r="K684" s="597"/>
      <c r="L684" s="597"/>
      <c r="M684" s="597"/>
      <c r="N684" s="597"/>
      <c r="O684" s="597"/>
      <c r="P684" s="597"/>
      <c r="Q684" s="597"/>
      <c r="R684" s="597"/>
      <c r="S684" s="175"/>
      <c r="T684" s="175"/>
      <c r="U684" s="175"/>
      <c r="V684" s="175"/>
      <c r="W684" s="175"/>
      <c r="X684" s="597"/>
      <c r="Y684" s="175"/>
      <c r="Z684" s="175"/>
    </row>
    <row r="685" ht="12.0" customHeight="1">
      <c r="A685" s="175"/>
      <c r="B685" s="175"/>
      <c r="C685" s="175"/>
      <c r="D685" s="175"/>
      <c r="E685" s="597"/>
      <c r="F685" s="597"/>
      <c r="G685" s="597"/>
      <c r="H685" s="597"/>
      <c r="I685" s="597"/>
      <c r="J685" s="597"/>
      <c r="K685" s="597"/>
      <c r="L685" s="597"/>
      <c r="M685" s="597"/>
      <c r="N685" s="597"/>
      <c r="O685" s="597"/>
      <c r="P685" s="597"/>
      <c r="Q685" s="597"/>
      <c r="R685" s="597"/>
      <c r="S685" s="175"/>
      <c r="T685" s="175"/>
      <c r="U685" s="175"/>
      <c r="V685" s="175"/>
      <c r="W685" s="175"/>
      <c r="X685" s="597"/>
      <c r="Y685" s="175"/>
      <c r="Z685" s="175"/>
    </row>
    <row r="686" ht="12.0" customHeight="1">
      <c r="A686" s="175"/>
      <c r="B686" s="175"/>
      <c r="C686" s="175"/>
      <c r="D686" s="175"/>
      <c r="E686" s="597"/>
      <c r="F686" s="597"/>
      <c r="G686" s="597"/>
      <c r="H686" s="597"/>
      <c r="I686" s="597"/>
      <c r="J686" s="597"/>
      <c r="K686" s="597"/>
      <c r="L686" s="597"/>
      <c r="M686" s="597"/>
      <c r="N686" s="597"/>
      <c r="O686" s="597"/>
      <c r="P686" s="597"/>
      <c r="Q686" s="597"/>
      <c r="R686" s="597"/>
      <c r="S686" s="175"/>
      <c r="T686" s="175"/>
      <c r="U686" s="175"/>
      <c r="V686" s="175"/>
      <c r="W686" s="175"/>
      <c r="X686" s="597"/>
      <c r="Y686" s="175"/>
      <c r="Z686" s="175"/>
    </row>
    <row r="687" ht="12.0" customHeight="1">
      <c r="A687" s="175"/>
      <c r="B687" s="175"/>
      <c r="C687" s="175"/>
      <c r="D687" s="175"/>
      <c r="E687" s="597"/>
      <c r="F687" s="597"/>
      <c r="G687" s="597"/>
      <c r="H687" s="597"/>
      <c r="I687" s="597"/>
      <c r="J687" s="597"/>
      <c r="K687" s="597"/>
      <c r="L687" s="597"/>
      <c r="M687" s="597"/>
      <c r="N687" s="597"/>
      <c r="O687" s="597"/>
      <c r="P687" s="597"/>
      <c r="Q687" s="597"/>
      <c r="R687" s="597"/>
      <c r="S687" s="175"/>
      <c r="T687" s="175"/>
      <c r="U687" s="175"/>
      <c r="V687" s="175"/>
      <c r="W687" s="175"/>
      <c r="X687" s="597"/>
      <c r="Y687" s="175"/>
      <c r="Z687" s="175"/>
    </row>
    <row r="688" ht="12.0" customHeight="1">
      <c r="A688" s="175"/>
      <c r="B688" s="175"/>
      <c r="C688" s="175"/>
      <c r="D688" s="175"/>
      <c r="E688" s="597"/>
      <c r="F688" s="597"/>
      <c r="G688" s="597"/>
      <c r="H688" s="597"/>
      <c r="I688" s="597"/>
      <c r="J688" s="597"/>
      <c r="K688" s="597"/>
      <c r="L688" s="597"/>
      <c r="M688" s="597"/>
      <c r="N688" s="597"/>
      <c r="O688" s="597"/>
      <c r="P688" s="597"/>
      <c r="Q688" s="597"/>
      <c r="R688" s="597"/>
      <c r="S688" s="175"/>
      <c r="T688" s="175"/>
      <c r="U688" s="175"/>
      <c r="V688" s="175"/>
      <c r="W688" s="175"/>
      <c r="X688" s="597"/>
      <c r="Y688" s="175"/>
      <c r="Z688" s="175"/>
    </row>
    <row r="689" ht="12.0" customHeight="1">
      <c r="A689" s="175"/>
      <c r="B689" s="175"/>
      <c r="C689" s="175"/>
      <c r="D689" s="175"/>
      <c r="E689" s="597"/>
      <c r="F689" s="597"/>
      <c r="G689" s="597"/>
      <c r="H689" s="597"/>
      <c r="I689" s="597"/>
      <c r="J689" s="597"/>
      <c r="K689" s="597"/>
      <c r="L689" s="597"/>
      <c r="M689" s="597"/>
      <c r="N689" s="597"/>
      <c r="O689" s="597"/>
      <c r="P689" s="597"/>
      <c r="Q689" s="597"/>
      <c r="R689" s="597"/>
      <c r="S689" s="175"/>
      <c r="T689" s="175"/>
      <c r="U689" s="175"/>
      <c r="V689" s="175"/>
      <c r="W689" s="175"/>
      <c r="X689" s="597"/>
      <c r="Y689" s="175"/>
      <c r="Z689" s="175"/>
    </row>
    <row r="690" ht="12.0" customHeight="1">
      <c r="A690" s="175"/>
      <c r="B690" s="175"/>
      <c r="C690" s="175"/>
      <c r="D690" s="175"/>
      <c r="E690" s="597"/>
      <c r="F690" s="597"/>
      <c r="G690" s="597"/>
      <c r="H690" s="597"/>
      <c r="I690" s="597"/>
      <c r="J690" s="597"/>
      <c r="K690" s="597"/>
      <c r="L690" s="597"/>
      <c r="M690" s="597"/>
      <c r="N690" s="597"/>
      <c r="O690" s="597"/>
      <c r="P690" s="597"/>
      <c r="Q690" s="597"/>
      <c r="R690" s="597"/>
      <c r="S690" s="175"/>
      <c r="T690" s="175"/>
      <c r="U690" s="175"/>
      <c r="V690" s="175"/>
      <c r="W690" s="175"/>
      <c r="X690" s="597"/>
      <c r="Y690" s="175"/>
      <c r="Z690" s="175"/>
    </row>
    <row r="691" ht="12.0" customHeight="1">
      <c r="A691" s="175"/>
      <c r="B691" s="175"/>
      <c r="C691" s="175"/>
      <c r="D691" s="175"/>
      <c r="E691" s="597"/>
      <c r="F691" s="597"/>
      <c r="G691" s="597"/>
      <c r="H691" s="597"/>
      <c r="I691" s="597"/>
      <c r="J691" s="597"/>
      <c r="K691" s="597"/>
      <c r="L691" s="597"/>
      <c r="M691" s="597"/>
      <c r="N691" s="597"/>
      <c r="O691" s="597"/>
      <c r="P691" s="597"/>
      <c r="Q691" s="597"/>
      <c r="R691" s="597"/>
      <c r="S691" s="175"/>
      <c r="T691" s="175"/>
      <c r="U691" s="175"/>
      <c r="V691" s="175"/>
      <c r="W691" s="175"/>
      <c r="X691" s="597"/>
      <c r="Y691" s="175"/>
      <c r="Z691" s="175"/>
    </row>
    <row r="692" ht="12.0" customHeight="1">
      <c r="A692" s="175"/>
      <c r="B692" s="175"/>
      <c r="C692" s="175"/>
      <c r="D692" s="175"/>
      <c r="E692" s="597"/>
      <c r="F692" s="597"/>
      <c r="G692" s="597"/>
      <c r="H692" s="597"/>
      <c r="I692" s="597"/>
      <c r="J692" s="597"/>
      <c r="K692" s="597"/>
      <c r="L692" s="597"/>
      <c r="M692" s="597"/>
      <c r="N692" s="597"/>
      <c r="O692" s="597"/>
      <c r="P692" s="597"/>
      <c r="Q692" s="597"/>
      <c r="R692" s="597"/>
      <c r="S692" s="175"/>
      <c r="T692" s="175"/>
      <c r="U692" s="175"/>
      <c r="V692" s="175"/>
      <c r="W692" s="175"/>
      <c r="X692" s="597"/>
      <c r="Y692" s="175"/>
      <c r="Z692" s="175"/>
    </row>
    <row r="693" ht="12.0" customHeight="1">
      <c r="A693" s="175"/>
      <c r="B693" s="175"/>
      <c r="C693" s="175"/>
      <c r="D693" s="175"/>
      <c r="E693" s="597"/>
      <c r="F693" s="597"/>
      <c r="G693" s="597"/>
      <c r="H693" s="597"/>
      <c r="I693" s="597"/>
      <c r="J693" s="597"/>
      <c r="K693" s="597"/>
      <c r="L693" s="597"/>
      <c r="M693" s="597"/>
      <c r="N693" s="597"/>
      <c r="O693" s="597"/>
      <c r="P693" s="597"/>
      <c r="Q693" s="597"/>
      <c r="R693" s="597"/>
      <c r="S693" s="175"/>
      <c r="T693" s="175"/>
      <c r="U693" s="175"/>
      <c r="V693" s="175"/>
      <c r="W693" s="175"/>
      <c r="X693" s="597"/>
      <c r="Y693" s="175"/>
      <c r="Z693" s="175"/>
    </row>
    <row r="694" ht="12.0" customHeight="1">
      <c r="A694" s="175"/>
      <c r="B694" s="175"/>
      <c r="C694" s="175"/>
      <c r="D694" s="175"/>
      <c r="E694" s="597"/>
      <c r="F694" s="597"/>
      <c r="G694" s="597"/>
      <c r="H694" s="597"/>
      <c r="I694" s="597"/>
      <c r="J694" s="597"/>
      <c r="K694" s="597"/>
      <c r="L694" s="597"/>
      <c r="M694" s="597"/>
      <c r="N694" s="597"/>
      <c r="O694" s="597"/>
      <c r="P694" s="597"/>
      <c r="Q694" s="597"/>
      <c r="R694" s="597"/>
      <c r="S694" s="175"/>
      <c r="T694" s="175"/>
      <c r="U694" s="175"/>
      <c r="V694" s="175"/>
      <c r="W694" s="175"/>
      <c r="X694" s="597"/>
      <c r="Y694" s="175"/>
      <c r="Z694" s="175"/>
    </row>
    <row r="695" ht="12.0" customHeight="1">
      <c r="A695" s="175"/>
      <c r="B695" s="175"/>
      <c r="C695" s="175"/>
      <c r="D695" s="175"/>
      <c r="E695" s="597"/>
      <c r="F695" s="597"/>
      <c r="G695" s="597"/>
      <c r="H695" s="597"/>
      <c r="I695" s="597"/>
      <c r="J695" s="597"/>
      <c r="K695" s="597"/>
      <c r="L695" s="597"/>
      <c r="M695" s="597"/>
      <c r="N695" s="597"/>
      <c r="O695" s="597"/>
      <c r="P695" s="597"/>
      <c r="Q695" s="597"/>
      <c r="R695" s="597"/>
      <c r="S695" s="175"/>
      <c r="T695" s="175"/>
      <c r="U695" s="175"/>
      <c r="V695" s="175"/>
      <c r="W695" s="175"/>
      <c r="X695" s="597"/>
      <c r="Y695" s="175"/>
      <c r="Z695" s="175"/>
    </row>
    <row r="696" ht="12.0" customHeight="1">
      <c r="A696" s="175"/>
      <c r="B696" s="175"/>
      <c r="C696" s="175"/>
      <c r="D696" s="175"/>
      <c r="E696" s="597"/>
      <c r="F696" s="597"/>
      <c r="G696" s="597"/>
      <c r="H696" s="597"/>
      <c r="I696" s="597"/>
      <c r="J696" s="597"/>
      <c r="K696" s="597"/>
      <c r="L696" s="597"/>
      <c r="M696" s="597"/>
      <c r="N696" s="597"/>
      <c r="O696" s="597"/>
      <c r="P696" s="597"/>
      <c r="Q696" s="597"/>
      <c r="R696" s="597"/>
      <c r="S696" s="175"/>
      <c r="T696" s="175"/>
      <c r="U696" s="175"/>
      <c r="V696" s="175"/>
      <c r="W696" s="175"/>
      <c r="X696" s="597"/>
      <c r="Y696" s="175"/>
      <c r="Z696" s="175"/>
    </row>
    <row r="697" ht="12.0" customHeight="1">
      <c r="A697" s="175"/>
      <c r="B697" s="175"/>
      <c r="C697" s="175"/>
      <c r="D697" s="175"/>
      <c r="E697" s="597"/>
      <c r="F697" s="597"/>
      <c r="G697" s="597"/>
      <c r="H697" s="597"/>
      <c r="I697" s="597"/>
      <c r="J697" s="597"/>
      <c r="K697" s="597"/>
      <c r="L697" s="597"/>
      <c r="M697" s="597"/>
      <c r="N697" s="597"/>
      <c r="O697" s="597"/>
      <c r="P697" s="597"/>
      <c r="Q697" s="597"/>
      <c r="R697" s="597"/>
      <c r="S697" s="175"/>
      <c r="T697" s="175"/>
      <c r="U697" s="175"/>
      <c r="V697" s="175"/>
      <c r="W697" s="175"/>
      <c r="X697" s="597"/>
      <c r="Y697" s="175"/>
      <c r="Z697" s="175"/>
    </row>
    <row r="698" ht="12.0" customHeight="1">
      <c r="A698" s="175"/>
      <c r="B698" s="175"/>
      <c r="C698" s="175"/>
      <c r="D698" s="175"/>
      <c r="E698" s="597"/>
      <c r="F698" s="597"/>
      <c r="G698" s="597"/>
      <c r="H698" s="597"/>
      <c r="I698" s="597"/>
      <c r="J698" s="597"/>
      <c r="K698" s="597"/>
      <c r="L698" s="597"/>
      <c r="M698" s="597"/>
      <c r="N698" s="597"/>
      <c r="O698" s="597"/>
      <c r="P698" s="597"/>
      <c r="Q698" s="597"/>
      <c r="R698" s="597"/>
      <c r="S698" s="175"/>
      <c r="T698" s="175"/>
      <c r="U698" s="175"/>
      <c r="V698" s="175"/>
      <c r="W698" s="175"/>
      <c r="X698" s="597"/>
      <c r="Y698" s="175"/>
      <c r="Z698" s="175"/>
    </row>
    <row r="699" ht="12.0" customHeight="1">
      <c r="A699" s="175"/>
      <c r="B699" s="175"/>
      <c r="C699" s="175"/>
      <c r="D699" s="175"/>
      <c r="E699" s="597"/>
      <c r="F699" s="597"/>
      <c r="G699" s="597"/>
      <c r="H699" s="597"/>
      <c r="I699" s="597"/>
      <c r="J699" s="597"/>
      <c r="K699" s="597"/>
      <c r="L699" s="597"/>
      <c r="M699" s="597"/>
      <c r="N699" s="597"/>
      <c r="O699" s="597"/>
      <c r="P699" s="597"/>
      <c r="Q699" s="597"/>
      <c r="R699" s="597"/>
      <c r="S699" s="175"/>
      <c r="T699" s="175"/>
      <c r="U699" s="175"/>
      <c r="V699" s="175"/>
      <c r="W699" s="175"/>
      <c r="X699" s="597"/>
      <c r="Y699" s="175"/>
      <c r="Z699" s="175"/>
    </row>
    <row r="700" ht="12.0" customHeight="1">
      <c r="A700" s="175"/>
      <c r="B700" s="175"/>
      <c r="C700" s="175"/>
      <c r="D700" s="175"/>
      <c r="E700" s="597"/>
      <c r="F700" s="597"/>
      <c r="G700" s="597"/>
      <c r="H700" s="597"/>
      <c r="I700" s="597"/>
      <c r="J700" s="597"/>
      <c r="K700" s="597"/>
      <c r="L700" s="597"/>
      <c r="M700" s="597"/>
      <c r="N700" s="597"/>
      <c r="O700" s="597"/>
      <c r="P700" s="597"/>
      <c r="Q700" s="597"/>
      <c r="R700" s="597"/>
      <c r="S700" s="175"/>
      <c r="T700" s="175"/>
      <c r="U700" s="175"/>
      <c r="V700" s="175"/>
      <c r="W700" s="175"/>
      <c r="X700" s="597"/>
      <c r="Y700" s="175"/>
      <c r="Z700" s="175"/>
    </row>
    <row r="701" ht="12.0" customHeight="1">
      <c r="A701" s="175"/>
      <c r="B701" s="175"/>
      <c r="C701" s="175"/>
      <c r="D701" s="175"/>
      <c r="E701" s="597"/>
      <c r="F701" s="597"/>
      <c r="G701" s="597"/>
      <c r="H701" s="597"/>
      <c r="I701" s="597"/>
      <c r="J701" s="597"/>
      <c r="K701" s="597"/>
      <c r="L701" s="597"/>
      <c r="M701" s="597"/>
      <c r="N701" s="597"/>
      <c r="O701" s="597"/>
      <c r="P701" s="597"/>
      <c r="Q701" s="597"/>
      <c r="R701" s="597"/>
      <c r="S701" s="175"/>
      <c r="T701" s="175"/>
      <c r="U701" s="175"/>
      <c r="V701" s="175"/>
      <c r="W701" s="175"/>
      <c r="X701" s="597"/>
      <c r="Y701" s="175"/>
      <c r="Z701" s="175"/>
    </row>
    <row r="702" ht="12.0" customHeight="1">
      <c r="A702" s="175"/>
      <c r="B702" s="175"/>
      <c r="C702" s="175"/>
      <c r="D702" s="175"/>
      <c r="E702" s="597"/>
      <c r="F702" s="597"/>
      <c r="G702" s="597"/>
      <c r="H702" s="597"/>
      <c r="I702" s="597"/>
      <c r="J702" s="597"/>
      <c r="K702" s="597"/>
      <c r="L702" s="597"/>
      <c r="M702" s="597"/>
      <c r="N702" s="597"/>
      <c r="O702" s="597"/>
      <c r="P702" s="597"/>
      <c r="Q702" s="597"/>
      <c r="R702" s="597"/>
      <c r="S702" s="175"/>
      <c r="T702" s="175"/>
      <c r="U702" s="175"/>
      <c r="V702" s="175"/>
      <c r="W702" s="175"/>
      <c r="X702" s="597"/>
      <c r="Y702" s="175"/>
      <c r="Z702" s="175"/>
    </row>
    <row r="703" ht="12.0" customHeight="1">
      <c r="A703" s="175"/>
      <c r="B703" s="175"/>
      <c r="C703" s="175"/>
      <c r="D703" s="175"/>
      <c r="E703" s="597"/>
      <c r="F703" s="597"/>
      <c r="G703" s="597"/>
      <c r="H703" s="597"/>
      <c r="I703" s="597"/>
      <c r="J703" s="597"/>
      <c r="K703" s="597"/>
      <c r="L703" s="597"/>
      <c r="M703" s="597"/>
      <c r="N703" s="597"/>
      <c r="O703" s="597"/>
      <c r="P703" s="597"/>
      <c r="Q703" s="597"/>
      <c r="R703" s="597"/>
      <c r="S703" s="175"/>
      <c r="T703" s="175"/>
      <c r="U703" s="175"/>
      <c r="V703" s="175"/>
      <c r="W703" s="175"/>
      <c r="X703" s="597"/>
      <c r="Y703" s="175"/>
      <c r="Z703" s="175"/>
    </row>
    <row r="704" ht="12.0" customHeight="1">
      <c r="A704" s="175"/>
      <c r="B704" s="175"/>
      <c r="C704" s="175"/>
      <c r="D704" s="175"/>
      <c r="E704" s="597"/>
      <c r="F704" s="597"/>
      <c r="G704" s="597"/>
      <c r="H704" s="597"/>
      <c r="I704" s="597"/>
      <c r="J704" s="597"/>
      <c r="K704" s="597"/>
      <c r="L704" s="597"/>
      <c r="M704" s="597"/>
      <c r="N704" s="597"/>
      <c r="O704" s="597"/>
      <c r="P704" s="597"/>
      <c r="Q704" s="597"/>
      <c r="R704" s="597"/>
      <c r="S704" s="175"/>
      <c r="T704" s="175"/>
      <c r="U704" s="175"/>
      <c r="V704" s="175"/>
      <c r="W704" s="175"/>
      <c r="X704" s="597"/>
      <c r="Y704" s="175"/>
      <c r="Z704" s="175"/>
    </row>
    <row r="705" ht="12.0" customHeight="1">
      <c r="A705" s="175"/>
      <c r="B705" s="175"/>
      <c r="C705" s="175"/>
      <c r="D705" s="175"/>
      <c r="E705" s="597"/>
      <c r="F705" s="597"/>
      <c r="G705" s="597"/>
      <c r="H705" s="597"/>
      <c r="I705" s="597"/>
      <c r="J705" s="597"/>
      <c r="K705" s="597"/>
      <c r="L705" s="597"/>
      <c r="M705" s="597"/>
      <c r="N705" s="597"/>
      <c r="O705" s="597"/>
      <c r="P705" s="597"/>
      <c r="Q705" s="597"/>
      <c r="R705" s="597"/>
      <c r="S705" s="175"/>
      <c r="T705" s="175"/>
      <c r="U705" s="175"/>
      <c r="V705" s="175"/>
      <c r="W705" s="175"/>
      <c r="X705" s="597"/>
      <c r="Y705" s="175"/>
      <c r="Z705" s="175"/>
    </row>
    <row r="706" ht="12.0" customHeight="1">
      <c r="A706" s="175"/>
      <c r="B706" s="175"/>
      <c r="C706" s="175"/>
      <c r="D706" s="175"/>
      <c r="E706" s="597"/>
      <c r="F706" s="597"/>
      <c r="G706" s="597"/>
      <c r="H706" s="597"/>
      <c r="I706" s="597"/>
      <c r="J706" s="597"/>
      <c r="K706" s="597"/>
      <c r="L706" s="597"/>
      <c r="M706" s="597"/>
      <c r="N706" s="597"/>
      <c r="O706" s="597"/>
      <c r="P706" s="597"/>
      <c r="Q706" s="597"/>
      <c r="R706" s="597"/>
      <c r="S706" s="175"/>
      <c r="T706" s="175"/>
      <c r="U706" s="175"/>
      <c r="V706" s="175"/>
      <c r="W706" s="175"/>
      <c r="X706" s="597"/>
      <c r="Y706" s="175"/>
      <c r="Z706" s="175"/>
    </row>
    <row r="707" ht="12.0" customHeight="1">
      <c r="A707" s="175"/>
      <c r="B707" s="175"/>
      <c r="C707" s="175"/>
      <c r="D707" s="175"/>
      <c r="E707" s="597"/>
      <c r="F707" s="597"/>
      <c r="G707" s="597"/>
      <c r="H707" s="597"/>
      <c r="I707" s="597"/>
      <c r="J707" s="597"/>
      <c r="K707" s="597"/>
      <c r="L707" s="597"/>
      <c r="M707" s="597"/>
      <c r="N707" s="597"/>
      <c r="O707" s="597"/>
      <c r="P707" s="597"/>
      <c r="Q707" s="597"/>
      <c r="R707" s="597"/>
      <c r="S707" s="175"/>
      <c r="T707" s="175"/>
      <c r="U707" s="175"/>
      <c r="V707" s="175"/>
      <c r="W707" s="175"/>
      <c r="X707" s="597"/>
      <c r="Y707" s="175"/>
      <c r="Z707" s="175"/>
    </row>
    <row r="708" ht="12.0" customHeight="1">
      <c r="A708" s="175"/>
      <c r="B708" s="175"/>
      <c r="C708" s="175"/>
      <c r="D708" s="175"/>
      <c r="E708" s="597"/>
      <c r="F708" s="597"/>
      <c r="G708" s="597"/>
      <c r="H708" s="597"/>
      <c r="I708" s="597"/>
      <c r="J708" s="597"/>
      <c r="K708" s="597"/>
      <c r="L708" s="597"/>
      <c r="M708" s="597"/>
      <c r="N708" s="597"/>
      <c r="O708" s="597"/>
      <c r="P708" s="597"/>
      <c r="Q708" s="597"/>
      <c r="R708" s="597"/>
      <c r="S708" s="175"/>
      <c r="T708" s="175"/>
      <c r="U708" s="175"/>
      <c r="V708" s="175"/>
      <c r="W708" s="175"/>
      <c r="X708" s="597"/>
      <c r="Y708" s="175"/>
      <c r="Z708" s="175"/>
    </row>
    <row r="709" ht="12.0" customHeight="1">
      <c r="A709" s="175"/>
      <c r="B709" s="175"/>
      <c r="C709" s="175"/>
      <c r="D709" s="175"/>
      <c r="E709" s="597"/>
      <c r="F709" s="597"/>
      <c r="G709" s="597"/>
      <c r="H709" s="597"/>
      <c r="I709" s="597"/>
      <c r="J709" s="597"/>
      <c r="K709" s="597"/>
      <c r="L709" s="597"/>
      <c r="M709" s="597"/>
      <c r="N709" s="597"/>
      <c r="O709" s="597"/>
      <c r="P709" s="597"/>
      <c r="Q709" s="597"/>
      <c r="R709" s="597"/>
      <c r="S709" s="175"/>
      <c r="T709" s="175"/>
      <c r="U709" s="175"/>
      <c r="V709" s="175"/>
      <c r="W709" s="175"/>
      <c r="X709" s="597"/>
      <c r="Y709" s="175"/>
      <c r="Z709" s="175"/>
    </row>
    <row r="710" ht="12.0" customHeight="1">
      <c r="A710" s="175"/>
      <c r="B710" s="175"/>
      <c r="C710" s="175"/>
      <c r="D710" s="175"/>
      <c r="E710" s="597"/>
      <c r="F710" s="597"/>
      <c r="G710" s="597"/>
      <c r="H710" s="597"/>
      <c r="I710" s="597"/>
      <c r="J710" s="597"/>
      <c r="K710" s="597"/>
      <c r="L710" s="597"/>
      <c r="M710" s="597"/>
      <c r="N710" s="597"/>
      <c r="O710" s="597"/>
      <c r="P710" s="597"/>
      <c r="Q710" s="597"/>
      <c r="R710" s="597"/>
      <c r="S710" s="175"/>
      <c r="T710" s="175"/>
      <c r="U710" s="175"/>
      <c r="V710" s="175"/>
      <c r="W710" s="175"/>
      <c r="X710" s="597"/>
      <c r="Y710" s="175"/>
      <c r="Z710" s="175"/>
    </row>
    <row r="711" ht="12.0" customHeight="1">
      <c r="A711" s="175"/>
      <c r="B711" s="175"/>
      <c r="C711" s="175"/>
      <c r="D711" s="175"/>
      <c r="E711" s="597"/>
      <c r="F711" s="597"/>
      <c r="G711" s="597"/>
      <c r="H711" s="597"/>
      <c r="I711" s="597"/>
      <c r="J711" s="597"/>
      <c r="K711" s="597"/>
      <c r="L711" s="597"/>
      <c r="M711" s="597"/>
      <c r="N711" s="597"/>
      <c r="O711" s="597"/>
      <c r="P711" s="597"/>
      <c r="Q711" s="597"/>
      <c r="R711" s="597"/>
      <c r="S711" s="175"/>
      <c r="T711" s="175"/>
      <c r="U711" s="175"/>
      <c r="V711" s="175"/>
      <c r="W711" s="175"/>
      <c r="X711" s="597"/>
      <c r="Y711" s="175"/>
      <c r="Z711" s="175"/>
    </row>
    <row r="712" ht="12.0" customHeight="1">
      <c r="A712" s="175"/>
      <c r="B712" s="175"/>
      <c r="C712" s="175"/>
      <c r="D712" s="175"/>
      <c r="E712" s="597"/>
      <c r="F712" s="597"/>
      <c r="G712" s="597"/>
      <c r="H712" s="597"/>
      <c r="I712" s="597"/>
      <c r="J712" s="597"/>
      <c r="K712" s="597"/>
      <c r="L712" s="597"/>
      <c r="M712" s="597"/>
      <c r="N712" s="597"/>
      <c r="O712" s="597"/>
      <c r="P712" s="597"/>
      <c r="Q712" s="597"/>
      <c r="R712" s="597"/>
      <c r="S712" s="175"/>
      <c r="T712" s="175"/>
      <c r="U712" s="175"/>
      <c r="V712" s="175"/>
      <c r="W712" s="175"/>
      <c r="X712" s="597"/>
      <c r="Y712" s="175"/>
      <c r="Z712" s="175"/>
    </row>
    <row r="713" ht="12.0" customHeight="1">
      <c r="A713" s="175"/>
      <c r="B713" s="175"/>
      <c r="C713" s="175"/>
      <c r="D713" s="175"/>
      <c r="E713" s="597"/>
      <c r="F713" s="597"/>
      <c r="G713" s="597"/>
      <c r="H713" s="597"/>
      <c r="I713" s="597"/>
      <c r="J713" s="597"/>
      <c r="K713" s="597"/>
      <c r="L713" s="597"/>
      <c r="M713" s="597"/>
      <c r="N713" s="597"/>
      <c r="O713" s="597"/>
      <c r="P713" s="597"/>
      <c r="Q713" s="597"/>
      <c r="R713" s="597"/>
      <c r="S713" s="175"/>
      <c r="T713" s="175"/>
      <c r="U713" s="175"/>
      <c r="V713" s="175"/>
      <c r="W713" s="175"/>
      <c r="X713" s="597"/>
      <c r="Y713" s="175"/>
      <c r="Z713" s="175"/>
    </row>
    <row r="714" ht="12.0" customHeight="1">
      <c r="A714" s="175"/>
      <c r="B714" s="175"/>
      <c r="C714" s="175"/>
      <c r="D714" s="175"/>
      <c r="E714" s="597"/>
      <c r="F714" s="597"/>
      <c r="G714" s="597"/>
      <c r="H714" s="597"/>
      <c r="I714" s="597"/>
      <c r="J714" s="597"/>
      <c r="K714" s="597"/>
      <c r="L714" s="597"/>
      <c r="M714" s="597"/>
      <c r="N714" s="597"/>
      <c r="O714" s="597"/>
      <c r="P714" s="597"/>
      <c r="Q714" s="597"/>
      <c r="R714" s="597"/>
      <c r="S714" s="175"/>
      <c r="T714" s="175"/>
      <c r="U714" s="175"/>
      <c r="V714" s="175"/>
      <c r="W714" s="175"/>
      <c r="X714" s="597"/>
      <c r="Y714" s="175"/>
      <c r="Z714" s="175"/>
    </row>
    <row r="715" ht="12.0" customHeight="1">
      <c r="A715" s="175"/>
      <c r="B715" s="175"/>
      <c r="C715" s="175"/>
      <c r="D715" s="175"/>
      <c r="E715" s="597"/>
      <c r="F715" s="597"/>
      <c r="G715" s="597"/>
      <c r="H715" s="597"/>
      <c r="I715" s="597"/>
      <c r="J715" s="597"/>
      <c r="K715" s="597"/>
      <c r="L715" s="597"/>
      <c r="M715" s="597"/>
      <c r="N715" s="597"/>
      <c r="O715" s="597"/>
      <c r="P715" s="597"/>
      <c r="Q715" s="597"/>
      <c r="R715" s="597"/>
      <c r="S715" s="175"/>
      <c r="T715" s="175"/>
      <c r="U715" s="175"/>
      <c r="V715" s="175"/>
      <c r="W715" s="175"/>
      <c r="X715" s="597"/>
      <c r="Y715" s="175"/>
      <c r="Z715" s="175"/>
    </row>
    <row r="716" ht="12.0" customHeight="1">
      <c r="A716" s="175"/>
      <c r="B716" s="175"/>
      <c r="C716" s="175"/>
      <c r="D716" s="175"/>
      <c r="E716" s="597"/>
      <c r="F716" s="597"/>
      <c r="G716" s="597"/>
      <c r="H716" s="597"/>
      <c r="I716" s="597"/>
      <c r="J716" s="597"/>
      <c r="K716" s="597"/>
      <c r="L716" s="597"/>
      <c r="M716" s="597"/>
      <c r="N716" s="597"/>
      <c r="O716" s="597"/>
      <c r="P716" s="597"/>
      <c r="Q716" s="597"/>
      <c r="R716" s="597"/>
      <c r="S716" s="175"/>
      <c r="T716" s="175"/>
      <c r="U716" s="175"/>
      <c r="V716" s="175"/>
      <c r="W716" s="175"/>
      <c r="X716" s="597"/>
      <c r="Y716" s="175"/>
      <c r="Z716" s="175"/>
    </row>
    <row r="717" ht="12.0" customHeight="1">
      <c r="A717" s="175"/>
      <c r="B717" s="175"/>
      <c r="C717" s="175"/>
      <c r="D717" s="175"/>
      <c r="E717" s="597"/>
      <c r="F717" s="597"/>
      <c r="G717" s="597"/>
      <c r="H717" s="597"/>
      <c r="I717" s="597"/>
      <c r="J717" s="597"/>
      <c r="K717" s="597"/>
      <c r="L717" s="597"/>
      <c r="M717" s="597"/>
      <c r="N717" s="597"/>
      <c r="O717" s="597"/>
      <c r="P717" s="597"/>
      <c r="Q717" s="597"/>
      <c r="R717" s="597"/>
      <c r="S717" s="175"/>
      <c r="T717" s="175"/>
      <c r="U717" s="175"/>
      <c r="V717" s="175"/>
      <c r="W717" s="175"/>
      <c r="X717" s="597"/>
      <c r="Y717" s="175"/>
      <c r="Z717" s="175"/>
    </row>
    <row r="718" ht="12.0" customHeight="1">
      <c r="A718" s="175"/>
      <c r="B718" s="175"/>
      <c r="C718" s="175"/>
      <c r="D718" s="175"/>
      <c r="E718" s="597"/>
      <c r="F718" s="597"/>
      <c r="G718" s="597"/>
      <c r="H718" s="597"/>
      <c r="I718" s="597"/>
      <c r="J718" s="597"/>
      <c r="K718" s="597"/>
      <c r="L718" s="597"/>
      <c r="M718" s="597"/>
      <c r="N718" s="597"/>
      <c r="O718" s="597"/>
      <c r="P718" s="597"/>
      <c r="Q718" s="597"/>
      <c r="R718" s="597"/>
      <c r="S718" s="175"/>
      <c r="T718" s="175"/>
      <c r="U718" s="175"/>
      <c r="V718" s="175"/>
      <c r="W718" s="175"/>
      <c r="X718" s="597"/>
      <c r="Y718" s="175"/>
      <c r="Z718" s="175"/>
    </row>
    <row r="719" ht="12.0" customHeight="1">
      <c r="A719" s="175"/>
      <c r="B719" s="175"/>
      <c r="C719" s="175"/>
      <c r="D719" s="175"/>
      <c r="E719" s="597"/>
      <c r="F719" s="597"/>
      <c r="G719" s="597"/>
      <c r="H719" s="597"/>
      <c r="I719" s="597"/>
      <c r="J719" s="597"/>
      <c r="K719" s="597"/>
      <c r="L719" s="597"/>
      <c r="M719" s="597"/>
      <c r="N719" s="597"/>
      <c r="O719" s="597"/>
      <c r="P719" s="597"/>
      <c r="Q719" s="597"/>
      <c r="R719" s="597"/>
      <c r="S719" s="175"/>
      <c r="T719" s="175"/>
      <c r="U719" s="175"/>
      <c r="V719" s="175"/>
      <c r="W719" s="175"/>
      <c r="X719" s="597"/>
      <c r="Y719" s="175"/>
      <c r="Z719" s="175"/>
    </row>
    <row r="720" ht="12.0" customHeight="1">
      <c r="A720" s="175"/>
      <c r="B720" s="175"/>
      <c r="C720" s="175"/>
      <c r="D720" s="175"/>
      <c r="E720" s="597"/>
      <c r="F720" s="597"/>
      <c r="G720" s="597"/>
      <c r="H720" s="597"/>
      <c r="I720" s="597"/>
      <c r="J720" s="597"/>
      <c r="K720" s="597"/>
      <c r="L720" s="597"/>
      <c r="M720" s="597"/>
      <c r="N720" s="597"/>
      <c r="O720" s="597"/>
      <c r="P720" s="597"/>
      <c r="Q720" s="597"/>
      <c r="R720" s="597"/>
      <c r="S720" s="175"/>
      <c r="T720" s="175"/>
      <c r="U720" s="175"/>
      <c r="V720" s="175"/>
      <c r="W720" s="175"/>
      <c r="X720" s="597"/>
      <c r="Y720" s="175"/>
      <c r="Z720" s="175"/>
    </row>
    <row r="721" ht="12.0" customHeight="1">
      <c r="A721" s="175"/>
      <c r="B721" s="175"/>
      <c r="C721" s="175"/>
      <c r="D721" s="175"/>
      <c r="E721" s="597"/>
      <c r="F721" s="597"/>
      <c r="G721" s="597"/>
      <c r="H721" s="597"/>
      <c r="I721" s="597"/>
      <c r="J721" s="597"/>
      <c r="K721" s="597"/>
      <c r="L721" s="597"/>
      <c r="M721" s="597"/>
      <c r="N721" s="597"/>
      <c r="O721" s="597"/>
      <c r="P721" s="597"/>
      <c r="Q721" s="597"/>
      <c r="R721" s="597"/>
      <c r="S721" s="175"/>
      <c r="T721" s="175"/>
      <c r="U721" s="175"/>
      <c r="V721" s="175"/>
      <c r="W721" s="175"/>
      <c r="X721" s="597"/>
      <c r="Y721" s="175"/>
      <c r="Z721" s="175"/>
    </row>
    <row r="722" ht="12.0" customHeight="1">
      <c r="A722" s="175"/>
      <c r="B722" s="175"/>
      <c r="C722" s="175"/>
      <c r="D722" s="175"/>
      <c r="E722" s="597"/>
      <c r="F722" s="597"/>
      <c r="G722" s="597"/>
      <c r="H722" s="597"/>
      <c r="I722" s="597"/>
      <c r="J722" s="597"/>
      <c r="K722" s="597"/>
      <c r="L722" s="597"/>
      <c r="M722" s="597"/>
      <c r="N722" s="597"/>
      <c r="O722" s="597"/>
      <c r="P722" s="597"/>
      <c r="Q722" s="597"/>
      <c r="R722" s="597"/>
      <c r="S722" s="175"/>
      <c r="T722" s="175"/>
      <c r="U722" s="175"/>
      <c r="V722" s="175"/>
      <c r="W722" s="175"/>
      <c r="X722" s="597"/>
      <c r="Y722" s="175"/>
      <c r="Z722" s="175"/>
    </row>
    <row r="723" ht="12.0" customHeight="1">
      <c r="A723" s="175"/>
      <c r="B723" s="175"/>
      <c r="C723" s="175"/>
      <c r="D723" s="175"/>
      <c r="E723" s="597"/>
      <c r="F723" s="597"/>
      <c r="G723" s="597"/>
      <c r="H723" s="597"/>
      <c r="I723" s="597"/>
      <c r="J723" s="597"/>
      <c r="K723" s="597"/>
      <c r="L723" s="597"/>
      <c r="M723" s="597"/>
      <c r="N723" s="597"/>
      <c r="O723" s="597"/>
      <c r="P723" s="597"/>
      <c r="Q723" s="597"/>
      <c r="R723" s="597"/>
      <c r="S723" s="175"/>
      <c r="T723" s="175"/>
      <c r="U723" s="175"/>
      <c r="V723" s="175"/>
      <c r="W723" s="175"/>
      <c r="X723" s="597"/>
      <c r="Y723" s="175"/>
      <c r="Z723" s="175"/>
    </row>
    <row r="724" ht="12.0" customHeight="1">
      <c r="A724" s="175"/>
      <c r="B724" s="175"/>
      <c r="C724" s="175"/>
      <c r="D724" s="175"/>
      <c r="E724" s="597"/>
      <c r="F724" s="597"/>
      <c r="G724" s="597"/>
      <c r="H724" s="597"/>
      <c r="I724" s="597"/>
      <c r="J724" s="597"/>
      <c r="K724" s="597"/>
      <c r="L724" s="597"/>
      <c r="M724" s="597"/>
      <c r="N724" s="597"/>
      <c r="O724" s="597"/>
      <c r="P724" s="597"/>
      <c r="Q724" s="597"/>
      <c r="R724" s="597"/>
      <c r="S724" s="175"/>
      <c r="T724" s="175"/>
      <c r="U724" s="175"/>
      <c r="V724" s="175"/>
      <c r="W724" s="175"/>
      <c r="X724" s="597"/>
      <c r="Y724" s="175"/>
      <c r="Z724" s="175"/>
    </row>
    <row r="725" ht="12.0" customHeight="1">
      <c r="A725" s="175"/>
      <c r="B725" s="175"/>
      <c r="C725" s="175"/>
      <c r="D725" s="175"/>
      <c r="E725" s="597"/>
      <c r="F725" s="597"/>
      <c r="G725" s="597"/>
      <c r="H725" s="597"/>
      <c r="I725" s="597"/>
      <c r="J725" s="597"/>
      <c r="K725" s="597"/>
      <c r="L725" s="597"/>
      <c r="M725" s="597"/>
      <c r="N725" s="597"/>
      <c r="O725" s="597"/>
      <c r="P725" s="597"/>
      <c r="Q725" s="597"/>
      <c r="R725" s="597"/>
      <c r="S725" s="175"/>
      <c r="T725" s="175"/>
      <c r="U725" s="175"/>
      <c r="V725" s="175"/>
      <c r="W725" s="175"/>
      <c r="X725" s="597"/>
      <c r="Y725" s="175"/>
      <c r="Z725" s="175"/>
    </row>
    <row r="726" ht="12.0" customHeight="1">
      <c r="A726" s="175"/>
      <c r="B726" s="175"/>
      <c r="C726" s="175"/>
      <c r="D726" s="175"/>
      <c r="E726" s="597"/>
      <c r="F726" s="597"/>
      <c r="G726" s="597"/>
      <c r="H726" s="597"/>
      <c r="I726" s="597"/>
      <c r="J726" s="597"/>
      <c r="K726" s="597"/>
      <c r="L726" s="597"/>
      <c r="M726" s="597"/>
      <c r="N726" s="597"/>
      <c r="O726" s="597"/>
      <c r="P726" s="597"/>
      <c r="Q726" s="597"/>
      <c r="R726" s="597"/>
      <c r="S726" s="175"/>
      <c r="T726" s="175"/>
      <c r="U726" s="175"/>
      <c r="V726" s="175"/>
      <c r="W726" s="175"/>
      <c r="X726" s="597"/>
      <c r="Y726" s="175"/>
      <c r="Z726" s="175"/>
    </row>
    <row r="727" ht="12.0" customHeight="1">
      <c r="A727" s="175"/>
      <c r="B727" s="175"/>
      <c r="C727" s="175"/>
      <c r="D727" s="175"/>
      <c r="E727" s="597"/>
      <c r="F727" s="597"/>
      <c r="G727" s="597"/>
      <c r="H727" s="597"/>
      <c r="I727" s="597"/>
      <c r="J727" s="597"/>
      <c r="K727" s="597"/>
      <c r="L727" s="597"/>
      <c r="M727" s="597"/>
      <c r="N727" s="597"/>
      <c r="O727" s="597"/>
      <c r="P727" s="597"/>
      <c r="Q727" s="597"/>
      <c r="R727" s="597"/>
      <c r="S727" s="175"/>
      <c r="T727" s="175"/>
      <c r="U727" s="175"/>
      <c r="V727" s="175"/>
      <c r="W727" s="175"/>
      <c r="X727" s="597"/>
      <c r="Y727" s="175"/>
      <c r="Z727" s="175"/>
    </row>
    <row r="728" ht="12.0" customHeight="1">
      <c r="A728" s="175"/>
      <c r="B728" s="175"/>
      <c r="C728" s="175"/>
      <c r="D728" s="175"/>
      <c r="E728" s="597"/>
      <c r="F728" s="597"/>
      <c r="G728" s="597"/>
      <c r="H728" s="597"/>
      <c r="I728" s="597"/>
      <c r="J728" s="597"/>
      <c r="K728" s="597"/>
      <c r="L728" s="597"/>
      <c r="M728" s="597"/>
      <c r="N728" s="597"/>
      <c r="O728" s="597"/>
      <c r="P728" s="597"/>
      <c r="Q728" s="597"/>
      <c r="R728" s="597"/>
      <c r="S728" s="175"/>
      <c r="T728" s="175"/>
      <c r="U728" s="175"/>
      <c r="V728" s="175"/>
      <c r="W728" s="175"/>
      <c r="X728" s="597"/>
      <c r="Y728" s="175"/>
      <c r="Z728" s="175"/>
    </row>
    <row r="729" ht="12.0" customHeight="1">
      <c r="A729" s="175"/>
      <c r="B729" s="175"/>
      <c r="C729" s="175"/>
      <c r="D729" s="175"/>
      <c r="E729" s="597"/>
      <c r="F729" s="597"/>
      <c r="G729" s="597"/>
      <c r="H729" s="597"/>
      <c r="I729" s="597"/>
      <c r="J729" s="597"/>
      <c r="K729" s="597"/>
      <c r="L729" s="597"/>
      <c r="M729" s="597"/>
      <c r="N729" s="597"/>
      <c r="O729" s="597"/>
      <c r="P729" s="597"/>
      <c r="Q729" s="597"/>
      <c r="R729" s="597"/>
      <c r="S729" s="175"/>
      <c r="T729" s="175"/>
      <c r="U729" s="175"/>
      <c r="V729" s="175"/>
      <c r="W729" s="175"/>
      <c r="X729" s="597"/>
      <c r="Y729" s="175"/>
      <c r="Z729" s="175"/>
    </row>
    <row r="730" ht="12.0" customHeight="1">
      <c r="A730" s="175"/>
      <c r="B730" s="175"/>
      <c r="C730" s="175"/>
      <c r="D730" s="175"/>
      <c r="E730" s="597"/>
      <c r="F730" s="597"/>
      <c r="G730" s="597"/>
      <c r="H730" s="597"/>
      <c r="I730" s="597"/>
      <c r="J730" s="597"/>
      <c r="K730" s="597"/>
      <c r="L730" s="597"/>
      <c r="M730" s="597"/>
      <c r="N730" s="597"/>
      <c r="O730" s="597"/>
      <c r="P730" s="597"/>
      <c r="Q730" s="597"/>
      <c r="R730" s="597"/>
      <c r="S730" s="175"/>
      <c r="T730" s="175"/>
      <c r="U730" s="175"/>
      <c r="V730" s="175"/>
      <c r="W730" s="175"/>
      <c r="X730" s="597"/>
      <c r="Y730" s="175"/>
      <c r="Z730" s="175"/>
    </row>
    <row r="731" ht="12.0" customHeight="1">
      <c r="A731" s="175"/>
      <c r="B731" s="175"/>
      <c r="C731" s="175"/>
      <c r="D731" s="175"/>
      <c r="E731" s="597"/>
      <c r="F731" s="597"/>
      <c r="G731" s="597"/>
      <c r="H731" s="597"/>
      <c r="I731" s="597"/>
      <c r="J731" s="597"/>
      <c r="K731" s="597"/>
      <c r="L731" s="597"/>
      <c r="M731" s="597"/>
      <c r="N731" s="597"/>
      <c r="O731" s="597"/>
      <c r="P731" s="597"/>
      <c r="Q731" s="597"/>
      <c r="R731" s="597"/>
      <c r="S731" s="175"/>
      <c r="T731" s="175"/>
      <c r="U731" s="175"/>
      <c r="V731" s="175"/>
      <c r="W731" s="175"/>
      <c r="X731" s="597"/>
      <c r="Y731" s="175"/>
      <c r="Z731" s="175"/>
    </row>
    <row r="732" ht="12.0" customHeight="1">
      <c r="A732" s="175"/>
      <c r="B732" s="175"/>
      <c r="C732" s="175"/>
      <c r="D732" s="175"/>
      <c r="E732" s="597"/>
      <c r="F732" s="597"/>
      <c r="G732" s="597"/>
      <c r="H732" s="597"/>
      <c r="I732" s="597"/>
      <c r="J732" s="597"/>
      <c r="K732" s="597"/>
      <c r="L732" s="597"/>
      <c r="M732" s="597"/>
      <c r="N732" s="597"/>
      <c r="O732" s="597"/>
      <c r="P732" s="597"/>
      <c r="Q732" s="597"/>
      <c r="R732" s="597"/>
      <c r="S732" s="175"/>
      <c r="T732" s="175"/>
      <c r="U732" s="175"/>
      <c r="V732" s="175"/>
      <c r="W732" s="175"/>
      <c r="X732" s="597"/>
      <c r="Y732" s="175"/>
      <c r="Z732" s="175"/>
    </row>
    <row r="733" ht="12.0" customHeight="1">
      <c r="A733" s="175"/>
      <c r="B733" s="175"/>
      <c r="C733" s="175"/>
      <c r="D733" s="175"/>
      <c r="E733" s="597"/>
      <c r="F733" s="597"/>
      <c r="G733" s="597"/>
      <c r="H733" s="597"/>
      <c r="I733" s="597"/>
      <c r="J733" s="597"/>
      <c r="K733" s="597"/>
      <c r="L733" s="597"/>
      <c r="M733" s="597"/>
      <c r="N733" s="597"/>
      <c r="O733" s="597"/>
      <c r="P733" s="597"/>
      <c r="Q733" s="597"/>
      <c r="R733" s="597"/>
      <c r="S733" s="175"/>
      <c r="T733" s="175"/>
      <c r="U733" s="175"/>
      <c r="V733" s="175"/>
      <c r="W733" s="175"/>
      <c r="X733" s="597"/>
      <c r="Y733" s="175"/>
      <c r="Z733" s="175"/>
    </row>
    <row r="734" ht="12.0" customHeight="1">
      <c r="A734" s="175"/>
      <c r="B734" s="175"/>
      <c r="C734" s="175"/>
      <c r="D734" s="175"/>
      <c r="E734" s="597"/>
      <c r="F734" s="597"/>
      <c r="G734" s="597"/>
      <c r="H734" s="597"/>
      <c r="I734" s="597"/>
      <c r="J734" s="597"/>
      <c r="K734" s="597"/>
      <c r="L734" s="597"/>
      <c r="M734" s="597"/>
      <c r="N734" s="597"/>
      <c r="O734" s="597"/>
      <c r="P734" s="597"/>
      <c r="Q734" s="597"/>
      <c r="R734" s="597"/>
      <c r="S734" s="175"/>
      <c r="T734" s="175"/>
      <c r="U734" s="175"/>
      <c r="V734" s="175"/>
      <c r="W734" s="175"/>
      <c r="X734" s="597"/>
      <c r="Y734" s="175"/>
      <c r="Z734" s="175"/>
    </row>
    <row r="735" ht="12.0" customHeight="1">
      <c r="A735" s="175"/>
      <c r="B735" s="175"/>
      <c r="C735" s="175"/>
      <c r="D735" s="175"/>
      <c r="E735" s="597"/>
      <c r="F735" s="597"/>
      <c r="G735" s="597"/>
      <c r="H735" s="597"/>
      <c r="I735" s="597"/>
      <c r="J735" s="597"/>
      <c r="K735" s="597"/>
      <c r="L735" s="597"/>
      <c r="M735" s="597"/>
      <c r="N735" s="597"/>
      <c r="O735" s="597"/>
      <c r="P735" s="597"/>
      <c r="Q735" s="597"/>
      <c r="R735" s="597"/>
      <c r="S735" s="175"/>
      <c r="T735" s="175"/>
      <c r="U735" s="175"/>
      <c r="V735" s="175"/>
      <c r="W735" s="175"/>
      <c r="X735" s="597"/>
      <c r="Y735" s="175"/>
      <c r="Z735" s="175"/>
    </row>
    <row r="736" ht="12.0" customHeight="1">
      <c r="A736" s="175"/>
      <c r="B736" s="175"/>
      <c r="C736" s="175"/>
      <c r="D736" s="175"/>
      <c r="E736" s="597"/>
      <c r="F736" s="597"/>
      <c r="G736" s="597"/>
      <c r="H736" s="597"/>
      <c r="I736" s="597"/>
      <c r="J736" s="597"/>
      <c r="K736" s="597"/>
      <c r="L736" s="597"/>
      <c r="M736" s="597"/>
      <c r="N736" s="597"/>
      <c r="O736" s="597"/>
      <c r="P736" s="597"/>
      <c r="Q736" s="597"/>
      <c r="R736" s="597"/>
      <c r="S736" s="175"/>
      <c r="T736" s="175"/>
      <c r="U736" s="175"/>
      <c r="V736" s="175"/>
      <c r="W736" s="175"/>
      <c r="X736" s="597"/>
      <c r="Y736" s="175"/>
      <c r="Z736" s="175"/>
    </row>
    <row r="737" ht="12.0" customHeight="1">
      <c r="A737" s="175"/>
      <c r="B737" s="175"/>
      <c r="C737" s="175"/>
      <c r="D737" s="175"/>
      <c r="E737" s="597"/>
      <c r="F737" s="597"/>
      <c r="G737" s="597"/>
      <c r="H737" s="597"/>
      <c r="I737" s="597"/>
      <c r="J737" s="597"/>
      <c r="K737" s="597"/>
      <c r="L737" s="597"/>
      <c r="M737" s="597"/>
      <c r="N737" s="597"/>
      <c r="O737" s="597"/>
      <c r="P737" s="597"/>
      <c r="Q737" s="597"/>
      <c r="R737" s="597"/>
      <c r="S737" s="175"/>
      <c r="T737" s="175"/>
      <c r="U737" s="175"/>
      <c r="V737" s="175"/>
      <c r="W737" s="175"/>
      <c r="X737" s="597"/>
      <c r="Y737" s="175"/>
      <c r="Z737" s="175"/>
    </row>
    <row r="738" ht="12.0" customHeight="1">
      <c r="A738" s="175"/>
      <c r="B738" s="175"/>
      <c r="C738" s="175"/>
      <c r="D738" s="175"/>
      <c r="E738" s="597"/>
      <c r="F738" s="597"/>
      <c r="G738" s="597"/>
      <c r="H738" s="597"/>
      <c r="I738" s="597"/>
      <c r="J738" s="597"/>
      <c r="K738" s="597"/>
      <c r="L738" s="597"/>
      <c r="M738" s="597"/>
      <c r="N738" s="597"/>
      <c r="O738" s="597"/>
      <c r="P738" s="597"/>
      <c r="Q738" s="597"/>
      <c r="R738" s="597"/>
      <c r="S738" s="175"/>
      <c r="T738" s="175"/>
      <c r="U738" s="175"/>
      <c r="V738" s="175"/>
      <c r="W738" s="175"/>
      <c r="X738" s="597"/>
      <c r="Y738" s="175"/>
      <c r="Z738" s="175"/>
    </row>
    <row r="739" ht="12.0" customHeight="1">
      <c r="A739" s="175"/>
      <c r="B739" s="175"/>
      <c r="C739" s="175"/>
      <c r="D739" s="175"/>
      <c r="E739" s="597"/>
      <c r="F739" s="597"/>
      <c r="G739" s="597"/>
      <c r="H739" s="597"/>
      <c r="I739" s="597"/>
      <c r="J739" s="597"/>
      <c r="K739" s="597"/>
      <c r="L739" s="597"/>
      <c r="M739" s="597"/>
      <c r="N739" s="597"/>
      <c r="O739" s="597"/>
      <c r="P739" s="597"/>
      <c r="Q739" s="597"/>
      <c r="R739" s="597"/>
      <c r="S739" s="175"/>
      <c r="T739" s="175"/>
      <c r="U739" s="175"/>
      <c r="V739" s="175"/>
      <c r="W739" s="175"/>
      <c r="X739" s="597"/>
      <c r="Y739" s="175"/>
      <c r="Z739" s="175"/>
    </row>
    <row r="740" ht="12.0" customHeight="1">
      <c r="A740" s="175"/>
      <c r="B740" s="175"/>
      <c r="C740" s="175"/>
      <c r="D740" s="175"/>
      <c r="E740" s="597"/>
      <c r="F740" s="597"/>
      <c r="G740" s="597"/>
      <c r="H740" s="597"/>
      <c r="I740" s="597"/>
      <c r="J740" s="597"/>
      <c r="K740" s="597"/>
      <c r="L740" s="597"/>
      <c r="M740" s="597"/>
      <c r="N740" s="597"/>
      <c r="O740" s="597"/>
      <c r="P740" s="597"/>
      <c r="Q740" s="597"/>
      <c r="R740" s="597"/>
      <c r="S740" s="175"/>
      <c r="T740" s="175"/>
      <c r="U740" s="175"/>
      <c r="V740" s="175"/>
      <c r="W740" s="175"/>
      <c r="X740" s="597"/>
      <c r="Y740" s="175"/>
      <c r="Z740" s="175"/>
    </row>
    <row r="741" ht="12.0" customHeight="1">
      <c r="A741" s="175"/>
      <c r="B741" s="175"/>
      <c r="C741" s="175"/>
      <c r="D741" s="175"/>
      <c r="E741" s="597"/>
      <c r="F741" s="597"/>
      <c r="G741" s="597"/>
      <c r="H741" s="597"/>
      <c r="I741" s="597"/>
      <c r="J741" s="597"/>
      <c r="K741" s="597"/>
      <c r="L741" s="597"/>
      <c r="M741" s="597"/>
      <c r="N741" s="597"/>
      <c r="O741" s="597"/>
      <c r="P741" s="597"/>
      <c r="Q741" s="597"/>
      <c r="R741" s="597"/>
      <c r="S741" s="175"/>
      <c r="T741" s="175"/>
      <c r="U741" s="175"/>
      <c r="V741" s="175"/>
      <c r="W741" s="175"/>
      <c r="X741" s="597"/>
      <c r="Y741" s="175"/>
      <c r="Z741" s="175"/>
    </row>
    <row r="742" ht="12.0" customHeight="1">
      <c r="A742" s="175"/>
      <c r="B742" s="175"/>
      <c r="C742" s="175"/>
      <c r="D742" s="175"/>
      <c r="E742" s="597"/>
      <c r="F742" s="597"/>
      <c r="G742" s="597"/>
      <c r="H742" s="597"/>
      <c r="I742" s="597"/>
      <c r="J742" s="597"/>
      <c r="K742" s="597"/>
      <c r="L742" s="597"/>
      <c r="M742" s="597"/>
      <c r="N742" s="597"/>
      <c r="O742" s="597"/>
      <c r="P742" s="597"/>
      <c r="Q742" s="597"/>
      <c r="R742" s="597"/>
      <c r="S742" s="175"/>
      <c r="T742" s="175"/>
      <c r="U742" s="175"/>
      <c r="V742" s="175"/>
      <c r="W742" s="175"/>
      <c r="X742" s="597"/>
      <c r="Y742" s="175"/>
      <c r="Z742" s="175"/>
    </row>
    <row r="743" ht="12.0" customHeight="1">
      <c r="A743" s="175"/>
      <c r="B743" s="175"/>
      <c r="C743" s="175"/>
      <c r="D743" s="175"/>
      <c r="E743" s="597"/>
      <c r="F743" s="597"/>
      <c r="G743" s="597"/>
      <c r="H743" s="597"/>
      <c r="I743" s="597"/>
      <c r="J743" s="597"/>
      <c r="K743" s="597"/>
      <c r="L743" s="597"/>
      <c r="M743" s="597"/>
      <c r="N743" s="597"/>
      <c r="O743" s="597"/>
      <c r="P743" s="597"/>
      <c r="Q743" s="597"/>
      <c r="R743" s="597"/>
      <c r="S743" s="175"/>
      <c r="T743" s="175"/>
      <c r="U743" s="175"/>
      <c r="V743" s="175"/>
      <c r="W743" s="175"/>
      <c r="X743" s="597"/>
      <c r="Y743" s="175"/>
      <c r="Z743" s="175"/>
    </row>
    <row r="744" ht="12.0" customHeight="1">
      <c r="A744" s="175"/>
      <c r="B744" s="175"/>
      <c r="C744" s="175"/>
      <c r="D744" s="175"/>
      <c r="E744" s="597"/>
      <c r="F744" s="597"/>
      <c r="G744" s="597"/>
      <c r="H744" s="597"/>
      <c r="I744" s="597"/>
      <c r="J744" s="597"/>
      <c r="K744" s="597"/>
      <c r="L744" s="597"/>
      <c r="M744" s="597"/>
      <c r="N744" s="597"/>
      <c r="O744" s="597"/>
      <c r="P744" s="597"/>
      <c r="Q744" s="597"/>
      <c r="R744" s="597"/>
      <c r="S744" s="175"/>
      <c r="T744" s="175"/>
      <c r="U744" s="175"/>
      <c r="V744" s="175"/>
      <c r="W744" s="175"/>
      <c r="X744" s="597"/>
      <c r="Y744" s="175"/>
      <c r="Z744" s="175"/>
    </row>
    <row r="745" ht="12.0" customHeight="1">
      <c r="A745" s="175"/>
      <c r="B745" s="175"/>
      <c r="C745" s="175"/>
      <c r="D745" s="175"/>
      <c r="E745" s="597"/>
      <c r="F745" s="597"/>
      <c r="G745" s="597"/>
      <c r="H745" s="597"/>
      <c r="I745" s="597"/>
      <c r="J745" s="597"/>
      <c r="K745" s="597"/>
      <c r="L745" s="597"/>
      <c r="M745" s="597"/>
      <c r="N745" s="597"/>
      <c r="O745" s="597"/>
      <c r="P745" s="597"/>
      <c r="Q745" s="597"/>
      <c r="R745" s="597"/>
      <c r="S745" s="175"/>
      <c r="T745" s="175"/>
      <c r="U745" s="175"/>
      <c r="V745" s="175"/>
      <c r="W745" s="175"/>
      <c r="X745" s="597"/>
      <c r="Y745" s="175"/>
      <c r="Z745" s="175"/>
    </row>
    <row r="746" ht="12.0" customHeight="1">
      <c r="A746" s="175"/>
      <c r="B746" s="175"/>
      <c r="C746" s="175"/>
      <c r="D746" s="175"/>
      <c r="E746" s="597"/>
      <c r="F746" s="597"/>
      <c r="G746" s="597"/>
      <c r="H746" s="597"/>
      <c r="I746" s="597"/>
      <c r="J746" s="597"/>
      <c r="K746" s="597"/>
      <c r="L746" s="597"/>
      <c r="M746" s="597"/>
      <c r="N746" s="597"/>
      <c r="O746" s="597"/>
      <c r="P746" s="597"/>
      <c r="Q746" s="597"/>
      <c r="R746" s="597"/>
      <c r="S746" s="175"/>
      <c r="T746" s="175"/>
      <c r="U746" s="175"/>
      <c r="V746" s="175"/>
      <c r="W746" s="175"/>
      <c r="X746" s="597"/>
      <c r="Y746" s="175"/>
      <c r="Z746" s="175"/>
    </row>
    <row r="747" ht="12.0" customHeight="1">
      <c r="A747" s="175"/>
      <c r="B747" s="175"/>
      <c r="C747" s="175"/>
      <c r="D747" s="175"/>
      <c r="E747" s="597"/>
      <c r="F747" s="597"/>
      <c r="G747" s="597"/>
      <c r="H747" s="597"/>
      <c r="I747" s="597"/>
      <c r="J747" s="597"/>
      <c r="K747" s="597"/>
      <c r="L747" s="597"/>
      <c r="M747" s="597"/>
      <c r="N747" s="597"/>
      <c r="O747" s="597"/>
      <c r="P747" s="597"/>
      <c r="Q747" s="597"/>
      <c r="R747" s="597"/>
      <c r="S747" s="175"/>
      <c r="T747" s="175"/>
      <c r="U747" s="175"/>
      <c r="V747" s="175"/>
      <c r="W747" s="175"/>
      <c r="X747" s="597"/>
      <c r="Y747" s="175"/>
      <c r="Z747" s="175"/>
    </row>
    <row r="748" ht="12.0" customHeight="1">
      <c r="A748" s="175"/>
      <c r="B748" s="175"/>
      <c r="C748" s="175"/>
      <c r="D748" s="175"/>
      <c r="E748" s="597"/>
      <c r="F748" s="597"/>
      <c r="G748" s="597"/>
      <c r="H748" s="597"/>
      <c r="I748" s="597"/>
      <c r="J748" s="597"/>
      <c r="K748" s="597"/>
      <c r="L748" s="597"/>
      <c r="M748" s="597"/>
      <c r="N748" s="597"/>
      <c r="O748" s="597"/>
      <c r="P748" s="597"/>
      <c r="Q748" s="597"/>
      <c r="R748" s="597"/>
      <c r="S748" s="175"/>
      <c r="T748" s="175"/>
      <c r="U748" s="175"/>
      <c r="V748" s="175"/>
      <c r="W748" s="175"/>
      <c r="X748" s="597"/>
      <c r="Y748" s="175"/>
      <c r="Z748" s="175"/>
    </row>
    <row r="749" ht="12.0" customHeight="1">
      <c r="A749" s="175"/>
      <c r="B749" s="175"/>
      <c r="C749" s="175"/>
      <c r="D749" s="175"/>
      <c r="E749" s="597"/>
      <c r="F749" s="597"/>
      <c r="G749" s="597"/>
      <c r="H749" s="597"/>
      <c r="I749" s="597"/>
      <c r="J749" s="597"/>
      <c r="K749" s="597"/>
      <c r="L749" s="597"/>
      <c r="M749" s="597"/>
      <c r="N749" s="597"/>
      <c r="O749" s="597"/>
      <c r="P749" s="597"/>
      <c r="Q749" s="597"/>
      <c r="R749" s="597"/>
      <c r="S749" s="175"/>
      <c r="T749" s="175"/>
      <c r="U749" s="175"/>
      <c r="V749" s="175"/>
      <c r="W749" s="175"/>
      <c r="X749" s="597"/>
      <c r="Y749" s="175"/>
      <c r="Z749" s="175"/>
    </row>
    <row r="750" ht="12.0" customHeight="1">
      <c r="A750" s="175"/>
      <c r="B750" s="175"/>
      <c r="C750" s="175"/>
      <c r="D750" s="175"/>
      <c r="E750" s="597"/>
      <c r="F750" s="597"/>
      <c r="G750" s="597"/>
      <c r="H750" s="597"/>
      <c r="I750" s="597"/>
      <c r="J750" s="597"/>
      <c r="K750" s="597"/>
      <c r="L750" s="597"/>
      <c r="M750" s="597"/>
      <c r="N750" s="597"/>
      <c r="O750" s="597"/>
      <c r="P750" s="597"/>
      <c r="Q750" s="597"/>
      <c r="R750" s="597"/>
      <c r="S750" s="175"/>
      <c r="T750" s="175"/>
      <c r="U750" s="175"/>
      <c r="V750" s="175"/>
      <c r="W750" s="175"/>
      <c r="X750" s="597"/>
      <c r="Y750" s="175"/>
      <c r="Z750" s="175"/>
    </row>
    <row r="751" ht="12.0" customHeight="1">
      <c r="A751" s="175"/>
      <c r="B751" s="175"/>
      <c r="C751" s="175"/>
      <c r="D751" s="175"/>
      <c r="E751" s="597"/>
      <c r="F751" s="597"/>
      <c r="G751" s="597"/>
      <c r="H751" s="597"/>
      <c r="I751" s="597"/>
      <c r="J751" s="597"/>
      <c r="K751" s="597"/>
      <c r="L751" s="597"/>
      <c r="M751" s="597"/>
      <c r="N751" s="597"/>
      <c r="O751" s="597"/>
      <c r="P751" s="597"/>
      <c r="Q751" s="597"/>
      <c r="R751" s="597"/>
      <c r="S751" s="175"/>
      <c r="T751" s="175"/>
      <c r="U751" s="175"/>
      <c r="V751" s="175"/>
      <c r="W751" s="175"/>
      <c r="X751" s="597"/>
      <c r="Y751" s="175"/>
      <c r="Z751" s="175"/>
    </row>
    <row r="752" ht="12.0" customHeight="1">
      <c r="A752" s="175"/>
      <c r="B752" s="175"/>
      <c r="C752" s="175"/>
      <c r="D752" s="175"/>
      <c r="E752" s="597"/>
      <c r="F752" s="597"/>
      <c r="G752" s="597"/>
      <c r="H752" s="597"/>
      <c r="I752" s="597"/>
      <c r="J752" s="597"/>
      <c r="K752" s="597"/>
      <c r="L752" s="597"/>
      <c r="M752" s="597"/>
      <c r="N752" s="597"/>
      <c r="O752" s="597"/>
      <c r="P752" s="597"/>
      <c r="Q752" s="597"/>
      <c r="R752" s="597"/>
      <c r="S752" s="175"/>
      <c r="T752" s="175"/>
      <c r="U752" s="175"/>
      <c r="V752" s="175"/>
      <c r="W752" s="175"/>
      <c r="X752" s="597"/>
      <c r="Y752" s="175"/>
      <c r="Z752" s="175"/>
    </row>
    <row r="753" ht="12.0" customHeight="1">
      <c r="A753" s="175"/>
      <c r="B753" s="175"/>
      <c r="C753" s="175"/>
      <c r="D753" s="175"/>
      <c r="E753" s="597"/>
      <c r="F753" s="597"/>
      <c r="G753" s="597"/>
      <c r="H753" s="597"/>
      <c r="I753" s="597"/>
      <c r="J753" s="597"/>
      <c r="K753" s="597"/>
      <c r="L753" s="597"/>
      <c r="M753" s="597"/>
      <c r="N753" s="597"/>
      <c r="O753" s="597"/>
      <c r="P753" s="597"/>
      <c r="Q753" s="597"/>
      <c r="R753" s="597"/>
      <c r="S753" s="175"/>
      <c r="T753" s="175"/>
      <c r="U753" s="175"/>
      <c r="V753" s="175"/>
      <c r="W753" s="175"/>
      <c r="X753" s="597"/>
      <c r="Y753" s="175"/>
      <c r="Z753" s="175"/>
    </row>
    <row r="754" ht="12.0" customHeight="1">
      <c r="A754" s="175"/>
      <c r="B754" s="175"/>
      <c r="C754" s="175"/>
      <c r="D754" s="175"/>
      <c r="E754" s="597"/>
      <c r="F754" s="597"/>
      <c r="G754" s="597"/>
      <c r="H754" s="597"/>
      <c r="I754" s="597"/>
      <c r="J754" s="597"/>
      <c r="K754" s="597"/>
      <c r="L754" s="597"/>
      <c r="M754" s="597"/>
      <c r="N754" s="597"/>
      <c r="O754" s="597"/>
      <c r="P754" s="597"/>
      <c r="Q754" s="597"/>
      <c r="R754" s="597"/>
      <c r="S754" s="175"/>
      <c r="T754" s="175"/>
      <c r="U754" s="175"/>
      <c r="V754" s="175"/>
      <c r="W754" s="175"/>
      <c r="X754" s="597"/>
      <c r="Y754" s="175"/>
      <c r="Z754" s="175"/>
    </row>
    <row r="755" ht="12.0" customHeight="1">
      <c r="A755" s="175"/>
      <c r="B755" s="175"/>
      <c r="C755" s="175"/>
      <c r="D755" s="175"/>
      <c r="E755" s="597"/>
      <c r="F755" s="597"/>
      <c r="G755" s="597"/>
      <c r="H755" s="597"/>
      <c r="I755" s="597"/>
      <c r="J755" s="597"/>
      <c r="K755" s="597"/>
      <c r="L755" s="597"/>
      <c r="M755" s="597"/>
      <c r="N755" s="597"/>
      <c r="O755" s="597"/>
      <c r="P755" s="597"/>
      <c r="Q755" s="597"/>
      <c r="R755" s="597"/>
      <c r="S755" s="175"/>
      <c r="T755" s="175"/>
      <c r="U755" s="175"/>
      <c r="V755" s="175"/>
      <c r="W755" s="175"/>
      <c r="X755" s="597"/>
      <c r="Y755" s="175"/>
      <c r="Z755" s="175"/>
    </row>
    <row r="756" ht="12.0" customHeight="1">
      <c r="A756" s="175"/>
      <c r="B756" s="175"/>
      <c r="C756" s="175"/>
      <c r="D756" s="175"/>
      <c r="E756" s="597"/>
      <c r="F756" s="597"/>
      <c r="G756" s="597"/>
      <c r="H756" s="597"/>
      <c r="I756" s="597"/>
      <c r="J756" s="597"/>
      <c r="K756" s="597"/>
      <c r="L756" s="597"/>
      <c r="M756" s="597"/>
      <c r="N756" s="597"/>
      <c r="O756" s="597"/>
      <c r="P756" s="597"/>
      <c r="Q756" s="597"/>
      <c r="R756" s="597"/>
      <c r="S756" s="175"/>
      <c r="T756" s="175"/>
      <c r="U756" s="175"/>
      <c r="V756" s="175"/>
      <c r="W756" s="175"/>
      <c r="X756" s="597"/>
      <c r="Y756" s="175"/>
      <c r="Z756" s="175"/>
    </row>
    <row r="757" ht="12.0" customHeight="1">
      <c r="A757" s="175"/>
      <c r="B757" s="175"/>
      <c r="C757" s="175"/>
      <c r="D757" s="175"/>
      <c r="E757" s="597"/>
      <c r="F757" s="597"/>
      <c r="G757" s="597"/>
      <c r="H757" s="597"/>
      <c r="I757" s="597"/>
      <c r="J757" s="597"/>
      <c r="K757" s="597"/>
      <c r="L757" s="597"/>
      <c r="M757" s="597"/>
      <c r="N757" s="597"/>
      <c r="O757" s="597"/>
      <c r="P757" s="597"/>
      <c r="Q757" s="597"/>
      <c r="R757" s="597"/>
      <c r="S757" s="175"/>
      <c r="T757" s="175"/>
      <c r="U757" s="175"/>
      <c r="V757" s="175"/>
      <c r="W757" s="175"/>
      <c r="X757" s="597"/>
      <c r="Y757" s="175"/>
      <c r="Z757" s="175"/>
    </row>
    <row r="758" ht="12.0" customHeight="1">
      <c r="A758" s="175"/>
      <c r="B758" s="175"/>
      <c r="C758" s="175"/>
      <c r="D758" s="175"/>
      <c r="E758" s="597"/>
      <c r="F758" s="597"/>
      <c r="G758" s="597"/>
      <c r="H758" s="597"/>
      <c r="I758" s="597"/>
      <c r="J758" s="597"/>
      <c r="K758" s="597"/>
      <c r="L758" s="597"/>
      <c r="M758" s="597"/>
      <c r="N758" s="597"/>
      <c r="O758" s="597"/>
      <c r="P758" s="597"/>
      <c r="Q758" s="597"/>
      <c r="R758" s="597"/>
      <c r="S758" s="175"/>
      <c r="T758" s="175"/>
      <c r="U758" s="175"/>
      <c r="V758" s="175"/>
      <c r="W758" s="175"/>
      <c r="X758" s="597"/>
      <c r="Y758" s="175"/>
      <c r="Z758" s="175"/>
    </row>
    <row r="759" ht="12.0" customHeight="1">
      <c r="A759" s="175"/>
      <c r="B759" s="175"/>
      <c r="C759" s="175"/>
      <c r="D759" s="175"/>
      <c r="E759" s="597"/>
      <c r="F759" s="597"/>
      <c r="G759" s="597"/>
      <c r="H759" s="597"/>
      <c r="I759" s="597"/>
      <c r="J759" s="597"/>
      <c r="K759" s="597"/>
      <c r="L759" s="597"/>
      <c r="M759" s="597"/>
      <c r="N759" s="597"/>
      <c r="O759" s="597"/>
      <c r="P759" s="597"/>
      <c r="Q759" s="597"/>
      <c r="R759" s="597"/>
      <c r="S759" s="175"/>
      <c r="T759" s="175"/>
      <c r="U759" s="175"/>
      <c r="V759" s="175"/>
      <c r="W759" s="175"/>
      <c r="X759" s="597"/>
      <c r="Y759" s="175"/>
      <c r="Z759" s="175"/>
    </row>
    <row r="760" ht="12.0" customHeight="1">
      <c r="A760" s="175"/>
      <c r="B760" s="175"/>
      <c r="C760" s="175"/>
      <c r="D760" s="175"/>
      <c r="E760" s="597"/>
      <c r="F760" s="597"/>
      <c r="G760" s="597"/>
      <c r="H760" s="597"/>
      <c r="I760" s="597"/>
      <c r="J760" s="597"/>
      <c r="K760" s="597"/>
      <c r="L760" s="597"/>
      <c r="M760" s="597"/>
      <c r="N760" s="597"/>
      <c r="O760" s="597"/>
      <c r="P760" s="597"/>
      <c r="Q760" s="597"/>
      <c r="R760" s="597"/>
      <c r="S760" s="175"/>
      <c r="T760" s="175"/>
      <c r="U760" s="175"/>
      <c r="V760" s="175"/>
      <c r="W760" s="175"/>
      <c r="X760" s="597"/>
      <c r="Y760" s="175"/>
      <c r="Z760" s="175"/>
    </row>
    <row r="761" ht="12.0" customHeight="1">
      <c r="A761" s="175"/>
      <c r="B761" s="175"/>
      <c r="C761" s="175"/>
      <c r="D761" s="175"/>
      <c r="E761" s="597"/>
      <c r="F761" s="597"/>
      <c r="G761" s="597"/>
      <c r="H761" s="597"/>
      <c r="I761" s="597"/>
      <c r="J761" s="597"/>
      <c r="K761" s="597"/>
      <c r="L761" s="597"/>
      <c r="M761" s="597"/>
      <c r="N761" s="597"/>
      <c r="O761" s="597"/>
      <c r="P761" s="597"/>
      <c r="Q761" s="597"/>
      <c r="R761" s="597"/>
      <c r="S761" s="175"/>
      <c r="T761" s="175"/>
      <c r="U761" s="175"/>
      <c r="V761" s="175"/>
      <c r="W761" s="175"/>
      <c r="X761" s="597"/>
      <c r="Y761" s="175"/>
      <c r="Z761" s="175"/>
    </row>
    <row r="762" ht="12.0" customHeight="1">
      <c r="A762" s="175"/>
      <c r="B762" s="175"/>
      <c r="C762" s="175"/>
      <c r="D762" s="175"/>
      <c r="E762" s="597"/>
      <c r="F762" s="597"/>
      <c r="G762" s="597"/>
      <c r="H762" s="597"/>
      <c r="I762" s="597"/>
      <c r="J762" s="597"/>
      <c r="K762" s="597"/>
      <c r="L762" s="597"/>
      <c r="M762" s="597"/>
      <c r="N762" s="597"/>
      <c r="O762" s="597"/>
      <c r="P762" s="597"/>
      <c r="Q762" s="597"/>
      <c r="R762" s="597"/>
      <c r="S762" s="175"/>
      <c r="T762" s="175"/>
      <c r="U762" s="175"/>
      <c r="V762" s="175"/>
      <c r="W762" s="175"/>
      <c r="X762" s="597"/>
      <c r="Y762" s="175"/>
      <c r="Z762" s="175"/>
    </row>
    <row r="763" ht="12.0" customHeight="1">
      <c r="A763" s="175"/>
      <c r="B763" s="175"/>
      <c r="C763" s="175"/>
      <c r="D763" s="175"/>
      <c r="E763" s="597"/>
      <c r="F763" s="597"/>
      <c r="G763" s="597"/>
      <c r="H763" s="597"/>
      <c r="I763" s="597"/>
      <c r="J763" s="597"/>
      <c r="K763" s="597"/>
      <c r="L763" s="597"/>
      <c r="M763" s="597"/>
      <c r="N763" s="597"/>
      <c r="O763" s="597"/>
      <c r="P763" s="597"/>
      <c r="Q763" s="597"/>
      <c r="R763" s="597"/>
      <c r="S763" s="175"/>
      <c r="T763" s="175"/>
      <c r="U763" s="175"/>
      <c r="V763" s="175"/>
      <c r="W763" s="175"/>
      <c r="X763" s="597"/>
      <c r="Y763" s="175"/>
      <c r="Z763" s="175"/>
    </row>
    <row r="764" ht="12.0" customHeight="1">
      <c r="A764" s="175"/>
      <c r="B764" s="175"/>
      <c r="C764" s="175"/>
      <c r="D764" s="175"/>
      <c r="E764" s="597"/>
      <c r="F764" s="597"/>
      <c r="G764" s="597"/>
      <c r="H764" s="597"/>
      <c r="I764" s="597"/>
      <c r="J764" s="597"/>
      <c r="K764" s="597"/>
      <c r="L764" s="597"/>
      <c r="M764" s="597"/>
      <c r="N764" s="597"/>
      <c r="O764" s="597"/>
      <c r="P764" s="597"/>
      <c r="Q764" s="597"/>
      <c r="R764" s="597"/>
      <c r="S764" s="175"/>
      <c r="T764" s="175"/>
      <c r="U764" s="175"/>
      <c r="V764" s="175"/>
      <c r="W764" s="175"/>
      <c r="X764" s="597"/>
      <c r="Y764" s="175"/>
      <c r="Z764" s="175"/>
    </row>
    <row r="765" ht="12.0" customHeight="1">
      <c r="A765" s="175"/>
      <c r="B765" s="175"/>
      <c r="C765" s="175"/>
      <c r="D765" s="175"/>
      <c r="E765" s="597"/>
      <c r="F765" s="597"/>
      <c r="G765" s="597"/>
      <c r="H765" s="597"/>
      <c r="I765" s="597"/>
      <c r="J765" s="597"/>
      <c r="K765" s="597"/>
      <c r="L765" s="597"/>
      <c r="M765" s="597"/>
      <c r="N765" s="597"/>
      <c r="O765" s="597"/>
      <c r="P765" s="597"/>
      <c r="Q765" s="597"/>
      <c r="R765" s="597"/>
      <c r="S765" s="175"/>
      <c r="T765" s="175"/>
      <c r="U765" s="175"/>
      <c r="V765" s="175"/>
      <c r="W765" s="175"/>
      <c r="X765" s="597"/>
      <c r="Y765" s="175"/>
      <c r="Z765" s="175"/>
    </row>
    <row r="766" ht="12.0" customHeight="1">
      <c r="A766" s="175"/>
      <c r="B766" s="175"/>
      <c r="C766" s="175"/>
      <c r="D766" s="175"/>
      <c r="E766" s="597"/>
      <c r="F766" s="597"/>
      <c r="G766" s="597"/>
      <c r="H766" s="597"/>
      <c r="I766" s="597"/>
      <c r="J766" s="597"/>
      <c r="K766" s="597"/>
      <c r="L766" s="597"/>
      <c r="M766" s="597"/>
      <c r="N766" s="597"/>
      <c r="O766" s="597"/>
      <c r="P766" s="597"/>
      <c r="Q766" s="597"/>
      <c r="R766" s="597"/>
      <c r="S766" s="175"/>
      <c r="T766" s="175"/>
      <c r="U766" s="175"/>
      <c r="V766" s="175"/>
      <c r="W766" s="175"/>
      <c r="X766" s="597"/>
      <c r="Y766" s="175"/>
      <c r="Z766" s="175"/>
    </row>
    <row r="767" ht="12.0" customHeight="1">
      <c r="A767" s="175"/>
      <c r="B767" s="175"/>
      <c r="C767" s="175"/>
      <c r="D767" s="175"/>
      <c r="E767" s="597"/>
      <c r="F767" s="597"/>
      <c r="G767" s="597"/>
      <c r="H767" s="597"/>
      <c r="I767" s="597"/>
      <c r="J767" s="597"/>
      <c r="K767" s="597"/>
      <c r="L767" s="597"/>
      <c r="M767" s="597"/>
      <c r="N767" s="597"/>
      <c r="O767" s="597"/>
      <c r="P767" s="597"/>
      <c r="Q767" s="597"/>
      <c r="R767" s="597"/>
      <c r="S767" s="175"/>
      <c r="T767" s="175"/>
      <c r="U767" s="175"/>
      <c r="V767" s="175"/>
      <c r="W767" s="175"/>
      <c r="X767" s="597"/>
      <c r="Y767" s="175"/>
      <c r="Z767" s="175"/>
    </row>
    <row r="768" ht="12.0" customHeight="1">
      <c r="A768" s="175"/>
      <c r="B768" s="175"/>
      <c r="C768" s="175"/>
      <c r="D768" s="175"/>
      <c r="E768" s="597"/>
      <c r="F768" s="597"/>
      <c r="G768" s="597"/>
      <c r="H768" s="597"/>
      <c r="I768" s="597"/>
      <c r="J768" s="597"/>
      <c r="K768" s="597"/>
      <c r="L768" s="597"/>
      <c r="M768" s="597"/>
      <c r="N768" s="597"/>
      <c r="O768" s="597"/>
      <c r="P768" s="597"/>
      <c r="Q768" s="597"/>
      <c r="R768" s="597"/>
      <c r="S768" s="175"/>
      <c r="T768" s="175"/>
      <c r="U768" s="175"/>
      <c r="V768" s="175"/>
      <c r="W768" s="175"/>
      <c r="X768" s="597"/>
      <c r="Y768" s="175"/>
      <c r="Z768" s="175"/>
    </row>
    <row r="769" ht="12.0" customHeight="1">
      <c r="A769" s="175"/>
      <c r="B769" s="175"/>
      <c r="C769" s="175"/>
      <c r="D769" s="175"/>
      <c r="E769" s="597"/>
      <c r="F769" s="597"/>
      <c r="G769" s="597"/>
      <c r="H769" s="597"/>
      <c r="I769" s="597"/>
      <c r="J769" s="597"/>
      <c r="K769" s="597"/>
      <c r="L769" s="597"/>
      <c r="M769" s="597"/>
      <c r="N769" s="597"/>
      <c r="O769" s="597"/>
      <c r="P769" s="597"/>
      <c r="Q769" s="597"/>
      <c r="R769" s="597"/>
      <c r="S769" s="175"/>
      <c r="T769" s="175"/>
      <c r="U769" s="175"/>
      <c r="V769" s="175"/>
      <c r="W769" s="175"/>
      <c r="X769" s="597"/>
      <c r="Y769" s="175"/>
      <c r="Z769" s="175"/>
    </row>
    <row r="770" ht="12.0" customHeight="1">
      <c r="A770" s="175"/>
      <c r="B770" s="175"/>
      <c r="C770" s="175"/>
      <c r="D770" s="175"/>
      <c r="E770" s="597"/>
      <c r="F770" s="597"/>
      <c r="G770" s="597"/>
      <c r="H770" s="597"/>
      <c r="I770" s="597"/>
      <c r="J770" s="597"/>
      <c r="K770" s="597"/>
      <c r="L770" s="597"/>
      <c r="M770" s="597"/>
      <c r="N770" s="597"/>
      <c r="O770" s="597"/>
      <c r="P770" s="597"/>
      <c r="Q770" s="597"/>
      <c r="R770" s="597"/>
      <c r="S770" s="175"/>
      <c r="T770" s="175"/>
      <c r="U770" s="175"/>
      <c r="V770" s="175"/>
      <c r="W770" s="175"/>
      <c r="X770" s="597"/>
      <c r="Y770" s="175"/>
      <c r="Z770" s="175"/>
    </row>
    <row r="771" ht="12.0" customHeight="1">
      <c r="A771" s="175"/>
      <c r="B771" s="175"/>
      <c r="C771" s="175"/>
      <c r="D771" s="175"/>
      <c r="E771" s="597"/>
      <c r="F771" s="597"/>
      <c r="G771" s="597"/>
      <c r="H771" s="597"/>
      <c r="I771" s="597"/>
      <c r="J771" s="597"/>
      <c r="K771" s="597"/>
      <c r="L771" s="597"/>
      <c r="M771" s="597"/>
      <c r="N771" s="597"/>
      <c r="O771" s="597"/>
      <c r="P771" s="597"/>
      <c r="Q771" s="597"/>
      <c r="R771" s="597"/>
      <c r="S771" s="175"/>
      <c r="T771" s="175"/>
      <c r="U771" s="175"/>
      <c r="V771" s="175"/>
      <c r="W771" s="175"/>
      <c r="X771" s="597"/>
      <c r="Y771" s="175"/>
      <c r="Z771" s="175"/>
    </row>
    <row r="772" ht="12.0" customHeight="1">
      <c r="A772" s="175"/>
      <c r="B772" s="175"/>
      <c r="C772" s="175"/>
      <c r="D772" s="175"/>
      <c r="E772" s="597"/>
      <c r="F772" s="597"/>
      <c r="G772" s="597"/>
      <c r="H772" s="597"/>
      <c r="I772" s="597"/>
      <c r="J772" s="597"/>
      <c r="K772" s="597"/>
      <c r="L772" s="597"/>
      <c r="M772" s="597"/>
      <c r="N772" s="597"/>
      <c r="O772" s="597"/>
      <c r="P772" s="597"/>
      <c r="Q772" s="597"/>
      <c r="R772" s="597"/>
      <c r="S772" s="175"/>
      <c r="T772" s="175"/>
      <c r="U772" s="175"/>
      <c r="V772" s="175"/>
      <c r="W772" s="175"/>
      <c r="X772" s="597"/>
      <c r="Y772" s="175"/>
      <c r="Z772" s="175"/>
    </row>
    <row r="773" ht="12.0" customHeight="1">
      <c r="A773" s="175"/>
      <c r="B773" s="175"/>
      <c r="C773" s="175"/>
      <c r="D773" s="175"/>
      <c r="E773" s="597"/>
      <c r="F773" s="597"/>
      <c r="G773" s="597"/>
      <c r="H773" s="597"/>
      <c r="I773" s="597"/>
      <c r="J773" s="597"/>
      <c r="K773" s="597"/>
      <c r="L773" s="597"/>
      <c r="M773" s="597"/>
      <c r="N773" s="597"/>
      <c r="O773" s="597"/>
      <c r="P773" s="597"/>
      <c r="Q773" s="597"/>
      <c r="R773" s="597"/>
      <c r="S773" s="175"/>
      <c r="T773" s="175"/>
      <c r="U773" s="175"/>
      <c r="V773" s="175"/>
      <c r="W773" s="175"/>
      <c r="X773" s="597"/>
      <c r="Y773" s="175"/>
      <c r="Z773" s="175"/>
    </row>
    <row r="774" ht="12.0" customHeight="1">
      <c r="A774" s="175"/>
      <c r="B774" s="175"/>
      <c r="C774" s="175"/>
      <c r="D774" s="175"/>
      <c r="E774" s="597"/>
      <c r="F774" s="597"/>
      <c r="G774" s="597"/>
      <c r="H774" s="597"/>
      <c r="I774" s="597"/>
      <c r="J774" s="597"/>
      <c r="K774" s="597"/>
      <c r="L774" s="597"/>
      <c r="M774" s="597"/>
      <c r="N774" s="597"/>
      <c r="O774" s="597"/>
      <c r="P774" s="597"/>
      <c r="Q774" s="597"/>
      <c r="R774" s="597"/>
      <c r="S774" s="175"/>
      <c r="T774" s="175"/>
      <c r="U774" s="175"/>
      <c r="V774" s="175"/>
      <c r="W774" s="175"/>
      <c r="X774" s="597"/>
      <c r="Y774" s="175"/>
      <c r="Z774" s="175"/>
    </row>
    <row r="775" ht="12.0" customHeight="1">
      <c r="A775" s="175"/>
      <c r="B775" s="175"/>
      <c r="C775" s="175"/>
      <c r="D775" s="175"/>
      <c r="E775" s="597"/>
      <c r="F775" s="597"/>
      <c r="G775" s="597"/>
      <c r="H775" s="597"/>
      <c r="I775" s="597"/>
      <c r="J775" s="597"/>
      <c r="K775" s="597"/>
      <c r="L775" s="597"/>
      <c r="M775" s="597"/>
      <c r="N775" s="597"/>
      <c r="O775" s="597"/>
      <c r="P775" s="597"/>
      <c r="Q775" s="597"/>
      <c r="R775" s="597"/>
      <c r="S775" s="175"/>
      <c r="T775" s="175"/>
      <c r="U775" s="175"/>
      <c r="V775" s="175"/>
      <c r="W775" s="175"/>
      <c r="X775" s="597"/>
      <c r="Y775" s="175"/>
      <c r="Z775" s="175"/>
    </row>
    <row r="776" ht="12.0" customHeight="1">
      <c r="A776" s="175"/>
      <c r="B776" s="175"/>
      <c r="C776" s="175"/>
      <c r="D776" s="175"/>
      <c r="E776" s="597"/>
      <c r="F776" s="597"/>
      <c r="G776" s="597"/>
      <c r="H776" s="597"/>
      <c r="I776" s="597"/>
      <c r="J776" s="597"/>
      <c r="K776" s="597"/>
      <c r="L776" s="597"/>
      <c r="M776" s="597"/>
      <c r="N776" s="597"/>
      <c r="O776" s="597"/>
      <c r="P776" s="597"/>
      <c r="Q776" s="597"/>
      <c r="R776" s="597"/>
      <c r="S776" s="175"/>
      <c r="T776" s="175"/>
      <c r="U776" s="175"/>
      <c r="V776" s="175"/>
      <c r="W776" s="175"/>
      <c r="X776" s="597"/>
      <c r="Y776" s="175"/>
      <c r="Z776" s="175"/>
    </row>
    <row r="777" ht="12.0" customHeight="1">
      <c r="A777" s="175"/>
      <c r="B777" s="175"/>
      <c r="C777" s="175"/>
      <c r="D777" s="175"/>
      <c r="E777" s="597"/>
      <c r="F777" s="597"/>
      <c r="G777" s="597"/>
      <c r="H777" s="597"/>
      <c r="I777" s="597"/>
      <c r="J777" s="597"/>
      <c r="K777" s="597"/>
      <c r="L777" s="597"/>
      <c r="M777" s="597"/>
      <c r="N777" s="597"/>
      <c r="O777" s="597"/>
      <c r="P777" s="597"/>
      <c r="Q777" s="597"/>
      <c r="R777" s="597"/>
      <c r="S777" s="175"/>
      <c r="T777" s="175"/>
      <c r="U777" s="175"/>
      <c r="V777" s="175"/>
      <c r="W777" s="175"/>
      <c r="X777" s="597"/>
      <c r="Y777" s="175"/>
      <c r="Z777" s="175"/>
    </row>
    <row r="778" ht="12.0" customHeight="1">
      <c r="A778" s="175"/>
      <c r="B778" s="175"/>
      <c r="C778" s="175"/>
      <c r="D778" s="175"/>
      <c r="E778" s="597"/>
      <c r="F778" s="597"/>
      <c r="G778" s="597"/>
      <c r="H778" s="597"/>
      <c r="I778" s="597"/>
      <c r="J778" s="597"/>
      <c r="K778" s="597"/>
      <c r="L778" s="597"/>
      <c r="M778" s="597"/>
      <c r="N778" s="597"/>
      <c r="O778" s="597"/>
      <c r="P778" s="597"/>
      <c r="Q778" s="597"/>
      <c r="R778" s="597"/>
      <c r="S778" s="175"/>
      <c r="T778" s="175"/>
      <c r="U778" s="175"/>
      <c r="V778" s="175"/>
      <c r="W778" s="175"/>
      <c r="X778" s="597"/>
      <c r="Y778" s="175"/>
      <c r="Z778" s="175"/>
    </row>
    <row r="779" ht="12.0" customHeight="1">
      <c r="A779" s="175"/>
      <c r="B779" s="175"/>
      <c r="C779" s="175"/>
      <c r="D779" s="175"/>
      <c r="E779" s="597"/>
      <c r="F779" s="597"/>
      <c r="G779" s="597"/>
      <c r="H779" s="597"/>
      <c r="I779" s="597"/>
      <c r="J779" s="597"/>
      <c r="K779" s="597"/>
      <c r="L779" s="597"/>
      <c r="M779" s="597"/>
      <c r="N779" s="597"/>
      <c r="O779" s="597"/>
      <c r="P779" s="597"/>
      <c r="Q779" s="597"/>
      <c r="R779" s="597"/>
      <c r="S779" s="175"/>
      <c r="T779" s="175"/>
      <c r="U779" s="175"/>
      <c r="V779" s="175"/>
      <c r="W779" s="175"/>
      <c r="X779" s="597"/>
      <c r="Y779" s="175"/>
      <c r="Z779" s="175"/>
    </row>
    <row r="780" ht="12.0" customHeight="1">
      <c r="A780" s="175"/>
      <c r="B780" s="175"/>
      <c r="C780" s="175"/>
      <c r="D780" s="175"/>
      <c r="E780" s="597"/>
      <c r="F780" s="597"/>
      <c r="G780" s="597"/>
      <c r="H780" s="597"/>
      <c r="I780" s="597"/>
      <c r="J780" s="597"/>
      <c r="K780" s="597"/>
      <c r="L780" s="597"/>
      <c r="M780" s="597"/>
      <c r="N780" s="597"/>
      <c r="O780" s="597"/>
      <c r="P780" s="597"/>
      <c r="Q780" s="597"/>
      <c r="R780" s="597"/>
      <c r="S780" s="175"/>
      <c r="T780" s="175"/>
      <c r="U780" s="175"/>
      <c r="V780" s="175"/>
      <c r="W780" s="175"/>
      <c r="X780" s="597"/>
      <c r="Y780" s="175"/>
      <c r="Z780" s="175"/>
    </row>
    <row r="781" ht="12.0" customHeight="1">
      <c r="A781" s="175"/>
      <c r="B781" s="175"/>
      <c r="C781" s="175"/>
      <c r="D781" s="175"/>
      <c r="E781" s="597"/>
      <c r="F781" s="597"/>
      <c r="G781" s="597"/>
      <c r="H781" s="597"/>
      <c r="I781" s="597"/>
      <c r="J781" s="597"/>
      <c r="K781" s="597"/>
      <c r="L781" s="597"/>
      <c r="M781" s="597"/>
      <c r="N781" s="597"/>
      <c r="O781" s="597"/>
      <c r="P781" s="597"/>
      <c r="Q781" s="597"/>
      <c r="R781" s="597"/>
      <c r="S781" s="175"/>
      <c r="T781" s="175"/>
      <c r="U781" s="175"/>
      <c r="V781" s="175"/>
      <c r="W781" s="175"/>
      <c r="X781" s="597"/>
      <c r="Y781" s="175"/>
      <c r="Z781" s="175"/>
    </row>
    <row r="782" ht="12.0" customHeight="1">
      <c r="A782" s="175"/>
      <c r="B782" s="175"/>
      <c r="C782" s="175"/>
      <c r="D782" s="175"/>
      <c r="E782" s="597"/>
      <c r="F782" s="597"/>
      <c r="G782" s="597"/>
      <c r="H782" s="597"/>
      <c r="I782" s="597"/>
      <c r="J782" s="597"/>
      <c r="K782" s="597"/>
      <c r="L782" s="597"/>
      <c r="M782" s="597"/>
      <c r="N782" s="597"/>
      <c r="O782" s="597"/>
      <c r="P782" s="597"/>
      <c r="Q782" s="597"/>
      <c r="R782" s="597"/>
      <c r="S782" s="175"/>
      <c r="T782" s="175"/>
      <c r="U782" s="175"/>
      <c r="V782" s="175"/>
      <c r="W782" s="175"/>
      <c r="X782" s="597"/>
      <c r="Y782" s="175"/>
      <c r="Z782" s="175"/>
    </row>
    <row r="783" ht="12.0" customHeight="1">
      <c r="A783" s="175"/>
      <c r="B783" s="175"/>
      <c r="C783" s="175"/>
      <c r="D783" s="175"/>
      <c r="E783" s="597"/>
      <c r="F783" s="597"/>
      <c r="G783" s="597"/>
      <c r="H783" s="597"/>
      <c r="I783" s="597"/>
      <c r="J783" s="597"/>
      <c r="K783" s="597"/>
      <c r="L783" s="597"/>
      <c r="M783" s="597"/>
      <c r="N783" s="597"/>
      <c r="O783" s="597"/>
      <c r="P783" s="597"/>
      <c r="Q783" s="597"/>
      <c r="R783" s="597"/>
      <c r="S783" s="175"/>
      <c r="T783" s="175"/>
      <c r="U783" s="175"/>
      <c r="V783" s="175"/>
      <c r="W783" s="175"/>
      <c r="X783" s="597"/>
      <c r="Y783" s="175"/>
      <c r="Z783" s="175"/>
    </row>
    <row r="784" ht="12.0" customHeight="1">
      <c r="A784" s="175"/>
      <c r="B784" s="175"/>
      <c r="C784" s="175"/>
      <c r="D784" s="175"/>
      <c r="E784" s="597"/>
      <c r="F784" s="597"/>
      <c r="G784" s="597"/>
      <c r="H784" s="597"/>
      <c r="I784" s="597"/>
      <c r="J784" s="597"/>
      <c r="K784" s="597"/>
      <c r="L784" s="597"/>
      <c r="M784" s="597"/>
      <c r="N784" s="597"/>
      <c r="O784" s="597"/>
      <c r="P784" s="597"/>
      <c r="Q784" s="597"/>
      <c r="R784" s="597"/>
      <c r="S784" s="175"/>
      <c r="T784" s="175"/>
      <c r="U784" s="175"/>
      <c r="V784" s="175"/>
      <c r="W784" s="175"/>
      <c r="X784" s="597"/>
      <c r="Y784" s="175"/>
      <c r="Z784" s="175"/>
    </row>
    <row r="785" ht="12.0" customHeight="1">
      <c r="A785" s="175"/>
      <c r="B785" s="175"/>
      <c r="C785" s="175"/>
      <c r="D785" s="175"/>
      <c r="E785" s="597"/>
      <c r="F785" s="597"/>
      <c r="G785" s="597"/>
      <c r="H785" s="597"/>
      <c r="I785" s="597"/>
      <c r="J785" s="597"/>
      <c r="K785" s="597"/>
      <c r="L785" s="597"/>
      <c r="M785" s="597"/>
      <c r="N785" s="597"/>
      <c r="O785" s="597"/>
      <c r="P785" s="597"/>
      <c r="Q785" s="597"/>
      <c r="R785" s="597"/>
      <c r="S785" s="175"/>
      <c r="T785" s="175"/>
      <c r="U785" s="175"/>
      <c r="V785" s="175"/>
      <c r="W785" s="175"/>
      <c r="X785" s="597"/>
      <c r="Y785" s="175"/>
      <c r="Z785" s="175"/>
    </row>
    <row r="786" ht="12.0" customHeight="1">
      <c r="A786" s="175"/>
      <c r="B786" s="175"/>
      <c r="C786" s="175"/>
      <c r="D786" s="175"/>
      <c r="E786" s="597"/>
      <c r="F786" s="597"/>
      <c r="G786" s="597"/>
      <c r="H786" s="597"/>
      <c r="I786" s="597"/>
      <c r="J786" s="597"/>
      <c r="K786" s="597"/>
      <c r="L786" s="597"/>
      <c r="M786" s="597"/>
      <c r="N786" s="597"/>
      <c r="O786" s="597"/>
      <c r="P786" s="597"/>
      <c r="Q786" s="597"/>
      <c r="R786" s="597"/>
      <c r="S786" s="175"/>
      <c r="T786" s="175"/>
      <c r="U786" s="175"/>
      <c r="V786" s="175"/>
      <c r="W786" s="175"/>
      <c r="X786" s="597"/>
      <c r="Y786" s="175"/>
      <c r="Z786" s="175"/>
    </row>
    <row r="787" ht="12.0" customHeight="1">
      <c r="A787" s="175"/>
      <c r="B787" s="175"/>
      <c r="C787" s="175"/>
      <c r="D787" s="175"/>
      <c r="E787" s="597"/>
      <c r="F787" s="597"/>
      <c r="G787" s="597"/>
      <c r="H787" s="597"/>
      <c r="I787" s="597"/>
      <c r="J787" s="597"/>
      <c r="K787" s="597"/>
      <c r="L787" s="597"/>
      <c r="M787" s="597"/>
      <c r="N787" s="597"/>
      <c r="O787" s="597"/>
      <c r="P787" s="597"/>
      <c r="Q787" s="597"/>
      <c r="R787" s="597"/>
      <c r="S787" s="175"/>
      <c r="T787" s="175"/>
      <c r="U787" s="175"/>
      <c r="V787" s="175"/>
      <c r="W787" s="175"/>
      <c r="X787" s="597"/>
      <c r="Y787" s="175"/>
      <c r="Z787" s="175"/>
    </row>
    <row r="788" ht="12.0" customHeight="1">
      <c r="A788" s="175"/>
      <c r="B788" s="175"/>
      <c r="C788" s="175"/>
      <c r="D788" s="175"/>
      <c r="E788" s="597"/>
      <c r="F788" s="597"/>
      <c r="G788" s="597"/>
      <c r="H788" s="597"/>
      <c r="I788" s="597"/>
      <c r="J788" s="597"/>
      <c r="K788" s="597"/>
      <c r="L788" s="597"/>
      <c r="M788" s="597"/>
      <c r="N788" s="597"/>
      <c r="O788" s="597"/>
      <c r="P788" s="597"/>
      <c r="Q788" s="597"/>
      <c r="R788" s="597"/>
      <c r="S788" s="175"/>
      <c r="T788" s="175"/>
      <c r="U788" s="175"/>
      <c r="V788" s="175"/>
      <c r="W788" s="175"/>
      <c r="X788" s="597"/>
      <c r="Y788" s="175"/>
      <c r="Z788" s="175"/>
    </row>
    <row r="789" ht="12.0" customHeight="1">
      <c r="A789" s="175"/>
      <c r="B789" s="175"/>
      <c r="C789" s="175"/>
      <c r="D789" s="175"/>
      <c r="E789" s="597"/>
      <c r="F789" s="597"/>
      <c r="G789" s="597"/>
      <c r="H789" s="597"/>
      <c r="I789" s="597"/>
      <c r="J789" s="597"/>
      <c r="K789" s="597"/>
      <c r="L789" s="597"/>
      <c r="M789" s="597"/>
      <c r="N789" s="597"/>
      <c r="O789" s="597"/>
      <c r="P789" s="597"/>
      <c r="Q789" s="597"/>
      <c r="R789" s="597"/>
      <c r="S789" s="175"/>
      <c r="T789" s="175"/>
      <c r="U789" s="175"/>
      <c r="V789" s="175"/>
      <c r="W789" s="175"/>
      <c r="X789" s="597"/>
      <c r="Y789" s="175"/>
      <c r="Z789" s="175"/>
    </row>
    <row r="790" ht="12.0" customHeight="1">
      <c r="A790" s="175"/>
      <c r="B790" s="175"/>
      <c r="C790" s="175"/>
      <c r="D790" s="175"/>
      <c r="E790" s="597"/>
      <c r="F790" s="597"/>
      <c r="G790" s="597"/>
      <c r="H790" s="597"/>
      <c r="I790" s="597"/>
      <c r="J790" s="597"/>
      <c r="K790" s="597"/>
      <c r="L790" s="597"/>
      <c r="M790" s="597"/>
      <c r="N790" s="597"/>
      <c r="O790" s="597"/>
      <c r="P790" s="597"/>
      <c r="Q790" s="597"/>
      <c r="R790" s="597"/>
      <c r="S790" s="175"/>
      <c r="T790" s="175"/>
      <c r="U790" s="175"/>
      <c r="V790" s="175"/>
      <c r="W790" s="175"/>
      <c r="X790" s="597"/>
      <c r="Y790" s="175"/>
      <c r="Z790" s="175"/>
    </row>
    <row r="791" ht="12.0" customHeight="1">
      <c r="A791" s="175"/>
      <c r="B791" s="175"/>
      <c r="C791" s="175"/>
      <c r="D791" s="175"/>
      <c r="E791" s="597"/>
      <c r="F791" s="597"/>
      <c r="G791" s="597"/>
      <c r="H791" s="597"/>
      <c r="I791" s="597"/>
      <c r="J791" s="597"/>
      <c r="K791" s="597"/>
      <c r="L791" s="597"/>
      <c r="M791" s="597"/>
      <c r="N791" s="597"/>
      <c r="O791" s="597"/>
      <c r="P791" s="597"/>
      <c r="Q791" s="597"/>
      <c r="R791" s="597"/>
      <c r="S791" s="175"/>
      <c r="T791" s="175"/>
      <c r="U791" s="175"/>
      <c r="V791" s="175"/>
      <c r="W791" s="175"/>
      <c r="X791" s="597"/>
      <c r="Y791" s="175"/>
      <c r="Z791" s="175"/>
    </row>
    <row r="792" ht="12.0" customHeight="1">
      <c r="A792" s="175"/>
      <c r="B792" s="175"/>
      <c r="C792" s="175"/>
      <c r="D792" s="175"/>
      <c r="E792" s="597"/>
      <c r="F792" s="597"/>
      <c r="G792" s="597"/>
      <c r="H792" s="597"/>
      <c r="I792" s="597"/>
      <c r="J792" s="597"/>
      <c r="K792" s="597"/>
      <c r="L792" s="597"/>
      <c r="M792" s="597"/>
      <c r="N792" s="597"/>
      <c r="O792" s="597"/>
      <c r="P792" s="597"/>
      <c r="Q792" s="597"/>
      <c r="R792" s="597"/>
      <c r="S792" s="175"/>
      <c r="T792" s="175"/>
      <c r="U792" s="175"/>
      <c r="V792" s="175"/>
      <c r="W792" s="175"/>
      <c r="X792" s="597"/>
      <c r="Y792" s="175"/>
      <c r="Z792" s="175"/>
    </row>
    <row r="793" ht="12.0" customHeight="1">
      <c r="A793" s="175"/>
      <c r="B793" s="175"/>
      <c r="C793" s="175"/>
      <c r="D793" s="175"/>
      <c r="E793" s="597"/>
      <c r="F793" s="597"/>
      <c r="G793" s="597"/>
      <c r="H793" s="597"/>
      <c r="I793" s="597"/>
      <c r="J793" s="597"/>
      <c r="K793" s="597"/>
      <c r="L793" s="597"/>
      <c r="M793" s="597"/>
      <c r="N793" s="597"/>
      <c r="O793" s="597"/>
      <c r="P793" s="597"/>
      <c r="Q793" s="597"/>
      <c r="R793" s="597"/>
      <c r="S793" s="175"/>
      <c r="T793" s="175"/>
      <c r="U793" s="175"/>
      <c r="V793" s="175"/>
      <c r="W793" s="175"/>
      <c r="X793" s="597"/>
      <c r="Y793" s="175"/>
      <c r="Z793" s="175"/>
    </row>
    <row r="794" ht="12.0" customHeight="1">
      <c r="A794" s="175"/>
      <c r="B794" s="175"/>
      <c r="C794" s="175"/>
      <c r="D794" s="175"/>
      <c r="E794" s="597"/>
      <c r="F794" s="597"/>
      <c r="G794" s="597"/>
      <c r="H794" s="597"/>
      <c r="I794" s="597"/>
      <c r="J794" s="597"/>
      <c r="K794" s="597"/>
      <c r="L794" s="597"/>
      <c r="M794" s="597"/>
      <c r="N794" s="597"/>
      <c r="O794" s="597"/>
      <c r="P794" s="597"/>
      <c r="Q794" s="597"/>
      <c r="R794" s="597"/>
      <c r="S794" s="175"/>
      <c r="T794" s="175"/>
      <c r="U794" s="175"/>
      <c r="V794" s="175"/>
      <c r="W794" s="175"/>
      <c r="X794" s="597"/>
      <c r="Y794" s="175"/>
      <c r="Z794" s="175"/>
    </row>
    <row r="795" ht="12.0" customHeight="1">
      <c r="A795" s="175"/>
      <c r="B795" s="175"/>
      <c r="C795" s="175"/>
      <c r="D795" s="175"/>
      <c r="E795" s="597"/>
      <c r="F795" s="597"/>
      <c r="G795" s="597"/>
      <c r="H795" s="597"/>
      <c r="I795" s="597"/>
      <c r="J795" s="597"/>
      <c r="K795" s="597"/>
      <c r="L795" s="597"/>
      <c r="M795" s="597"/>
      <c r="N795" s="597"/>
      <c r="O795" s="597"/>
      <c r="P795" s="597"/>
      <c r="Q795" s="597"/>
      <c r="R795" s="597"/>
      <c r="S795" s="175"/>
      <c r="T795" s="175"/>
      <c r="U795" s="175"/>
      <c r="V795" s="175"/>
      <c r="W795" s="175"/>
      <c r="X795" s="597"/>
      <c r="Y795" s="175"/>
      <c r="Z795" s="175"/>
    </row>
    <row r="796" ht="12.0" customHeight="1">
      <c r="A796" s="175"/>
      <c r="B796" s="175"/>
      <c r="C796" s="175"/>
      <c r="D796" s="175"/>
      <c r="E796" s="597"/>
      <c r="F796" s="597"/>
      <c r="G796" s="597"/>
      <c r="H796" s="597"/>
      <c r="I796" s="597"/>
      <c r="J796" s="597"/>
      <c r="K796" s="597"/>
      <c r="L796" s="597"/>
      <c r="M796" s="597"/>
      <c r="N796" s="597"/>
      <c r="O796" s="597"/>
      <c r="P796" s="597"/>
      <c r="Q796" s="597"/>
      <c r="R796" s="597"/>
      <c r="S796" s="175"/>
      <c r="T796" s="175"/>
      <c r="U796" s="175"/>
      <c r="V796" s="175"/>
      <c r="W796" s="175"/>
      <c r="X796" s="597"/>
      <c r="Y796" s="175"/>
      <c r="Z796" s="175"/>
    </row>
    <row r="797" ht="12.0" customHeight="1">
      <c r="A797" s="175"/>
      <c r="B797" s="175"/>
      <c r="C797" s="175"/>
      <c r="D797" s="175"/>
      <c r="E797" s="597"/>
      <c r="F797" s="597"/>
      <c r="G797" s="597"/>
      <c r="H797" s="597"/>
      <c r="I797" s="597"/>
      <c r="J797" s="597"/>
      <c r="K797" s="597"/>
      <c r="L797" s="597"/>
      <c r="M797" s="597"/>
      <c r="N797" s="597"/>
      <c r="O797" s="597"/>
      <c r="P797" s="597"/>
      <c r="Q797" s="597"/>
      <c r="R797" s="597"/>
      <c r="S797" s="175"/>
      <c r="T797" s="175"/>
      <c r="U797" s="175"/>
      <c r="V797" s="175"/>
      <c r="W797" s="175"/>
      <c r="X797" s="597"/>
      <c r="Y797" s="175"/>
      <c r="Z797" s="175"/>
    </row>
    <row r="798" ht="12.0" customHeight="1">
      <c r="A798" s="175"/>
      <c r="B798" s="175"/>
      <c r="C798" s="175"/>
      <c r="D798" s="175"/>
      <c r="E798" s="597"/>
      <c r="F798" s="597"/>
      <c r="G798" s="597"/>
      <c r="H798" s="597"/>
      <c r="I798" s="597"/>
      <c r="J798" s="597"/>
      <c r="K798" s="597"/>
      <c r="L798" s="597"/>
      <c r="M798" s="597"/>
      <c r="N798" s="597"/>
      <c r="O798" s="597"/>
      <c r="P798" s="597"/>
      <c r="Q798" s="597"/>
      <c r="R798" s="597"/>
      <c r="S798" s="175"/>
      <c r="T798" s="175"/>
      <c r="U798" s="175"/>
      <c r="V798" s="175"/>
      <c r="W798" s="175"/>
      <c r="X798" s="597"/>
      <c r="Y798" s="175"/>
      <c r="Z798" s="175"/>
    </row>
    <row r="799" ht="12.0" customHeight="1">
      <c r="A799" s="175"/>
      <c r="B799" s="175"/>
      <c r="C799" s="175"/>
      <c r="D799" s="175"/>
      <c r="E799" s="597"/>
      <c r="F799" s="597"/>
      <c r="G799" s="597"/>
      <c r="H799" s="597"/>
      <c r="I799" s="597"/>
      <c r="J799" s="597"/>
      <c r="K799" s="597"/>
      <c r="L799" s="597"/>
      <c r="M799" s="597"/>
      <c r="N799" s="597"/>
      <c r="O799" s="597"/>
      <c r="P799" s="597"/>
      <c r="Q799" s="597"/>
      <c r="R799" s="597"/>
      <c r="S799" s="175"/>
      <c r="T799" s="175"/>
      <c r="U799" s="175"/>
      <c r="V799" s="175"/>
      <c r="W799" s="175"/>
      <c r="X799" s="597"/>
      <c r="Y799" s="175"/>
      <c r="Z799" s="175"/>
    </row>
    <row r="800" ht="12.0" customHeight="1">
      <c r="A800" s="175"/>
      <c r="B800" s="175"/>
      <c r="C800" s="175"/>
      <c r="D800" s="175"/>
      <c r="E800" s="597"/>
      <c r="F800" s="597"/>
      <c r="G800" s="597"/>
      <c r="H800" s="597"/>
      <c r="I800" s="597"/>
      <c r="J800" s="597"/>
      <c r="K800" s="597"/>
      <c r="L800" s="597"/>
      <c r="M800" s="597"/>
      <c r="N800" s="597"/>
      <c r="O800" s="597"/>
      <c r="P800" s="597"/>
      <c r="Q800" s="597"/>
      <c r="R800" s="597"/>
      <c r="S800" s="175"/>
      <c r="T800" s="175"/>
      <c r="U800" s="175"/>
      <c r="V800" s="175"/>
      <c r="W800" s="175"/>
      <c r="X800" s="597"/>
      <c r="Y800" s="175"/>
      <c r="Z800" s="175"/>
    </row>
    <row r="801" ht="12.0" customHeight="1">
      <c r="A801" s="175"/>
      <c r="B801" s="175"/>
      <c r="C801" s="175"/>
      <c r="D801" s="175"/>
      <c r="E801" s="597"/>
      <c r="F801" s="597"/>
      <c r="G801" s="597"/>
      <c r="H801" s="597"/>
      <c r="I801" s="597"/>
      <c r="J801" s="597"/>
      <c r="K801" s="597"/>
      <c r="L801" s="597"/>
      <c r="M801" s="597"/>
      <c r="N801" s="597"/>
      <c r="O801" s="597"/>
      <c r="P801" s="597"/>
      <c r="Q801" s="597"/>
      <c r="R801" s="597"/>
      <c r="S801" s="175"/>
      <c r="T801" s="175"/>
      <c r="U801" s="175"/>
      <c r="V801" s="175"/>
      <c r="W801" s="175"/>
      <c r="X801" s="597"/>
      <c r="Y801" s="175"/>
      <c r="Z801" s="175"/>
    </row>
    <row r="802" ht="12.0" customHeight="1">
      <c r="A802" s="175"/>
      <c r="B802" s="175"/>
      <c r="C802" s="175"/>
      <c r="D802" s="175"/>
      <c r="E802" s="597"/>
      <c r="F802" s="597"/>
      <c r="G802" s="597"/>
      <c r="H802" s="597"/>
      <c r="I802" s="597"/>
      <c r="J802" s="597"/>
      <c r="K802" s="597"/>
      <c r="L802" s="597"/>
      <c r="M802" s="597"/>
      <c r="N802" s="597"/>
      <c r="O802" s="597"/>
      <c r="P802" s="597"/>
      <c r="Q802" s="597"/>
      <c r="R802" s="597"/>
      <c r="S802" s="175"/>
      <c r="T802" s="175"/>
      <c r="U802" s="175"/>
      <c r="V802" s="175"/>
      <c r="W802" s="175"/>
      <c r="X802" s="597"/>
      <c r="Y802" s="175"/>
      <c r="Z802" s="175"/>
    </row>
    <row r="803" ht="12.0" customHeight="1">
      <c r="A803" s="175"/>
      <c r="B803" s="175"/>
      <c r="C803" s="175"/>
      <c r="D803" s="175"/>
      <c r="E803" s="597"/>
      <c r="F803" s="597"/>
      <c r="G803" s="597"/>
      <c r="H803" s="597"/>
      <c r="I803" s="597"/>
      <c r="J803" s="597"/>
      <c r="K803" s="597"/>
      <c r="L803" s="597"/>
      <c r="M803" s="597"/>
      <c r="N803" s="597"/>
      <c r="O803" s="597"/>
      <c r="P803" s="597"/>
      <c r="Q803" s="597"/>
      <c r="R803" s="597"/>
      <c r="S803" s="175"/>
      <c r="T803" s="175"/>
      <c r="U803" s="175"/>
      <c r="V803" s="175"/>
      <c r="W803" s="175"/>
      <c r="X803" s="597"/>
      <c r="Y803" s="175"/>
      <c r="Z803" s="175"/>
    </row>
    <row r="804" ht="12.0" customHeight="1">
      <c r="A804" s="175"/>
      <c r="B804" s="175"/>
      <c r="C804" s="175"/>
      <c r="D804" s="175"/>
      <c r="E804" s="597"/>
      <c r="F804" s="597"/>
      <c r="G804" s="597"/>
      <c r="H804" s="597"/>
      <c r="I804" s="597"/>
      <c r="J804" s="597"/>
      <c r="K804" s="597"/>
      <c r="L804" s="597"/>
      <c r="M804" s="597"/>
      <c r="N804" s="597"/>
      <c r="O804" s="597"/>
      <c r="P804" s="597"/>
      <c r="Q804" s="597"/>
      <c r="R804" s="597"/>
      <c r="S804" s="175"/>
      <c r="T804" s="175"/>
      <c r="U804" s="175"/>
      <c r="V804" s="175"/>
      <c r="W804" s="175"/>
      <c r="X804" s="597"/>
      <c r="Y804" s="175"/>
      <c r="Z804" s="175"/>
    </row>
    <row r="805" ht="12.0" customHeight="1">
      <c r="A805" s="175"/>
      <c r="B805" s="175"/>
      <c r="C805" s="175"/>
      <c r="D805" s="175"/>
      <c r="E805" s="597"/>
      <c r="F805" s="597"/>
      <c r="G805" s="597"/>
      <c r="H805" s="597"/>
      <c r="I805" s="597"/>
      <c r="J805" s="597"/>
      <c r="K805" s="597"/>
      <c r="L805" s="597"/>
      <c r="M805" s="597"/>
      <c r="N805" s="597"/>
      <c r="O805" s="597"/>
      <c r="P805" s="597"/>
      <c r="Q805" s="597"/>
      <c r="R805" s="597"/>
      <c r="S805" s="175"/>
      <c r="T805" s="175"/>
      <c r="U805" s="175"/>
      <c r="V805" s="175"/>
      <c r="W805" s="175"/>
      <c r="X805" s="597"/>
      <c r="Y805" s="175"/>
      <c r="Z805" s="175"/>
    </row>
    <row r="806" ht="12.0" customHeight="1">
      <c r="A806" s="175"/>
      <c r="B806" s="175"/>
      <c r="C806" s="175"/>
      <c r="D806" s="175"/>
      <c r="E806" s="597"/>
      <c r="F806" s="597"/>
      <c r="G806" s="597"/>
      <c r="H806" s="597"/>
      <c r="I806" s="597"/>
      <c r="J806" s="597"/>
      <c r="K806" s="597"/>
      <c r="L806" s="597"/>
      <c r="M806" s="597"/>
      <c r="N806" s="597"/>
      <c r="O806" s="597"/>
      <c r="P806" s="597"/>
      <c r="Q806" s="597"/>
      <c r="R806" s="597"/>
      <c r="S806" s="175"/>
      <c r="T806" s="175"/>
      <c r="U806" s="175"/>
      <c r="V806" s="175"/>
      <c r="W806" s="175"/>
      <c r="X806" s="597"/>
      <c r="Y806" s="175"/>
      <c r="Z806" s="175"/>
    </row>
    <row r="807" ht="12.0" customHeight="1">
      <c r="A807" s="175"/>
      <c r="B807" s="175"/>
      <c r="C807" s="175"/>
      <c r="D807" s="175"/>
      <c r="E807" s="597"/>
      <c r="F807" s="597"/>
      <c r="G807" s="597"/>
      <c r="H807" s="597"/>
      <c r="I807" s="597"/>
      <c r="J807" s="597"/>
      <c r="K807" s="597"/>
      <c r="L807" s="597"/>
      <c r="M807" s="597"/>
      <c r="N807" s="597"/>
      <c r="O807" s="597"/>
      <c r="P807" s="597"/>
      <c r="Q807" s="597"/>
      <c r="R807" s="597"/>
      <c r="S807" s="175"/>
      <c r="T807" s="175"/>
      <c r="U807" s="175"/>
      <c r="V807" s="175"/>
      <c r="W807" s="175"/>
      <c r="X807" s="597"/>
      <c r="Y807" s="175"/>
      <c r="Z807" s="175"/>
    </row>
    <row r="808" ht="12.0" customHeight="1">
      <c r="A808" s="175"/>
      <c r="B808" s="175"/>
      <c r="C808" s="175"/>
      <c r="D808" s="175"/>
      <c r="E808" s="597"/>
      <c r="F808" s="597"/>
      <c r="G808" s="597"/>
      <c r="H808" s="597"/>
      <c r="I808" s="597"/>
      <c r="J808" s="597"/>
      <c r="K808" s="597"/>
      <c r="L808" s="597"/>
      <c r="M808" s="597"/>
      <c r="N808" s="597"/>
      <c r="O808" s="597"/>
      <c r="P808" s="597"/>
      <c r="Q808" s="597"/>
      <c r="R808" s="597"/>
      <c r="S808" s="175"/>
      <c r="T808" s="175"/>
      <c r="U808" s="175"/>
      <c r="V808" s="175"/>
      <c r="W808" s="175"/>
      <c r="X808" s="597"/>
      <c r="Y808" s="175"/>
      <c r="Z808" s="175"/>
    </row>
    <row r="809" ht="12.0" customHeight="1">
      <c r="A809" s="175"/>
      <c r="B809" s="175"/>
      <c r="C809" s="175"/>
      <c r="D809" s="175"/>
      <c r="E809" s="597"/>
      <c r="F809" s="597"/>
      <c r="G809" s="597"/>
      <c r="H809" s="597"/>
      <c r="I809" s="597"/>
      <c r="J809" s="597"/>
      <c r="K809" s="597"/>
      <c r="L809" s="597"/>
      <c r="M809" s="597"/>
      <c r="N809" s="597"/>
      <c r="O809" s="597"/>
      <c r="P809" s="597"/>
      <c r="Q809" s="597"/>
      <c r="R809" s="597"/>
      <c r="S809" s="175"/>
      <c r="T809" s="175"/>
      <c r="U809" s="175"/>
      <c r="V809" s="175"/>
      <c r="W809" s="175"/>
      <c r="X809" s="597"/>
      <c r="Y809" s="175"/>
      <c r="Z809" s="175"/>
    </row>
    <row r="810" ht="12.0" customHeight="1">
      <c r="A810" s="175"/>
      <c r="B810" s="175"/>
      <c r="C810" s="175"/>
      <c r="D810" s="175"/>
      <c r="E810" s="597"/>
      <c r="F810" s="597"/>
      <c r="G810" s="597"/>
      <c r="H810" s="597"/>
      <c r="I810" s="597"/>
      <c r="J810" s="597"/>
      <c r="K810" s="597"/>
      <c r="L810" s="597"/>
      <c r="M810" s="597"/>
      <c r="N810" s="597"/>
      <c r="O810" s="597"/>
      <c r="P810" s="597"/>
      <c r="Q810" s="597"/>
      <c r="R810" s="597"/>
      <c r="S810" s="175"/>
      <c r="T810" s="175"/>
      <c r="U810" s="175"/>
      <c r="V810" s="175"/>
      <c r="W810" s="175"/>
      <c r="X810" s="597"/>
      <c r="Y810" s="175"/>
      <c r="Z810" s="175"/>
    </row>
    <row r="811" ht="12.0" customHeight="1">
      <c r="A811" s="175"/>
      <c r="B811" s="175"/>
      <c r="C811" s="175"/>
      <c r="D811" s="175"/>
      <c r="E811" s="597"/>
      <c r="F811" s="597"/>
      <c r="G811" s="597"/>
      <c r="H811" s="597"/>
      <c r="I811" s="597"/>
      <c r="J811" s="597"/>
      <c r="K811" s="597"/>
      <c r="L811" s="597"/>
      <c r="M811" s="597"/>
      <c r="N811" s="597"/>
      <c r="O811" s="597"/>
      <c r="P811" s="597"/>
      <c r="Q811" s="597"/>
      <c r="R811" s="597"/>
      <c r="S811" s="175"/>
      <c r="T811" s="175"/>
      <c r="U811" s="175"/>
      <c r="V811" s="175"/>
      <c r="W811" s="175"/>
      <c r="X811" s="597"/>
      <c r="Y811" s="175"/>
      <c r="Z811" s="175"/>
    </row>
    <row r="812" ht="12.0" customHeight="1">
      <c r="A812" s="175"/>
      <c r="B812" s="175"/>
      <c r="C812" s="175"/>
      <c r="D812" s="175"/>
      <c r="E812" s="597"/>
      <c r="F812" s="597"/>
      <c r="G812" s="597"/>
      <c r="H812" s="597"/>
      <c r="I812" s="597"/>
      <c r="J812" s="597"/>
      <c r="K812" s="597"/>
      <c r="L812" s="597"/>
      <c r="M812" s="597"/>
      <c r="N812" s="597"/>
      <c r="O812" s="597"/>
      <c r="P812" s="597"/>
      <c r="Q812" s="597"/>
      <c r="R812" s="597"/>
      <c r="S812" s="175"/>
      <c r="T812" s="175"/>
      <c r="U812" s="175"/>
      <c r="V812" s="175"/>
      <c r="W812" s="175"/>
      <c r="X812" s="597"/>
      <c r="Y812" s="175"/>
      <c r="Z812" s="175"/>
    </row>
    <row r="813" ht="12.0" customHeight="1">
      <c r="A813" s="175"/>
      <c r="B813" s="175"/>
      <c r="C813" s="175"/>
      <c r="D813" s="175"/>
      <c r="E813" s="597"/>
      <c r="F813" s="597"/>
      <c r="G813" s="597"/>
      <c r="H813" s="597"/>
      <c r="I813" s="597"/>
      <c r="J813" s="597"/>
      <c r="K813" s="597"/>
      <c r="L813" s="597"/>
      <c r="M813" s="597"/>
      <c r="N813" s="597"/>
      <c r="O813" s="597"/>
      <c r="P813" s="597"/>
      <c r="Q813" s="597"/>
      <c r="R813" s="597"/>
      <c r="S813" s="175"/>
      <c r="T813" s="175"/>
      <c r="U813" s="175"/>
      <c r="V813" s="175"/>
      <c r="W813" s="175"/>
      <c r="X813" s="597"/>
      <c r="Y813" s="175"/>
      <c r="Z813" s="175"/>
    </row>
    <row r="814" ht="12.0" customHeight="1">
      <c r="A814" s="175"/>
      <c r="B814" s="175"/>
      <c r="C814" s="175"/>
      <c r="D814" s="175"/>
      <c r="E814" s="597"/>
      <c r="F814" s="597"/>
      <c r="G814" s="597"/>
      <c r="H814" s="597"/>
      <c r="I814" s="597"/>
      <c r="J814" s="597"/>
      <c r="K814" s="597"/>
      <c r="L814" s="597"/>
      <c r="M814" s="597"/>
      <c r="N814" s="597"/>
      <c r="O814" s="597"/>
      <c r="P814" s="597"/>
      <c r="Q814" s="597"/>
      <c r="R814" s="597"/>
      <c r="S814" s="175"/>
      <c r="T814" s="175"/>
      <c r="U814" s="175"/>
      <c r="V814" s="175"/>
      <c r="W814" s="175"/>
      <c r="X814" s="597"/>
      <c r="Y814" s="175"/>
      <c r="Z814" s="175"/>
    </row>
    <row r="815" ht="12.0" customHeight="1">
      <c r="A815" s="175"/>
      <c r="B815" s="175"/>
      <c r="C815" s="175"/>
      <c r="D815" s="175"/>
      <c r="E815" s="597"/>
      <c r="F815" s="597"/>
      <c r="G815" s="597"/>
      <c r="H815" s="597"/>
      <c r="I815" s="597"/>
      <c r="J815" s="597"/>
      <c r="K815" s="597"/>
      <c r="L815" s="597"/>
      <c r="M815" s="597"/>
      <c r="N815" s="597"/>
      <c r="O815" s="597"/>
      <c r="P815" s="597"/>
      <c r="Q815" s="597"/>
      <c r="R815" s="597"/>
      <c r="S815" s="175"/>
      <c r="T815" s="175"/>
      <c r="U815" s="175"/>
      <c r="V815" s="175"/>
      <c r="W815" s="175"/>
      <c r="X815" s="597"/>
      <c r="Y815" s="175"/>
      <c r="Z815" s="175"/>
    </row>
    <row r="816" ht="12.0" customHeight="1">
      <c r="A816" s="175"/>
      <c r="B816" s="175"/>
      <c r="C816" s="175"/>
      <c r="D816" s="175"/>
      <c r="E816" s="597"/>
      <c r="F816" s="597"/>
      <c r="G816" s="597"/>
      <c r="H816" s="597"/>
      <c r="I816" s="597"/>
      <c r="J816" s="597"/>
      <c r="K816" s="597"/>
      <c r="L816" s="597"/>
      <c r="M816" s="597"/>
      <c r="N816" s="597"/>
      <c r="O816" s="597"/>
      <c r="P816" s="597"/>
      <c r="Q816" s="597"/>
      <c r="R816" s="597"/>
      <c r="S816" s="175"/>
      <c r="T816" s="175"/>
      <c r="U816" s="175"/>
      <c r="V816" s="175"/>
      <c r="W816" s="175"/>
      <c r="X816" s="597"/>
      <c r="Y816" s="175"/>
      <c r="Z816" s="175"/>
    </row>
    <row r="817" ht="12.0" customHeight="1">
      <c r="A817" s="175"/>
      <c r="B817" s="175"/>
      <c r="C817" s="175"/>
      <c r="D817" s="175"/>
      <c r="E817" s="597"/>
      <c r="F817" s="597"/>
      <c r="G817" s="597"/>
      <c r="H817" s="597"/>
      <c r="I817" s="597"/>
      <c r="J817" s="597"/>
      <c r="K817" s="597"/>
      <c r="L817" s="597"/>
      <c r="M817" s="597"/>
      <c r="N817" s="597"/>
      <c r="O817" s="597"/>
      <c r="P817" s="597"/>
      <c r="Q817" s="597"/>
      <c r="R817" s="597"/>
      <c r="S817" s="175"/>
      <c r="T817" s="175"/>
      <c r="U817" s="175"/>
      <c r="V817" s="175"/>
      <c r="W817" s="175"/>
      <c r="X817" s="597"/>
      <c r="Y817" s="175"/>
      <c r="Z817" s="175"/>
    </row>
    <row r="818" ht="12.0" customHeight="1">
      <c r="A818" s="175"/>
      <c r="B818" s="175"/>
      <c r="C818" s="175"/>
      <c r="D818" s="175"/>
      <c r="E818" s="597"/>
      <c r="F818" s="597"/>
      <c r="G818" s="597"/>
      <c r="H818" s="597"/>
      <c r="I818" s="597"/>
      <c r="J818" s="597"/>
      <c r="K818" s="597"/>
      <c r="L818" s="597"/>
      <c r="M818" s="597"/>
      <c r="N818" s="597"/>
      <c r="O818" s="597"/>
      <c r="P818" s="597"/>
      <c r="Q818" s="597"/>
      <c r="R818" s="597"/>
      <c r="S818" s="175"/>
      <c r="T818" s="175"/>
      <c r="U818" s="175"/>
      <c r="V818" s="175"/>
      <c r="W818" s="175"/>
      <c r="X818" s="597"/>
      <c r="Y818" s="175"/>
      <c r="Z818" s="175"/>
    </row>
    <row r="819" ht="12.0" customHeight="1">
      <c r="A819" s="175"/>
      <c r="B819" s="175"/>
      <c r="C819" s="175"/>
      <c r="D819" s="175"/>
      <c r="E819" s="597"/>
      <c r="F819" s="597"/>
      <c r="G819" s="597"/>
      <c r="H819" s="597"/>
      <c r="I819" s="597"/>
      <c r="J819" s="597"/>
      <c r="K819" s="597"/>
      <c r="L819" s="597"/>
      <c r="M819" s="597"/>
      <c r="N819" s="597"/>
      <c r="O819" s="597"/>
      <c r="P819" s="597"/>
      <c r="Q819" s="597"/>
      <c r="R819" s="597"/>
      <c r="S819" s="175"/>
      <c r="T819" s="175"/>
      <c r="U819" s="175"/>
      <c r="V819" s="175"/>
      <c r="W819" s="175"/>
      <c r="X819" s="597"/>
      <c r="Y819" s="175"/>
      <c r="Z819" s="175"/>
    </row>
    <row r="820" ht="12.0" customHeight="1">
      <c r="A820" s="175"/>
      <c r="B820" s="175"/>
      <c r="C820" s="175"/>
      <c r="D820" s="175"/>
      <c r="E820" s="597"/>
      <c r="F820" s="597"/>
      <c r="G820" s="597"/>
      <c r="H820" s="597"/>
      <c r="I820" s="597"/>
      <c r="J820" s="597"/>
      <c r="K820" s="597"/>
      <c r="L820" s="597"/>
      <c r="M820" s="597"/>
      <c r="N820" s="597"/>
      <c r="O820" s="597"/>
      <c r="P820" s="597"/>
      <c r="Q820" s="597"/>
      <c r="R820" s="597"/>
      <c r="S820" s="175"/>
      <c r="T820" s="175"/>
      <c r="U820" s="175"/>
      <c r="V820" s="175"/>
      <c r="W820" s="175"/>
      <c r="X820" s="597"/>
      <c r="Y820" s="175"/>
      <c r="Z820" s="175"/>
    </row>
    <row r="821" ht="12.0" customHeight="1">
      <c r="A821" s="175"/>
      <c r="B821" s="175"/>
      <c r="C821" s="175"/>
      <c r="D821" s="175"/>
      <c r="E821" s="597"/>
      <c r="F821" s="597"/>
      <c r="G821" s="597"/>
      <c r="H821" s="597"/>
      <c r="I821" s="597"/>
      <c r="J821" s="597"/>
      <c r="K821" s="597"/>
      <c r="L821" s="597"/>
      <c r="M821" s="597"/>
      <c r="N821" s="597"/>
      <c r="O821" s="597"/>
      <c r="P821" s="597"/>
      <c r="Q821" s="597"/>
      <c r="R821" s="597"/>
      <c r="S821" s="175"/>
      <c r="T821" s="175"/>
      <c r="U821" s="175"/>
      <c r="V821" s="175"/>
      <c r="W821" s="175"/>
      <c r="X821" s="597"/>
      <c r="Y821" s="175"/>
      <c r="Z821" s="175"/>
    </row>
    <row r="822" ht="12.0" customHeight="1">
      <c r="A822" s="175"/>
      <c r="B822" s="175"/>
      <c r="C822" s="175"/>
      <c r="D822" s="175"/>
      <c r="E822" s="597"/>
      <c r="F822" s="597"/>
      <c r="G822" s="597"/>
      <c r="H822" s="597"/>
      <c r="I822" s="597"/>
      <c r="J822" s="597"/>
      <c r="K822" s="597"/>
      <c r="L822" s="597"/>
      <c r="M822" s="597"/>
      <c r="N822" s="597"/>
      <c r="O822" s="597"/>
      <c r="P822" s="597"/>
      <c r="Q822" s="597"/>
      <c r="R822" s="597"/>
      <c r="S822" s="175"/>
      <c r="T822" s="175"/>
      <c r="U822" s="175"/>
      <c r="V822" s="175"/>
      <c r="W822" s="175"/>
      <c r="X822" s="597"/>
      <c r="Y822" s="175"/>
      <c r="Z822" s="175"/>
    </row>
    <row r="823" ht="12.0" customHeight="1">
      <c r="A823" s="175"/>
      <c r="B823" s="175"/>
      <c r="C823" s="175"/>
      <c r="D823" s="175"/>
      <c r="E823" s="597"/>
      <c r="F823" s="597"/>
      <c r="G823" s="597"/>
      <c r="H823" s="597"/>
      <c r="I823" s="597"/>
      <c r="J823" s="597"/>
      <c r="K823" s="597"/>
      <c r="L823" s="597"/>
      <c r="M823" s="597"/>
      <c r="N823" s="597"/>
      <c r="O823" s="597"/>
      <c r="P823" s="597"/>
      <c r="Q823" s="597"/>
      <c r="R823" s="597"/>
      <c r="S823" s="175"/>
      <c r="T823" s="175"/>
      <c r="U823" s="175"/>
      <c r="V823" s="175"/>
      <c r="W823" s="175"/>
      <c r="X823" s="597"/>
      <c r="Y823" s="175"/>
      <c r="Z823" s="175"/>
    </row>
    <row r="824" ht="12.0" customHeight="1">
      <c r="A824" s="175"/>
      <c r="B824" s="175"/>
      <c r="C824" s="175"/>
      <c r="D824" s="175"/>
      <c r="E824" s="597"/>
      <c r="F824" s="597"/>
      <c r="G824" s="597"/>
      <c r="H824" s="597"/>
      <c r="I824" s="597"/>
      <c r="J824" s="597"/>
      <c r="K824" s="597"/>
      <c r="L824" s="597"/>
      <c r="M824" s="597"/>
      <c r="N824" s="597"/>
      <c r="O824" s="597"/>
      <c r="P824" s="597"/>
      <c r="Q824" s="597"/>
      <c r="R824" s="597"/>
      <c r="S824" s="175"/>
      <c r="T824" s="175"/>
      <c r="U824" s="175"/>
      <c r="V824" s="175"/>
      <c r="W824" s="175"/>
      <c r="X824" s="597"/>
      <c r="Y824" s="175"/>
      <c r="Z824" s="175"/>
    </row>
    <row r="825" ht="12.0" customHeight="1">
      <c r="A825" s="175"/>
      <c r="B825" s="175"/>
      <c r="C825" s="175"/>
      <c r="D825" s="175"/>
      <c r="E825" s="597"/>
      <c r="F825" s="597"/>
      <c r="G825" s="597"/>
      <c r="H825" s="597"/>
      <c r="I825" s="597"/>
      <c r="J825" s="597"/>
      <c r="K825" s="597"/>
      <c r="L825" s="597"/>
      <c r="M825" s="597"/>
      <c r="N825" s="597"/>
      <c r="O825" s="597"/>
      <c r="P825" s="597"/>
      <c r="Q825" s="597"/>
      <c r="R825" s="597"/>
      <c r="S825" s="175"/>
      <c r="T825" s="175"/>
      <c r="U825" s="175"/>
      <c r="V825" s="175"/>
      <c r="W825" s="175"/>
      <c r="X825" s="597"/>
      <c r="Y825" s="175"/>
      <c r="Z825" s="175"/>
    </row>
    <row r="826" ht="12.0" customHeight="1">
      <c r="A826" s="175"/>
      <c r="B826" s="175"/>
      <c r="C826" s="175"/>
      <c r="D826" s="175"/>
      <c r="E826" s="597"/>
      <c r="F826" s="597"/>
      <c r="G826" s="597"/>
      <c r="H826" s="597"/>
      <c r="I826" s="597"/>
      <c r="J826" s="597"/>
      <c r="K826" s="597"/>
      <c r="L826" s="597"/>
      <c r="M826" s="597"/>
      <c r="N826" s="597"/>
      <c r="O826" s="597"/>
      <c r="P826" s="597"/>
      <c r="Q826" s="597"/>
      <c r="R826" s="597"/>
      <c r="S826" s="175"/>
      <c r="T826" s="175"/>
      <c r="U826" s="175"/>
      <c r="V826" s="175"/>
      <c r="W826" s="175"/>
      <c r="X826" s="597"/>
      <c r="Y826" s="175"/>
      <c r="Z826" s="175"/>
    </row>
    <row r="827" ht="12.0" customHeight="1">
      <c r="A827" s="175"/>
      <c r="B827" s="175"/>
      <c r="C827" s="175"/>
      <c r="D827" s="175"/>
      <c r="E827" s="597"/>
      <c r="F827" s="597"/>
      <c r="G827" s="597"/>
      <c r="H827" s="597"/>
      <c r="I827" s="597"/>
      <c r="J827" s="597"/>
      <c r="K827" s="597"/>
      <c r="L827" s="597"/>
      <c r="M827" s="597"/>
      <c r="N827" s="597"/>
      <c r="O827" s="597"/>
      <c r="P827" s="597"/>
      <c r="Q827" s="597"/>
      <c r="R827" s="597"/>
      <c r="S827" s="175"/>
      <c r="T827" s="175"/>
      <c r="U827" s="175"/>
      <c r="V827" s="175"/>
      <c r="W827" s="175"/>
      <c r="X827" s="597"/>
      <c r="Y827" s="175"/>
      <c r="Z827" s="175"/>
    </row>
    <row r="828" ht="12.0" customHeight="1">
      <c r="A828" s="175"/>
      <c r="B828" s="175"/>
      <c r="C828" s="175"/>
      <c r="D828" s="175"/>
      <c r="E828" s="597"/>
      <c r="F828" s="597"/>
      <c r="G828" s="597"/>
      <c r="H828" s="597"/>
      <c r="I828" s="597"/>
      <c r="J828" s="597"/>
      <c r="K828" s="597"/>
      <c r="L828" s="597"/>
      <c r="M828" s="597"/>
      <c r="N828" s="597"/>
      <c r="O828" s="597"/>
      <c r="P828" s="597"/>
      <c r="Q828" s="597"/>
      <c r="R828" s="597"/>
      <c r="S828" s="175"/>
      <c r="T828" s="175"/>
      <c r="U828" s="175"/>
      <c r="V828" s="175"/>
      <c r="W828" s="175"/>
      <c r="X828" s="597"/>
      <c r="Y828" s="175"/>
      <c r="Z828" s="175"/>
    </row>
    <row r="829" ht="12.0" customHeight="1">
      <c r="A829" s="175"/>
      <c r="B829" s="175"/>
      <c r="C829" s="175"/>
      <c r="D829" s="175"/>
      <c r="E829" s="597"/>
      <c r="F829" s="597"/>
      <c r="G829" s="597"/>
      <c r="H829" s="597"/>
      <c r="I829" s="597"/>
      <c r="J829" s="597"/>
      <c r="K829" s="597"/>
      <c r="L829" s="597"/>
      <c r="M829" s="597"/>
      <c r="N829" s="597"/>
      <c r="O829" s="597"/>
      <c r="P829" s="597"/>
      <c r="Q829" s="597"/>
      <c r="R829" s="597"/>
      <c r="S829" s="175"/>
      <c r="T829" s="175"/>
      <c r="U829" s="175"/>
      <c r="V829" s="175"/>
      <c r="W829" s="175"/>
      <c r="X829" s="597"/>
      <c r="Y829" s="175"/>
      <c r="Z829" s="175"/>
    </row>
    <row r="830" ht="12.0" customHeight="1">
      <c r="A830" s="175"/>
      <c r="B830" s="175"/>
      <c r="C830" s="175"/>
      <c r="D830" s="175"/>
      <c r="E830" s="597"/>
      <c r="F830" s="597"/>
      <c r="G830" s="597"/>
      <c r="H830" s="597"/>
      <c r="I830" s="597"/>
      <c r="J830" s="597"/>
      <c r="K830" s="597"/>
      <c r="L830" s="597"/>
      <c r="M830" s="597"/>
      <c r="N830" s="597"/>
      <c r="O830" s="597"/>
      <c r="P830" s="597"/>
      <c r="Q830" s="597"/>
      <c r="R830" s="597"/>
      <c r="S830" s="175"/>
      <c r="T830" s="175"/>
      <c r="U830" s="175"/>
      <c r="V830" s="175"/>
      <c r="W830" s="175"/>
      <c r="X830" s="597"/>
      <c r="Y830" s="175"/>
      <c r="Z830" s="175"/>
    </row>
    <row r="831" ht="12.0" customHeight="1">
      <c r="A831" s="175"/>
      <c r="B831" s="175"/>
      <c r="C831" s="175"/>
      <c r="D831" s="175"/>
      <c r="E831" s="597"/>
      <c r="F831" s="597"/>
      <c r="G831" s="597"/>
      <c r="H831" s="597"/>
      <c r="I831" s="597"/>
      <c r="J831" s="597"/>
      <c r="K831" s="597"/>
      <c r="L831" s="597"/>
      <c r="M831" s="597"/>
      <c r="N831" s="597"/>
      <c r="O831" s="597"/>
      <c r="P831" s="597"/>
      <c r="Q831" s="597"/>
      <c r="R831" s="597"/>
      <c r="S831" s="175"/>
      <c r="T831" s="175"/>
      <c r="U831" s="175"/>
      <c r="V831" s="175"/>
      <c r="W831" s="175"/>
      <c r="X831" s="597"/>
      <c r="Y831" s="175"/>
      <c r="Z831" s="175"/>
    </row>
    <row r="832" ht="12.0" customHeight="1">
      <c r="A832" s="175"/>
      <c r="B832" s="175"/>
      <c r="C832" s="175"/>
      <c r="D832" s="175"/>
      <c r="E832" s="597"/>
      <c r="F832" s="597"/>
      <c r="G832" s="597"/>
      <c r="H832" s="597"/>
      <c r="I832" s="597"/>
      <c r="J832" s="597"/>
      <c r="K832" s="597"/>
      <c r="L832" s="597"/>
      <c r="M832" s="597"/>
      <c r="N832" s="597"/>
      <c r="O832" s="597"/>
      <c r="P832" s="597"/>
      <c r="Q832" s="597"/>
      <c r="R832" s="597"/>
      <c r="S832" s="175"/>
      <c r="T832" s="175"/>
      <c r="U832" s="175"/>
      <c r="V832" s="175"/>
      <c r="W832" s="175"/>
      <c r="X832" s="597"/>
      <c r="Y832" s="175"/>
      <c r="Z832" s="175"/>
    </row>
    <row r="833" ht="12.0" customHeight="1">
      <c r="A833" s="175"/>
      <c r="B833" s="175"/>
      <c r="C833" s="175"/>
      <c r="D833" s="175"/>
      <c r="E833" s="597"/>
      <c r="F833" s="597"/>
      <c r="G833" s="597"/>
      <c r="H833" s="597"/>
      <c r="I833" s="597"/>
      <c r="J833" s="597"/>
      <c r="K833" s="597"/>
      <c r="L833" s="597"/>
      <c r="M833" s="597"/>
      <c r="N833" s="597"/>
      <c r="O833" s="597"/>
      <c r="P833" s="597"/>
      <c r="Q833" s="597"/>
      <c r="R833" s="597"/>
      <c r="S833" s="175"/>
      <c r="T833" s="175"/>
      <c r="U833" s="175"/>
      <c r="V833" s="175"/>
      <c r="W833" s="175"/>
      <c r="X833" s="597"/>
      <c r="Y833" s="175"/>
      <c r="Z833" s="175"/>
    </row>
    <row r="834" ht="12.0" customHeight="1">
      <c r="A834" s="175"/>
      <c r="B834" s="175"/>
      <c r="C834" s="175"/>
      <c r="D834" s="175"/>
      <c r="E834" s="597"/>
      <c r="F834" s="597"/>
      <c r="G834" s="597"/>
      <c r="H834" s="597"/>
      <c r="I834" s="597"/>
      <c r="J834" s="597"/>
      <c r="K834" s="597"/>
      <c r="L834" s="597"/>
      <c r="M834" s="597"/>
      <c r="N834" s="597"/>
      <c r="O834" s="597"/>
      <c r="P834" s="597"/>
      <c r="Q834" s="597"/>
      <c r="R834" s="597"/>
      <c r="S834" s="175"/>
      <c r="T834" s="175"/>
      <c r="U834" s="175"/>
      <c r="V834" s="175"/>
      <c r="W834" s="175"/>
      <c r="X834" s="597"/>
      <c r="Y834" s="175"/>
      <c r="Z834" s="175"/>
    </row>
    <row r="835" ht="12.0" customHeight="1">
      <c r="A835" s="175"/>
      <c r="B835" s="175"/>
      <c r="C835" s="175"/>
      <c r="D835" s="175"/>
      <c r="E835" s="597"/>
      <c r="F835" s="597"/>
      <c r="G835" s="597"/>
      <c r="H835" s="597"/>
      <c r="I835" s="597"/>
      <c r="J835" s="597"/>
      <c r="K835" s="597"/>
      <c r="L835" s="597"/>
      <c r="M835" s="597"/>
      <c r="N835" s="597"/>
      <c r="O835" s="597"/>
      <c r="P835" s="597"/>
      <c r="Q835" s="597"/>
      <c r="R835" s="597"/>
      <c r="S835" s="175"/>
      <c r="T835" s="175"/>
      <c r="U835" s="175"/>
      <c r="V835" s="175"/>
      <c r="W835" s="175"/>
      <c r="X835" s="597"/>
      <c r="Y835" s="175"/>
      <c r="Z835" s="175"/>
    </row>
    <row r="836" ht="12.0" customHeight="1">
      <c r="A836" s="175"/>
      <c r="B836" s="175"/>
      <c r="C836" s="175"/>
      <c r="D836" s="175"/>
      <c r="E836" s="597"/>
      <c r="F836" s="597"/>
      <c r="G836" s="597"/>
      <c r="H836" s="597"/>
      <c r="I836" s="597"/>
      <c r="J836" s="597"/>
      <c r="K836" s="597"/>
      <c r="L836" s="597"/>
      <c r="M836" s="597"/>
      <c r="N836" s="597"/>
      <c r="O836" s="597"/>
      <c r="P836" s="597"/>
      <c r="Q836" s="597"/>
      <c r="R836" s="597"/>
      <c r="S836" s="175"/>
      <c r="T836" s="175"/>
      <c r="U836" s="175"/>
      <c r="V836" s="175"/>
      <c r="W836" s="175"/>
      <c r="X836" s="597"/>
      <c r="Y836" s="175"/>
      <c r="Z836" s="175"/>
    </row>
    <row r="837" ht="12.0" customHeight="1">
      <c r="A837" s="175"/>
      <c r="B837" s="175"/>
      <c r="C837" s="175"/>
      <c r="D837" s="175"/>
      <c r="E837" s="597"/>
      <c r="F837" s="597"/>
      <c r="G837" s="597"/>
      <c r="H837" s="597"/>
      <c r="I837" s="597"/>
      <c r="J837" s="597"/>
      <c r="K837" s="597"/>
      <c r="L837" s="597"/>
      <c r="M837" s="597"/>
      <c r="N837" s="597"/>
      <c r="O837" s="597"/>
      <c r="P837" s="597"/>
      <c r="Q837" s="597"/>
      <c r="R837" s="597"/>
      <c r="S837" s="175"/>
      <c r="T837" s="175"/>
      <c r="U837" s="175"/>
      <c r="V837" s="175"/>
      <c r="W837" s="175"/>
      <c r="X837" s="597"/>
      <c r="Y837" s="175"/>
      <c r="Z837" s="175"/>
    </row>
    <row r="838" ht="12.0" customHeight="1">
      <c r="A838" s="175"/>
      <c r="B838" s="175"/>
      <c r="C838" s="175"/>
      <c r="D838" s="175"/>
      <c r="E838" s="597"/>
      <c r="F838" s="597"/>
      <c r="G838" s="597"/>
      <c r="H838" s="597"/>
      <c r="I838" s="597"/>
      <c r="J838" s="597"/>
      <c r="K838" s="597"/>
      <c r="L838" s="597"/>
      <c r="M838" s="597"/>
      <c r="N838" s="597"/>
      <c r="O838" s="597"/>
      <c r="P838" s="597"/>
      <c r="Q838" s="597"/>
      <c r="R838" s="597"/>
      <c r="S838" s="175"/>
      <c r="T838" s="175"/>
      <c r="U838" s="175"/>
      <c r="V838" s="175"/>
      <c r="W838" s="175"/>
      <c r="X838" s="597"/>
      <c r="Y838" s="175"/>
      <c r="Z838" s="175"/>
    </row>
    <row r="839" ht="12.0" customHeight="1">
      <c r="A839" s="175"/>
      <c r="B839" s="175"/>
      <c r="C839" s="175"/>
      <c r="D839" s="175"/>
      <c r="E839" s="597"/>
      <c r="F839" s="597"/>
      <c r="G839" s="597"/>
      <c r="H839" s="597"/>
      <c r="I839" s="597"/>
      <c r="J839" s="597"/>
      <c r="K839" s="597"/>
      <c r="L839" s="597"/>
      <c r="M839" s="597"/>
      <c r="N839" s="597"/>
      <c r="O839" s="597"/>
      <c r="P839" s="597"/>
      <c r="Q839" s="597"/>
      <c r="R839" s="597"/>
      <c r="S839" s="175"/>
      <c r="T839" s="175"/>
      <c r="U839" s="175"/>
      <c r="V839" s="175"/>
      <c r="W839" s="175"/>
      <c r="X839" s="597"/>
      <c r="Y839" s="175"/>
      <c r="Z839" s="175"/>
    </row>
    <row r="840" ht="12.0" customHeight="1">
      <c r="A840" s="175"/>
      <c r="B840" s="175"/>
      <c r="C840" s="175"/>
      <c r="D840" s="175"/>
      <c r="E840" s="597"/>
      <c r="F840" s="597"/>
      <c r="G840" s="597"/>
      <c r="H840" s="597"/>
      <c r="I840" s="597"/>
      <c r="J840" s="597"/>
      <c r="K840" s="597"/>
      <c r="L840" s="597"/>
      <c r="M840" s="597"/>
      <c r="N840" s="597"/>
      <c r="O840" s="597"/>
      <c r="P840" s="597"/>
      <c r="Q840" s="597"/>
      <c r="R840" s="597"/>
      <c r="S840" s="175"/>
      <c r="T840" s="175"/>
      <c r="U840" s="175"/>
      <c r="V840" s="175"/>
      <c r="W840" s="175"/>
      <c r="X840" s="597"/>
      <c r="Y840" s="175"/>
      <c r="Z840" s="175"/>
    </row>
    <row r="841" ht="12.0" customHeight="1">
      <c r="A841" s="175"/>
      <c r="B841" s="175"/>
      <c r="C841" s="175"/>
      <c r="D841" s="175"/>
      <c r="E841" s="597"/>
      <c r="F841" s="597"/>
      <c r="G841" s="597"/>
      <c r="H841" s="597"/>
      <c r="I841" s="597"/>
      <c r="J841" s="597"/>
      <c r="K841" s="597"/>
      <c r="L841" s="597"/>
      <c r="M841" s="597"/>
      <c r="N841" s="597"/>
      <c r="O841" s="597"/>
      <c r="P841" s="597"/>
      <c r="Q841" s="597"/>
      <c r="R841" s="597"/>
      <c r="S841" s="175"/>
      <c r="T841" s="175"/>
      <c r="U841" s="175"/>
      <c r="V841" s="175"/>
      <c r="W841" s="175"/>
      <c r="X841" s="597"/>
      <c r="Y841" s="175"/>
      <c r="Z841" s="175"/>
    </row>
    <row r="842" ht="12.0" customHeight="1">
      <c r="A842" s="175"/>
      <c r="B842" s="175"/>
      <c r="C842" s="175"/>
      <c r="D842" s="175"/>
      <c r="E842" s="597"/>
      <c r="F842" s="597"/>
      <c r="G842" s="597"/>
      <c r="H842" s="597"/>
      <c r="I842" s="597"/>
      <c r="J842" s="597"/>
      <c r="K842" s="597"/>
      <c r="L842" s="597"/>
      <c r="M842" s="597"/>
      <c r="N842" s="597"/>
      <c r="O842" s="597"/>
      <c r="P842" s="597"/>
      <c r="Q842" s="597"/>
      <c r="R842" s="597"/>
      <c r="S842" s="175"/>
      <c r="T842" s="175"/>
      <c r="U842" s="175"/>
      <c r="V842" s="175"/>
      <c r="W842" s="175"/>
      <c r="X842" s="597"/>
      <c r="Y842" s="175"/>
      <c r="Z842" s="175"/>
    </row>
    <row r="843" ht="12.0" customHeight="1">
      <c r="A843" s="175"/>
      <c r="B843" s="175"/>
      <c r="C843" s="175"/>
      <c r="D843" s="175"/>
      <c r="E843" s="597"/>
      <c r="F843" s="597"/>
      <c r="G843" s="597"/>
      <c r="H843" s="597"/>
      <c r="I843" s="597"/>
      <c r="J843" s="597"/>
      <c r="K843" s="597"/>
      <c r="L843" s="597"/>
      <c r="M843" s="597"/>
      <c r="N843" s="597"/>
      <c r="O843" s="597"/>
      <c r="P843" s="597"/>
      <c r="Q843" s="597"/>
      <c r="R843" s="597"/>
      <c r="S843" s="175"/>
      <c r="T843" s="175"/>
      <c r="U843" s="175"/>
      <c r="V843" s="175"/>
      <c r="W843" s="175"/>
      <c r="X843" s="597"/>
      <c r="Y843" s="175"/>
      <c r="Z843" s="175"/>
    </row>
    <row r="844" ht="12.0" customHeight="1">
      <c r="A844" s="175"/>
      <c r="B844" s="175"/>
      <c r="C844" s="175"/>
      <c r="D844" s="175"/>
      <c r="E844" s="597"/>
      <c r="F844" s="597"/>
      <c r="G844" s="597"/>
      <c r="H844" s="597"/>
      <c r="I844" s="597"/>
      <c r="J844" s="597"/>
      <c r="K844" s="597"/>
      <c r="L844" s="597"/>
      <c r="M844" s="597"/>
      <c r="N844" s="597"/>
      <c r="O844" s="597"/>
      <c r="P844" s="597"/>
      <c r="Q844" s="597"/>
      <c r="R844" s="597"/>
      <c r="S844" s="175"/>
      <c r="T844" s="175"/>
      <c r="U844" s="175"/>
      <c r="V844" s="175"/>
      <c r="W844" s="175"/>
      <c r="X844" s="597"/>
      <c r="Y844" s="175"/>
      <c r="Z844" s="175"/>
    </row>
    <row r="845" ht="12.0" customHeight="1">
      <c r="A845" s="175"/>
      <c r="B845" s="175"/>
      <c r="C845" s="175"/>
      <c r="D845" s="175"/>
      <c r="E845" s="597"/>
      <c r="F845" s="597"/>
      <c r="G845" s="597"/>
      <c r="H845" s="597"/>
      <c r="I845" s="597"/>
      <c r="J845" s="597"/>
      <c r="K845" s="597"/>
      <c r="L845" s="597"/>
      <c r="M845" s="597"/>
      <c r="N845" s="597"/>
      <c r="O845" s="597"/>
      <c r="P845" s="597"/>
      <c r="Q845" s="597"/>
      <c r="R845" s="597"/>
      <c r="S845" s="175"/>
      <c r="T845" s="175"/>
      <c r="U845" s="175"/>
      <c r="V845" s="175"/>
      <c r="W845" s="175"/>
      <c r="X845" s="597"/>
      <c r="Y845" s="175"/>
      <c r="Z845" s="175"/>
    </row>
    <row r="846" ht="12.0" customHeight="1">
      <c r="A846" s="175"/>
      <c r="B846" s="175"/>
      <c r="C846" s="175"/>
      <c r="D846" s="175"/>
      <c r="E846" s="597"/>
      <c r="F846" s="597"/>
      <c r="G846" s="597"/>
      <c r="H846" s="597"/>
      <c r="I846" s="597"/>
      <c r="J846" s="597"/>
      <c r="K846" s="597"/>
      <c r="L846" s="597"/>
      <c r="M846" s="597"/>
      <c r="N846" s="597"/>
      <c r="O846" s="597"/>
      <c r="P846" s="597"/>
      <c r="Q846" s="597"/>
      <c r="R846" s="597"/>
      <c r="S846" s="175"/>
      <c r="T846" s="175"/>
      <c r="U846" s="175"/>
      <c r="V846" s="175"/>
      <c r="W846" s="175"/>
      <c r="X846" s="597"/>
      <c r="Y846" s="175"/>
      <c r="Z846" s="175"/>
    </row>
    <row r="847" ht="12.0" customHeight="1">
      <c r="A847" s="175"/>
      <c r="B847" s="175"/>
      <c r="C847" s="175"/>
      <c r="D847" s="175"/>
      <c r="E847" s="597"/>
      <c r="F847" s="597"/>
      <c r="G847" s="597"/>
      <c r="H847" s="597"/>
      <c r="I847" s="597"/>
      <c r="J847" s="597"/>
      <c r="K847" s="597"/>
      <c r="L847" s="597"/>
      <c r="M847" s="597"/>
      <c r="N847" s="597"/>
      <c r="O847" s="597"/>
      <c r="P847" s="597"/>
      <c r="Q847" s="597"/>
      <c r="R847" s="597"/>
      <c r="S847" s="175"/>
      <c r="T847" s="175"/>
      <c r="U847" s="175"/>
      <c r="V847" s="175"/>
      <c r="W847" s="175"/>
      <c r="X847" s="597"/>
      <c r="Y847" s="175"/>
      <c r="Z847" s="175"/>
    </row>
    <row r="848" ht="12.0" customHeight="1">
      <c r="A848" s="175"/>
      <c r="B848" s="175"/>
      <c r="C848" s="175"/>
      <c r="D848" s="175"/>
      <c r="E848" s="597"/>
      <c r="F848" s="597"/>
      <c r="G848" s="597"/>
      <c r="H848" s="597"/>
      <c r="I848" s="597"/>
      <c r="J848" s="597"/>
      <c r="K848" s="597"/>
      <c r="L848" s="597"/>
      <c r="M848" s="597"/>
      <c r="N848" s="597"/>
      <c r="O848" s="597"/>
      <c r="P848" s="597"/>
      <c r="Q848" s="597"/>
      <c r="R848" s="597"/>
      <c r="S848" s="175"/>
      <c r="T848" s="175"/>
      <c r="U848" s="175"/>
      <c r="V848" s="175"/>
      <c r="W848" s="175"/>
      <c r="X848" s="597"/>
      <c r="Y848" s="175"/>
      <c r="Z848" s="175"/>
    </row>
    <row r="849" ht="12.0" customHeight="1">
      <c r="A849" s="175"/>
      <c r="B849" s="175"/>
      <c r="C849" s="175"/>
      <c r="D849" s="175"/>
      <c r="E849" s="597"/>
      <c r="F849" s="597"/>
      <c r="G849" s="597"/>
      <c r="H849" s="597"/>
      <c r="I849" s="597"/>
      <c r="J849" s="597"/>
      <c r="K849" s="597"/>
      <c r="L849" s="597"/>
      <c r="M849" s="597"/>
      <c r="N849" s="597"/>
      <c r="O849" s="597"/>
      <c r="P849" s="597"/>
      <c r="Q849" s="597"/>
      <c r="R849" s="597"/>
      <c r="S849" s="175"/>
      <c r="T849" s="175"/>
      <c r="U849" s="175"/>
      <c r="V849" s="175"/>
      <c r="W849" s="175"/>
      <c r="X849" s="597"/>
      <c r="Y849" s="175"/>
      <c r="Z849" s="175"/>
    </row>
    <row r="850" ht="12.0" customHeight="1">
      <c r="A850" s="175"/>
      <c r="B850" s="175"/>
      <c r="C850" s="175"/>
      <c r="D850" s="175"/>
      <c r="E850" s="597"/>
      <c r="F850" s="597"/>
      <c r="G850" s="597"/>
      <c r="H850" s="597"/>
      <c r="I850" s="597"/>
      <c r="J850" s="597"/>
      <c r="K850" s="597"/>
      <c r="L850" s="597"/>
      <c r="M850" s="597"/>
      <c r="N850" s="597"/>
      <c r="O850" s="597"/>
      <c r="P850" s="597"/>
      <c r="Q850" s="597"/>
      <c r="R850" s="597"/>
      <c r="S850" s="175"/>
      <c r="T850" s="175"/>
      <c r="U850" s="175"/>
      <c r="V850" s="175"/>
      <c r="W850" s="175"/>
      <c r="X850" s="597"/>
      <c r="Y850" s="175"/>
      <c r="Z850" s="175"/>
    </row>
    <row r="851" ht="12.0" customHeight="1">
      <c r="A851" s="175"/>
      <c r="B851" s="175"/>
      <c r="C851" s="175"/>
      <c r="D851" s="175"/>
      <c r="E851" s="597"/>
      <c r="F851" s="597"/>
      <c r="G851" s="597"/>
      <c r="H851" s="597"/>
      <c r="I851" s="597"/>
      <c r="J851" s="597"/>
      <c r="K851" s="597"/>
      <c r="L851" s="597"/>
      <c r="M851" s="597"/>
      <c r="N851" s="597"/>
      <c r="O851" s="597"/>
      <c r="P851" s="597"/>
      <c r="Q851" s="597"/>
      <c r="R851" s="597"/>
      <c r="S851" s="175"/>
      <c r="T851" s="175"/>
      <c r="U851" s="175"/>
      <c r="V851" s="175"/>
      <c r="W851" s="175"/>
      <c r="X851" s="597"/>
      <c r="Y851" s="175"/>
      <c r="Z851" s="175"/>
    </row>
    <row r="852" ht="12.0" customHeight="1">
      <c r="A852" s="175"/>
      <c r="B852" s="175"/>
      <c r="C852" s="175"/>
      <c r="D852" s="175"/>
      <c r="E852" s="597"/>
      <c r="F852" s="597"/>
      <c r="G852" s="597"/>
      <c r="H852" s="597"/>
      <c r="I852" s="597"/>
      <c r="J852" s="597"/>
      <c r="K852" s="597"/>
      <c r="L852" s="597"/>
      <c r="M852" s="597"/>
      <c r="N852" s="597"/>
      <c r="O852" s="597"/>
      <c r="P852" s="597"/>
      <c r="Q852" s="597"/>
      <c r="R852" s="597"/>
      <c r="S852" s="175"/>
      <c r="T852" s="175"/>
      <c r="U852" s="175"/>
      <c r="V852" s="175"/>
      <c r="W852" s="175"/>
      <c r="X852" s="597"/>
      <c r="Y852" s="175"/>
      <c r="Z852" s="175"/>
    </row>
    <row r="853" ht="12.0" customHeight="1">
      <c r="A853" s="175"/>
      <c r="B853" s="175"/>
      <c r="C853" s="175"/>
      <c r="D853" s="175"/>
      <c r="E853" s="597"/>
      <c r="F853" s="597"/>
      <c r="G853" s="597"/>
      <c r="H853" s="597"/>
      <c r="I853" s="597"/>
      <c r="J853" s="597"/>
      <c r="K853" s="597"/>
      <c r="L853" s="597"/>
      <c r="M853" s="597"/>
      <c r="N853" s="597"/>
      <c r="O853" s="597"/>
      <c r="P853" s="597"/>
      <c r="Q853" s="597"/>
      <c r="R853" s="597"/>
      <c r="S853" s="175"/>
      <c r="T853" s="175"/>
      <c r="U853" s="175"/>
      <c r="V853" s="175"/>
      <c r="W853" s="175"/>
      <c r="X853" s="597"/>
      <c r="Y853" s="175"/>
      <c r="Z853" s="175"/>
    </row>
    <row r="854" ht="12.0" customHeight="1">
      <c r="A854" s="175"/>
      <c r="B854" s="175"/>
      <c r="C854" s="175"/>
      <c r="D854" s="175"/>
      <c r="E854" s="597"/>
      <c r="F854" s="597"/>
      <c r="G854" s="597"/>
      <c r="H854" s="597"/>
      <c r="I854" s="597"/>
      <c r="J854" s="597"/>
      <c r="K854" s="597"/>
      <c r="L854" s="597"/>
      <c r="M854" s="597"/>
      <c r="N854" s="597"/>
      <c r="O854" s="597"/>
      <c r="P854" s="597"/>
      <c r="Q854" s="597"/>
      <c r="R854" s="597"/>
      <c r="S854" s="175"/>
      <c r="T854" s="175"/>
      <c r="U854" s="175"/>
      <c r="V854" s="175"/>
      <c r="W854" s="175"/>
      <c r="X854" s="597"/>
      <c r="Y854" s="175"/>
      <c r="Z854" s="175"/>
    </row>
    <row r="855" ht="12.0" customHeight="1">
      <c r="A855" s="175"/>
      <c r="B855" s="175"/>
      <c r="C855" s="175"/>
      <c r="D855" s="175"/>
      <c r="E855" s="597"/>
      <c r="F855" s="597"/>
      <c r="G855" s="597"/>
      <c r="H855" s="597"/>
      <c r="I855" s="597"/>
      <c r="J855" s="597"/>
      <c r="K855" s="597"/>
      <c r="L855" s="597"/>
      <c r="M855" s="597"/>
      <c r="N855" s="597"/>
      <c r="O855" s="597"/>
      <c r="P855" s="597"/>
      <c r="Q855" s="597"/>
      <c r="R855" s="597"/>
      <c r="S855" s="175"/>
      <c r="T855" s="175"/>
      <c r="U855" s="175"/>
      <c r="V855" s="175"/>
      <c r="W855" s="175"/>
      <c r="X855" s="597"/>
      <c r="Y855" s="175"/>
      <c r="Z855" s="175"/>
    </row>
    <row r="856" ht="12.0" customHeight="1">
      <c r="A856" s="175"/>
      <c r="B856" s="175"/>
      <c r="C856" s="175"/>
      <c r="D856" s="175"/>
      <c r="E856" s="597"/>
      <c r="F856" s="597"/>
      <c r="G856" s="597"/>
      <c r="H856" s="597"/>
      <c r="I856" s="597"/>
      <c r="J856" s="597"/>
      <c r="K856" s="597"/>
      <c r="L856" s="597"/>
      <c r="M856" s="597"/>
      <c r="N856" s="597"/>
      <c r="O856" s="597"/>
      <c r="P856" s="597"/>
      <c r="Q856" s="597"/>
      <c r="R856" s="597"/>
      <c r="S856" s="175"/>
      <c r="T856" s="175"/>
      <c r="U856" s="175"/>
      <c r="V856" s="175"/>
      <c r="W856" s="175"/>
      <c r="X856" s="597"/>
      <c r="Y856" s="175"/>
      <c r="Z856" s="175"/>
    </row>
    <row r="857" ht="12.0" customHeight="1">
      <c r="A857" s="175"/>
      <c r="B857" s="175"/>
      <c r="C857" s="175"/>
      <c r="D857" s="175"/>
      <c r="E857" s="597"/>
      <c r="F857" s="597"/>
      <c r="G857" s="597"/>
      <c r="H857" s="597"/>
      <c r="I857" s="597"/>
      <c r="J857" s="597"/>
      <c r="K857" s="597"/>
      <c r="L857" s="597"/>
      <c r="M857" s="597"/>
      <c r="N857" s="597"/>
      <c r="O857" s="597"/>
      <c r="P857" s="597"/>
      <c r="Q857" s="597"/>
      <c r="R857" s="597"/>
      <c r="S857" s="175"/>
      <c r="T857" s="175"/>
      <c r="U857" s="175"/>
      <c r="V857" s="175"/>
      <c r="W857" s="175"/>
      <c r="X857" s="597"/>
      <c r="Y857" s="175"/>
      <c r="Z857" s="175"/>
    </row>
    <row r="858" ht="12.0" customHeight="1">
      <c r="A858" s="175"/>
      <c r="B858" s="175"/>
      <c r="C858" s="175"/>
      <c r="D858" s="175"/>
      <c r="E858" s="597"/>
      <c r="F858" s="597"/>
      <c r="G858" s="597"/>
      <c r="H858" s="597"/>
      <c r="I858" s="597"/>
      <c r="J858" s="597"/>
      <c r="K858" s="597"/>
      <c r="L858" s="597"/>
      <c r="M858" s="597"/>
      <c r="N858" s="597"/>
      <c r="O858" s="597"/>
      <c r="P858" s="597"/>
      <c r="Q858" s="597"/>
      <c r="R858" s="597"/>
      <c r="S858" s="175"/>
      <c r="T858" s="175"/>
      <c r="U858" s="175"/>
      <c r="V858" s="175"/>
      <c r="W858" s="175"/>
      <c r="X858" s="597"/>
      <c r="Y858" s="175"/>
      <c r="Z858" s="175"/>
    </row>
    <row r="859" ht="12.0" customHeight="1">
      <c r="A859" s="175"/>
      <c r="B859" s="175"/>
      <c r="C859" s="175"/>
      <c r="D859" s="175"/>
      <c r="E859" s="597"/>
      <c r="F859" s="597"/>
      <c r="G859" s="597"/>
      <c r="H859" s="597"/>
      <c r="I859" s="597"/>
      <c r="J859" s="597"/>
      <c r="K859" s="597"/>
      <c r="L859" s="597"/>
      <c r="M859" s="597"/>
      <c r="N859" s="597"/>
      <c r="O859" s="597"/>
      <c r="P859" s="597"/>
      <c r="Q859" s="597"/>
      <c r="R859" s="597"/>
      <c r="S859" s="175"/>
      <c r="T859" s="175"/>
      <c r="U859" s="175"/>
      <c r="V859" s="175"/>
      <c r="W859" s="175"/>
      <c r="X859" s="597"/>
      <c r="Y859" s="175"/>
      <c r="Z859" s="175"/>
    </row>
    <row r="860" ht="12.0" customHeight="1">
      <c r="A860" s="175"/>
      <c r="B860" s="175"/>
      <c r="C860" s="175"/>
      <c r="D860" s="175"/>
      <c r="E860" s="597"/>
      <c r="F860" s="597"/>
      <c r="G860" s="597"/>
      <c r="H860" s="597"/>
      <c r="I860" s="597"/>
      <c r="J860" s="597"/>
      <c r="K860" s="597"/>
      <c r="L860" s="597"/>
      <c r="M860" s="597"/>
      <c r="N860" s="597"/>
      <c r="O860" s="597"/>
      <c r="P860" s="597"/>
      <c r="Q860" s="597"/>
      <c r="R860" s="597"/>
      <c r="S860" s="175"/>
      <c r="T860" s="175"/>
      <c r="U860" s="175"/>
      <c r="V860" s="175"/>
      <c r="W860" s="175"/>
      <c r="X860" s="597"/>
      <c r="Y860" s="175"/>
      <c r="Z860" s="175"/>
    </row>
    <row r="861" ht="12.0" customHeight="1">
      <c r="A861" s="175"/>
      <c r="B861" s="175"/>
      <c r="C861" s="175"/>
      <c r="D861" s="175"/>
      <c r="E861" s="597"/>
      <c r="F861" s="597"/>
      <c r="G861" s="597"/>
      <c r="H861" s="597"/>
      <c r="I861" s="597"/>
      <c r="J861" s="597"/>
      <c r="K861" s="597"/>
      <c r="L861" s="597"/>
      <c r="M861" s="597"/>
      <c r="N861" s="597"/>
      <c r="O861" s="597"/>
      <c r="P861" s="597"/>
      <c r="Q861" s="597"/>
      <c r="R861" s="597"/>
      <c r="S861" s="175"/>
      <c r="T861" s="175"/>
      <c r="U861" s="175"/>
      <c r="V861" s="175"/>
      <c r="W861" s="175"/>
      <c r="X861" s="597"/>
      <c r="Y861" s="175"/>
      <c r="Z861" s="175"/>
    </row>
    <row r="862" ht="12.0" customHeight="1">
      <c r="A862" s="175"/>
      <c r="B862" s="175"/>
      <c r="C862" s="175"/>
      <c r="D862" s="175"/>
      <c r="E862" s="597"/>
      <c r="F862" s="597"/>
      <c r="G862" s="597"/>
      <c r="H862" s="597"/>
      <c r="I862" s="597"/>
      <c r="J862" s="597"/>
      <c r="K862" s="597"/>
      <c r="L862" s="597"/>
      <c r="M862" s="597"/>
      <c r="N862" s="597"/>
      <c r="O862" s="597"/>
      <c r="P862" s="597"/>
      <c r="Q862" s="597"/>
      <c r="R862" s="597"/>
      <c r="S862" s="175"/>
      <c r="T862" s="175"/>
      <c r="U862" s="175"/>
      <c r="V862" s="175"/>
      <c r="W862" s="175"/>
      <c r="X862" s="597"/>
      <c r="Y862" s="175"/>
      <c r="Z862" s="175"/>
    </row>
    <row r="863" ht="12.0" customHeight="1">
      <c r="A863" s="175"/>
      <c r="B863" s="175"/>
      <c r="C863" s="175"/>
      <c r="D863" s="175"/>
      <c r="E863" s="597"/>
      <c r="F863" s="597"/>
      <c r="G863" s="597"/>
      <c r="H863" s="597"/>
      <c r="I863" s="597"/>
      <c r="J863" s="597"/>
      <c r="K863" s="597"/>
      <c r="L863" s="597"/>
      <c r="M863" s="597"/>
      <c r="N863" s="597"/>
      <c r="O863" s="597"/>
      <c r="P863" s="597"/>
      <c r="Q863" s="597"/>
      <c r="R863" s="597"/>
      <c r="S863" s="175"/>
      <c r="T863" s="175"/>
      <c r="U863" s="175"/>
      <c r="V863" s="175"/>
      <c r="W863" s="175"/>
      <c r="X863" s="597"/>
      <c r="Y863" s="175"/>
      <c r="Z863" s="175"/>
    </row>
    <row r="864" ht="12.0" customHeight="1">
      <c r="A864" s="175"/>
      <c r="B864" s="175"/>
      <c r="C864" s="175"/>
      <c r="D864" s="175"/>
      <c r="E864" s="597"/>
      <c r="F864" s="597"/>
      <c r="G864" s="597"/>
      <c r="H864" s="597"/>
      <c r="I864" s="597"/>
      <c r="J864" s="597"/>
      <c r="K864" s="597"/>
      <c r="L864" s="597"/>
      <c r="M864" s="597"/>
      <c r="N864" s="597"/>
      <c r="O864" s="597"/>
      <c r="P864" s="597"/>
      <c r="Q864" s="597"/>
      <c r="R864" s="597"/>
      <c r="S864" s="175"/>
      <c r="T864" s="175"/>
      <c r="U864" s="175"/>
      <c r="V864" s="175"/>
      <c r="W864" s="175"/>
      <c r="X864" s="597"/>
      <c r="Y864" s="175"/>
      <c r="Z864" s="175"/>
    </row>
    <row r="865" ht="12.0" customHeight="1">
      <c r="A865" s="175"/>
      <c r="B865" s="175"/>
      <c r="C865" s="175"/>
      <c r="D865" s="175"/>
      <c r="E865" s="597"/>
      <c r="F865" s="597"/>
      <c r="G865" s="597"/>
      <c r="H865" s="597"/>
      <c r="I865" s="597"/>
      <c r="J865" s="597"/>
      <c r="K865" s="597"/>
      <c r="L865" s="597"/>
      <c r="M865" s="597"/>
      <c r="N865" s="597"/>
      <c r="O865" s="597"/>
      <c r="P865" s="597"/>
      <c r="Q865" s="597"/>
      <c r="R865" s="597"/>
      <c r="S865" s="175"/>
      <c r="T865" s="175"/>
      <c r="U865" s="175"/>
      <c r="V865" s="175"/>
      <c r="W865" s="175"/>
      <c r="X865" s="597"/>
      <c r="Y865" s="175"/>
      <c r="Z865" s="175"/>
    </row>
    <row r="866" ht="12.0" customHeight="1">
      <c r="A866" s="175"/>
      <c r="B866" s="175"/>
      <c r="C866" s="175"/>
      <c r="D866" s="175"/>
      <c r="E866" s="597"/>
      <c r="F866" s="597"/>
      <c r="G866" s="597"/>
      <c r="H866" s="597"/>
      <c r="I866" s="597"/>
      <c r="J866" s="597"/>
      <c r="K866" s="597"/>
      <c r="L866" s="597"/>
      <c r="M866" s="597"/>
      <c r="N866" s="597"/>
      <c r="O866" s="597"/>
      <c r="P866" s="597"/>
      <c r="Q866" s="597"/>
      <c r="R866" s="597"/>
      <c r="S866" s="175"/>
      <c r="T866" s="175"/>
      <c r="U866" s="175"/>
      <c r="V866" s="175"/>
      <c r="W866" s="175"/>
      <c r="X866" s="597"/>
      <c r="Y866" s="175"/>
      <c r="Z866" s="175"/>
    </row>
    <row r="867" ht="12.0" customHeight="1">
      <c r="A867" s="175"/>
      <c r="B867" s="175"/>
      <c r="C867" s="175"/>
      <c r="D867" s="175"/>
      <c r="E867" s="597"/>
      <c r="F867" s="597"/>
      <c r="G867" s="597"/>
      <c r="H867" s="597"/>
      <c r="I867" s="597"/>
      <c r="J867" s="597"/>
      <c r="K867" s="597"/>
      <c r="L867" s="597"/>
      <c r="M867" s="597"/>
      <c r="N867" s="597"/>
      <c r="O867" s="597"/>
      <c r="P867" s="597"/>
      <c r="Q867" s="597"/>
      <c r="R867" s="597"/>
      <c r="S867" s="175"/>
      <c r="T867" s="175"/>
      <c r="U867" s="175"/>
      <c r="V867" s="175"/>
      <c r="W867" s="175"/>
      <c r="X867" s="597"/>
      <c r="Y867" s="175"/>
      <c r="Z867" s="175"/>
    </row>
    <row r="868" ht="12.0" customHeight="1">
      <c r="A868" s="175"/>
      <c r="B868" s="175"/>
      <c r="C868" s="175"/>
      <c r="D868" s="175"/>
      <c r="E868" s="597"/>
      <c r="F868" s="597"/>
      <c r="G868" s="597"/>
      <c r="H868" s="597"/>
      <c r="I868" s="597"/>
      <c r="J868" s="597"/>
      <c r="K868" s="597"/>
      <c r="L868" s="597"/>
      <c r="M868" s="597"/>
      <c r="N868" s="597"/>
      <c r="O868" s="597"/>
      <c r="P868" s="597"/>
      <c r="Q868" s="597"/>
      <c r="R868" s="597"/>
      <c r="S868" s="175"/>
      <c r="T868" s="175"/>
      <c r="U868" s="175"/>
      <c r="V868" s="175"/>
      <c r="W868" s="175"/>
      <c r="X868" s="597"/>
      <c r="Y868" s="175"/>
      <c r="Z868" s="175"/>
    </row>
    <row r="869" ht="12.0" customHeight="1">
      <c r="A869" s="175"/>
      <c r="B869" s="175"/>
      <c r="C869" s="175"/>
      <c r="D869" s="175"/>
      <c r="E869" s="597"/>
      <c r="F869" s="597"/>
      <c r="G869" s="597"/>
      <c r="H869" s="597"/>
      <c r="I869" s="597"/>
      <c r="J869" s="597"/>
      <c r="K869" s="597"/>
      <c r="L869" s="597"/>
      <c r="M869" s="597"/>
      <c r="N869" s="597"/>
      <c r="O869" s="597"/>
      <c r="P869" s="597"/>
      <c r="Q869" s="597"/>
      <c r="R869" s="597"/>
      <c r="S869" s="175"/>
      <c r="T869" s="175"/>
      <c r="U869" s="175"/>
      <c r="V869" s="175"/>
      <c r="W869" s="175"/>
      <c r="X869" s="597"/>
      <c r="Y869" s="175"/>
      <c r="Z869" s="175"/>
    </row>
    <row r="870" ht="12.0" customHeight="1">
      <c r="A870" s="175"/>
      <c r="B870" s="175"/>
      <c r="C870" s="175"/>
      <c r="D870" s="175"/>
      <c r="E870" s="597"/>
      <c r="F870" s="597"/>
      <c r="G870" s="597"/>
      <c r="H870" s="597"/>
      <c r="I870" s="597"/>
      <c r="J870" s="597"/>
      <c r="K870" s="597"/>
      <c r="L870" s="597"/>
      <c r="M870" s="597"/>
      <c r="N870" s="597"/>
      <c r="O870" s="597"/>
      <c r="P870" s="597"/>
      <c r="Q870" s="597"/>
      <c r="R870" s="597"/>
      <c r="S870" s="175"/>
      <c r="T870" s="175"/>
      <c r="U870" s="175"/>
      <c r="V870" s="175"/>
      <c r="W870" s="175"/>
      <c r="X870" s="597"/>
      <c r="Y870" s="175"/>
      <c r="Z870" s="175"/>
    </row>
    <row r="871" ht="12.0" customHeight="1">
      <c r="A871" s="175"/>
      <c r="B871" s="175"/>
      <c r="C871" s="175"/>
      <c r="D871" s="175"/>
      <c r="E871" s="597"/>
      <c r="F871" s="597"/>
      <c r="G871" s="597"/>
      <c r="H871" s="597"/>
      <c r="I871" s="597"/>
      <c r="J871" s="597"/>
      <c r="K871" s="597"/>
      <c r="L871" s="597"/>
      <c r="M871" s="597"/>
      <c r="N871" s="597"/>
      <c r="O871" s="597"/>
      <c r="P871" s="597"/>
      <c r="Q871" s="597"/>
      <c r="R871" s="597"/>
      <c r="S871" s="175"/>
      <c r="T871" s="175"/>
      <c r="U871" s="175"/>
      <c r="V871" s="175"/>
      <c r="W871" s="175"/>
      <c r="X871" s="597"/>
      <c r="Y871" s="175"/>
      <c r="Z871" s="175"/>
    </row>
    <row r="872" ht="12.0" customHeight="1">
      <c r="A872" s="175"/>
      <c r="B872" s="175"/>
      <c r="C872" s="175"/>
      <c r="D872" s="175"/>
      <c r="E872" s="597"/>
      <c r="F872" s="597"/>
      <c r="G872" s="597"/>
      <c r="H872" s="597"/>
      <c r="I872" s="597"/>
      <c r="J872" s="597"/>
      <c r="K872" s="597"/>
      <c r="L872" s="597"/>
      <c r="M872" s="597"/>
      <c r="N872" s="597"/>
      <c r="O872" s="597"/>
      <c r="P872" s="597"/>
      <c r="Q872" s="597"/>
      <c r="R872" s="597"/>
      <c r="S872" s="175"/>
      <c r="T872" s="175"/>
      <c r="U872" s="175"/>
      <c r="V872" s="175"/>
      <c r="W872" s="175"/>
      <c r="X872" s="597"/>
      <c r="Y872" s="175"/>
      <c r="Z872" s="175"/>
    </row>
    <row r="873" ht="12.0" customHeight="1">
      <c r="A873" s="175"/>
      <c r="B873" s="175"/>
      <c r="C873" s="175"/>
      <c r="D873" s="175"/>
      <c r="E873" s="597"/>
      <c r="F873" s="597"/>
      <c r="G873" s="597"/>
      <c r="H873" s="597"/>
      <c r="I873" s="597"/>
      <c r="J873" s="597"/>
      <c r="K873" s="597"/>
      <c r="L873" s="597"/>
      <c r="M873" s="597"/>
      <c r="N873" s="597"/>
      <c r="O873" s="597"/>
      <c r="P873" s="597"/>
      <c r="Q873" s="597"/>
      <c r="R873" s="597"/>
      <c r="S873" s="175"/>
      <c r="T873" s="175"/>
      <c r="U873" s="175"/>
      <c r="V873" s="175"/>
      <c r="W873" s="175"/>
      <c r="X873" s="597"/>
      <c r="Y873" s="175"/>
      <c r="Z873" s="175"/>
    </row>
    <row r="874" ht="12.0" customHeight="1">
      <c r="A874" s="175"/>
      <c r="B874" s="175"/>
      <c r="C874" s="175"/>
      <c r="D874" s="175"/>
      <c r="E874" s="597"/>
      <c r="F874" s="597"/>
      <c r="G874" s="597"/>
      <c r="H874" s="597"/>
      <c r="I874" s="597"/>
      <c r="J874" s="597"/>
      <c r="K874" s="597"/>
      <c r="L874" s="597"/>
      <c r="M874" s="597"/>
      <c r="N874" s="597"/>
      <c r="O874" s="597"/>
      <c r="P874" s="597"/>
      <c r="Q874" s="597"/>
      <c r="R874" s="597"/>
      <c r="S874" s="175"/>
      <c r="T874" s="175"/>
      <c r="U874" s="175"/>
      <c r="V874" s="175"/>
      <c r="W874" s="175"/>
      <c r="X874" s="597"/>
      <c r="Y874" s="175"/>
      <c r="Z874" s="175"/>
    </row>
    <row r="875" ht="12.0" customHeight="1">
      <c r="A875" s="175"/>
      <c r="B875" s="175"/>
      <c r="C875" s="175"/>
      <c r="D875" s="175"/>
      <c r="E875" s="597"/>
      <c r="F875" s="597"/>
      <c r="G875" s="597"/>
      <c r="H875" s="597"/>
      <c r="I875" s="597"/>
      <c r="J875" s="597"/>
      <c r="K875" s="597"/>
      <c r="L875" s="597"/>
      <c r="M875" s="597"/>
      <c r="N875" s="597"/>
      <c r="O875" s="597"/>
      <c r="P875" s="597"/>
      <c r="Q875" s="597"/>
      <c r="R875" s="597"/>
      <c r="S875" s="175"/>
      <c r="T875" s="175"/>
      <c r="U875" s="175"/>
      <c r="V875" s="175"/>
      <c r="W875" s="175"/>
      <c r="X875" s="597"/>
      <c r="Y875" s="175"/>
      <c r="Z875" s="175"/>
    </row>
    <row r="876" ht="12.0" customHeight="1">
      <c r="A876" s="175"/>
      <c r="B876" s="175"/>
      <c r="C876" s="175"/>
      <c r="D876" s="175"/>
      <c r="E876" s="597"/>
      <c r="F876" s="597"/>
      <c r="G876" s="597"/>
      <c r="H876" s="597"/>
      <c r="I876" s="597"/>
      <c r="J876" s="597"/>
      <c r="K876" s="597"/>
      <c r="L876" s="597"/>
      <c r="M876" s="597"/>
      <c r="N876" s="597"/>
      <c r="O876" s="597"/>
      <c r="P876" s="597"/>
      <c r="Q876" s="597"/>
      <c r="R876" s="597"/>
      <c r="S876" s="175"/>
      <c r="T876" s="175"/>
      <c r="U876" s="175"/>
      <c r="V876" s="175"/>
      <c r="W876" s="175"/>
      <c r="X876" s="597"/>
      <c r="Y876" s="175"/>
      <c r="Z876" s="175"/>
    </row>
    <row r="877" ht="12.0" customHeight="1">
      <c r="A877" s="175"/>
      <c r="B877" s="175"/>
      <c r="C877" s="175"/>
      <c r="D877" s="175"/>
      <c r="E877" s="597"/>
      <c r="F877" s="597"/>
      <c r="G877" s="597"/>
      <c r="H877" s="597"/>
      <c r="I877" s="597"/>
      <c r="J877" s="597"/>
      <c r="K877" s="597"/>
      <c r="L877" s="597"/>
      <c r="M877" s="597"/>
      <c r="N877" s="597"/>
      <c r="O877" s="597"/>
      <c r="P877" s="597"/>
      <c r="Q877" s="597"/>
      <c r="R877" s="597"/>
      <c r="S877" s="175"/>
      <c r="T877" s="175"/>
      <c r="U877" s="175"/>
      <c r="V877" s="175"/>
      <c r="W877" s="175"/>
      <c r="X877" s="597"/>
      <c r="Y877" s="175"/>
      <c r="Z877" s="175"/>
    </row>
    <row r="878" ht="12.0" customHeight="1">
      <c r="A878" s="175"/>
      <c r="B878" s="175"/>
      <c r="C878" s="175"/>
      <c r="D878" s="175"/>
      <c r="E878" s="597"/>
      <c r="F878" s="597"/>
      <c r="G878" s="597"/>
      <c r="H878" s="597"/>
      <c r="I878" s="597"/>
      <c r="J878" s="597"/>
      <c r="K878" s="597"/>
      <c r="L878" s="597"/>
      <c r="M878" s="597"/>
      <c r="N878" s="597"/>
      <c r="O878" s="597"/>
      <c r="P878" s="597"/>
      <c r="Q878" s="597"/>
      <c r="R878" s="597"/>
      <c r="S878" s="175"/>
      <c r="T878" s="175"/>
      <c r="U878" s="175"/>
      <c r="V878" s="175"/>
      <c r="W878" s="175"/>
      <c r="X878" s="597"/>
      <c r="Y878" s="175"/>
      <c r="Z878" s="175"/>
    </row>
    <row r="879" ht="12.0" customHeight="1">
      <c r="A879" s="175"/>
      <c r="B879" s="175"/>
      <c r="C879" s="175"/>
      <c r="D879" s="175"/>
      <c r="E879" s="597"/>
      <c r="F879" s="597"/>
      <c r="G879" s="597"/>
      <c r="H879" s="597"/>
      <c r="I879" s="597"/>
      <c r="J879" s="597"/>
      <c r="K879" s="597"/>
      <c r="L879" s="597"/>
      <c r="M879" s="597"/>
      <c r="N879" s="597"/>
      <c r="O879" s="597"/>
      <c r="P879" s="597"/>
      <c r="Q879" s="597"/>
      <c r="R879" s="597"/>
      <c r="S879" s="175"/>
      <c r="T879" s="175"/>
      <c r="U879" s="175"/>
      <c r="V879" s="175"/>
      <c r="W879" s="175"/>
      <c r="X879" s="597"/>
      <c r="Y879" s="175"/>
      <c r="Z879" s="175"/>
    </row>
    <row r="880" ht="12.0" customHeight="1">
      <c r="A880" s="175"/>
      <c r="B880" s="175"/>
      <c r="C880" s="175"/>
      <c r="D880" s="175"/>
      <c r="E880" s="597"/>
      <c r="F880" s="597"/>
      <c r="G880" s="597"/>
      <c r="H880" s="597"/>
      <c r="I880" s="597"/>
      <c r="J880" s="597"/>
      <c r="K880" s="597"/>
      <c r="L880" s="597"/>
      <c r="M880" s="597"/>
      <c r="N880" s="597"/>
      <c r="O880" s="597"/>
      <c r="P880" s="597"/>
      <c r="Q880" s="597"/>
      <c r="R880" s="597"/>
      <c r="S880" s="175"/>
      <c r="T880" s="175"/>
      <c r="U880" s="175"/>
      <c r="V880" s="175"/>
      <c r="W880" s="175"/>
      <c r="X880" s="597"/>
      <c r="Y880" s="175"/>
      <c r="Z880" s="175"/>
    </row>
    <row r="881" ht="12.0" customHeight="1">
      <c r="A881" s="175"/>
      <c r="B881" s="175"/>
      <c r="C881" s="175"/>
      <c r="D881" s="175"/>
      <c r="E881" s="597"/>
      <c r="F881" s="597"/>
      <c r="G881" s="597"/>
      <c r="H881" s="597"/>
      <c r="I881" s="597"/>
      <c r="J881" s="597"/>
      <c r="K881" s="597"/>
      <c r="L881" s="597"/>
      <c r="M881" s="597"/>
      <c r="N881" s="597"/>
      <c r="O881" s="597"/>
      <c r="P881" s="597"/>
      <c r="Q881" s="597"/>
      <c r="R881" s="597"/>
      <c r="S881" s="175"/>
      <c r="T881" s="175"/>
      <c r="U881" s="175"/>
      <c r="V881" s="175"/>
      <c r="W881" s="175"/>
      <c r="X881" s="597"/>
      <c r="Y881" s="175"/>
      <c r="Z881" s="175"/>
    </row>
    <row r="882" ht="12.0" customHeight="1">
      <c r="A882" s="175"/>
      <c r="B882" s="175"/>
      <c r="C882" s="175"/>
      <c r="D882" s="175"/>
      <c r="E882" s="597"/>
      <c r="F882" s="597"/>
      <c r="G882" s="597"/>
      <c r="H882" s="597"/>
      <c r="I882" s="597"/>
      <c r="J882" s="597"/>
      <c r="K882" s="597"/>
      <c r="L882" s="597"/>
      <c r="M882" s="597"/>
      <c r="N882" s="597"/>
      <c r="O882" s="597"/>
      <c r="P882" s="597"/>
      <c r="Q882" s="597"/>
      <c r="R882" s="597"/>
      <c r="S882" s="175"/>
      <c r="T882" s="175"/>
      <c r="U882" s="175"/>
      <c r="V882" s="175"/>
      <c r="W882" s="175"/>
      <c r="X882" s="597"/>
      <c r="Y882" s="175"/>
      <c r="Z882" s="175"/>
    </row>
    <row r="883" ht="12.0" customHeight="1">
      <c r="A883" s="175"/>
      <c r="B883" s="175"/>
      <c r="C883" s="175"/>
      <c r="D883" s="175"/>
      <c r="E883" s="597"/>
      <c r="F883" s="597"/>
      <c r="G883" s="597"/>
      <c r="H883" s="597"/>
      <c r="I883" s="597"/>
      <c r="J883" s="597"/>
      <c r="K883" s="597"/>
      <c r="L883" s="597"/>
      <c r="M883" s="597"/>
      <c r="N883" s="597"/>
      <c r="O883" s="597"/>
      <c r="P883" s="597"/>
      <c r="Q883" s="597"/>
      <c r="R883" s="597"/>
      <c r="S883" s="175"/>
      <c r="T883" s="175"/>
      <c r="U883" s="175"/>
      <c r="V883" s="175"/>
      <c r="W883" s="175"/>
      <c r="X883" s="597"/>
      <c r="Y883" s="175"/>
      <c r="Z883" s="175"/>
    </row>
    <row r="884" ht="12.0" customHeight="1">
      <c r="A884" s="175"/>
      <c r="B884" s="175"/>
      <c r="C884" s="175"/>
      <c r="D884" s="175"/>
      <c r="E884" s="597"/>
      <c r="F884" s="597"/>
      <c r="G884" s="597"/>
      <c r="H884" s="597"/>
      <c r="I884" s="597"/>
      <c r="J884" s="597"/>
      <c r="K884" s="597"/>
      <c r="L884" s="597"/>
      <c r="M884" s="597"/>
      <c r="N884" s="597"/>
      <c r="O884" s="597"/>
      <c r="P884" s="597"/>
      <c r="Q884" s="597"/>
      <c r="R884" s="597"/>
      <c r="S884" s="175"/>
      <c r="T884" s="175"/>
      <c r="U884" s="175"/>
      <c r="V884" s="175"/>
      <c r="W884" s="175"/>
      <c r="X884" s="597"/>
      <c r="Y884" s="175"/>
      <c r="Z884" s="175"/>
    </row>
    <row r="885" ht="12.0" customHeight="1">
      <c r="A885" s="175"/>
      <c r="B885" s="175"/>
      <c r="C885" s="175"/>
      <c r="D885" s="175"/>
      <c r="E885" s="597"/>
      <c r="F885" s="597"/>
      <c r="G885" s="597"/>
      <c r="H885" s="597"/>
      <c r="I885" s="597"/>
      <c r="J885" s="597"/>
      <c r="K885" s="597"/>
      <c r="L885" s="597"/>
      <c r="M885" s="597"/>
      <c r="N885" s="597"/>
      <c r="O885" s="597"/>
      <c r="P885" s="597"/>
      <c r="Q885" s="597"/>
      <c r="R885" s="597"/>
      <c r="S885" s="175"/>
      <c r="T885" s="175"/>
      <c r="U885" s="175"/>
      <c r="V885" s="175"/>
      <c r="W885" s="175"/>
      <c r="X885" s="597"/>
      <c r="Y885" s="175"/>
      <c r="Z885" s="175"/>
    </row>
    <row r="886" ht="12.0" customHeight="1">
      <c r="A886" s="175"/>
      <c r="B886" s="175"/>
      <c r="C886" s="175"/>
      <c r="D886" s="175"/>
      <c r="E886" s="597"/>
      <c r="F886" s="597"/>
      <c r="G886" s="597"/>
      <c r="H886" s="597"/>
      <c r="I886" s="597"/>
      <c r="J886" s="597"/>
      <c r="K886" s="597"/>
      <c r="L886" s="597"/>
      <c r="M886" s="597"/>
      <c r="N886" s="597"/>
      <c r="O886" s="597"/>
      <c r="P886" s="597"/>
      <c r="Q886" s="597"/>
      <c r="R886" s="597"/>
      <c r="S886" s="175"/>
      <c r="T886" s="175"/>
      <c r="U886" s="175"/>
      <c r="V886" s="175"/>
      <c r="W886" s="175"/>
      <c r="X886" s="597"/>
      <c r="Y886" s="175"/>
      <c r="Z886" s="175"/>
    </row>
    <row r="887" ht="12.0" customHeight="1">
      <c r="A887" s="175"/>
      <c r="B887" s="175"/>
      <c r="C887" s="175"/>
      <c r="D887" s="175"/>
      <c r="E887" s="597"/>
      <c r="F887" s="597"/>
      <c r="G887" s="597"/>
      <c r="H887" s="597"/>
      <c r="I887" s="597"/>
      <c r="J887" s="597"/>
      <c r="K887" s="597"/>
      <c r="L887" s="597"/>
      <c r="M887" s="597"/>
      <c r="N887" s="597"/>
      <c r="O887" s="597"/>
      <c r="P887" s="597"/>
      <c r="Q887" s="597"/>
      <c r="R887" s="597"/>
      <c r="S887" s="175"/>
      <c r="T887" s="175"/>
      <c r="U887" s="175"/>
      <c r="V887" s="175"/>
      <c r="W887" s="175"/>
      <c r="X887" s="597"/>
      <c r="Y887" s="175"/>
      <c r="Z887" s="175"/>
    </row>
    <row r="888" ht="12.0" customHeight="1">
      <c r="A888" s="175"/>
      <c r="B888" s="175"/>
      <c r="C888" s="175"/>
      <c r="D888" s="175"/>
      <c r="E888" s="597"/>
      <c r="F888" s="597"/>
      <c r="G888" s="597"/>
      <c r="H888" s="597"/>
      <c r="I888" s="597"/>
      <c r="J888" s="597"/>
      <c r="K888" s="597"/>
      <c r="L888" s="597"/>
      <c r="M888" s="597"/>
      <c r="N888" s="597"/>
      <c r="O888" s="597"/>
      <c r="P888" s="597"/>
      <c r="Q888" s="597"/>
      <c r="R888" s="597"/>
      <c r="S888" s="175"/>
      <c r="T888" s="175"/>
      <c r="U888" s="175"/>
      <c r="V888" s="175"/>
      <c r="W888" s="175"/>
      <c r="X888" s="597"/>
      <c r="Y888" s="175"/>
      <c r="Z888" s="175"/>
    </row>
    <row r="889" ht="12.0" customHeight="1">
      <c r="A889" s="175"/>
      <c r="B889" s="175"/>
      <c r="C889" s="175"/>
      <c r="D889" s="175"/>
      <c r="E889" s="597"/>
      <c r="F889" s="597"/>
      <c r="G889" s="597"/>
      <c r="H889" s="597"/>
      <c r="I889" s="597"/>
      <c r="J889" s="597"/>
      <c r="K889" s="597"/>
      <c r="L889" s="597"/>
      <c r="M889" s="597"/>
      <c r="N889" s="597"/>
      <c r="O889" s="597"/>
      <c r="P889" s="597"/>
      <c r="Q889" s="597"/>
      <c r="R889" s="597"/>
      <c r="S889" s="175"/>
      <c r="T889" s="175"/>
      <c r="U889" s="175"/>
      <c r="V889" s="175"/>
      <c r="W889" s="175"/>
      <c r="X889" s="597"/>
      <c r="Y889" s="175"/>
      <c r="Z889" s="175"/>
    </row>
    <row r="890" ht="12.0" customHeight="1">
      <c r="A890" s="175"/>
      <c r="B890" s="175"/>
      <c r="C890" s="175"/>
      <c r="D890" s="175"/>
      <c r="E890" s="597"/>
      <c r="F890" s="597"/>
      <c r="G890" s="597"/>
      <c r="H890" s="597"/>
      <c r="I890" s="597"/>
      <c r="J890" s="597"/>
      <c r="K890" s="597"/>
      <c r="L890" s="597"/>
      <c r="M890" s="597"/>
      <c r="N890" s="597"/>
      <c r="O890" s="597"/>
      <c r="P890" s="597"/>
      <c r="Q890" s="597"/>
      <c r="R890" s="597"/>
      <c r="S890" s="175"/>
      <c r="T890" s="175"/>
      <c r="U890" s="175"/>
      <c r="V890" s="175"/>
      <c r="W890" s="175"/>
      <c r="X890" s="597"/>
      <c r="Y890" s="175"/>
      <c r="Z890" s="175"/>
    </row>
    <row r="891" ht="12.0" customHeight="1">
      <c r="A891" s="175"/>
      <c r="B891" s="175"/>
      <c r="C891" s="175"/>
      <c r="D891" s="175"/>
      <c r="E891" s="597"/>
      <c r="F891" s="597"/>
      <c r="G891" s="597"/>
      <c r="H891" s="597"/>
      <c r="I891" s="597"/>
      <c r="J891" s="597"/>
      <c r="K891" s="597"/>
      <c r="L891" s="597"/>
      <c r="M891" s="597"/>
      <c r="N891" s="597"/>
      <c r="O891" s="597"/>
      <c r="P891" s="597"/>
      <c r="Q891" s="597"/>
      <c r="R891" s="597"/>
      <c r="S891" s="175"/>
      <c r="T891" s="175"/>
      <c r="U891" s="175"/>
      <c r="V891" s="175"/>
      <c r="W891" s="175"/>
      <c r="X891" s="597"/>
      <c r="Y891" s="175"/>
      <c r="Z891" s="175"/>
    </row>
    <row r="892" ht="12.0" customHeight="1">
      <c r="A892" s="175"/>
      <c r="B892" s="175"/>
      <c r="C892" s="175"/>
      <c r="D892" s="175"/>
      <c r="E892" s="597"/>
      <c r="F892" s="597"/>
      <c r="G892" s="597"/>
      <c r="H892" s="597"/>
      <c r="I892" s="597"/>
      <c r="J892" s="597"/>
      <c r="K892" s="597"/>
      <c r="L892" s="597"/>
      <c r="M892" s="597"/>
      <c r="N892" s="597"/>
      <c r="O892" s="597"/>
      <c r="P892" s="597"/>
      <c r="Q892" s="597"/>
      <c r="R892" s="597"/>
      <c r="S892" s="175"/>
      <c r="T892" s="175"/>
      <c r="U892" s="175"/>
      <c r="V892" s="175"/>
      <c r="W892" s="175"/>
      <c r="X892" s="597"/>
      <c r="Y892" s="175"/>
      <c r="Z892" s="175"/>
    </row>
    <row r="893" ht="12.0" customHeight="1">
      <c r="A893" s="175"/>
      <c r="B893" s="175"/>
      <c r="C893" s="175"/>
      <c r="D893" s="175"/>
      <c r="E893" s="597"/>
      <c r="F893" s="597"/>
      <c r="G893" s="597"/>
      <c r="H893" s="597"/>
      <c r="I893" s="597"/>
      <c r="J893" s="597"/>
      <c r="K893" s="597"/>
      <c r="L893" s="597"/>
      <c r="M893" s="597"/>
      <c r="N893" s="597"/>
      <c r="O893" s="597"/>
      <c r="P893" s="597"/>
      <c r="Q893" s="597"/>
      <c r="R893" s="597"/>
      <c r="S893" s="175"/>
      <c r="T893" s="175"/>
      <c r="U893" s="175"/>
      <c r="V893" s="175"/>
      <c r="W893" s="175"/>
      <c r="X893" s="597"/>
      <c r="Y893" s="175"/>
      <c r="Z893" s="175"/>
    </row>
    <row r="894" ht="12.0" customHeight="1">
      <c r="A894" s="175"/>
      <c r="B894" s="175"/>
      <c r="C894" s="175"/>
      <c r="D894" s="175"/>
      <c r="E894" s="597"/>
      <c r="F894" s="597"/>
      <c r="G894" s="597"/>
      <c r="H894" s="597"/>
      <c r="I894" s="597"/>
      <c r="J894" s="597"/>
      <c r="K894" s="597"/>
      <c r="L894" s="597"/>
      <c r="M894" s="597"/>
      <c r="N894" s="597"/>
      <c r="O894" s="597"/>
      <c r="P894" s="597"/>
      <c r="Q894" s="597"/>
      <c r="R894" s="597"/>
      <c r="S894" s="175"/>
      <c r="T894" s="175"/>
      <c r="U894" s="175"/>
      <c r="V894" s="175"/>
      <c r="W894" s="175"/>
      <c r="X894" s="597"/>
      <c r="Y894" s="175"/>
      <c r="Z894" s="175"/>
    </row>
    <row r="895" ht="12.0" customHeight="1">
      <c r="A895" s="175"/>
      <c r="B895" s="175"/>
      <c r="C895" s="175"/>
      <c r="D895" s="175"/>
      <c r="E895" s="597"/>
      <c r="F895" s="597"/>
      <c r="G895" s="597"/>
      <c r="H895" s="597"/>
      <c r="I895" s="597"/>
      <c r="J895" s="597"/>
      <c r="K895" s="597"/>
      <c r="L895" s="597"/>
      <c r="M895" s="597"/>
      <c r="N895" s="597"/>
      <c r="O895" s="597"/>
      <c r="P895" s="597"/>
      <c r="Q895" s="597"/>
      <c r="R895" s="597"/>
      <c r="S895" s="175"/>
      <c r="T895" s="175"/>
      <c r="U895" s="175"/>
      <c r="V895" s="175"/>
      <c r="W895" s="175"/>
      <c r="X895" s="597"/>
      <c r="Y895" s="175"/>
      <c r="Z895" s="175"/>
    </row>
    <row r="896" ht="12.0" customHeight="1">
      <c r="A896" s="175"/>
      <c r="B896" s="175"/>
      <c r="C896" s="175"/>
      <c r="D896" s="175"/>
      <c r="E896" s="597"/>
      <c r="F896" s="597"/>
      <c r="G896" s="597"/>
      <c r="H896" s="597"/>
      <c r="I896" s="597"/>
      <c r="J896" s="597"/>
      <c r="K896" s="597"/>
      <c r="L896" s="597"/>
      <c r="M896" s="597"/>
      <c r="N896" s="597"/>
      <c r="O896" s="597"/>
      <c r="P896" s="597"/>
      <c r="Q896" s="597"/>
      <c r="R896" s="597"/>
      <c r="S896" s="175"/>
      <c r="T896" s="175"/>
      <c r="U896" s="175"/>
      <c r="V896" s="175"/>
      <c r="W896" s="175"/>
      <c r="X896" s="597"/>
      <c r="Y896" s="175"/>
      <c r="Z896" s="175"/>
    </row>
    <row r="897" ht="12.0" customHeight="1">
      <c r="A897" s="175"/>
      <c r="B897" s="175"/>
      <c r="C897" s="175"/>
      <c r="D897" s="175"/>
      <c r="E897" s="597"/>
      <c r="F897" s="597"/>
      <c r="G897" s="597"/>
      <c r="H897" s="597"/>
      <c r="I897" s="597"/>
      <c r="J897" s="597"/>
      <c r="K897" s="597"/>
      <c r="L897" s="597"/>
      <c r="M897" s="597"/>
      <c r="N897" s="597"/>
      <c r="O897" s="597"/>
      <c r="P897" s="597"/>
      <c r="Q897" s="597"/>
      <c r="R897" s="597"/>
      <c r="S897" s="175"/>
      <c r="T897" s="175"/>
      <c r="U897" s="175"/>
      <c r="V897" s="175"/>
      <c r="W897" s="175"/>
      <c r="X897" s="597"/>
      <c r="Y897" s="175"/>
      <c r="Z897" s="175"/>
    </row>
    <row r="898" ht="12.0" customHeight="1">
      <c r="A898" s="175"/>
      <c r="B898" s="175"/>
      <c r="C898" s="175"/>
      <c r="D898" s="175"/>
      <c r="E898" s="597"/>
      <c r="F898" s="597"/>
      <c r="G898" s="597"/>
      <c r="H898" s="597"/>
      <c r="I898" s="597"/>
      <c r="J898" s="597"/>
      <c r="K898" s="597"/>
      <c r="L898" s="597"/>
      <c r="M898" s="597"/>
      <c r="N898" s="597"/>
      <c r="O898" s="597"/>
      <c r="P898" s="597"/>
      <c r="Q898" s="597"/>
      <c r="R898" s="597"/>
      <c r="S898" s="175"/>
      <c r="T898" s="175"/>
      <c r="U898" s="175"/>
      <c r="V898" s="175"/>
      <c r="W898" s="175"/>
      <c r="X898" s="597"/>
      <c r="Y898" s="175"/>
      <c r="Z898" s="175"/>
    </row>
    <row r="899" ht="12.0" customHeight="1">
      <c r="A899" s="175"/>
      <c r="B899" s="175"/>
      <c r="C899" s="175"/>
      <c r="D899" s="175"/>
      <c r="E899" s="597"/>
      <c r="F899" s="597"/>
      <c r="G899" s="597"/>
      <c r="H899" s="597"/>
      <c r="I899" s="597"/>
      <c r="J899" s="597"/>
      <c r="K899" s="597"/>
      <c r="L899" s="597"/>
      <c r="M899" s="597"/>
      <c r="N899" s="597"/>
      <c r="O899" s="597"/>
      <c r="P899" s="597"/>
      <c r="Q899" s="597"/>
      <c r="R899" s="597"/>
      <c r="S899" s="175"/>
      <c r="T899" s="175"/>
      <c r="U899" s="175"/>
      <c r="V899" s="175"/>
      <c r="W899" s="175"/>
      <c r="X899" s="597"/>
      <c r="Y899" s="175"/>
      <c r="Z899" s="175"/>
    </row>
    <row r="900" ht="12.0" customHeight="1">
      <c r="A900" s="175"/>
      <c r="B900" s="175"/>
      <c r="C900" s="175"/>
      <c r="D900" s="175"/>
      <c r="E900" s="597"/>
      <c r="F900" s="597"/>
      <c r="G900" s="597"/>
      <c r="H900" s="597"/>
      <c r="I900" s="597"/>
      <c r="J900" s="597"/>
      <c r="K900" s="597"/>
      <c r="L900" s="597"/>
      <c r="M900" s="597"/>
      <c r="N900" s="597"/>
      <c r="O900" s="597"/>
      <c r="P900" s="597"/>
      <c r="Q900" s="597"/>
      <c r="R900" s="597"/>
      <c r="S900" s="175"/>
      <c r="T900" s="175"/>
      <c r="U900" s="175"/>
      <c r="V900" s="175"/>
      <c r="W900" s="175"/>
      <c r="X900" s="597"/>
      <c r="Y900" s="175"/>
      <c r="Z900" s="175"/>
    </row>
    <row r="901" ht="12.0" customHeight="1">
      <c r="A901" s="175"/>
      <c r="B901" s="175"/>
      <c r="C901" s="175"/>
      <c r="D901" s="175"/>
      <c r="E901" s="597"/>
      <c r="F901" s="597"/>
      <c r="G901" s="597"/>
      <c r="H901" s="597"/>
      <c r="I901" s="597"/>
      <c r="J901" s="597"/>
      <c r="K901" s="597"/>
      <c r="L901" s="597"/>
      <c r="M901" s="597"/>
      <c r="N901" s="597"/>
      <c r="O901" s="597"/>
      <c r="P901" s="597"/>
      <c r="Q901" s="597"/>
      <c r="R901" s="597"/>
      <c r="S901" s="175"/>
      <c r="T901" s="175"/>
      <c r="U901" s="175"/>
      <c r="V901" s="175"/>
      <c r="W901" s="175"/>
      <c r="X901" s="597"/>
      <c r="Y901" s="175"/>
      <c r="Z901" s="175"/>
    </row>
    <row r="902" ht="12.0" customHeight="1">
      <c r="A902" s="175"/>
      <c r="B902" s="175"/>
      <c r="C902" s="175"/>
      <c r="D902" s="175"/>
      <c r="E902" s="597"/>
      <c r="F902" s="597"/>
      <c r="G902" s="597"/>
      <c r="H902" s="597"/>
      <c r="I902" s="597"/>
      <c r="J902" s="597"/>
      <c r="K902" s="597"/>
      <c r="L902" s="597"/>
      <c r="M902" s="597"/>
      <c r="N902" s="597"/>
      <c r="O902" s="597"/>
      <c r="P902" s="597"/>
      <c r="Q902" s="597"/>
      <c r="R902" s="597"/>
      <c r="S902" s="175"/>
      <c r="T902" s="175"/>
      <c r="U902" s="175"/>
      <c r="V902" s="175"/>
      <c r="W902" s="175"/>
      <c r="X902" s="597"/>
      <c r="Y902" s="175"/>
      <c r="Z902" s="175"/>
    </row>
    <row r="903" ht="12.0" customHeight="1">
      <c r="A903" s="175"/>
      <c r="B903" s="175"/>
      <c r="C903" s="175"/>
      <c r="D903" s="175"/>
      <c r="E903" s="597"/>
      <c r="F903" s="597"/>
      <c r="G903" s="597"/>
      <c r="H903" s="597"/>
      <c r="I903" s="597"/>
      <c r="J903" s="597"/>
      <c r="K903" s="597"/>
      <c r="L903" s="597"/>
      <c r="M903" s="597"/>
      <c r="N903" s="597"/>
      <c r="O903" s="597"/>
      <c r="P903" s="597"/>
      <c r="Q903" s="597"/>
      <c r="R903" s="597"/>
      <c r="S903" s="175"/>
      <c r="T903" s="175"/>
      <c r="U903" s="175"/>
      <c r="V903" s="175"/>
      <c r="W903" s="175"/>
      <c r="X903" s="597"/>
      <c r="Y903" s="175"/>
      <c r="Z903" s="175"/>
    </row>
    <row r="904" ht="12.0" customHeight="1">
      <c r="A904" s="175"/>
      <c r="B904" s="175"/>
      <c r="C904" s="175"/>
      <c r="D904" s="175"/>
      <c r="E904" s="597"/>
      <c r="F904" s="597"/>
      <c r="G904" s="597"/>
      <c r="H904" s="597"/>
      <c r="I904" s="597"/>
      <c r="J904" s="597"/>
      <c r="K904" s="597"/>
      <c r="L904" s="597"/>
      <c r="M904" s="597"/>
      <c r="N904" s="597"/>
      <c r="O904" s="597"/>
      <c r="P904" s="597"/>
      <c r="Q904" s="597"/>
      <c r="R904" s="597"/>
      <c r="S904" s="175"/>
      <c r="T904" s="175"/>
      <c r="U904" s="175"/>
      <c r="V904" s="175"/>
      <c r="W904" s="175"/>
      <c r="X904" s="597"/>
      <c r="Y904" s="175"/>
      <c r="Z904" s="175"/>
    </row>
    <row r="905" ht="12.0" customHeight="1">
      <c r="A905" s="175"/>
      <c r="B905" s="175"/>
      <c r="C905" s="175"/>
      <c r="D905" s="175"/>
      <c r="E905" s="597"/>
      <c r="F905" s="597"/>
      <c r="G905" s="597"/>
      <c r="H905" s="597"/>
      <c r="I905" s="597"/>
      <c r="J905" s="597"/>
      <c r="K905" s="597"/>
      <c r="L905" s="597"/>
      <c r="M905" s="597"/>
      <c r="N905" s="597"/>
      <c r="O905" s="597"/>
      <c r="P905" s="597"/>
      <c r="Q905" s="597"/>
      <c r="R905" s="597"/>
      <c r="S905" s="175"/>
      <c r="T905" s="175"/>
      <c r="U905" s="175"/>
      <c r="V905" s="175"/>
      <c r="W905" s="175"/>
      <c r="X905" s="597"/>
      <c r="Y905" s="175"/>
      <c r="Z905" s="175"/>
    </row>
    <row r="906" ht="12.0" customHeight="1">
      <c r="A906" s="175"/>
      <c r="B906" s="175"/>
      <c r="C906" s="175"/>
      <c r="D906" s="175"/>
      <c r="E906" s="597"/>
      <c r="F906" s="597"/>
      <c r="G906" s="597"/>
      <c r="H906" s="597"/>
      <c r="I906" s="597"/>
      <c r="J906" s="597"/>
      <c r="K906" s="597"/>
      <c r="L906" s="597"/>
      <c r="M906" s="597"/>
      <c r="N906" s="597"/>
      <c r="O906" s="597"/>
      <c r="P906" s="597"/>
      <c r="Q906" s="597"/>
      <c r="R906" s="597"/>
      <c r="S906" s="175"/>
      <c r="T906" s="175"/>
      <c r="U906" s="175"/>
      <c r="V906" s="175"/>
      <c r="W906" s="175"/>
      <c r="X906" s="597"/>
      <c r="Y906" s="175"/>
      <c r="Z906" s="175"/>
    </row>
    <row r="907" ht="12.0" customHeight="1">
      <c r="A907" s="175"/>
      <c r="B907" s="175"/>
      <c r="C907" s="175"/>
      <c r="D907" s="175"/>
      <c r="E907" s="597"/>
      <c r="F907" s="597"/>
      <c r="G907" s="597"/>
      <c r="H907" s="597"/>
      <c r="I907" s="597"/>
      <c r="J907" s="597"/>
      <c r="K907" s="597"/>
      <c r="L907" s="597"/>
      <c r="M907" s="597"/>
      <c r="N907" s="597"/>
      <c r="O907" s="597"/>
      <c r="P907" s="597"/>
      <c r="Q907" s="597"/>
      <c r="R907" s="597"/>
      <c r="S907" s="175"/>
      <c r="T907" s="175"/>
      <c r="U907" s="175"/>
      <c r="V907" s="175"/>
      <c r="W907" s="175"/>
      <c r="X907" s="597"/>
      <c r="Y907" s="175"/>
      <c r="Z907" s="175"/>
    </row>
    <row r="908" ht="12.0" customHeight="1">
      <c r="A908" s="175"/>
      <c r="B908" s="175"/>
      <c r="C908" s="175"/>
      <c r="D908" s="175"/>
      <c r="E908" s="597"/>
      <c r="F908" s="597"/>
      <c r="G908" s="597"/>
      <c r="H908" s="597"/>
      <c r="I908" s="597"/>
      <c r="J908" s="597"/>
      <c r="K908" s="597"/>
      <c r="L908" s="597"/>
      <c r="M908" s="597"/>
      <c r="N908" s="597"/>
      <c r="O908" s="597"/>
      <c r="P908" s="597"/>
      <c r="Q908" s="597"/>
      <c r="R908" s="597"/>
      <c r="S908" s="175"/>
      <c r="T908" s="175"/>
      <c r="U908" s="175"/>
      <c r="V908" s="175"/>
      <c r="W908" s="175"/>
      <c r="X908" s="597"/>
      <c r="Y908" s="175"/>
      <c r="Z908" s="175"/>
    </row>
    <row r="909" ht="12.0" customHeight="1">
      <c r="A909" s="175"/>
      <c r="B909" s="175"/>
      <c r="C909" s="175"/>
      <c r="D909" s="175"/>
      <c r="E909" s="597"/>
      <c r="F909" s="597"/>
      <c r="G909" s="597"/>
      <c r="H909" s="597"/>
      <c r="I909" s="597"/>
      <c r="J909" s="597"/>
      <c r="K909" s="597"/>
      <c r="L909" s="597"/>
      <c r="M909" s="597"/>
      <c r="N909" s="597"/>
      <c r="O909" s="597"/>
      <c r="P909" s="597"/>
      <c r="Q909" s="597"/>
      <c r="R909" s="597"/>
      <c r="S909" s="175"/>
      <c r="T909" s="175"/>
      <c r="U909" s="175"/>
      <c r="V909" s="175"/>
      <c r="W909" s="175"/>
      <c r="X909" s="597"/>
      <c r="Y909" s="175"/>
      <c r="Z909" s="175"/>
    </row>
    <row r="910" ht="12.0" customHeight="1">
      <c r="A910" s="175"/>
      <c r="B910" s="175"/>
      <c r="C910" s="175"/>
      <c r="D910" s="175"/>
      <c r="E910" s="597"/>
      <c r="F910" s="597"/>
      <c r="G910" s="597"/>
      <c r="H910" s="597"/>
      <c r="I910" s="597"/>
      <c r="J910" s="597"/>
      <c r="K910" s="597"/>
      <c r="L910" s="597"/>
      <c r="M910" s="597"/>
      <c r="N910" s="597"/>
      <c r="O910" s="597"/>
      <c r="P910" s="597"/>
      <c r="Q910" s="597"/>
      <c r="R910" s="597"/>
      <c r="S910" s="175"/>
      <c r="T910" s="175"/>
      <c r="U910" s="175"/>
      <c r="V910" s="175"/>
      <c r="W910" s="175"/>
      <c r="X910" s="597"/>
      <c r="Y910" s="175"/>
      <c r="Z910" s="175"/>
    </row>
    <row r="911" ht="12.0" customHeight="1">
      <c r="A911" s="175"/>
      <c r="B911" s="175"/>
      <c r="C911" s="175"/>
      <c r="D911" s="175"/>
      <c r="E911" s="597"/>
      <c r="F911" s="597"/>
      <c r="G911" s="597"/>
      <c r="H911" s="597"/>
      <c r="I911" s="597"/>
      <c r="J911" s="597"/>
      <c r="K911" s="597"/>
      <c r="L911" s="597"/>
      <c r="M911" s="597"/>
      <c r="N911" s="597"/>
      <c r="O911" s="597"/>
      <c r="P911" s="597"/>
      <c r="Q911" s="597"/>
      <c r="R911" s="597"/>
      <c r="S911" s="175"/>
      <c r="T911" s="175"/>
      <c r="U911" s="175"/>
      <c r="V911" s="175"/>
      <c r="W911" s="175"/>
      <c r="X911" s="597"/>
      <c r="Y911" s="175"/>
      <c r="Z911" s="175"/>
    </row>
    <row r="912" ht="12.0" customHeight="1">
      <c r="A912" s="175"/>
      <c r="B912" s="175"/>
      <c r="C912" s="175"/>
      <c r="D912" s="175"/>
      <c r="E912" s="597"/>
      <c r="F912" s="597"/>
      <c r="G912" s="597"/>
      <c r="H912" s="597"/>
      <c r="I912" s="597"/>
      <c r="J912" s="597"/>
      <c r="K912" s="597"/>
      <c r="L912" s="597"/>
      <c r="M912" s="597"/>
      <c r="N912" s="597"/>
      <c r="O912" s="597"/>
      <c r="P912" s="597"/>
      <c r="Q912" s="597"/>
      <c r="R912" s="597"/>
      <c r="S912" s="175"/>
      <c r="T912" s="175"/>
      <c r="U912" s="175"/>
      <c r="V912" s="175"/>
      <c r="W912" s="175"/>
      <c r="X912" s="597"/>
      <c r="Y912" s="175"/>
      <c r="Z912" s="175"/>
    </row>
    <row r="913" ht="12.0" customHeight="1">
      <c r="A913" s="175"/>
      <c r="B913" s="175"/>
      <c r="C913" s="175"/>
      <c r="D913" s="175"/>
      <c r="E913" s="597"/>
      <c r="F913" s="597"/>
      <c r="G913" s="597"/>
      <c r="H913" s="597"/>
      <c r="I913" s="597"/>
      <c r="J913" s="597"/>
      <c r="K913" s="597"/>
      <c r="L913" s="597"/>
      <c r="M913" s="597"/>
      <c r="N913" s="597"/>
      <c r="O913" s="597"/>
      <c r="P913" s="597"/>
      <c r="Q913" s="597"/>
      <c r="R913" s="597"/>
      <c r="S913" s="175"/>
      <c r="T913" s="175"/>
      <c r="U913" s="175"/>
      <c r="V913" s="175"/>
      <c r="W913" s="175"/>
      <c r="X913" s="597"/>
      <c r="Y913" s="175"/>
      <c r="Z913" s="175"/>
    </row>
    <row r="914" ht="12.0" customHeight="1">
      <c r="A914" s="175"/>
      <c r="B914" s="175"/>
      <c r="C914" s="175"/>
      <c r="D914" s="175"/>
      <c r="E914" s="597"/>
      <c r="F914" s="597"/>
      <c r="G914" s="597"/>
      <c r="H914" s="597"/>
      <c r="I914" s="597"/>
      <c r="J914" s="597"/>
      <c r="K914" s="597"/>
      <c r="L914" s="597"/>
      <c r="M914" s="597"/>
      <c r="N914" s="597"/>
      <c r="O914" s="597"/>
      <c r="P914" s="597"/>
      <c r="Q914" s="597"/>
      <c r="R914" s="597"/>
      <c r="S914" s="175"/>
      <c r="T914" s="175"/>
      <c r="U914" s="175"/>
      <c r="V914" s="175"/>
      <c r="W914" s="175"/>
      <c r="X914" s="597"/>
      <c r="Y914" s="175"/>
      <c r="Z914" s="175"/>
    </row>
    <row r="915" ht="12.0" customHeight="1">
      <c r="A915" s="175"/>
      <c r="B915" s="175"/>
      <c r="C915" s="175"/>
      <c r="D915" s="175"/>
      <c r="E915" s="597"/>
      <c r="F915" s="597"/>
      <c r="G915" s="597"/>
      <c r="H915" s="597"/>
      <c r="I915" s="597"/>
      <c r="J915" s="597"/>
      <c r="K915" s="597"/>
      <c r="L915" s="597"/>
      <c r="M915" s="597"/>
      <c r="N915" s="597"/>
      <c r="O915" s="597"/>
      <c r="P915" s="597"/>
      <c r="Q915" s="597"/>
      <c r="R915" s="597"/>
      <c r="S915" s="175"/>
      <c r="T915" s="175"/>
      <c r="U915" s="175"/>
      <c r="V915" s="175"/>
      <c r="W915" s="175"/>
      <c r="X915" s="597"/>
      <c r="Y915" s="175"/>
      <c r="Z915" s="175"/>
    </row>
    <row r="916" ht="12.0" customHeight="1">
      <c r="A916" s="175"/>
      <c r="B916" s="175"/>
      <c r="C916" s="175"/>
      <c r="D916" s="175"/>
      <c r="E916" s="597"/>
      <c r="F916" s="597"/>
      <c r="G916" s="597"/>
      <c r="H916" s="597"/>
      <c r="I916" s="597"/>
      <c r="J916" s="597"/>
      <c r="K916" s="597"/>
      <c r="L916" s="597"/>
      <c r="M916" s="597"/>
      <c r="N916" s="597"/>
      <c r="O916" s="597"/>
      <c r="P916" s="597"/>
      <c r="Q916" s="597"/>
      <c r="R916" s="597"/>
      <c r="S916" s="175"/>
      <c r="T916" s="175"/>
      <c r="U916" s="175"/>
      <c r="V916" s="175"/>
      <c r="W916" s="175"/>
      <c r="X916" s="597"/>
      <c r="Y916" s="175"/>
      <c r="Z916" s="175"/>
    </row>
    <row r="917" ht="12.0" customHeight="1">
      <c r="A917" s="175"/>
      <c r="B917" s="175"/>
      <c r="C917" s="175"/>
      <c r="D917" s="175"/>
      <c r="E917" s="597"/>
      <c r="F917" s="597"/>
      <c r="G917" s="597"/>
      <c r="H917" s="597"/>
      <c r="I917" s="597"/>
      <c r="J917" s="597"/>
      <c r="K917" s="597"/>
      <c r="L917" s="597"/>
      <c r="M917" s="597"/>
      <c r="N917" s="597"/>
      <c r="O917" s="597"/>
      <c r="P917" s="597"/>
      <c r="Q917" s="597"/>
      <c r="R917" s="597"/>
      <c r="S917" s="175"/>
      <c r="T917" s="175"/>
      <c r="U917" s="175"/>
      <c r="V917" s="175"/>
      <c r="W917" s="175"/>
      <c r="X917" s="597"/>
      <c r="Y917" s="175"/>
      <c r="Z917" s="175"/>
    </row>
    <row r="918" ht="12.0" customHeight="1">
      <c r="A918" s="175"/>
      <c r="B918" s="175"/>
      <c r="C918" s="175"/>
      <c r="D918" s="175"/>
      <c r="E918" s="597"/>
      <c r="F918" s="597"/>
      <c r="G918" s="597"/>
      <c r="H918" s="597"/>
      <c r="I918" s="597"/>
      <c r="J918" s="597"/>
      <c r="K918" s="597"/>
      <c r="L918" s="597"/>
      <c r="M918" s="597"/>
      <c r="N918" s="597"/>
      <c r="O918" s="597"/>
      <c r="P918" s="597"/>
      <c r="Q918" s="597"/>
      <c r="R918" s="597"/>
      <c r="S918" s="175"/>
      <c r="T918" s="175"/>
      <c r="U918" s="175"/>
      <c r="V918" s="175"/>
      <c r="W918" s="175"/>
      <c r="X918" s="597"/>
      <c r="Y918" s="175"/>
      <c r="Z918" s="175"/>
    </row>
    <row r="919" ht="12.0" customHeight="1">
      <c r="A919" s="175"/>
      <c r="B919" s="175"/>
      <c r="C919" s="175"/>
      <c r="D919" s="175"/>
      <c r="E919" s="597"/>
      <c r="F919" s="597"/>
      <c r="G919" s="597"/>
      <c r="H919" s="597"/>
      <c r="I919" s="597"/>
      <c r="J919" s="597"/>
      <c r="K919" s="597"/>
      <c r="L919" s="597"/>
      <c r="M919" s="597"/>
      <c r="N919" s="597"/>
      <c r="O919" s="597"/>
      <c r="P919" s="597"/>
      <c r="Q919" s="597"/>
      <c r="R919" s="597"/>
      <c r="S919" s="175"/>
      <c r="T919" s="175"/>
      <c r="U919" s="175"/>
      <c r="V919" s="175"/>
      <c r="W919" s="175"/>
      <c r="X919" s="597"/>
      <c r="Y919" s="175"/>
      <c r="Z919" s="175"/>
    </row>
    <row r="920" ht="12.0" customHeight="1">
      <c r="A920" s="175"/>
      <c r="B920" s="175"/>
      <c r="C920" s="175"/>
      <c r="D920" s="175"/>
      <c r="E920" s="597"/>
      <c r="F920" s="597"/>
      <c r="G920" s="597"/>
      <c r="H920" s="597"/>
      <c r="I920" s="597"/>
      <c r="J920" s="597"/>
      <c r="K920" s="597"/>
      <c r="L920" s="597"/>
      <c r="M920" s="597"/>
      <c r="N920" s="597"/>
      <c r="O920" s="597"/>
      <c r="P920" s="597"/>
      <c r="Q920" s="597"/>
      <c r="R920" s="597"/>
      <c r="S920" s="175"/>
      <c r="T920" s="175"/>
      <c r="U920" s="175"/>
      <c r="V920" s="175"/>
      <c r="W920" s="175"/>
      <c r="X920" s="597"/>
      <c r="Y920" s="175"/>
      <c r="Z920" s="175"/>
    </row>
    <row r="921" ht="12.0" customHeight="1">
      <c r="A921" s="175"/>
      <c r="B921" s="175"/>
      <c r="C921" s="175"/>
      <c r="D921" s="175"/>
      <c r="E921" s="597"/>
      <c r="F921" s="597"/>
      <c r="G921" s="597"/>
      <c r="H921" s="597"/>
      <c r="I921" s="597"/>
      <c r="J921" s="597"/>
      <c r="K921" s="597"/>
      <c r="L921" s="597"/>
      <c r="M921" s="597"/>
      <c r="N921" s="597"/>
      <c r="O921" s="597"/>
      <c r="P921" s="597"/>
      <c r="Q921" s="597"/>
      <c r="R921" s="597"/>
      <c r="S921" s="175"/>
      <c r="T921" s="175"/>
      <c r="U921" s="175"/>
      <c r="V921" s="175"/>
      <c r="W921" s="175"/>
      <c r="X921" s="597"/>
      <c r="Y921" s="175"/>
      <c r="Z921" s="175"/>
    </row>
    <row r="922" ht="12.0" customHeight="1">
      <c r="A922" s="175"/>
      <c r="B922" s="175"/>
      <c r="C922" s="175"/>
      <c r="D922" s="175"/>
      <c r="E922" s="597"/>
      <c r="F922" s="597"/>
      <c r="G922" s="597"/>
      <c r="H922" s="597"/>
      <c r="I922" s="597"/>
      <c r="J922" s="597"/>
      <c r="K922" s="597"/>
      <c r="L922" s="597"/>
      <c r="M922" s="597"/>
      <c r="N922" s="597"/>
      <c r="O922" s="597"/>
      <c r="P922" s="597"/>
      <c r="Q922" s="597"/>
      <c r="R922" s="597"/>
      <c r="S922" s="175"/>
      <c r="T922" s="175"/>
      <c r="U922" s="175"/>
      <c r="V922" s="175"/>
      <c r="W922" s="175"/>
      <c r="X922" s="597"/>
      <c r="Y922" s="175"/>
      <c r="Z922" s="175"/>
    </row>
    <row r="923" ht="12.0" customHeight="1">
      <c r="A923" s="175"/>
      <c r="B923" s="175"/>
      <c r="C923" s="175"/>
      <c r="D923" s="175"/>
      <c r="E923" s="597"/>
      <c r="F923" s="597"/>
      <c r="G923" s="597"/>
      <c r="H923" s="597"/>
      <c r="I923" s="597"/>
      <c r="J923" s="597"/>
      <c r="K923" s="597"/>
      <c r="L923" s="597"/>
      <c r="M923" s="597"/>
      <c r="N923" s="597"/>
      <c r="O923" s="597"/>
      <c r="P923" s="597"/>
      <c r="Q923" s="597"/>
      <c r="R923" s="597"/>
      <c r="S923" s="175"/>
      <c r="T923" s="175"/>
      <c r="U923" s="175"/>
      <c r="V923" s="175"/>
      <c r="W923" s="175"/>
      <c r="X923" s="597"/>
      <c r="Y923" s="175"/>
      <c r="Z923" s="175"/>
    </row>
    <row r="924" ht="12.0" customHeight="1">
      <c r="A924" s="175"/>
      <c r="B924" s="175"/>
      <c r="C924" s="175"/>
      <c r="D924" s="175"/>
      <c r="E924" s="597"/>
      <c r="F924" s="597"/>
      <c r="G924" s="597"/>
      <c r="H924" s="597"/>
      <c r="I924" s="597"/>
      <c r="J924" s="597"/>
      <c r="K924" s="597"/>
      <c r="L924" s="597"/>
      <c r="M924" s="597"/>
      <c r="N924" s="597"/>
      <c r="O924" s="597"/>
      <c r="P924" s="597"/>
      <c r="Q924" s="597"/>
      <c r="R924" s="597"/>
      <c r="S924" s="175"/>
      <c r="T924" s="175"/>
      <c r="U924" s="175"/>
      <c r="V924" s="175"/>
      <c r="W924" s="175"/>
      <c r="X924" s="597"/>
      <c r="Y924" s="175"/>
      <c r="Z924" s="175"/>
    </row>
    <row r="925" ht="12.0" customHeight="1">
      <c r="A925" s="175"/>
      <c r="B925" s="175"/>
      <c r="C925" s="175"/>
      <c r="D925" s="175"/>
      <c r="E925" s="597"/>
      <c r="F925" s="597"/>
      <c r="G925" s="597"/>
      <c r="H925" s="597"/>
      <c r="I925" s="597"/>
      <c r="J925" s="597"/>
      <c r="K925" s="597"/>
      <c r="L925" s="597"/>
      <c r="M925" s="597"/>
      <c r="N925" s="597"/>
      <c r="O925" s="597"/>
      <c r="P925" s="597"/>
      <c r="Q925" s="597"/>
      <c r="R925" s="597"/>
      <c r="S925" s="175"/>
      <c r="T925" s="175"/>
      <c r="U925" s="175"/>
      <c r="V925" s="175"/>
      <c r="W925" s="175"/>
      <c r="X925" s="597"/>
      <c r="Y925" s="175"/>
      <c r="Z925" s="175"/>
    </row>
    <row r="926" ht="12.0" customHeight="1">
      <c r="A926" s="175"/>
      <c r="B926" s="175"/>
      <c r="C926" s="175"/>
      <c r="D926" s="175"/>
      <c r="E926" s="597"/>
      <c r="F926" s="597"/>
      <c r="G926" s="597"/>
      <c r="H926" s="597"/>
      <c r="I926" s="597"/>
      <c r="J926" s="597"/>
      <c r="K926" s="597"/>
      <c r="L926" s="597"/>
      <c r="M926" s="597"/>
      <c r="N926" s="597"/>
      <c r="O926" s="597"/>
      <c r="P926" s="597"/>
      <c r="Q926" s="597"/>
      <c r="R926" s="597"/>
      <c r="S926" s="175"/>
      <c r="T926" s="175"/>
      <c r="U926" s="175"/>
      <c r="V926" s="175"/>
      <c r="W926" s="175"/>
      <c r="X926" s="597"/>
      <c r="Y926" s="175"/>
      <c r="Z926" s="175"/>
    </row>
    <row r="927" ht="12.0" customHeight="1">
      <c r="A927" s="175"/>
      <c r="B927" s="175"/>
      <c r="C927" s="175"/>
      <c r="D927" s="175"/>
      <c r="E927" s="597"/>
      <c r="F927" s="597"/>
      <c r="G927" s="597"/>
      <c r="H927" s="597"/>
      <c r="I927" s="597"/>
      <c r="J927" s="597"/>
      <c r="K927" s="597"/>
      <c r="L927" s="597"/>
      <c r="M927" s="597"/>
      <c r="N927" s="597"/>
      <c r="O927" s="597"/>
      <c r="P927" s="597"/>
      <c r="Q927" s="597"/>
      <c r="R927" s="597"/>
      <c r="S927" s="175"/>
      <c r="T927" s="175"/>
      <c r="U927" s="175"/>
      <c r="V927" s="175"/>
      <c r="W927" s="175"/>
      <c r="X927" s="597"/>
      <c r="Y927" s="175"/>
      <c r="Z927" s="175"/>
    </row>
    <row r="928" ht="12.0" customHeight="1">
      <c r="A928" s="175"/>
      <c r="B928" s="175"/>
      <c r="C928" s="175"/>
      <c r="D928" s="175"/>
      <c r="E928" s="597"/>
      <c r="F928" s="597"/>
      <c r="G928" s="597"/>
      <c r="H928" s="597"/>
      <c r="I928" s="597"/>
      <c r="J928" s="597"/>
      <c r="K928" s="597"/>
      <c r="L928" s="597"/>
      <c r="M928" s="597"/>
      <c r="N928" s="597"/>
      <c r="O928" s="597"/>
      <c r="P928" s="597"/>
      <c r="Q928" s="597"/>
      <c r="R928" s="597"/>
      <c r="S928" s="175"/>
      <c r="T928" s="175"/>
      <c r="U928" s="175"/>
      <c r="V928" s="175"/>
      <c r="W928" s="175"/>
      <c r="X928" s="597"/>
      <c r="Y928" s="175"/>
      <c r="Z928" s="175"/>
    </row>
    <row r="929" ht="12.0" customHeight="1">
      <c r="A929" s="175"/>
      <c r="B929" s="175"/>
      <c r="C929" s="175"/>
      <c r="D929" s="175"/>
      <c r="E929" s="597"/>
      <c r="F929" s="597"/>
      <c r="G929" s="597"/>
      <c r="H929" s="597"/>
      <c r="I929" s="597"/>
      <c r="J929" s="597"/>
      <c r="K929" s="597"/>
      <c r="L929" s="597"/>
      <c r="M929" s="597"/>
      <c r="N929" s="597"/>
      <c r="O929" s="597"/>
      <c r="P929" s="597"/>
      <c r="Q929" s="597"/>
      <c r="R929" s="597"/>
      <c r="S929" s="175"/>
      <c r="T929" s="175"/>
      <c r="U929" s="175"/>
      <c r="V929" s="175"/>
      <c r="W929" s="175"/>
      <c r="X929" s="597"/>
      <c r="Y929" s="175"/>
      <c r="Z929" s="175"/>
    </row>
    <row r="930" ht="12.0" customHeight="1">
      <c r="A930" s="175"/>
      <c r="B930" s="175"/>
      <c r="C930" s="175"/>
      <c r="D930" s="175"/>
      <c r="E930" s="597"/>
      <c r="F930" s="597"/>
      <c r="G930" s="597"/>
      <c r="H930" s="597"/>
      <c r="I930" s="597"/>
      <c r="J930" s="597"/>
      <c r="K930" s="597"/>
      <c r="L930" s="597"/>
      <c r="M930" s="597"/>
      <c r="N930" s="597"/>
      <c r="O930" s="597"/>
      <c r="P930" s="597"/>
      <c r="Q930" s="597"/>
      <c r="R930" s="597"/>
      <c r="S930" s="175"/>
      <c r="T930" s="175"/>
      <c r="U930" s="175"/>
      <c r="V930" s="175"/>
      <c r="W930" s="175"/>
      <c r="X930" s="597"/>
      <c r="Y930" s="175"/>
      <c r="Z930" s="175"/>
    </row>
    <row r="931" ht="12.0" customHeight="1">
      <c r="A931" s="175"/>
      <c r="B931" s="175"/>
      <c r="C931" s="175"/>
      <c r="D931" s="175"/>
      <c r="E931" s="597"/>
      <c r="F931" s="597"/>
      <c r="G931" s="597"/>
      <c r="H931" s="597"/>
      <c r="I931" s="597"/>
      <c r="J931" s="597"/>
      <c r="K931" s="597"/>
      <c r="L931" s="597"/>
      <c r="M931" s="597"/>
      <c r="N931" s="597"/>
      <c r="O931" s="597"/>
      <c r="P931" s="597"/>
      <c r="Q931" s="597"/>
      <c r="R931" s="597"/>
      <c r="S931" s="175"/>
      <c r="T931" s="175"/>
      <c r="U931" s="175"/>
      <c r="V931" s="175"/>
      <c r="W931" s="175"/>
      <c r="X931" s="597"/>
      <c r="Y931" s="175"/>
      <c r="Z931" s="175"/>
    </row>
    <row r="932" ht="12.0" customHeight="1">
      <c r="A932" s="175"/>
      <c r="B932" s="175"/>
      <c r="C932" s="175"/>
      <c r="D932" s="175"/>
      <c r="E932" s="597"/>
      <c r="F932" s="597"/>
      <c r="G932" s="597"/>
      <c r="H932" s="597"/>
      <c r="I932" s="597"/>
      <c r="J932" s="597"/>
      <c r="K932" s="597"/>
      <c r="L932" s="597"/>
      <c r="M932" s="597"/>
      <c r="N932" s="597"/>
      <c r="O932" s="597"/>
      <c r="P932" s="597"/>
      <c r="Q932" s="597"/>
      <c r="R932" s="597"/>
      <c r="S932" s="175"/>
      <c r="T932" s="175"/>
      <c r="U932" s="175"/>
      <c r="V932" s="175"/>
      <c r="W932" s="175"/>
      <c r="X932" s="597"/>
      <c r="Y932" s="175"/>
      <c r="Z932" s="175"/>
    </row>
    <row r="933" ht="12.0" customHeight="1">
      <c r="A933" s="175"/>
      <c r="B933" s="175"/>
      <c r="C933" s="175"/>
      <c r="D933" s="175"/>
      <c r="E933" s="597"/>
      <c r="F933" s="597"/>
      <c r="G933" s="597"/>
      <c r="H933" s="597"/>
      <c r="I933" s="597"/>
      <c r="J933" s="597"/>
      <c r="K933" s="597"/>
      <c r="L933" s="597"/>
      <c r="M933" s="597"/>
      <c r="N933" s="597"/>
      <c r="O933" s="597"/>
      <c r="P933" s="597"/>
      <c r="Q933" s="597"/>
      <c r="R933" s="597"/>
      <c r="S933" s="175"/>
      <c r="T933" s="175"/>
      <c r="U933" s="175"/>
      <c r="V933" s="175"/>
      <c r="W933" s="175"/>
      <c r="X933" s="597"/>
      <c r="Y933" s="175"/>
      <c r="Z933" s="175"/>
    </row>
    <row r="934" ht="12.0" customHeight="1">
      <c r="A934" s="175"/>
      <c r="B934" s="175"/>
      <c r="C934" s="175"/>
      <c r="D934" s="175"/>
      <c r="E934" s="597"/>
      <c r="F934" s="597"/>
      <c r="G934" s="597"/>
      <c r="H934" s="597"/>
      <c r="I934" s="597"/>
      <c r="J934" s="597"/>
      <c r="K934" s="597"/>
      <c r="L934" s="597"/>
      <c r="M934" s="597"/>
      <c r="N934" s="597"/>
      <c r="O934" s="597"/>
      <c r="P934" s="597"/>
      <c r="Q934" s="597"/>
      <c r="R934" s="597"/>
      <c r="S934" s="175"/>
      <c r="T934" s="175"/>
      <c r="U934" s="175"/>
      <c r="V934" s="175"/>
      <c r="W934" s="175"/>
      <c r="X934" s="597"/>
      <c r="Y934" s="175"/>
      <c r="Z934" s="175"/>
    </row>
    <row r="935" ht="12.0" customHeight="1">
      <c r="A935" s="175"/>
      <c r="B935" s="175"/>
      <c r="C935" s="175"/>
      <c r="D935" s="175"/>
      <c r="E935" s="597"/>
      <c r="F935" s="597"/>
      <c r="G935" s="597"/>
      <c r="H935" s="597"/>
      <c r="I935" s="597"/>
      <c r="J935" s="597"/>
      <c r="K935" s="597"/>
      <c r="L935" s="597"/>
      <c r="M935" s="597"/>
      <c r="N935" s="597"/>
      <c r="O935" s="597"/>
      <c r="P935" s="597"/>
      <c r="Q935" s="597"/>
      <c r="R935" s="597"/>
      <c r="S935" s="175"/>
      <c r="T935" s="175"/>
      <c r="U935" s="175"/>
      <c r="V935" s="175"/>
      <c r="W935" s="175"/>
      <c r="X935" s="597"/>
      <c r="Y935" s="175"/>
      <c r="Z935" s="175"/>
    </row>
    <row r="936" ht="12.0" customHeight="1">
      <c r="A936" s="175"/>
      <c r="B936" s="175"/>
      <c r="C936" s="175"/>
      <c r="D936" s="175"/>
      <c r="E936" s="597"/>
      <c r="F936" s="597"/>
      <c r="G936" s="597"/>
      <c r="H936" s="597"/>
      <c r="I936" s="597"/>
      <c r="J936" s="597"/>
      <c r="K936" s="597"/>
      <c r="L936" s="597"/>
      <c r="M936" s="597"/>
      <c r="N936" s="597"/>
      <c r="O936" s="597"/>
      <c r="P936" s="597"/>
      <c r="Q936" s="597"/>
      <c r="R936" s="597"/>
      <c r="S936" s="175"/>
      <c r="T936" s="175"/>
      <c r="U936" s="175"/>
      <c r="V936" s="175"/>
      <c r="W936" s="175"/>
      <c r="X936" s="597"/>
      <c r="Y936" s="175"/>
      <c r="Z936" s="175"/>
    </row>
    <row r="937" ht="12.0" customHeight="1">
      <c r="A937" s="175"/>
      <c r="B937" s="175"/>
      <c r="C937" s="175"/>
      <c r="D937" s="175"/>
      <c r="E937" s="597"/>
      <c r="F937" s="597"/>
      <c r="G937" s="597"/>
      <c r="H937" s="597"/>
      <c r="I937" s="597"/>
      <c r="J937" s="597"/>
      <c r="K937" s="597"/>
      <c r="L937" s="597"/>
      <c r="M937" s="597"/>
      <c r="N937" s="597"/>
      <c r="O937" s="597"/>
      <c r="P937" s="597"/>
      <c r="Q937" s="597"/>
      <c r="R937" s="597"/>
      <c r="S937" s="175"/>
      <c r="T937" s="175"/>
      <c r="U937" s="175"/>
      <c r="V937" s="175"/>
      <c r="W937" s="175"/>
      <c r="X937" s="597"/>
      <c r="Y937" s="175"/>
      <c r="Z937" s="175"/>
    </row>
    <row r="938" ht="12.0" customHeight="1">
      <c r="A938" s="175"/>
      <c r="B938" s="175"/>
      <c r="C938" s="175"/>
      <c r="D938" s="175"/>
      <c r="E938" s="597"/>
      <c r="F938" s="597"/>
      <c r="G938" s="597"/>
      <c r="H938" s="597"/>
      <c r="I938" s="597"/>
      <c r="J938" s="597"/>
      <c r="K938" s="597"/>
      <c r="L938" s="597"/>
      <c r="M938" s="597"/>
      <c r="N938" s="597"/>
      <c r="O938" s="597"/>
      <c r="P938" s="597"/>
      <c r="Q938" s="597"/>
      <c r="R938" s="597"/>
      <c r="S938" s="175"/>
      <c r="T938" s="175"/>
      <c r="U938" s="175"/>
      <c r="V938" s="175"/>
      <c r="W938" s="175"/>
      <c r="X938" s="597"/>
      <c r="Y938" s="175"/>
      <c r="Z938" s="175"/>
    </row>
    <row r="939" ht="12.0" customHeight="1">
      <c r="A939" s="175"/>
      <c r="B939" s="175"/>
      <c r="C939" s="175"/>
      <c r="D939" s="175"/>
      <c r="E939" s="597"/>
      <c r="F939" s="597"/>
      <c r="G939" s="597"/>
      <c r="H939" s="597"/>
      <c r="I939" s="597"/>
      <c r="J939" s="597"/>
      <c r="K939" s="597"/>
      <c r="L939" s="597"/>
      <c r="M939" s="597"/>
      <c r="N939" s="597"/>
      <c r="O939" s="597"/>
      <c r="P939" s="597"/>
      <c r="Q939" s="597"/>
      <c r="R939" s="597"/>
      <c r="S939" s="175"/>
      <c r="T939" s="175"/>
      <c r="U939" s="175"/>
      <c r="V939" s="175"/>
      <c r="W939" s="175"/>
      <c r="X939" s="597"/>
      <c r="Y939" s="175"/>
      <c r="Z939" s="175"/>
    </row>
    <row r="940" ht="12.0" customHeight="1">
      <c r="A940" s="175"/>
      <c r="B940" s="175"/>
      <c r="C940" s="175"/>
      <c r="D940" s="175"/>
      <c r="E940" s="597"/>
      <c r="F940" s="597"/>
      <c r="G940" s="597"/>
      <c r="H940" s="597"/>
      <c r="I940" s="597"/>
      <c r="J940" s="597"/>
      <c r="K940" s="597"/>
      <c r="L940" s="597"/>
      <c r="M940" s="597"/>
      <c r="N940" s="597"/>
      <c r="O940" s="597"/>
      <c r="P940" s="597"/>
      <c r="Q940" s="597"/>
      <c r="R940" s="597"/>
      <c r="S940" s="175"/>
      <c r="T940" s="175"/>
      <c r="U940" s="175"/>
      <c r="V940" s="175"/>
      <c r="W940" s="175"/>
      <c r="X940" s="597"/>
      <c r="Y940" s="175"/>
      <c r="Z940" s="175"/>
    </row>
    <row r="941" ht="12.0" customHeight="1">
      <c r="A941" s="175"/>
      <c r="B941" s="175"/>
      <c r="C941" s="175"/>
      <c r="D941" s="175"/>
      <c r="E941" s="597"/>
      <c r="F941" s="597"/>
      <c r="G941" s="597"/>
      <c r="H941" s="597"/>
      <c r="I941" s="597"/>
      <c r="J941" s="597"/>
      <c r="K941" s="597"/>
      <c r="L941" s="597"/>
      <c r="M941" s="597"/>
      <c r="N941" s="597"/>
      <c r="O941" s="597"/>
      <c r="P941" s="597"/>
      <c r="Q941" s="597"/>
      <c r="R941" s="597"/>
      <c r="S941" s="175"/>
      <c r="T941" s="175"/>
      <c r="U941" s="175"/>
      <c r="V941" s="175"/>
      <c r="W941" s="175"/>
      <c r="X941" s="597"/>
      <c r="Y941" s="175"/>
      <c r="Z941" s="175"/>
    </row>
    <row r="942" ht="12.0" customHeight="1">
      <c r="A942" s="175"/>
      <c r="B942" s="175"/>
      <c r="C942" s="175"/>
      <c r="D942" s="175"/>
      <c r="E942" s="597"/>
      <c r="F942" s="597"/>
      <c r="G942" s="597"/>
      <c r="H942" s="597"/>
      <c r="I942" s="597"/>
      <c r="J942" s="597"/>
      <c r="K942" s="597"/>
      <c r="L942" s="597"/>
      <c r="M942" s="597"/>
      <c r="N942" s="597"/>
      <c r="O942" s="597"/>
      <c r="P942" s="597"/>
      <c r="Q942" s="597"/>
      <c r="R942" s="597"/>
      <c r="S942" s="175"/>
      <c r="T942" s="175"/>
      <c r="U942" s="175"/>
      <c r="V942" s="175"/>
      <c r="W942" s="175"/>
      <c r="X942" s="597"/>
      <c r="Y942" s="175"/>
      <c r="Z942" s="175"/>
    </row>
    <row r="943" ht="12.0" customHeight="1">
      <c r="A943" s="175"/>
      <c r="B943" s="175"/>
      <c r="C943" s="175"/>
      <c r="D943" s="175"/>
      <c r="E943" s="597"/>
      <c r="F943" s="597"/>
      <c r="G943" s="597"/>
      <c r="H943" s="597"/>
      <c r="I943" s="597"/>
      <c r="J943" s="597"/>
      <c r="K943" s="597"/>
      <c r="L943" s="597"/>
      <c r="M943" s="597"/>
      <c r="N943" s="597"/>
      <c r="O943" s="597"/>
      <c r="P943" s="597"/>
      <c r="Q943" s="597"/>
      <c r="R943" s="597"/>
      <c r="S943" s="175"/>
      <c r="T943" s="175"/>
      <c r="U943" s="175"/>
      <c r="V943" s="175"/>
      <c r="W943" s="175"/>
      <c r="X943" s="597"/>
      <c r="Y943" s="175"/>
      <c r="Z943" s="175"/>
    </row>
    <row r="944" ht="12.0" customHeight="1">
      <c r="A944" s="175"/>
      <c r="B944" s="175"/>
      <c r="C944" s="175"/>
      <c r="D944" s="175"/>
      <c r="E944" s="597"/>
      <c r="F944" s="597"/>
      <c r="G944" s="597"/>
      <c r="H944" s="597"/>
      <c r="I944" s="597"/>
      <c r="J944" s="597"/>
      <c r="K944" s="597"/>
      <c r="L944" s="597"/>
      <c r="M944" s="597"/>
      <c r="N944" s="597"/>
      <c r="O944" s="597"/>
      <c r="P944" s="597"/>
      <c r="Q944" s="597"/>
      <c r="R944" s="597"/>
      <c r="S944" s="175"/>
      <c r="T944" s="175"/>
      <c r="U944" s="175"/>
      <c r="V944" s="175"/>
      <c r="W944" s="175"/>
      <c r="X944" s="597"/>
      <c r="Y944" s="175"/>
      <c r="Z944" s="175"/>
    </row>
    <row r="945" ht="12.0" customHeight="1">
      <c r="A945" s="175"/>
      <c r="B945" s="175"/>
      <c r="C945" s="175"/>
      <c r="D945" s="175"/>
      <c r="E945" s="597"/>
      <c r="F945" s="597"/>
      <c r="G945" s="597"/>
      <c r="H945" s="597"/>
      <c r="I945" s="597"/>
      <c r="J945" s="597"/>
      <c r="K945" s="597"/>
      <c r="L945" s="597"/>
      <c r="M945" s="597"/>
      <c r="N945" s="597"/>
      <c r="O945" s="597"/>
      <c r="P945" s="597"/>
      <c r="Q945" s="597"/>
      <c r="R945" s="597"/>
      <c r="S945" s="175"/>
      <c r="T945" s="175"/>
      <c r="U945" s="175"/>
      <c r="V945" s="175"/>
      <c r="W945" s="175"/>
      <c r="X945" s="597"/>
      <c r="Y945" s="175"/>
      <c r="Z945" s="175"/>
    </row>
    <row r="946" ht="12.0" customHeight="1">
      <c r="A946" s="175"/>
      <c r="B946" s="175"/>
      <c r="C946" s="175"/>
      <c r="D946" s="175"/>
      <c r="E946" s="597"/>
      <c r="F946" s="597"/>
      <c r="G946" s="597"/>
      <c r="H946" s="597"/>
      <c r="I946" s="597"/>
      <c r="J946" s="597"/>
      <c r="K946" s="597"/>
      <c r="L946" s="597"/>
      <c r="M946" s="597"/>
      <c r="N946" s="597"/>
      <c r="O946" s="597"/>
      <c r="P946" s="597"/>
      <c r="Q946" s="597"/>
      <c r="R946" s="597"/>
      <c r="S946" s="175"/>
      <c r="T946" s="175"/>
      <c r="U946" s="175"/>
      <c r="V946" s="175"/>
      <c r="W946" s="175"/>
      <c r="X946" s="597"/>
      <c r="Y946" s="175"/>
      <c r="Z946" s="175"/>
    </row>
    <row r="947" ht="12.0" customHeight="1">
      <c r="A947" s="175"/>
      <c r="B947" s="175"/>
      <c r="C947" s="175"/>
      <c r="D947" s="175"/>
      <c r="E947" s="597"/>
      <c r="F947" s="597"/>
      <c r="G947" s="597"/>
      <c r="H947" s="597"/>
      <c r="I947" s="597"/>
      <c r="J947" s="597"/>
      <c r="K947" s="597"/>
      <c r="L947" s="597"/>
      <c r="M947" s="597"/>
      <c r="N947" s="597"/>
      <c r="O947" s="597"/>
      <c r="P947" s="597"/>
      <c r="Q947" s="597"/>
      <c r="R947" s="597"/>
      <c r="S947" s="175"/>
      <c r="T947" s="175"/>
      <c r="U947" s="175"/>
      <c r="V947" s="175"/>
      <c r="W947" s="175"/>
      <c r="X947" s="597"/>
      <c r="Y947" s="175"/>
      <c r="Z947" s="175"/>
    </row>
    <row r="948" ht="12.0" customHeight="1">
      <c r="A948" s="175"/>
      <c r="B948" s="175"/>
      <c r="C948" s="175"/>
      <c r="D948" s="175"/>
      <c r="E948" s="597"/>
      <c r="F948" s="597"/>
      <c r="G948" s="597"/>
      <c r="H948" s="597"/>
      <c r="I948" s="597"/>
      <c r="J948" s="597"/>
      <c r="K948" s="597"/>
      <c r="L948" s="597"/>
      <c r="M948" s="597"/>
      <c r="N948" s="597"/>
      <c r="O948" s="597"/>
      <c r="P948" s="597"/>
      <c r="Q948" s="597"/>
      <c r="R948" s="597"/>
      <c r="S948" s="175"/>
      <c r="T948" s="175"/>
      <c r="U948" s="175"/>
      <c r="V948" s="175"/>
      <c r="W948" s="175"/>
      <c r="X948" s="597"/>
      <c r="Y948" s="175"/>
      <c r="Z948" s="175"/>
    </row>
    <row r="949" ht="12.0" customHeight="1">
      <c r="A949" s="175"/>
      <c r="B949" s="175"/>
      <c r="C949" s="175"/>
      <c r="D949" s="175"/>
      <c r="E949" s="597"/>
      <c r="F949" s="597"/>
      <c r="G949" s="597"/>
      <c r="H949" s="597"/>
      <c r="I949" s="597"/>
      <c r="J949" s="597"/>
      <c r="K949" s="597"/>
      <c r="L949" s="597"/>
      <c r="M949" s="597"/>
      <c r="N949" s="597"/>
      <c r="O949" s="597"/>
      <c r="P949" s="597"/>
      <c r="Q949" s="597"/>
      <c r="R949" s="597"/>
      <c r="S949" s="175"/>
      <c r="T949" s="175"/>
      <c r="U949" s="175"/>
      <c r="V949" s="175"/>
      <c r="W949" s="175"/>
      <c r="X949" s="597"/>
      <c r="Y949" s="175"/>
      <c r="Z949" s="175"/>
    </row>
    <row r="950" ht="12.0" customHeight="1">
      <c r="A950" s="175"/>
      <c r="B950" s="175"/>
      <c r="C950" s="175"/>
      <c r="D950" s="175"/>
      <c r="E950" s="597"/>
      <c r="F950" s="597"/>
      <c r="G950" s="597"/>
      <c r="H950" s="597"/>
      <c r="I950" s="597"/>
      <c r="J950" s="597"/>
      <c r="K950" s="597"/>
      <c r="L950" s="597"/>
      <c r="M950" s="597"/>
      <c r="N950" s="597"/>
      <c r="O950" s="597"/>
      <c r="P950" s="597"/>
      <c r="Q950" s="597"/>
      <c r="R950" s="597"/>
      <c r="S950" s="175"/>
      <c r="T950" s="175"/>
      <c r="U950" s="175"/>
      <c r="V950" s="175"/>
      <c r="W950" s="175"/>
      <c r="X950" s="597"/>
      <c r="Y950" s="175"/>
      <c r="Z950" s="175"/>
    </row>
    <row r="951" ht="12.0" customHeight="1">
      <c r="A951" s="175"/>
      <c r="B951" s="175"/>
      <c r="C951" s="175"/>
      <c r="D951" s="175"/>
      <c r="E951" s="597"/>
      <c r="F951" s="597"/>
      <c r="G951" s="597"/>
      <c r="H951" s="597"/>
      <c r="I951" s="597"/>
      <c r="J951" s="597"/>
      <c r="K951" s="597"/>
      <c r="L951" s="597"/>
      <c r="M951" s="597"/>
      <c r="N951" s="597"/>
      <c r="O951" s="597"/>
      <c r="P951" s="597"/>
      <c r="Q951" s="597"/>
      <c r="R951" s="597"/>
      <c r="S951" s="175"/>
      <c r="T951" s="175"/>
      <c r="U951" s="175"/>
      <c r="V951" s="175"/>
      <c r="W951" s="175"/>
      <c r="X951" s="597"/>
      <c r="Y951" s="175"/>
      <c r="Z951" s="175"/>
    </row>
    <row r="952" ht="12.0" customHeight="1">
      <c r="A952" s="175"/>
      <c r="B952" s="175"/>
      <c r="C952" s="175"/>
      <c r="D952" s="175"/>
      <c r="E952" s="597"/>
      <c r="F952" s="597"/>
      <c r="G952" s="597"/>
      <c r="H952" s="597"/>
      <c r="I952" s="597"/>
      <c r="J952" s="597"/>
      <c r="K952" s="597"/>
      <c r="L952" s="597"/>
      <c r="M952" s="597"/>
      <c r="N952" s="597"/>
      <c r="O952" s="597"/>
      <c r="P952" s="597"/>
      <c r="Q952" s="597"/>
      <c r="R952" s="597"/>
      <c r="S952" s="175"/>
      <c r="T952" s="175"/>
      <c r="U952" s="175"/>
      <c r="V952" s="175"/>
      <c r="W952" s="175"/>
      <c r="X952" s="597"/>
      <c r="Y952" s="175"/>
      <c r="Z952" s="175"/>
    </row>
    <row r="953" ht="12.0" customHeight="1">
      <c r="A953" s="175"/>
      <c r="B953" s="175"/>
      <c r="C953" s="175"/>
      <c r="D953" s="175"/>
      <c r="E953" s="597"/>
      <c r="F953" s="597"/>
      <c r="G953" s="597"/>
      <c r="H953" s="597"/>
      <c r="I953" s="597"/>
      <c r="J953" s="597"/>
      <c r="K953" s="597"/>
      <c r="L953" s="597"/>
      <c r="M953" s="597"/>
      <c r="N953" s="597"/>
      <c r="O953" s="597"/>
      <c r="P953" s="597"/>
      <c r="Q953" s="597"/>
      <c r="R953" s="597"/>
      <c r="S953" s="175"/>
      <c r="T953" s="175"/>
      <c r="U953" s="175"/>
      <c r="V953" s="175"/>
      <c r="W953" s="175"/>
      <c r="X953" s="597"/>
      <c r="Y953" s="175"/>
      <c r="Z953" s="175"/>
    </row>
    <row r="954" ht="12.0" customHeight="1">
      <c r="A954" s="175"/>
      <c r="B954" s="175"/>
      <c r="C954" s="175"/>
      <c r="D954" s="175"/>
      <c r="E954" s="597"/>
      <c r="F954" s="597"/>
      <c r="G954" s="597"/>
      <c r="H954" s="597"/>
      <c r="I954" s="597"/>
      <c r="J954" s="597"/>
      <c r="K954" s="597"/>
      <c r="L954" s="597"/>
      <c r="M954" s="597"/>
      <c r="N954" s="597"/>
      <c r="O954" s="597"/>
      <c r="P954" s="597"/>
      <c r="Q954" s="597"/>
      <c r="R954" s="597"/>
      <c r="S954" s="175"/>
      <c r="T954" s="175"/>
      <c r="U954" s="175"/>
      <c r="V954" s="175"/>
      <c r="W954" s="175"/>
      <c r="X954" s="597"/>
      <c r="Y954" s="175"/>
      <c r="Z954" s="175"/>
    </row>
    <row r="955" ht="12.0" customHeight="1">
      <c r="A955" s="175"/>
      <c r="B955" s="175"/>
      <c r="C955" s="175"/>
      <c r="D955" s="175"/>
      <c r="E955" s="597"/>
      <c r="F955" s="597"/>
      <c r="G955" s="597"/>
      <c r="H955" s="597"/>
      <c r="I955" s="597"/>
      <c r="J955" s="597"/>
      <c r="K955" s="597"/>
      <c r="L955" s="597"/>
      <c r="M955" s="597"/>
      <c r="N955" s="597"/>
      <c r="O955" s="597"/>
      <c r="P955" s="597"/>
      <c r="Q955" s="597"/>
      <c r="R955" s="597"/>
      <c r="S955" s="175"/>
      <c r="T955" s="175"/>
      <c r="U955" s="175"/>
      <c r="V955" s="175"/>
      <c r="W955" s="175"/>
      <c r="X955" s="597"/>
      <c r="Y955" s="175"/>
      <c r="Z955" s="175"/>
    </row>
    <row r="956" ht="12.0" customHeight="1">
      <c r="A956" s="175"/>
      <c r="B956" s="175"/>
      <c r="C956" s="175"/>
      <c r="D956" s="175"/>
      <c r="E956" s="597"/>
      <c r="F956" s="597"/>
      <c r="G956" s="597"/>
      <c r="H956" s="597"/>
      <c r="I956" s="597"/>
      <c r="J956" s="597"/>
      <c r="K956" s="597"/>
      <c r="L956" s="597"/>
      <c r="M956" s="597"/>
      <c r="N956" s="597"/>
      <c r="O956" s="597"/>
      <c r="P956" s="597"/>
      <c r="Q956" s="597"/>
      <c r="R956" s="597"/>
      <c r="S956" s="175"/>
      <c r="T956" s="175"/>
      <c r="U956" s="175"/>
      <c r="V956" s="175"/>
      <c r="W956" s="175"/>
      <c r="X956" s="597"/>
      <c r="Y956" s="175"/>
      <c r="Z956" s="175"/>
    </row>
    <row r="957" ht="12.0" customHeight="1">
      <c r="A957" s="175"/>
      <c r="B957" s="175"/>
      <c r="C957" s="175"/>
      <c r="D957" s="175"/>
      <c r="E957" s="597"/>
      <c r="F957" s="597"/>
      <c r="G957" s="597"/>
      <c r="H957" s="597"/>
      <c r="I957" s="597"/>
      <c r="J957" s="597"/>
      <c r="K957" s="597"/>
      <c r="L957" s="597"/>
      <c r="M957" s="597"/>
      <c r="N957" s="597"/>
      <c r="O957" s="597"/>
      <c r="P957" s="597"/>
      <c r="Q957" s="597"/>
      <c r="R957" s="597"/>
      <c r="S957" s="175"/>
      <c r="T957" s="175"/>
      <c r="U957" s="175"/>
      <c r="V957" s="175"/>
      <c r="W957" s="175"/>
      <c r="X957" s="597"/>
      <c r="Y957" s="175"/>
      <c r="Z957" s="175"/>
    </row>
    <row r="958" ht="12.0" customHeight="1">
      <c r="A958" s="175"/>
      <c r="B958" s="175"/>
      <c r="C958" s="175"/>
      <c r="D958" s="175"/>
      <c r="E958" s="597"/>
      <c r="F958" s="597"/>
      <c r="G958" s="597"/>
      <c r="H958" s="597"/>
      <c r="I958" s="597"/>
      <c r="J958" s="597"/>
      <c r="K958" s="597"/>
      <c r="L958" s="597"/>
      <c r="M958" s="597"/>
      <c r="N958" s="597"/>
      <c r="O958" s="597"/>
      <c r="P958" s="597"/>
      <c r="Q958" s="597"/>
      <c r="R958" s="597"/>
      <c r="S958" s="175"/>
      <c r="T958" s="175"/>
      <c r="U958" s="175"/>
      <c r="V958" s="175"/>
      <c r="W958" s="175"/>
      <c r="X958" s="597"/>
      <c r="Y958" s="175"/>
      <c r="Z958" s="175"/>
    </row>
    <row r="959" ht="12.0" customHeight="1">
      <c r="A959" s="175"/>
      <c r="B959" s="175"/>
      <c r="C959" s="175"/>
      <c r="D959" s="175"/>
      <c r="E959" s="597"/>
      <c r="F959" s="597"/>
      <c r="G959" s="597"/>
      <c r="H959" s="597"/>
      <c r="I959" s="597"/>
      <c r="J959" s="597"/>
      <c r="K959" s="597"/>
      <c r="L959" s="597"/>
      <c r="M959" s="597"/>
      <c r="N959" s="597"/>
      <c r="O959" s="597"/>
      <c r="P959" s="597"/>
      <c r="Q959" s="597"/>
      <c r="R959" s="597"/>
      <c r="S959" s="175"/>
      <c r="T959" s="175"/>
      <c r="U959" s="175"/>
      <c r="V959" s="175"/>
      <c r="W959" s="175"/>
      <c r="X959" s="597"/>
      <c r="Y959" s="175"/>
      <c r="Z959" s="175"/>
    </row>
    <row r="960" ht="12.0" customHeight="1">
      <c r="A960" s="175"/>
      <c r="B960" s="175"/>
      <c r="C960" s="175"/>
      <c r="D960" s="175"/>
      <c r="E960" s="597"/>
      <c r="F960" s="597"/>
      <c r="G960" s="597"/>
      <c r="H960" s="597"/>
      <c r="I960" s="597"/>
      <c r="J960" s="597"/>
      <c r="K960" s="597"/>
      <c r="L960" s="597"/>
      <c r="M960" s="597"/>
      <c r="N960" s="597"/>
      <c r="O960" s="597"/>
      <c r="P960" s="597"/>
      <c r="Q960" s="597"/>
      <c r="R960" s="597"/>
      <c r="S960" s="175"/>
      <c r="T960" s="175"/>
      <c r="U960" s="175"/>
      <c r="V960" s="175"/>
      <c r="W960" s="175"/>
      <c r="X960" s="597"/>
      <c r="Y960" s="175"/>
      <c r="Z960" s="175"/>
    </row>
    <row r="961" ht="12.0" customHeight="1">
      <c r="A961" s="175"/>
      <c r="B961" s="175"/>
      <c r="C961" s="175"/>
      <c r="D961" s="175"/>
      <c r="E961" s="597"/>
      <c r="F961" s="597"/>
      <c r="G961" s="597"/>
      <c r="H961" s="597"/>
      <c r="I961" s="597"/>
      <c r="J961" s="597"/>
      <c r="K961" s="597"/>
      <c r="L961" s="597"/>
      <c r="M961" s="597"/>
      <c r="N961" s="597"/>
      <c r="O961" s="597"/>
      <c r="P961" s="597"/>
      <c r="Q961" s="597"/>
      <c r="R961" s="597"/>
      <c r="S961" s="175"/>
      <c r="T961" s="175"/>
      <c r="U961" s="175"/>
      <c r="V961" s="175"/>
      <c r="W961" s="175"/>
      <c r="X961" s="597"/>
      <c r="Y961" s="175"/>
      <c r="Z961" s="175"/>
    </row>
    <row r="962" ht="12.0" customHeight="1">
      <c r="A962" s="175"/>
      <c r="B962" s="175"/>
      <c r="C962" s="175"/>
      <c r="D962" s="175"/>
      <c r="E962" s="597"/>
      <c r="F962" s="597"/>
      <c r="G962" s="597"/>
      <c r="H962" s="597"/>
      <c r="I962" s="597"/>
      <c r="J962" s="597"/>
      <c r="K962" s="597"/>
      <c r="L962" s="597"/>
      <c r="M962" s="597"/>
      <c r="N962" s="597"/>
      <c r="O962" s="597"/>
      <c r="P962" s="597"/>
      <c r="Q962" s="597"/>
      <c r="R962" s="597"/>
      <c r="S962" s="175"/>
      <c r="T962" s="175"/>
      <c r="U962" s="175"/>
      <c r="V962" s="175"/>
      <c r="W962" s="175"/>
      <c r="X962" s="597"/>
      <c r="Y962" s="175"/>
      <c r="Z962" s="175"/>
    </row>
    <row r="963" ht="12.0" customHeight="1">
      <c r="A963" s="175"/>
      <c r="B963" s="175"/>
      <c r="C963" s="175"/>
      <c r="D963" s="175"/>
      <c r="E963" s="597"/>
      <c r="F963" s="597"/>
      <c r="G963" s="597"/>
      <c r="H963" s="597"/>
      <c r="I963" s="597"/>
      <c r="J963" s="597"/>
      <c r="K963" s="597"/>
      <c r="L963" s="597"/>
      <c r="M963" s="597"/>
      <c r="N963" s="597"/>
      <c r="O963" s="597"/>
      <c r="P963" s="597"/>
      <c r="Q963" s="597"/>
      <c r="R963" s="597"/>
      <c r="S963" s="175"/>
      <c r="T963" s="175"/>
      <c r="U963" s="175"/>
      <c r="V963" s="175"/>
      <c r="W963" s="175"/>
      <c r="X963" s="597"/>
      <c r="Y963" s="175"/>
      <c r="Z963" s="175"/>
    </row>
    <row r="964" ht="12.0" customHeight="1">
      <c r="A964" s="175"/>
      <c r="B964" s="175"/>
      <c r="C964" s="175"/>
      <c r="D964" s="175"/>
      <c r="E964" s="597"/>
      <c r="F964" s="597"/>
      <c r="G964" s="597"/>
      <c r="H964" s="597"/>
      <c r="I964" s="597"/>
      <c r="J964" s="597"/>
      <c r="K964" s="597"/>
      <c r="L964" s="597"/>
      <c r="M964" s="597"/>
      <c r="N964" s="597"/>
      <c r="O964" s="597"/>
      <c r="P964" s="597"/>
      <c r="Q964" s="597"/>
      <c r="R964" s="597"/>
      <c r="S964" s="175"/>
      <c r="T964" s="175"/>
      <c r="U964" s="175"/>
      <c r="V964" s="175"/>
      <c r="W964" s="175"/>
      <c r="X964" s="597"/>
      <c r="Y964" s="175"/>
      <c r="Z964" s="175"/>
    </row>
    <row r="965" ht="12.0" customHeight="1">
      <c r="A965" s="175"/>
      <c r="B965" s="175"/>
      <c r="C965" s="175"/>
      <c r="D965" s="175"/>
      <c r="E965" s="597"/>
      <c r="F965" s="597"/>
      <c r="G965" s="597"/>
      <c r="H965" s="597"/>
      <c r="I965" s="597"/>
      <c r="J965" s="597"/>
      <c r="K965" s="597"/>
      <c r="L965" s="597"/>
      <c r="M965" s="597"/>
      <c r="N965" s="597"/>
      <c r="O965" s="597"/>
      <c r="P965" s="597"/>
      <c r="Q965" s="597"/>
      <c r="R965" s="597"/>
      <c r="S965" s="175"/>
      <c r="T965" s="175"/>
      <c r="U965" s="175"/>
      <c r="V965" s="175"/>
      <c r="W965" s="175"/>
      <c r="X965" s="597"/>
      <c r="Y965" s="175"/>
      <c r="Z965" s="175"/>
    </row>
    <row r="966" ht="12.0" customHeight="1">
      <c r="A966" s="175"/>
      <c r="B966" s="175"/>
      <c r="C966" s="175"/>
      <c r="D966" s="175"/>
      <c r="E966" s="597"/>
      <c r="F966" s="597"/>
      <c r="G966" s="597"/>
      <c r="H966" s="597"/>
      <c r="I966" s="597"/>
      <c r="J966" s="597"/>
      <c r="K966" s="597"/>
      <c r="L966" s="597"/>
      <c r="M966" s="597"/>
      <c r="N966" s="597"/>
      <c r="O966" s="597"/>
      <c r="P966" s="597"/>
      <c r="Q966" s="597"/>
      <c r="R966" s="597"/>
      <c r="S966" s="175"/>
      <c r="T966" s="175"/>
      <c r="U966" s="175"/>
      <c r="V966" s="175"/>
      <c r="W966" s="175"/>
      <c r="X966" s="597"/>
      <c r="Y966" s="175"/>
      <c r="Z966" s="175"/>
    </row>
    <row r="967" ht="12.0" customHeight="1">
      <c r="A967" s="175"/>
      <c r="B967" s="175"/>
      <c r="C967" s="175"/>
      <c r="D967" s="175"/>
      <c r="E967" s="597"/>
      <c r="F967" s="597"/>
      <c r="G967" s="597"/>
      <c r="H967" s="597"/>
      <c r="I967" s="597"/>
      <c r="J967" s="597"/>
      <c r="K967" s="597"/>
      <c r="L967" s="597"/>
      <c r="M967" s="597"/>
      <c r="N967" s="597"/>
      <c r="O967" s="597"/>
      <c r="P967" s="597"/>
      <c r="Q967" s="597"/>
      <c r="R967" s="597"/>
      <c r="S967" s="175"/>
      <c r="T967" s="175"/>
      <c r="U967" s="175"/>
      <c r="V967" s="175"/>
      <c r="W967" s="175"/>
      <c r="X967" s="597"/>
      <c r="Y967" s="175"/>
      <c r="Z967" s="175"/>
    </row>
    <row r="968" ht="12.0" customHeight="1">
      <c r="A968" s="175"/>
      <c r="B968" s="175"/>
      <c r="C968" s="175"/>
      <c r="D968" s="175"/>
      <c r="E968" s="597"/>
      <c r="F968" s="597"/>
      <c r="G968" s="597"/>
      <c r="H968" s="597"/>
      <c r="I968" s="597"/>
      <c r="J968" s="597"/>
      <c r="K968" s="597"/>
      <c r="L968" s="597"/>
      <c r="M968" s="597"/>
      <c r="N968" s="597"/>
      <c r="O968" s="597"/>
      <c r="P968" s="597"/>
      <c r="Q968" s="597"/>
      <c r="R968" s="597"/>
      <c r="S968" s="175"/>
      <c r="T968" s="175"/>
      <c r="U968" s="175"/>
      <c r="V968" s="175"/>
      <c r="W968" s="175"/>
      <c r="X968" s="597"/>
      <c r="Y968" s="175"/>
      <c r="Z968" s="175"/>
    </row>
    <row r="969" ht="12.0" customHeight="1">
      <c r="A969" s="175"/>
      <c r="B969" s="175"/>
      <c r="C969" s="175"/>
      <c r="D969" s="175"/>
      <c r="E969" s="597"/>
      <c r="F969" s="597"/>
      <c r="G969" s="597"/>
      <c r="H969" s="597"/>
      <c r="I969" s="597"/>
      <c r="J969" s="597"/>
      <c r="K969" s="597"/>
      <c r="L969" s="597"/>
      <c r="M969" s="597"/>
      <c r="N969" s="597"/>
      <c r="O969" s="597"/>
      <c r="P969" s="597"/>
      <c r="Q969" s="597"/>
      <c r="R969" s="597"/>
      <c r="S969" s="175"/>
      <c r="T969" s="175"/>
      <c r="U969" s="175"/>
      <c r="V969" s="175"/>
      <c r="W969" s="175"/>
      <c r="X969" s="597"/>
      <c r="Y969" s="175"/>
      <c r="Z969" s="175"/>
    </row>
    <row r="970" ht="12.0" customHeight="1">
      <c r="A970" s="175"/>
      <c r="B970" s="175"/>
      <c r="C970" s="175"/>
      <c r="D970" s="175"/>
      <c r="E970" s="597"/>
      <c r="F970" s="597"/>
      <c r="G970" s="597"/>
      <c r="H970" s="597"/>
      <c r="I970" s="597"/>
      <c r="J970" s="597"/>
      <c r="K970" s="597"/>
      <c r="L970" s="597"/>
      <c r="M970" s="597"/>
      <c r="N970" s="597"/>
      <c r="O970" s="597"/>
      <c r="P970" s="597"/>
      <c r="Q970" s="597"/>
      <c r="R970" s="597"/>
      <c r="S970" s="175"/>
      <c r="T970" s="175"/>
      <c r="U970" s="175"/>
      <c r="V970" s="175"/>
      <c r="W970" s="175"/>
      <c r="X970" s="597"/>
      <c r="Y970" s="175"/>
      <c r="Z970" s="175"/>
    </row>
    <row r="971" ht="12.0" customHeight="1">
      <c r="A971" s="175"/>
      <c r="B971" s="175"/>
      <c r="C971" s="175"/>
      <c r="D971" s="175"/>
      <c r="E971" s="597"/>
      <c r="F971" s="597"/>
      <c r="G971" s="597"/>
      <c r="H971" s="597"/>
      <c r="I971" s="597"/>
      <c r="J971" s="597"/>
      <c r="K971" s="597"/>
      <c r="L971" s="597"/>
      <c r="M971" s="597"/>
      <c r="N971" s="597"/>
      <c r="O971" s="597"/>
      <c r="P971" s="597"/>
      <c r="Q971" s="597"/>
      <c r="R971" s="597"/>
      <c r="S971" s="175"/>
      <c r="T971" s="175"/>
      <c r="U971" s="175"/>
      <c r="V971" s="175"/>
      <c r="W971" s="175"/>
      <c r="X971" s="597"/>
      <c r="Y971" s="175"/>
      <c r="Z971" s="175"/>
    </row>
    <row r="972" ht="12.0" customHeight="1">
      <c r="A972" s="175"/>
      <c r="B972" s="175"/>
      <c r="C972" s="175"/>
      <c r="D972" s="175"/>
      <c r="E972" s="597"/>
      <c r="F972" s="597"/>
      <c r="G972" s="597"/>
      <c r="H972" s="597"/>
      <c r="I972" s="597"/>
      <c r="J972" s="597"/>
      <c r="K972" s="597"/>
      <c r="L972" s="597"/>
      <c r="M972" s="597"/>
      <c r="N972" s="597"/>
      <c r="O972" s="597"/>
      <c r="P972" s="597"/>
      <c r="Q972" s="597"/>
      <c r="R972" s="597"/>
      <c r="S972" s="175"/>
      <c r="T972" s="175"/>
      <c r="U972" s="175"/>
      <c r="V972" s="175"/>
      <c r="W972" s="175"/>
      <c r="X972" s="597"/>
      <c r="Y972" s="175"/>
      <c r="Z972" s="175"/>
    </row>
    <row r="973" ht="12.0" customHeight="1">
      <c r="A973" s="175"/>
      <c r="B973" s="175"/>
      <c r="C973" s="175"/>
      <c r="D973" s="175"/>
      <c r="E973" s="597"/>
      <c r="F973" s="597"/>
      <c r="G973" s="597"/>
      <c r="H973" s="597"/>
      <c r="I973" s="597"/>
      <c r="J973" s="597"/>
      <c r="K973" s="597"/>
      <c r="L973" s="597"/>
      <c r="M973" s="597"/>
      <c r="N973" s="597"/>
      <c r="O973" s="597"/>
      <c r="P973" s="597"/>
      <c r="Q973" s="597"/>
      <c r="R973" s="597"/>
      <c r="S973" s="175"/>
      <c r="T973" s="175"/>
      <c r="U973" s="175"/>
      <c r="V973" s="175"/>
      <c r="W973" s="175"/>
      <c r="X973" s="597"/>
      <c r="Y973" s="175"/>
      <c r="Z973" s="175"/>
    </row>
    <row r="974" ht="12.0" customHeight="1">
      <c r="A974" s="175"/>
      <c r="B974" s="175"/>
      <c r="C974" s="175"/>
      <c r="D974" s="175"/>
      <c r="E974" s="597"/>
      <c r="F974" s="597"/>
      <c r="G974" s="597"/>
      <c r="H974" s="597"/>
      <c r="I974" s="597"/>
      <c r="J974" s="597"/>
      <c r="K974" s="597"/>
      <c r="L974" s="597"/>
      <c r="M974" s="597"/>
      <c r="N974" s="597"/>
      <c r="O974" s="597"/>
      <c r="P974" s="597"/>
      <c r="Q974" s="597"/>
      <c r="R974" s="597"/>
      <c r="S974" s="175"/>
      <c r="T974" s="175"/>
      <c r="U974" s="175"/>
      <c r="V974" s="175"/>
      <c r="W974" s="175"/>
      <c r="X974" s="597"/>
      <c r="Y974" s="175"/>
      <c r="Z974" s="175"/>
    </row>
    <row r="975" ht="12.0" customHeight="1">
      <c r="A975" s="175"/>
      <c r="B975" s="175"/>
      <c r="C975" s="175"/>
      <c r="D975" s="175"/>
      <c r="E975" s="597"/>
      <c r="F975" s="597"/>
      <c r="G975" s="597"/>
      <c r="H975" s="597"/>
      <c r="I975" s="597"/>
      <c r="J975" s="597"/>
      <c r="K975" s="597"/>
      <c r="L975" s="597"/>
      <c r="M975" s="597"/>
      <c r="N975" s="597"/>
      <c r="O975" s="597"/>
      <c r="P975" s="597"/>
      <c r="Q975" s="597"/>
      <c r="R975" s="597"/>
      <c r="S975" s="175"/>
      <c r="T975" s="175"/>
      <c r="U975" s="175"/>
      <c r="V975" s="175"/>
      <c r="W975" s="175"/>
      <c r="X975" s="597"/>
      <c r="Y975" s="175"/>
      <c r="Z975" s="175"/>
    </row>
    <row r="976" ht="12.0" customHeight="1">
      <c r="A976" s="175"/>
      <c r="B976" s="175"/>
      <c r="C976" s="175"/>
      <c r="D976" s="175"/>
      <c r="E976" s="597"/>
      <c r="F976" s="597"/>
      <c r="G976" s="597"/>
      <c r="H976" s="597"/>
      <c r="I976" s="597"/>
      <c r="J976" s="597"/>
      <c r="K976" s="597"/>
      <c r="L976" s="597"/>
      <c r="M976" s="597"/>
      <c r="N976" s="597"/>
      <c r="O976" s="597"/>
      <c r="P976" s="597"/>
      <c r="Q976" s="597"/>
      <c r="R976" s="597"/>
      <c r="S976" s="175"/>
      <c r="T976" s="175"/>
      <c r="U976" s="175"/>
      <c r="V976" s="175"/>
      <c r="W976" s="175"/>
      <c r="X976" s="597"/>
      <c r="Y976" s="175"/>
      <c r="Z976" s="175"/>
    </row>
    <row r="977" ht="12.0" customHeight="1">
      <c r="A977" s="175"/>
      <c r="B977" s="175"/>
      <c r="C977" s="175"/>
      <c r="D977" s="175"/>
      <c r="E977" s="597"/>
      <c r="F977" s="597"/>
      <c r="G977" s="597"/>
      <c r="H977" s="597"/>
      <c r="I977" s="597"/>
      <c r="J977" s="597"/>
      <c r="K977" s="597"/>
      <c r="L977" s="597"/>
      <c r="M977" s="597"/>
      <c r="N977" s="597"/>
      <c r="O977" s="597"/>
      <c r="P977" s="597"/>
      <c r="Q977" s="597"/>
      <c r="R977" s="597"/>
      <c r="S977" s="175"/>
      <c r="T977" s="175"/>
      <c r="U977" s="175"/>
      <c r="V977" s="175"/>
      <c r="W977" s="175"/>
      <c r="X977" s="597"/>
      <c r="Y977" s="175"/>
      <c r="Z977" s="175"/>
    </row>
    <row r="978" ht="12.0" customHeight="1">
      <c r="A978" s="175"/>
      <c r="B978" s="175"/>
      <c r="C978" s="175"/>
      <c r="D978" s="175"/>
      <c r="E978" s="597"/>
      <c r="F978" s="597"/>
      <c r="G978" s="597"/>
      <c r="H978" s="597"/>
      <c r="I978" s="597"/>
      <c r="J978" s="597"/>
      <c r="K978" s="597"/>
      <c r="L978" s="597"/>
      <c r="M978" s="597"/>
      <c r="N978" s="597"/>
      <c r="O978" s="597"/>
      <c r="P978" s="597"/>
      <c r="Q978" s="597"/>
      <c r="R978" s="597"/>
      <c r="S978" s="175"/>
      <c r="T978" s="175"/>
      <c r="U978" s="175"/>
      <c r="V978" s="175"/>
      <c r="W978" s="175"/>
      <c r="X978" s="597"/>
      <c r="Y978" s="175"/>
      <c r="Z978" s="175"/>
    </row>
    <row r="979" ht="12.0" customHeight="1">
      <c r="A979" s="175"/>
      <c r="B979" s="175"/>
      <c r="C979" s="175"/>
      <c r="D979" s="175"/>
      <c r="E979" s="597"/>
      <c r="F979" s="597"/>
      <c r="G979" s="597"/>
      <c r="H979" s="597"/>
      <c r="I979" s="597"/>
      <c r="J979" s="597"/>
      <c r="K979" s="597"/>
      <c r="L979" s="597"/>
      <c r="M979" s="597"/>
      <c r="N979" s="597"/>
      <c r="O979" s="597"/>
      <c r="P979" s="597"/>
      <c r="Q979" s="597"/>
      <c r="R979" s="597"/>
      <c r="S979" s="175"/>
      <c r="T979" s="175"/>
      <c r="U979" s="175"/>
      <c r="V979" s="175"/>
      <c r="W979" s="175"/>
      <c r="X979" s="597"/>
      <c r="Y979" s="175"/>
      <c r="Z979" s="175"/>
    </row>
    <row r="980" ht="12.0" customHeight="1">
      <c r="A980" s="175"/>
      <c r="B980" s="175"/>
      <c r="C980" s="175"/>
      <c r="D980" s="175"/>
      <c r="E980" s="597"/>
      <c r="F980" s="597"/>
      <c r="G980" s="597"/>
      <c r="H980" s="597"/>
      <c r="I980" s="597"/>
      <c r="J980" s="597"/>
      <c r="K980" s="597"/>
      <c r="L980" s="597"/>
      <c r="M980" s="597"/>
      <c r="N980" s="597"/>
      <c r="O980" s="597"/>
      <c r="P980" s="597"/>
      <c r="Q980" s="597"/>
      <c r="R980" s="597"/>
      <c r="S980" s="175"/>
      <c r="T980" s="175"/>
      <c r="U980" s="175"/>
      <c r="V980" s="175"/>
      <c r="W980" s="175"/>
      <c r="X980" s="597"/>
      <c r="Y980" s="175"/>
      <c r="Z980" s="175"/>
    </row>
    <row r="981" ht="12.0" customHeight="1">
      <c r="A981" s="175"/>
      <c r="B981" s="175"/>
      <c r="C981" s="175"/>
      <c r="D981" s="175"/>
      <c r="E981" s="597"/>
      <c r="F981" s="597"/>
      <c r="G981" s="597"/>
      <c r="H981" s="597"/>
      <c r="I981" s="597"/>
      <c r="J981" s="597"/>
      <c r="K981" s="597"/>
      <c r="L981" s="597"/>
      <c r="M981" s="597"/>
      <c r="N981" s="597"/>
      <c r="O981" s="597"/>
      <c r="P981" s="597"/>
      <c r="Q981" s="597"/>
      <c r="R981" s="597"/>
      <c r="S981" s="175"/>
      <c r="T981" s="175"/>
      <c r="U981" s="175"/>
      <c r="V981" s="175"/>
      <c r="W981" s="175"/>
      <c r="X981" s="597"/>
      <c r="Y981" s="175"/>
      <c r="Z981" s="175"/>
    </row>
    <row r="982" ht="12.0" customHeight="1">
      <c r="A982" s="175"/>
      <c r="B982" s="175"/>
      <c r="C982" s="175"/>
      <c r="D982" s="175"/>
      <c r="E982" s="597"/>
      <c r="F982" s="597"/>
      <c r="G982" s="597"/>
      <c r="H982" s="597"/>
      <c r="I982" s="597"/>
      <c r="J982" s="597"/>
      <c r="K982" s="597"/>
      <c r="L982" s="597"/>
      <c r="M982" s="597"/>
      <c r="N982" s="597"/>
      <c r="O982" s="597"/>
      <c r="P982" s="597"/>
      <c r="Q982" s="597"/>
      <c r="R982" s="597"/>
      <c r="S982" s="175"/>
      <c r="T982" s="175"/>
      <c r="U982" s="175"/>
      <c r="V982" s="175"/>
      <c r="W982" s="175"/>
      <c r="X982" s="597"/>
      <c r="Y982" s="175"/>
      <c r="Z982" s="175"/>
    </row>
    <row r="983" ht="12.0" customHeight="1">
      <c r="A983" s="175"/>
      <c r="B983" s="175"/>
      <c r="C983" s="175"/>
      <c r="D983" s="175"/>
      <c r="E983" s="597"/>
      <c r="F983" s="597"/>
      <c r="G983" s="597"/>
      <c r="H983" s="597"/>
      <c r="I983" s="597"/>
      <c r="J983" s="597"/>
      <c r="K983" s="597"/>
      <c r="L983" s="597"/>
      <c r="M983" s="597"/>
      <c r="N983" s="597"/>
      <c r="O983" s="597"/>
      <c r="P983" s="597"/>
      <c r="Q983" s="597"/>
      <c r="R983" s="597"/>
      <c r="S983" s="175"/>
      <c r="T983" s="175"/>
      <c r="U983" s="175"/>
      <c r="V983" s="175"/>
      <c r="W983" s="175"/>
      <c r="X983" s="597"/>
      <c r="Y983" s="175"/>
      <c r="Z983" s="175"/>
    </row>
    <row r="984" ht="12.0" customHeight="1">
      <c r="A984" s="175"/>
      <c r="B984" s="175"/>
      <c r="C984" s="175"/>
      <c r="D984" s="175"/>
      <c r="E984" s="597"/>
      <c r="F984" s="597"/>
      <c r="G984" s="597"/>
      <c r="H984" s="597"/>
      <c r="I984" s="597"/>
      <c r="J984" s="597"/>
      <c r="K984" s="597"/>
      <c r="L984" s="597"/>
      <c r="M984" s="597"/>
      <c r="N984" s="597"/>
      <c r="O984" s="597"/>
      <c r="P984" s="597"/>
      <c r="Q984" s="597"/>
      <c r="R984" s="597"/>
      <c r="S984" s="175"/>
      <c r="T984" s="175"/>
      <c r="U984" s="175"/>
      <c r="V984" s="175"/>
      <c r="W984" s="175"/>
      <c r="X984" s="597"/>
      <c r="Y984" s="175"/>
      <c r="Z984" s="175"/>
    </row>
    <row r="985" ht="12.0" customHeight="1">
      <c r="A985" s="175"/>
      <c r="B985" s="175"/>
      <c r="C985" s="175"/>
      <c r="D985" s="175"/>
      <c r="E985" s="597"/>
      <c r="F985" s="597"/>
      <c r="G985" s="597"/>
      <c r="H985" s="597"/>
      <c r="I985" s="597"/>
      <c r="J985" s="597"/>
      <c r="K985" s="597"/>
      <c r="L985" s="597"/>
      <c r="M985" s="597"/>
      <c r="N985" s="597"/>
      <c r="O985" s="597"/>
      <c r="P985" s="597"/>
      <c r="Q985" s="597"/>
      <c r="R985" s="597"/>
      <c r="S985" s="175"/>
      <c r="T985" s="175"/>
      <c r="U985" s="175"/>
      <c r="V985" s="175"/>
      <c r="W985" s="175"/>
      <c r="X985" s="597"/>
      <c r="Y985" s="175"/>
      <c r="Z985" s="175"/>
    </row>
    <row r="986" ht="12.0" customHeight="1">
      <c r="A986" s="175"/>
      <c r="B986" s="175"/>
      <c r="C986" s="175"/>
      <c r="D986" s="175"/>
      <c r="E986" s="597"/>
      <c r="F986" s="597"/>
      <c r="G986" s="597"/>
      <c r="H986" s="597"/>
      <c r="I986" s="597"/>
      <c r="J986" s="597"/>
      <c r="K986" s="597"/>
      <c r="L986" s="597"/>
      <c r="M986" s="597"/>
      <c r="N986" s="597"/>
      <c r="O986" s="597"/>
      <c r="P986" s="597"/>
      <c r="Q986" s="597"/>
      <c r="R986" s="597"/>
      <c r="S986" s="175"/>
      <c r="T986" s="175"/>
      <c r="U986" s="175"/>
      <c r="V986" s="175"/>
      <c r="W986" s="175"/>
      <c r="X986" s="597"/>
      <c r="Y986" s="175"/>
      <c r="Z986" s="175"/>
    </row>
    <row r="987" ht="12.0" customHeight="1">
      <c r="A987" s="175"/>
      <c r="B987" s="175"/>
      <c r="C987" s="175"/>
      <c r="D987" s="175"/>
      <c r="E987" s="597"/>
      <c r="F987" s="597"/>
      <c r="G987" s="597"/>
      <c r="H987" s="597"/>
      <c r="I987" s="597"/>
      <c r="J987" s="597"/>
      <c r="K987" s="597"/>
      <c r="L987" s="597"/>
      <c r="M987" s="597"/>
      <c r="N987" s="597"/>
      <c r="O987" s="597"/>
      <c r="P987" s="597"/>
      <c r="Q987" s="597"/>
      <c r="R987" s="597"/>
      <c r="S987" s="175"/>
      <c r="T987" s="175"/>
      <c r="U987" s="175"/>
      <c r="V987" s="175"/>
      <c r="W987" s="175"/>
      <c r="X987" s="597"/>
      <c r="Y987" s="175"/>
      <c r="Z987" s="175"/>
    </row>
    <row r="988" ht="12.0" customHeight="1">
      <c r="A988" s="175"/>
      <c r="B988" s="175"/>
      <c r="C988" s="175"/>
      <c r="D988" s="175"/>
      <c r="E988" s="597"/>
      <c r="F988" s="597"/>
      <c r="G988" s="597"/>
      <c r="H988" s="597"/>
      <c r="I988" s="597"/>
      <c r="J988" s="597"/>
      <c r="K988" s="597"/>
      <c r="L988" s="597"/>
      <c r="M988" s="597"/>
      <c r="N988" s="597"/>
      <c r="O988" s="597"/>
      <c r="P988" s="597"/>
      <c r="Q988" s="597"/>
      <c r="R988" s="597"/>
      <c r="S988" s="175"/>
      <c r="T988" s="175"/>
      <c r="U988" s="175"/>
      <c r="V988" s="175"/>
      <c r="W988" s="175"/>
      <c r="X988" s="597"/>
      <c r="Y988" s="175"/>
      <c r="Z988" s="175"/>
    </row>
    <row r="989" ht="12.0" customHeight="1">
      <c r="A989" s="175"/>
      <c r="B989" s="175"/>
      <c r="C989" s="175"/>
      <c r="D989" s="175"/>
      <c r="E989" s="597"/>
      <c r="F989" s="597"/>
      <c r="G989" s="597"/>
      <c r="H989" s="597"/>
      <c r="I989" s="597"/>
      <c r="J989" s="597"/>
      <c r="K989" s="597"/>
      <c r="L989" s="597"/>
      <c r="M989" s="597"/>
      <c r="N989" s="597"/>
      <c r="O989" s="597"/>
      <c r="P989" s="597"/>
      <c r="Q989" s="597"/>
      <c r="R989" s="597"/>
      <c r="S989" s="175"/>
      <c r="T989" s="175"/>
      <c r="U989" s="175"/>
      <c r="V989" s="175"/>
      <c r="W989" s="175"/>
      <c r="X989" s="597"/>
      <c r="Y989" s="175"/>
      <c r="Z989" s="175"/>
    </row>
    <row r="990" ht="12.0" customHeight="1">
      <c r="A990" s="175"/>
      <c r="B990" s="175"/>
      <c r="C990" s="175"/>
      <c r="D990" s="175"/>
      <c r="E990" s="597"/>
      <c r="F990" s="597"/>
      <c r="G990" s="597"/>
      <c r="H990" s="597"/>
      <c r="I990" s="597"/>
      <c r="J990" s="597"/>
      <c r="K990" s="597"/>
      <c r="L990" s="597"/>
      <c r="M990" s="597"/>
      <c r="N990" s="597"/>
      <c r="O990" s="597"/>
      <c r="P990" s="597"/>
      <c r="Q990" s="597"/>
      <c r="R990" s="597"/>
      <c r="S990" s="175"/>
      <c r="T990" s="175"/>
      <c r="U990" s="175"/>
      <c r="V990" s="175"/>
      <c r="W990" s="175"/>
      <c r="X990" s="597"/>
      <c r="Y990" s="175"/>
      <c r="Z990" s="175"/>
    </row>
    <row r="991" ht="12.0" customHeight="1">
      <c r="A991" s="175"/>
      <c r="B991" s="175"/>
      <c r="C991" s="175"/>
      <c r="D991" s="175"/>
      <c r="E991" s="597"/>
      <c r="F991" s="597"/>
      <c r="G991" s="597"/>
      <c r="H991" s="597"/>
      <c r="I991" s="597"/>
      <c r="J991" s="597"/>
      <c r="K991" s="597"/>
      <c r="L991" s="597"/>
      <c r="M991" s="597"/>
      <c r="N991" s="597"/>
      <c r="O991" s="597"/>
      <c r="P991" s="597"/>
      <c r="Q991" s="597"/>
      <c r="R991" s="597"/>
      <c r="S991" s="175"/>
      <c r="T991" s="175"/>
      <c r="U991" s="175"/>
      <c r="V991" s="175"/>
      <c r="W991" s="175"/>
      <c r="X991" s="597"/>
      <c r="Y991" s="175"/>
      <c r="Z991" s="175"/>
    </row>
    <row r="992" ht="12.0" customHeight="1">
      <c r="A992" s="175"/>
      <c r="B992" s="175"/>
      <c r="C992" s="175"/>
      <c r="D992" s="175"/>
      <c r="E992" s="597"/>
      <c r="F992" s="597"/>
      <c r="G992" s="597"/>
      <c r="H992" s="597"/>
      <c r="I992" s="597"/>
      <c r="J992" s="597"/>
      <c r="K992" s="597"/>
      <c r="L992" s="597"/>
      <c r="M992" s="597"/>
      <c r="N992" s="597"/>
      <c r="O992" s="597"/>
      <c r="P992" s="597"/>
      <c r="Q992" s="597"/>
      <c r="R992" s="597"/>
      <c r="S992" s="175"/>
      <c r="T992" s="175"/>
      <c r="U992" s="175"/>
      <c r="V992" s="175"/>
      <c r="W992" s="175"/>
      <c r="X992" s="597"/>
      <c r="Y992" s="175"/>
      <c r="Z992" s="175"/>
    </row>
    <row r="993" ht="12.0" customHeight="1">
      <c r="A993" s="175"/>
      <c r="B993" s="175"/>
      <c r="C993" s="175"/>
      <c r="D993" s="175"/>
      <c r="E993" s="597"/>
      <c r="F993" s="597"/>
      <c r="G993" s="597"/>
      <c r="H993" s="597"/>
      <c r="I993" s="597"/>
      <c r="J993" s="597"/>
      <c r="K993" s="597"/>
      <c r="L993" s="597"/>
      <c r="M993" s="597"/>
      <c r="N993" s="597"/>
      <c r="O993" s="597"/>
      <c r="P993" s="597"/>
      <c r="Q993" s="597"/>
      <c r="R993" s="597"/>
      <c r="S993" s="175"/>
      <c r="T993" s="175"/>
      <c r="U993" s="175"/>
      <c r="V993" s="175"/>
      <c r="W993" s="175"/>
      <c r="X993" s="597"/>
      <c r="Y993" s="175"/>
      <c r="Z993" s="175"/>
    </row>
    <row r="994" ht="12.0" customHeight="1">
      <c r="A994" s="175"/>
      <c r="B994" s="175"/>
      <c r="C994" s="175"/>
      <c r="D994" s="175"/>
      <c r="E994" s="597"/>
      <c r="F994" s="597"/>
      <c r="G994" s="597"/>
      <c r="H994" s="597"/>
      <c r="I994" s="597"/>
      <c r="J994" s="597"/>
      <c r="K994" s="597"/>
      <c r="L994" s="597"/>
      <c r="M994" s="597"/>
      <c r="N994" s="597"/>
      <c r="O994" s="597"/>
      <c r="P994" s="597"/>
      <c r="Q994" s="597"/>
      <c r="R994" s="597"/>
      <c r="S994" s="175"/>
      <c r="T994" s="175"/>
      <c r="U994" s="175"/>
      <c r="V994" s="175"/>
      <c r="W994" s="175"/>
      <c r="X994" s="597"/>
      <c r="Y994" s="175"/>
      <c r="Z994" s="175"/>
    </row>
    <row r="995" ht="12.0" customHeight="1">
      <c r="A995" s="175"/>
      <c r="B995" s="175"/>
      <c r="C995" s="175"/>
      <c r="D995" s="175"/>
      <c r="E995" s="597"/>
      <c r="F995" s="597"/>
      <c r="G995" s="597"/>
      <c r="H995" s="597"/>
      <c r="I995" s="597"/>
      <c r="J995" s="597"/>
      <c r="K995" s="597"/>
      <c r="L995" s="597"/>
      <c r="M995" s="597"/>
      <c r="N995" s="597"/>
      <c r="O995" s="597"/>
      <c r="P995" s="597"/>
      <c r="Q995" s="597"/>
      <c r="R995" s="597"/>
      <c r="S995" s="175"/>
      <c r="T995" s="175"/>
      <c r="U995" s="175"/>
      <c r="V995" s="175"/>
      <c r="W995" s="175"/>
      <c r="X995" s="597"/>
      <c r="Y995" s="175"/>
      <c r="Z995" s="175"/>
    </row>
    <row r="996" ht="12.0" customHeight="1">
      <c r="A996" s="175"/>
      <c r="B996" s="175"/>
      <c r="C996" s="175"/>
      <c r="D996" s="175"/>
      <c r="E996" s="597"/>
      <c r="F996" s="597"/>
      <c r="G996" s="597"/>
      <c r="H996" s="597"/>
      <c r="I996" s="597"/>
      <c r="J996" s="597"/>
      <c r="K996" s="597"/>
      <c r="L996" s="597"/>
      <c r="M996" s="597"/>
      <c r="N996" s="597"/>
      <c r="O996" s="597"/>
      <c r="P996" s="597"/>
      <c r="Q996" s="597"/>
      <c r="R996" s="597"/>
      <c r="S996" s="175"/>
      <c r="T996" s="175"/>
      <c r="U996" s="175"/>
      <c r="V996" s="175"/>
      <c r="W996" s="175"/>
      <c r="X996" s="597"/>
      <c r="Y996" s="175"/>
      <c r="Z996" s="175"/>
    </row>
    <row r="997" ht="12.0" customHeight="1">
      <c r="A997" s="175"/>
      <c r="B997" s="175"/>
      <c r="C997" s="175"/>
      <c r="D997" s="175"/>
      <c r="E997" s="597"/>
      <c r="F997" s="597"/>
      <c r="G997" s="597"/>
      <c r="H997" s="597"/>
      <c r="I997" s="597"/>
      <c r="J997" s="597"/>
      <c r="K997" s="597"/>
      <c r="L997" s="597"/>
      <c r="M997" s="597"/>
      <c r="N997" s="597"/>
      <c r="O997" s="597"/>
      <c r="P997" s="597"/>
      <c r="Q997" s="597"/>
      <c r="R997" s="597"/>
      <c r="S997" s="175"/>
      <c r="T997" s="175"/>
      <c r="U997" s="175"/>
      <c r="V997" s="175"/>
      <c r="W997" s="175"/>
      <c r="X997" s="597"/>
      <c r="Y997" s="175"/>
      <c r="Z997" s="175"/>
    </row>
    <row r="998" ht="12.0" customHeight="1">
      <c r="A998" s="175"/>
      <c r="B998" s="175"/>
      <c r="C998" s="175"/>
      <c r="D998" s="175"/>
      <c r="E998" s="597"/>
      <c r="F998" s="597"/>
      <c r="G998" s="597"/>
      <c r="H998" s="597"/>
      <c r="I998" s="597"/>
      <c r="J998" s="597"/>
      <c r="K998" s="597"/>
      <c r="L998" s="597"/>
      <c r="M998" s="597"/>
      <c r="N998" s="597"/>
      <c r="O998" s="597"/>
      <c r="P998" s="597"/>
      <c r="Q998" s="597"/>
      <c r="R998" s="597"/>
      <c r="S998" s="175"/>
      <c r="T998" s="175"/>
      <c r="U998" s="175"/>
      <c r="V998" s="175"/>
      <c r="W998" s="175"/>
      <c r="X998" s="597"/>
      <c r="Y998" s="175"/>
      <c r="Z998" s="175"/>
    </row>
    <row r="999" ht="12.0" customHeight="1">
      <c r="A999" s="175"/>
      <c r="B999" s="175"/>
      <c r="C999" s="175"/>
      <c r="D999" s="175"/>
      <c r="E999" s="597"/>
      <c r="F999" s="597"/>
      <c r="G999" s="597"/>
      <c r="H999" s="597"/>
      <c r="I999" s="597"/>
      <c r="J999" s="597"/>
      <c r="K999" s="597"/>
      <c r="L999" s="597"/>
      <c r="M999" s="597"/>
      <c r="N999" s="597"/>
      <c r="O999" s="597"/>
      <c r="P999" s="597"/>
      <c r="Q999" s="597"/>
      <c r="R999" s="597"/>
      <c r="S999" s="175"/>
      <c r="T999" s="175"/>
      <c r="U999" s="175"/>
      <c r="V999" s="175"/>
      <c r="W999" s="175"/>
      <c r="X999" s="597"/>
      <c r="Y999" s="175"/>
      <c r="Z999" s="175"/>
    </row>
    <row r="1000" ht="12.0" customHeight="1">
      <c r="A1000" s="175"/>
      <c r="B1000" s="175"/>
      <c r="C1000" s="175"/>
      <c r="D1000" s="175"/>
      <c r="E1000" s="597"/>
      <c r="F1000" s="597"/>
      <c r="G1000" s="597"/>
      <c r="H1000" s="597"/>
      <c r="I1000" s="597"/>
      <c r="J1000" s="597"/>
      <c r="K1000" s="597"/>
      <c r="L1000" s="597"/>
      <c r="M1000" s="597"/>
      <c r="N1000" s="597"/>
      <c r="O1000" s="597"/>
      <c r="P1000" s="597"/>
      <c r="Q1000" s="597"/>
      <c r="R1000" s="597"/>
      <c r="S1000" s="175"/>
      <c r="T1000" s="175"/>
      <c r="U1000" s="175"/>
      <c r="V1000" s="175"/>
      <c r="W1000" s="175"/>
      <c r="X1000" s="597"/>
      <c r="Y1000" s="175"/>
      <c r="Z1000" s="175"/>
    </row>
  </sheetData>
  <mergeCells count="1">
    <mergeCell ref="C3:R3"/>
  </mergeCells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.29"/>
    <col customWidth="1" min="2" max="2" width="16.29"/>
    <col customWidth="1" min="3" max="3" width="58.29"/>
    <col customWidth="1" min="4" max="5" width="30.14"/>
  </cols>
  <sheetData>
    <row r="1" ht="42.75" customHeight="1">
      <c r="A1" s="467"/>
      <c r="B1" s="614" t="s">
        <v>631</v>
      </c>
      <c r="C1" s="614"/>
      <c r="D1" s="614"/>
      <c r="E1" s="614"/>
    </row>
    <row r="2" ht="14.25" customHeight="1">
      <c r="A2" s="467"/>
      <c r="B2" s="615" t="s">
        <v>0</v>
      </c>
      <c r="C2" s="616"/>
      <c r="D2" s="617"/>
      <c r="E2" s="617" t="s">
        <v>632</v>
      </c>
    </row>
    <row r="3" ht="21.0" customHeight="1">
      <c r="A3" s="618"/>
      <c r="B3" s="619" t="s">
        <v>109</v>
      </c>
      <c r="C3" s="620" t="s">
        <v>425</v>
      </c>
      <c r="D3" s="621" t="s">
        <v>633</v>
      </c>
      <c r="E3" s="621" t="s">
        <v>634</v>
      </c>
    </row>
    <row r="4" ht="14.25" customHeight="1">
      <c r="A4" s="467"/>
      <c r="B4" s="622">
        <v>1.0</v>
      </c>
      <c r="C4" s="623" t="s">
        <v>635</v>
      </c>
      <c r="D4" s="624"/>
      <c r="E4" s="624"/>
    </row>
    <row r="5" ht="14.25" customHeight="1">
      <c r="A5" s="467"/>
      <c r="B5" s="622">
        <v>1.1</v>
      </c>
      <c r="C5" s="619" t="s">
        <v>636</v>
      </c>
      <c r="D5" s="625"/>
      <c r="E5" s="625"/>
    </row>
    <row r="6" ht="14.25" customHeight="1">
      <c r="A6" s="467"/>
      <c r="B6" s="622" t="s">
        <v>637</v>
      </c>
      <c r="C6" s="626" t="s">
        <v>638</v>
      </c>
      <c r="D6" s="627">
        <v>1.0095789775000001E8</v>
      </c>
      <c r="E6" s="627">
        <v>3.1978505768E8</v>
      </c>
    </row>
    <row r="7" ht="14.25" customHeight="1">
      <c r="A7" s="467"/>
      <c r="B7" s="622" t="s">
        <v>639</v>
      </c>
      <c r="C7" s="626" t="s">
        <v>640</v>
      </c>
      <c r="D7" s="627">
        <v>0.0</v>
      </c>
      <c r="E7" s="627"/>
    </row>
    <row r="8" ht="14.25" customHeight="1">
      <c r="A8" s="467"/>
      <c r="B8" s="622" t="s">
        <v>641</v>
      </c>
      <c r="C8" s="626" t="s">
        <v>642</v>
      </c>
      <c r="D8" s="627">
        <v>0.0</v>
      </c>
      <c r="E8" s="627"/>
    </row>
    <row r="9" ht="14.25" customHeight="1">
      <c r="A9" s="467"/>
      <c r="B9" s="622" t="s">
        <v>643</v>
      </c>
      <c r="C9" s="626" t="s">
        <v>644</v>
      </c>
      <c r="D9" s="627">
        <v>1.6853431896299999E9</v>
      </c>
      <c r="E9" s="627">
        <v>2.4117402595409992E10</v>
      </c>
    </row>
    <row r="10" ht="14.25" customHeight="1">
      <c r="A10" s="467"/>
      <c r="B10" s="622" t="s">
        <v>645</v>
      </c>
      <c r="C10" s="626" t="s">
        <v>646</v>
      </c>
      <c r="D10" s="627">
        <v>1.8736834549999997E7</v>
      </c>
      <c r="E10" s="627">
        <v>1.9946022759999998E7</v>
      </c>
    </row>
    <row r="11" ht="14.25" customHeight="1">
      <c r="A11" s="467"/>
      <c r="B11" s="622" t="s">
        <v>647</v>
      </c>
      <c r="C11" s="626" t="s">
        <v>214</v>
      </c>
      <c r="D11" s="627">
        <v>2111741.63</v>
      </c>
      <c r="E11" s="627">
        <v>1.0795943654E8</v>
      </c>
    </row>
    <row r="12" ht="14.25" customHeight="1">
      <c r="A12" s="467"/>
      <c r="B12" s="622" t="s">
        <v>648</v>
      </c>
      <c r="C12" s="626" t="s">
        <v>649</v>
      </c>
      <c r="D12" s="627">
        <v>1.2435640065800018E9</v>
      </c>
      <c r="E12" s="627">
        <v>3.60993931238E9</v>
      </c>
    </row>
    <row r="13" ht="14.25" customHeight="1">
      <c r="A13" s="467"/>
      <c r="B13" s="622" t="s">
        <v>650</v>
      </c>
      <c r="C13" s="626" t="s">
        <v>651</v>
      </c>
      <c r="D13" s="627"/>
      <c r="E13" s="627"/>
    </row>
    <row r="14" ht="15.0" customHeight="1">
      <c r="A14" s="467"/>
      <c r="B14" s="622" t="s">
        <v>652</v>
      </c>
      <c r="C14" s="626" t="s">
        <v>653</v>
      </c>
      <c r="D14" s="627">
        <v>0.0</v>
      </c>
      <c r="E14" s="627"/>
    </row>
    <row r="15" ht="6.75" hidden="1" customHeight="1">
      <c r="A15" s="467"/>
      <c r="B15" s="622" t="s">
        <v>654</v>
      </c>
      <c r="C15" s="626"/>
      <c r="D15" s="627"/>
      <c r="E15" s="627"/>
    </row>
    <row r="16" ht="14.25" customHeight="1">
      <c r="A16" s="467"/>
      <c r="B16" s="622" t="s">
        <v>655</v>
      </c>
      <c r="C16" s="628" t="s">
        <v>656</v>
      </c>
      <c r="D16" s="629">
        <v>3.050713670140002E9</v>
      </c>
      <c r="E16" s="629">
        <v>2.8175032424769993E10</v>
      </c>
    </row>
    <row r="17" ht="14.25" customHeight="1">
      <c r="A17" s="467"/>
      <c r="B17" s="622">
        <v>1.2</v>
      </c>
      <c r="C17" s="619" t="s">
        <v>657</v>
      </c>
      <c r="D17" s="625">
        <v>0.0</v>
      </c>
      <c r="E17" s="625">
        <v>0.0</v>
      </c>
    </row>
    <row r="18" ht="14.25" customHeight="1">
      <c r="A18" s="467"/>
      <c r="B18" s="622" t="s">
        <v>658</v>
      </c>
      <c r="C18" s="626" t="s">
        <v>35</v>
      </c>
      <c r="D18" s="627">
        <v>4.6602462769000006E8</v>
      </c>
      <c r="E18" s="627">
        <v>3.15195532118E9</v>
      </c>
    </row>
    <row r="19" ht="14.25" customHeight="1">
      <c r="A19" s="467"/>
      <c r="B19" s="622" t="s">
        <v>659</v>
      </c>
      <c r="C19" s="626" t="s">
        <v>37</v>
      </c>
      <c r="D19" s="627">
        <v>8.941367041309998E9</v>
      </c>
      <c r="E19" s="627">
        <v>5.920286939535E10</v>
      </c>
    </row>
    <row r="20" ht="14.25" customHeight="1">
      <c r="A20" s="467"/>
      <c r="B20" s="622" t="s">
        <v>660</v>
      </c>
      <c r="C20" s="626" t="s">
        <v>661</v>
      </c>
      <c r="D20" s="627">
        <v>0.0</v>
      </c>
      <c r="E20" s="627">
        <v>0.0</v>
      </c>
    </row>
    <row r="21" ht="14.25" customHeight="1">
      <c r="A21" s="467"/>
      <c r="B21" s="622" t="s">
        <v>662</v>
      </c>
      <c r="C21" s="626" t="s">
        <v>663</v>
      </c>
      <c r="D21" s="627">
        <v>6.748131354883E10</v>
      </c>
      <c r="E21" s="627">
        <v>2.4208077829433002E11</v>
      </c>
    </row>
    <row r="22" ht="14.25" customHeight="1">
      <c r="A22" s="467"/>
      <c r="B22" s="622" t="s">
        <v>664</v>
      </c>
      <c r="C22" s="626" t="s">
        <v>665</v>
      </c>
      <c r="D22" s="627">
        <v>0.0</v>
      </c>
      <c r="E22" s="627">
        <v>0.0</v>
      </c>
    </row>
    <row r="23" ht="14.25" customHeight="1">
      <c r="A23" s="467"/>
      <c r="B23" s="622" t="s">
        <v>666</v>
      </c>
      <c r="C23" s="626" t="s">
        <v>667</v>
      </c>
      <c r="D23" s="627"/>
      <c r="E23" s="627"/>
    </row>
    <row r="24" ht="16.5" customHeight="1">
      <c r="A24" s="467"/>
      <c r="B24" s="622" t="s">
        <v>668</v>
      </c>
      <c r="C24" s="626" t="s">
        <v>669</v>
      </c>
      <c r="D24" s="630"/>
      <c r="E24" s="630"/>
    </row>
    <row r="25" ht="14.25" customHeight="1">
      <c r="A25" s="467"/>
      <c r="B25" s="622" t="s">
        <v>670</v>
      </c>
      <c r="C25" s="626" t="s">
        <v>671</v>
      </c>
      <c r="D25" s="627">
        <v>4.4043326927E8</v>
      </c>
      <c r="E25" s="627"/>
    </row>
    <row r="26" ht="0.75" hidden="1" customHeight="1">
      <c r="A26" s="467"/>
      <c r="B26" s="622" t="s">
        <v>672</v>
      </c>
      <c r="C26" s="626"/>
      <c r="D26" s="627">
        <v>0.0</v>
      </c>
      <c r="E26" s="627">
        <v>0.0</v>
      </c>
    </row>
    <row r="27" ht="14.25" customHeight="1">
      <c r="A27" s="467"/>
      <c r="B27" s="622" t="s">
        <v>673</v>
      </c>
      <c r="C27" s="628" t="s">
        <v>674</v>
      </c>
      <c r="D27" s="629">
        <v>7.73291384871E10</v>
      </c>
      <c r="E27" s="629">
        <v>3.0443560301086E11</v>
      </c>
    </row>
    <row r="28" ht="14.25" customHeight="1">
      <c r="A28" s="467"/>
      <c r="B28" s="622">
        <v>1.3</v>
      </c>
      <c r="C28" s="628" t="s">
        <v>39</v>
      </c>
      <c r="D28" s="631">
        <v>8.037985215724E10</v>
      </c>
      <c r="E28" s="631">
        <v>3.3261063543563E11</v>
      </c>
    </row>
    <row r="29" ht="14.25" customHeight="1">
      <c r="A29" s="467"/>
      <c r="B29" s="622">
        <v>2.0</v>
      </c>
      <c r="C29" s="621" t="s">
        <v>675</v>
      </c>
      <c r="D29" s="632">
        <v>0.0</v>
      </c>
      <c r="E29" s="632">
        <v>0.0</v>
      </c>
    </row>
    <row r="30" ht="14.25" customHeight="1">
      <c r="A30" s="467"/>
      <c r="B30" s="622">
        <v>2.1</v>
      </c>
      <c r="C30" s="622" t="s">
        <v>224</v>
      </c>
      <c r="D30" s="633">
        <v>0.0</v>
      </c>
      <c r="E30" s="633">
        <v>0.0</v>
      </c>
    </row>
    <row r="31" ht="14.25" customHeight="1">
      <c r="A31" s="467"/>
      <c r="B31" s="622" t="s">
        <v>676</v>
      </c>
      <c r="C31" s="622" t="s">
        <v>677</v>
      </c>
      <c r="D31" s="633">
        <v>0.0</v>
      </c>
      <c r="E31" s="633">
        <v>0.0</v>
      </c>
    </row>
    <row r="32" ht="14.25" customHeight="1">
      <c r="A32" s="467"/>
      <c r="B32" s="622" t="s">
        <v>678</v>
      </c>
      <c r="C32" s="626" t="s">
        <v>40</v>
      </c>
      <c r="D32" s="627">
        <v>3.46929476012E9</v>
      </c>
      <c r="E32" s="627">
        <v>8.321900899840001E9</v>
      </c>
    </row>
    <row r="33" ht="14.25" customHeight="1">
      <c r="A33" s="467"/>
      <c r="B33" s="622" t="s">
        <v>679</v>
      </c>
      <c r="C33" s="626" t="s">
        <v>680</v>
      </c>
      <c r="D33" s="627">
        <v>1.3825537559E8</v>
      </c>
      <c r="E33" s="627">
        <v>2.438273137E7</v>
      </c>
    </row>
    <row r="34" ht="14.25" customHeight="1">
      <c r="A34" s="467"/>
      <c r="B34" s="622" t="s">
        <v>681</v>
      </c>
      <c r="C34" s="626" t="s">
        <v>42</v>
      </c>
      <c r="D34" s="627">
        <v>1.3783610412E8</v>
      </c>
      <c r="E34" s="627">
        <v>5.825828558E8</v>
      </c>
    </row>
    <row r="35" ht="14.25" customHeight="1">
      <c r="A35" s="467"/>
      <c r="B35" s="622" t="s">
        <v>682</v>
      </c>
      <c r="C35" s="626" t="s">
        <v>683</v>
      </c>
      <c r="D35" s="627">
        <v>3.238306631E7</v>
      </c>
      <c r="E35" s="627">
        <v>9688806.49</v>
      </c>
    </row>
    <row r="36" ht="14.25" customHeight="1">
      <c r="A36" s="467"/>
      <c r="B36" s="622" t="s">
        <v>684</v>
      </c>
      <c r="C36" s="626" t="s">
        <v>685</v>
      </c>
      <c r="D36" s="627">
        <v>1.14728690017E9</v>
      </c>
      <c r="E36" s="634">
        <v>1.051612376546E10</v>
      </c>
    </row>
    <row r="37" ht="14.25" customHeight="1">
      <c r="A37" s="467"/>
      <c r="B37" s="622" t="s">
        <v>686</v>
      </c>
      <c r="C37" s="626" t="s">
        <v>687</v>
      </c>
      <c r="D37" s="627">
        <v>5.9661408944E8</v>
      </c>
      <c r="E37" s="627">
        <v>3.7334326895E8</v>
      </c>
    </row>
    <row r="38" ht="14.25" customHeight="1">
      <c r="A38" s="467"/>
      <c r="B38" s="622" t="s">
        <v>688</v>
      </c>
      <c r="C38" s="626" t="s">
        <v>689</v>
      </c>
      <c r="D38" s="627">
        <v>1.4934314996E8</v>
      </c>
      <c r="E38" s="627">
        <v>471825.04</v>
      </c>
    </row>
    <row r="39" ht="14.25" customHeight="1">
      <c r="A39" s="467"/>
      <c r="B39" s="622" t="s">
        <v>690</v>
      </c>
      <c r="C39" s="626" t="s">
        <v>691</v>
      </c>
      <c r="D39" s="627">
        <v>2.863317485E7</v>
      </c>
      <c r="E39" s="634">
        <v>1.24863243665E9</v>
      </c>
    </row>
    <row r="40" ht="14.25" customHeight="1">
      <c r="A40" s="467"/>
      <c r="B40" s="622" t="s">
        <v>692</v>
      </c>
      <c r="C40" s="626" t="s">
        <v>693</v>
      </c>
      <c r="D40" s="627">
        <v>0.0</v>
      </c>
      <c r="E40" s="627">
        <v>0.0</v>
      </c>
    </row>
    <row r="41" ht="14.25" customHeight="1">
      <c r="A41" s="467"/>
      <c r="B41" s="622" t="s">
        <v>694</v>
      </c>
      <c r="C41" s="626" t="s">
        <v>695</v>
      </c>
      <c r="D41" s="627">
        <v>1.230782413605E10</v>
      </c>
      <c r="E41" s="627">
        <v>1.168285327171E10</v>
      </c>
    </row>
    <row r="42" ht="14.25" customHeight="1">
      <c r="A42" s="467"/>
      <c r="B42" s="622" t="s">
        <v>696</v>
      </c>
      <c r="C42" s="626" t="s">
        <v>697</v>
      </c>
      <c r="D42" s="627">
        <v>0.0</v>
      </c>
      <c r="E42" s="627">
        <v>0.0</v>
      </c>
    </row>
    <row r="43" ht="15.0" hidden="1" customHeight="1">
      <c r="A43" s="467"/>
      <c r="B43" s="622"/>
      <c r="C43" s="626"/>
      <c r="D43" s="627">
        <v>0.0</v>
      </c>
      <c r="E43" s="627">
        <v>0.0</v>
      </c>
    </row>
    <row r="44" ht="14.25" customHeight="1">
      <c r="A44" s="467"/>
      <c r="B44" s="622"/>
      <c r="C44" s="628" t="s">
        <v>698</v>
      </c>
      <c r="D44" s="629">
        <v>1.800747075661E10</v>
      </c>
      <c r="E44" s="629">
        <v>3.275997986131E10</v>
      </c>
    </row>
    <row r="45" ht="14.25" customHeight="1">
      <c r="A45" s="467"/>
      <c r="B45" s="622" t="s">
        <v>699</v>
      </c>
      <c r="C45" s="628" t="s">
        <v>700</v>
      </c>
      <c r="D45" s="627">
        <v>0.0</v>
      </c>
      <c r="E45" s="627">
        <v>0.0</v>
      </c>
    </row>
    <row r="46" ht="14.25" customHeight="1">
      <c r="A46" s="467"/>
      <c r="B46" s="622" t="s">
        <v>701</v>
      </c>
      <c r="C46" s="626" t="s">
        <v>702</v>
      </c>
      <c r="D46" s="627"/>
      <c r="E46" s="635"/>
    </row>
    <row r="47" ht="14.25" customHeight="1">
      <c r="A47" s="467"/>
      <c r="B47" s="622" t="s">
        <v>703</v>
      </c>
      <c r="C47" s="626" t="s">
        <v>704</v>
      </c>
      <c r="D47" s="627"/>
      <c r="E47" s="627"/>
    </row>
    <row r="48" ht="14.25" customHeight="1">
      <c r="A48" s="467"/>
      <c r="B48" s="622" t="s">
        <v>705</v>
      </c>
      <c r="C48" s="626" t="s">
        <v>706</v>
      </c>
      <c r="D48" s="627">
        <v>3.40520786965E9</v>
      </c>
      <c r="E48" s="634">
        <v>3.03829195496E10</v>
      </c>
    </row>
    <row r="49" ht="14.25" customHeight="1">
      <c r="A49" s="467"/>
      <c r="B49" s="622" t="s">
        <v>707</v>
      </c>
      <c r="C49" s="626" t="s">
        <v>708</v>
      </c>
      <c r="D49" s="627">
        <v>3.1350774952E9</v>
      </c>
      <c r="E49" s="627">
        <v>6.17171836959E9</v>
      </c>
    </row>
    <row r="50" ht="15.0" hidden="1" customHeight="1">
      <c r="A50" s="467"/>
      <c r="B50" s="622" t="s">
        <v>709</v>
      </c>
      <c r="C50" s="626"/>
      <c r="D50" s="627">
        <v>0.0</v>
      </c>
      <c r="E50" s="627">
        <v>0.0</v>
      </c>
    </row>
    <row r="51" ht="14.25" customHeight="1">
      <c r="A51" s="467"/>
      <c r="B51" s="622" t="s">
        <v>710</v>
      </c>
      <c r="C51" s="628" t="s">
        <v>711</v>
      </c>
      <c r="D51" s="629">
        <v>6.54028536485E9</v>
      </c>
      <c r="E51" s="629">
        <v>3.655463791919E10</v>
      </c>
    </row>
    <row r="52" ht="14.25" customHeight="1">
      <c r="A52" s="467"/>
      <c r="B52" s="636">
        <v>2.2</v>
      </c>
      <c r="C52" s="628" t="s">
        <v>45</v>
      </c>
      <c r="D52" s="629">
        <v>2.454775612146E10</v>
      </c>
      <c r="E52" s="629">
        <v>6.93146177805E10</v>
      </c>
    </row>
    <row r="53" ht="14.25" customHeight="1">
      <c r="A53" s="467"/>
      <c r="B53" s="622"/>
      <c r="C53" s="619" t="s">
        <v>712</v>
      </c>
      <c r="D53" s="625">
        <v>0.0</v>
      </c>
      <c r="E53" s="625">
        <v>0.0</v>
      </c>
    </row>
    <row r="54" ht="14.25" customHeight="1">
      <c r="A54" s="467"/>
      <c r="B54" s="622">
        <v>2.3</v>
      </c>
      <c r="C54" s="622" t="s">
        <v>713</v>
      </c>
      <c r="D54" s="629">
        <v>2.8590335E10</v>
      </c>
      <c r="E54" s="629">
        <v>2.8614263E10</v>
      </c>
    </row>
    <row r="55" ht="14.25" customHeight="1">
      <c r="A55" s="467"/>
      <c r="B55" s="622" t="s">
        <v>714</v>
      </c>
      <c r="C55" s="626" t="s">
        <v>715</v>
      </c>
      <c r="D55" s="627">
        <v>0.0</v>
      </c>
      <c r="E55" s="627">
        <v>0.0</v>
      </c>
    </row>
    <row r="56" ht="14.25" customHeight="1">
      <c r="A56" s="467"/>
      <c r="B56" s="622" t="s">
        <v>716</v>
      </c>
      <c r="C56" s="626" t="s">
        <v>717</v>
      </c>
      <c r="D56" s="627">
        <v>2.8590335E10</v>
      </c>
      <c r="E56" s="627">
        <v>2.8614263E10</v>
      </c>
    </row>
    <row r="57" ht="14.25" customHeight="1">
      <c r="A57" s="467"/>
      <c r="B57" s="622" t="s">
        <v>718</v>
      </c>
      <c r="C57" s="626" t="s">
        <v>719</v>
      </c>
      <c r="D57" s="627"/>
      <c r="E57" s="627"/>
    </row>
    <row r="58" ht="14.25" customHeight="1">
      <c r="A58" s="467"/>
      <c r="B58" s="622" t="s">
        <v>720</v>
      </c>
      <c r="C58" s="626" t="s">
        <v>721</v>
      </c>
      <c r="D58" s="627">
        <v>1.414706E9</v>
      </c>
      <c r="E58" s="627"/>
    </row>
    <row r="59" ht="14.25" customHeight="1">
      <c r="A59" s="467"/>
      <c r="B59" s="622" t="s">
        <v>722</v>
      </c>
      <c r="C59" s="626" t="s">
        <v>48</v>
      </c>
      <c r="D59" s="627">
        <v>0.0</v>
      </c>
      <c r="E59" s="627">
        <v>2.92769625E9</v>
      </c>
    </row>
    <row r="60" ht="14.25" customHeight="1">
      <c r="A60" s="467"/>
      <c r="B60" s="622" t="s">
        <v>723</v>
      </c>
      <c r="C60" s="626" t="s">
        <v>724</v>
      </c>
      <c r="D60" s="627"/>
      <c r="E60" s="627"/>
    </row>
    <row r="61" ht="14.25" customHeight="1">
      <c r="A61" s="467"/>
      <c r="B61" s="622" t="s">
        <v>725</v>
      </c>
      <c r="C61" s="626" t="s">
        <v>726</v>
      </c>
      <c r="D61" s="627"/>
      <c r="E61" s="627"/>
    </row>
    <row r="62" ht="14.25" customHeight="1">
      <c r="A62" s="467"/>
      <c r="B62" s="622" t="s">
        <v>727</v>
      </c>
      <c r="C62" s="626" t="s">
        <v>50</v>
      </c>
      <c r="D62" s="627">
        <v>2.72978947930989E10</v>
      </c>
      <c r="E62" s="627">
        <v>2.20420825541E11</v>
      </c>
    </row>
    <row r="63" ht="14.25" customHeight="1">
      <c r="A63" s="467"/>
      <c r="B63" s="622" t="s">
        <v>728</v>
      </c>
      <c r="C63" s="626" t="s">
        <v>51</v>
      </c>
      <c r="D63" s="627">
        <v>1.3585722436422777E9</v>
      </c>
      <c r="E63" s="627">
        <v>1.1333232864130001E10</v>
      </c>
    </row>
    <row r="64" ht="14.25" customHeight="1">
      <c r="A64" s="467"/>
      <c r="B64" s="622" t="s">
        <v>729</v>
      </c>
      <c r="C64" s="626"/>
      <c r="D64" s="627"/>
      <c r="E64" s="627"/>
    </row>
    <row r="65" ht="14.25" customHeight="1">
      <c r="A65" s="467"/>
      <c r="B65" s="622" t="s">
        <v>730</v>
      </c>
      <c r="C65" s="628" t="s">
        <v>54</v>
      </c>
      <c r="D65" s="629">
        <v>5.583209603674118E10</v>
      </c>
      <c r="E65" s="629">
        <v>2.6329601765513E11</v>
      </c>
    </row>
    <row r="66" ht="14.25" customHeight="1">
      <c r="A66" s="467"/>
      <c r="B66" s="622">
        <v>2.4</v>
      </c>
      <c r="C66" s="628" t="s">
        <v>55</v>
      </c>
      <c r="D66" s="631">
        <v>8.037985215820117E10</v>
      </c>
      <c r="E66" s="631">
        <v>3.3261063543563E11</v>
      </c>
    </row>
    <row r="67" ht="14.25" hidden="1" customHeight="1">
      <c r="A67" s="467"/>
      <c r="B67" s="637"/>
      <c r="C67" s="638"/>
      <c r="D67" s="639">
        <v>0.0</v>
      </c>
      <c r="E67" s="639">
        <v>0.0</v>
      </c>
    </row>
    <row r="68" ht="14.25" customHeight="1">
      <c r="A68" s="467"/>
      <c r="B68" s="640"/>
      <c r="C68" s="2"/>
      <c r="D68" s="36">
        <v>0.9611663818359375</v>
      </c>
      <c r="E68" s="36">
        <v>0.0</v>
      </c>
    </row>
    <row r="69" ht="14.25" customHeight="1">
      <c r="A69" s="467"/>
      <c r="B69" s="640"/>
      <c r="C69" s="2"/>
      <c r="D69" s="641"/>
      <c r="E69" s="641"/>
    </row>
    <row r="70" ht="14.25" customHeight="1">
      <c r="A70" s="467"/>
      <c r="B70" s="640"/>
      <c r="C70" s="642" t="s">
        <v>731</v>
      </c>
      <c r="D70" s="643" t="s">
        <v>732</v>
      </c>
      <c r="E70" s="641"/>
    </row>
    <row r="71" ht="14.25" customHeight="1">
      <c r="A71" s="467"/>
      <c r="B71" s="640"/>
      <c r="C71" s="642"/>
      <c r="D71" s="644" t="s">
        <v>733</v>
      </c>
      <c r="E71" s="641"/>
    </row>
    <row r="72" ht="14.25" customHeight="1">
      <c r="A72" s="467"/>
      <c r="B72" s="640"/>
      <c r="C72" s="642" t="s">
        <v>734</v>
      </c>
      <c r="D72" s="645" t="s">
        <v>735</v>
      </c>
      <c r="E72" s="641"/>
    </row>
    <row r="73" ht="14.25" customHeight="1">
      <c r="A73" s="467"/>
      <c r="B73" s="640"/>
      <c r="C73" s="2"/>
      <c r="D73" s="31"/>
      <c r="E73" s="641"/>
    </row>
    <row r="74" ht="14.25" customHeight="1">
      <c r="A74" s="467"/>
      <c r="B74" s="467"/>
      <c r="C74" s="467"/>
      <c r="D74" s="467"/>
      <c r="E74" s="467"/>
    </row>
    <row r="75" ht="14.25" customHeight="1">
      <c r="A75" s="467"/>
      <c r="B75" s="467"/>
      <c r="C75" s="467"/>
      <c r="D75" s="467"/>
      <c r="E75" s="467"/>
    </row>
    <row r="76" ht="14.25" customHeight="1">
      <c r="A76" s="467"/>
      <c r="B76" s="467"/>
      <c r="C76" s="467"/>
      <c r="D76" s="467"/>
      <c r="E76" s="467"/>
    </row>
    <row r="77" ht="14.25" customHeight="1">
      <c r="A77" s="467"/>
      <c r="B77" s="467"/>
      <c r="C77" s="467"/>
      <c r="D77" s="467"/>
      <c r="E77" s="467"/>
    </row>
    <row r="78" ht="14.25" customHeight="1">
      <c r="A78" s="467"/>
      <c r="B78" s="467"/>
      <c r="C78" s="467"/>
      <c r="D78" s="467"/>
      <c r="E78" s="467"/>
    </row>
    <row r="79" ht="14.25" customHeight="1">
      <c r="A79" s="467"/>
      <c r="B79" s="467"/>
      <c r="C79" s="467"/>
      <c r="D79" s="467"/>
      <c r="E79" s="467"/>
    </row>
    <row r="80" ht="14.25" customHeight="1">
      <c r="A80" s="467"/>
      <c r="B80" s="467"/>
      <c r="C80" s="467"/>
      <c r="D80" s="467"/>
      <c r="E80" s="467"/>
    </row>
    <row r="81" ht="14.25" customHeight="1">
      <c r="A81" s="467"/>
      <c r="B81" s="467"/>
      <c r="C81" s="467"/>
      <c r="D81" s="467"/>
      <c r="E81" s="467"/>
    </row>
    <row r="82" ht="14.25" customHeight="1">
      <c r="A82" s="467"/>
      <c r="B82" s="467"/>
      <c r="C82" s="467"/>
      <c r="D82" s="467"/>
      <c r="E82" s="467"/>
    </row>
    <row r="83" ht="14.25" customHeight="1">
      <c r="A83" s="467"/>
      <c r="B83" s="467"/>
      <c r="C83" s="467"/>
      <c r="D83" s="467"/>
      <c r="E83" s="467"/>
    </row>
    <row r="84" ht="14.25" customHeight="1">
      <c r="A84" s="467"/>
      <c r="B84" s="467"/>
      <c r="C84" s="467"/>
      <c r="D84" s="467"/>
      <c r="E84" s="467"/>
    </row>
    <row r="85" ht="14.25" customHeight="1">
      <c r="A85" s="467"/>
      <c r="B85" s="467"/>
      <c r="C85" s="467"/>
      <c r="D85" s="467"/>
      <c r="E85" s="467"/>
    </row>
    <row r="86" ht="14.25" customHeight="1">
      <c r="A86" s="467"/>
      <c r="B86" s="467"/>
      <c r="C86" s="467"/>
      <c r="D86" s="467"/>
      <c r="E86" s="467"/>
    </row>
    <row r="87" ht="14.25" customHeight="1">
      <c r="A87" s="467"/>
      <c r="B87" s="467"/>
      <c r="C87" s="467"/>
      <c r="D87" s="467"/>
      <c r="E87" s="467"/>
    </row>
    <row r="88" ht="14.25" customHeight="1">
      <c r="A88" s="467"/>
      <c r="B88" s="467"/>
      <c r="C88" s="467"/>
      <c r="D88" s="467"/>
      <c r="E88" s="467"/>
    </row>
    <row r="89" ht="14.25" customHeight="1">
      <c r="A89" s="467"/>
      <c r="B89" s="467"/>
      <c r="C89" s="467"/>
      <c r="D89" s="467"/>
      <c r="E89" s="467"/>
    </row>
    <row r="90" ht="14.25" customHeight="1">
      <c r="A90" s="467"/>
      <c r="B90" s="467"/>
      <c r="C90" s="467"/>
      <c r="D90" s="467"/>
      <c r="E90" s="467"/>
    </row>
    <row r="91" ht="14.25" customHeight="1">
      <c r="A91" s="467"/>
      <c r="B91" s="467"/>
      <c r="C91" s="467"/>
      <c r="D91" s="467"/>
      <c r="E91" s="467"/>
    </row>
    <row r="92" ht="14.25" customHeight="1">
      <c r="A92" s="467"/>
      <c r="B92" s="467"/>
      <c r="C92" s="467"/>
      <c r="D92" s="467"/>
      <c r="E92" s="467"/>
    </row>
    <row r="93" ht="14.25" customHeight="1">
      <c r="A93" s="467"/>
      <c r="B93" s="467"/>
      <c r="C93" s="467"/>
      <c r="D93" s="467"/>
      <c r="E93" s="467"/>
    </row>
    <row r="94" ht="14.25" customHeight="1">
      <c r="A94" s="467"/>
      <c r="B94" s="467"/>
      <c r="C94" s="467"/>
      <c r="D94" s="467"/>
      <c r="E94" s="467"/>
    </row>
    <row r="95" ht="14.25" customHeight="1">
      <c r="A95" s="467"/>
      <c r="B95" s="467"/>
      <c r="C95" s="467"/>
      <c r="D95" s="467"/>
      <c r="E95" s="467"/>
    </row>
    <row r="96" ht="14.25" customHeight="1">
      <c r="A96" s="467"/>
      <c r="B96" s="467"/>
      <c r="C96" s="467"/>
      <c r="D96" s="467"/>
      <c r="E96" s="467"/>
    </row>
    <row r="97" ht="14.25" customHeight="1">
      <c r="A97" s="467"/>
      <c r="B97" s="467"/>
      <c r="C97" s="467"/>
      <c r="D97" s="467"/>
      <c r="E97" s="467"/>
    </row>
    <row r="98" ht="14.25" customHeight="1">
      <c r="A98" s="467"/>
      <c r="B98" s="467"/>
      <c r="C98" s="467"/>
      <c r="D98" s="467"/>
      <c r="E98" s="467"/>
    </row>
    <row r="99" ht="14.25" customHeight="1">
      <c r="A99" s="467"/>
      <c r="B99" s="467"/>
      <c r="C99" s="467"/>
      <c r="D99" s="467"/>
      <c r="E99" s="467"/>
    </row>
    <row r="100" ht="14.25" customHeight="1">
      <c r="A100" s="467"/>
      <c r="B100" s="467"/>
      <c r="C100" s="467"/>
      <c r="D100" s="467"/>
      <c r="E100" s="467"/>
    </row>
    <row r="101" ht="14.25" customHeight="1">
      <c r="A101" s="467"/>
      <c r="B101" s="467"/>
      <c r="C101" s="467"/>
      <c r="D101" s="467"/>
      <c r="E101" s="467"/>
    </row>
    <row r="102" ht="14.25" customHeight="1">
      <c r="A102" s="467"/>
      <c r="B102" s="467"/>
      <c r="C102" s="467"/>
      <c r="D102" s="467"/>
      <c r="E102" s="467"/>
    </row>
    <row r="103" ht="14.25" customHeight="1">
      <c r="A103" s="467"/>
      <c r="B103" s="467"/>
      <c r="C103" s="467"/>
      <c r="D103" s="467"/>
      <c r="E103" s="467"/>
    </row>
    <row r="104" ht="14.25" customHeight="1">
      <c r="A104" s="467"/>
      <c r="B104" s="467"/>
      <c r="C104" s="467"/>
      <c r="D104" s="467"/>
      <c r="E104" s="467"/>
    </row>
    <row r="105" ht="14.25" customHeight="1">
      <c r="A105" s="467"/>
      <c r="B105" s="467"/>
      <c r="C105" s="467"/>
      <c r="D105" s="467"/>
      <c r="E105" s="467"/>
    </row>
    <row r="106" ht="14.25" customHeight="1">
      <c r="A106" s="467"/>
      <c r="B106" s="467"/>
      <c r="C106" s="467"/>
      <c r="D106" s="467"/>
      <c r="E106" s="467"/>
    </row>
    <row r="107" ht="14.25" customHeight="1">
      <c r="A107" s="467"/>
      <c r="B107" s="467"/>
      <c r="C107" s="467"/>
      <c r="D107" s="467"/>
      <c r="E107" s="467"/>
    </row>
    <row r="108" ht="14.25" customHeight="1">
      <c r="A108" s="467"/>
      <c r="B108" s="467"/>
      <c r="C108" s="467"/>
      <c r="D108" s="467"/>
      <c r="E108" s="467"/>
    </row>
    <row r="109" ht="14.25" customHeight="1">
      <c r="A109" s="467"/>
      <c r="B109" s="467"/>
      <c r="C109" s="467"/>
      <c r="D109" s="467"/>
      <c r="E109" s="467"/>
    </row>
    <row r="110" ht="14.25" customHeight="1">
      <c r="A110" s="467"/>
      <c r="B110" s="467"/>
      <c r="C110" s="467"/>
      <c r="D110" s="467"/>
      <c r="E110" s="467"/>
    </row>
    <row r="111" ht="14.25" customHeight="1">
      <c r="A111" s="467"/>
      <c r="B111" s="467"/>
      <c r="C111" s="467"/>
      <c r="D111" s="467"/>
      <c r="E111" s="467"/>
    </row>
    <row r="112" ht="14.25" customHeight="1">
      <c r="A112" s="467"/>
      <c r="B112" s="467"/>
      <c r="C112" s="467"/>
      <c r="D112" s="467"/>
      <c r="E112" s="467"/>
    </row>
    <row r="113" ht="14.25" customHeight="1">
      <c r="A113" s="467"/>
      <c r="B113" s="467"/>
      <c r="C113" s="467"/>
      <c r="D113" s="467"/>
      <c r="E113" s="467"/>
    </row>
    <row r="114" ht="14.25" customHeight="1">
      <c r="A114" s="467"/>
      <c r="B114" s="467"/>
      <c r="C114" s="467"/>
      <c r="D114" s="467"/>
      <c r="E114" s="467"/>
    </row>
    <row r="115" ht="14.25" customHeight="1">
      <c r="A115" s="467"/>
      <c r="B115" s="467"/>
      <c r="C115" s="467"/>
      <c r="D115" s="467"/>
      <c r="E115" s="467"/>
    </row>
    <row r="116" ht="14.25" customHeight="1">
      <c r="A116" s="467"/>
      <c r="B116" s="467"/>
      <c r="C116" s="467"/>
      <c r="D116" s="467"/>
      <c r="E116" s="467"/>
    </row>
    <row r="117" ht="14.25" customHeight="1">
      <c r="A117" s="467"/>
      <c r="B117" s="467"/>
      <c r="C117" s="467"/>
      <c r="D117" s="467"/>
      <c r="E117" s="467"/>
    </row>
    <row r="118" ht="14.25" customHeight="1">
      <c r="A118" s="467"/>
      <c r="B118" s="467"/>
      <c r="C118" s="467"/>
      <c r="D118" s="467"/>
      <c r="E118" s="467"/>
    </row>
    <row r="119" ht="14.25" customHeight="1">
      <c r="A119" s="467"/>
      <c r="B119" s="467"/>
      <c r="C119" s="467"/>
      <c r="D119" s="467"/>
      <c r="E119" s="467"/>
    </row>
    <row r="120" ht="14.25" customHeight="1">
      <c r="A120" s="467"/>
      <c r="B120" s="467"/>
      <c r="C120" s="467"/>
      <c r="D120" s="467"/>
      <c r="E120" s="467"/>
    </row>
    <row r="121" ht="14.25" customHeight="1">
      <c r="A121" s="467"/>
      <c r="B121" s="467"/>
      <c r="C121" s="467"/>
      <c r="D121" s="467"/>
      <c r="E121" s="467"/>
    </row>
    <row r="122" ht="14.25" customHeight="1">
      <c r="A122" s="467"/>
      <c r="B122" s="467"/>
      <c r="C122" s="467"/>
      <c r="D122" s="467"/>
      <c r="E122" s="467"/>
    </row>
    <row r="123" ht="14.25" customHeight="1">
      <c r="A123" s="467"/>
      <c r="B123" s="467"/>
      <c r="C123" s="467"/>
      <c r="D123" s="467"/>
      <c r="E123" s="467"/>
    </row>
    <row r="124" ht="14.25" customHeight="1">
      <c r="A124" s="467"/>
      <c r="B124" s="467"/>
      <c r="C124" s="467"/>
      <c r="D124" s="467"/>
      <c r="E124" s="467"/>
    </row>
    <row r="125" ht="14.25" customHeight="1">
      <c r="A125" s="467"/>
      <c r="B125" s="467"/>
      <c r="C125" s="467"/>
      <c r="D125" s="467"/>
      <c r="E125" s="467"/>
    </row>
    <row r="126" ht="14.25" customHeight="1">
      <c r="A126" s="467"/>
      <c r="B126" s="467"/>
      <c r="C126" s="467"/>
      <c r="D126" s="467"/>
      <c r="E126" s="467"/>
    </row>
    <row r="127" ht="14.25" customHeight="1">
      <c r="A127" s="467"/>
      <c r="B127" s="467"/>
      <c r="C127" s="467"/>
      <c r="D127" s="467"/>
      <c r="E127" s="467"/>
    </row>
    <row r="128" ht="14.25" customHeight="1">
      <c r="A128" s="467"/>
      <c r="B128" s="467"/>
      <c r="C128" s="467"/>
      <c r="D128" s="467"/>
      <c r="E128" s="467"/>
    </row>
    <row r="129" ht="14.25" customHeight="1">
      <c r="A129" s="467"/>
      <c r="B129" s="467"/>
      <c r="C129" s="467"/>
      <c r="D129" s="467"/>
      <c r="E129" s="467"/>
    </row>
    <row r="130" ht="14.25" customHeight="1">
      <c r="A130" s="467"/>
      <c r="B130" s="467"/>
      <c r="C130" s="467"/>
      <c r="D130" s="467"/>
      <c r="E130" s="467"/>
    </row>
    <row r="131" ht="14.25" customHeight="1">
      <c r="A131" s="467"/>
      <c r="B131" s="467"/>
      <c r="C131" s="467"/>
      <c r="D131" s="467"/>
      <c r="E131" s="467"/>
    </row>
    <row r="132" ht="14.25" customHeight="1">
      <c r="A132" s="467"/>
      <c r="B132" s="467"/>
      <c r="C132" s="467"/>
      <c r="D132" s="467"/>
      <c r="E132" s="467"/>
    </row>
    <row r="133" ht="14.25" customHeight="1">
      <c r="A133" s="467"/>
      <c r="B133" s="467"/>
      <c r="C133" s="467"/>
      <c r="D133" s="467"/>
      <c r="E133" s="467"/>
    </row>
    <row r="134" ht="14.25" customHeight="1">
      <c r="A134" s="467"/>
      <c r="B134" s="467"/>
      <c r="C134" s="467"/>
      <c r="D134" s="467"/>
      <c r="E134" s="467"/>
    </row>
    <row r="135" ht="14.25" customHeight="1">
      <c r="A135" s="467"/>
      <c r="B135" s="467"/>
      <c r="C135" s="467"/>
      <c r="D135" s="467"/>
      <c r="E135" s="467"/>
    </row>
    <row r="136" ht="14.25" customHeight="1">
      <c r="A136" s="467"/>
      <c r="B136" s="467"/>
      <c r="C136" s="467"/>
      <c r="D136" s="467"/>
      <c r="E136" s="467"/>
    </row>
    <row r="137" ht="14.25" customHeight="1">
      <c r="A137" s="467"/>
      <c r="B137" s="467"/>
      <c r="C137" s="467"/>
      <c r="D137" s="467"/>
      <c r="E137" s="467"/>
    </row>
    <row r="138" ht="14.25" customHeight="1">
      <c r="A138" s="467"/>
      <c r="B138" s="467"/>
      <c r="C138" s="467"/>
      <c r="D138" s="467"/>
      <c r="E138" s="467"/>
    </row>
    <row r="139" ht="14.25" customHeight="1">
      <c r="A139" s="467"/>
      <c r="B139" s="467"/>
      <c r="C139" s="467"/>
      <c r="D139" s="467"/>
      <c r="E139" s="467"/>
    </row>
    <row r="140" ht="14.25" customHeight="1">
      <c r="A140" s="467"/>
      <c r="B140" s="467"/>
      <c r="C140" s="467"/>
      <c r="D140" s="467"/>
      <c r="E140" s="467"/>
    </row>
    <row r="141" ht="14.25" customHeight="1">
      <c r="A141" s="467"/>
      <c r="B141" s="467"/>
      <c r="C141" s="467"/>
      <c r="D141" s="467"/>
      <c r="E141" s="467"/>
    </row>
    <row r="142" ht="14.25" customHeight="1">
      <c r="A142" s="467"/>
      <c r="B142" s="467"/>
      <c r="C142" s="467"/>
      <c r="D142" s="467"/>
      <c r="E142" s="467"/>
    </row>
    <row r="143" ht="14.25" customHeight="1">
      <c r="A143" s="467"/>
      <c r="B143" s="467"/>
      <c r="C143" s="467"/>
      <c r="D143" s="467"/>
      <c r="E143" s="467"/>
    </row>
    <row r="144" ht="14.25" customHeight="1">
      <c r="A144" s="467"/>
      <c r="B144" s="467"/>
      <c r="C144" s="467"/>
      <c r="D144" s="467"/>
      <c r="E144" s="467"/>
    </row>
    <row r="145" ht="14.25" customHeight="1">
      <c r="A145" s="467"/>
      <c r="B145" s="467"/>
      <c r="C145" s="467"/>
      <c r="D145" s="467"/>
      <c r="E145" s="467"/>
    </row>
    <row r="146" ht="14.25" customHeight="1">
      <c r="A146" s="467"/>
      <c r="B146" s="467"/>
      <c r="C146" s="467"/>
      <c r="D146" s="467"/>
      <c r="E146" s="467"/>
    </row>
    <row r="147" ht="14.25" customHeight="1">
      <c r="A147" s="467"/>
      <c r="B147" s="467"/>
      <c r="C147" s="467"/>
      <c r="D147" s="467"/>
      <c r="E147" s="467"/>
    </row>
    <row r="148" ht="14.25" customHeight="1">
      <c r="A148" s="467"/>
      <c r="B148" s="467"/>
      <c r="C148" s="467"/>
      <c r="D148" s="467"/>
      <c r="E148" s="467"/>
    </row>
    <row r="149" ht="14.25" customHeight="1">
      <c r="A149" s="467"/>
      <c r="B149" s="467"/>
      <c r="C149" s="467"/>
      <c r="D149" s="467"/>
      <c r="E149" s="467"/>
    </row>
    <row r="150" ht="14.25" customHeight="1">
      <c r="A150" s="467"/>
      <c r="B150" s="467"/>
      <c r="C150" s="467"/>
      <c r="D150" s="467"/>
      <c r="E150" s="467"/>
    </row>
    <row r="151" ht="14.25" customHeight="1">
      <c r="A151" s="467"/>
      <c r="B151" s="467"/>
      <c r="C151" s="467"/>
      <c r="D151" s="467"/>
      <c r="E151" s="467"/>
    </row>
    <row r="152" ht="14.25" customHeight="1">
      <c r="A152" s="467"/>
      <c r="B152" s="467"/>
      <c r="C152" s="467"/>
      <c r="D152" s="467"/>
      <c r="E152" s="467"/>
    </row>
    <row r="153" ht="14.25" customHeight="1">
      <c r="A153" s="467"/>
      <c r="B153" s="467"/>
      <c r="C153" s="467"/>
      <c r="D153" s="467"/>
      <c r="E153" s="467"/>
    </row>
    <row r="154" ht="14.25" customHeight="1">
      <c r="A154" s="467"/>
      <c r="B154" s="467"/>
      <c r="C154" s="467"/>
      <c r="D154" s="467"/>
      <c r="E154" s="467"/>
    </row>
    <row r="155" ht="14.25" customHeight="1">
      <c r="A155" s="467"/>
      <c r="B155" s="467"/>
      <c r="C155" s="467"/>
      <c r="D155" s="467"/>
      <c r="E155" s="467"/>
    </row>
    <row r="156" ht="14.25" customHeight="1">
      <c r="A156" s="467"/>
      <c r="B156" s="467"/>
      <c r="C156" s="467"/>
      <c r="D156" s="467"/>
      <c r="E156" s="467"/>
    </row>
    <row r="157" ht="14.25" customHeight="1">
      <c r="A157" s="467"/>
      <c r="B157" s="467"/>
      <c r="C157" s="467"/>
      <c r="D157" s="467"/>
      <c r="E157" s="467"/>
    </row>
    <row r="158" ht="14.25" customHeight="1">
      <c r="A158" s="467"/>
      <c r="B158" s="467"/>
      <c r="C158" s="467"/>
      <c r="D158" s="467"/>
      <c r="E158" s="467"/>
    </row>
    <row r="159" ht="14.25" customHeight="1">
      <c r="A159" s="467"/>
      <c r="B159" s="467"/>
      <c r="C159" s="467"/>
      <c r="D159" s="467"/>
      <c r="E159" s="467"/>
    </row>
    <row r="160" ht="14.25" customHeight="1">
      <c r="A160" s="467"/>
      <c r="B160" s="467"/>
      <c r="C160" s="467"/>
      <c r="D160" s="467"/>
      <c r="E160" s="467"/>
    </row>
    <row r="161" ht="14.25" customHeight="1">
      <c r="A161" s="467"/>
      <c r="B161" s="467"/>
      <c r="C161" s="467"/>
      <c r="D161" s="467"/>
      <c r="E161" s="467"/>
    </row>
    <row r="162" ht="14.25" customHeight="1">
      <c r="A162" s="467"/>
      <c r="B162" s="467"/>
      <c r="C162" s="467"/>
      <c r="D162" s="467"/>
      <c r="E162" s="467"/>
    </row>
    <row r="163" ht="14.25" customHeight="1">
      <c r="A163" s="467"/>
      <c r="B163" s="467"/>
      <c r="C163" s="467"/>
      <c r="D163" s="467"/>
      <c r="E163" s="467"/>
    </row>
    <row r="164" ht="14.25" customHeight="1">
      <c r="A164" s="467"/>
      <c r="B164" s="467"/>
      <c r="C164" s="467"/>
      <c r="D164" s="467"/>
      <c r="E164" s="467"/>
    </row>
    <row r="165" ht="14.25" customHeight="1">
      <c r="A165" s="467"/>
      <c r="B165" s="467"/>
      <c r="C165" s="467"/>
      <c r="D165" s="467"/>
      <c r="E165" s="467"/>
    </row>
    <row r="166" ht="14.25" customHeight="1">
      <c r="A166" s="467"/>
      <c r="B166" s="467"/>
      <c r="C166" s="467"/>
      <c r="D166" s="467"/>
      <c r="E166" s="467"/>
    </row>
    <row r="167" ht="14.25" customHeight="1">
      <c r="A167" s="467"/>
      <c r="B167" s="467"/>
      <c r="C167" s="467"/>
      <c r="D167" s="467"/>
      <c r="E167" s="467"/>
    </row>
    <row r="168" ht="14.25" customHeight="1">
      <c r="A168" s="467"/>
      <c r="B168" s="467"/>
      <c r="C168" s="467"/>
      <c r="D168" s="467"/>
      <c r="E168" s="467"/>
    </row>
    <row r="169" ht="14.25" customHeight="1">
      <c r="A169" s="467"/>
      <c r="B169" s="467"/>
      <c r="C169" s="467"/>
      <c r="D169" s="467"/>
      <c r="E169" s="467"/>
    </row>
    <row r="170" ht="14.25" customHeight="1">
      <c r="A170" s="467"/>
      <c r="B170" s="467"/>
      <c r="C170" s="467"/>
      <c r="D170" s="467"/>
      <c r="E170" s="467"/>
    </row>
    <row r="171" ht="14.25" customHeight="1">
      <c r="A171" s="467"/>
      <c r="B171" s="467"/>
      <c r="C171" s="467"/>
      <c r="D171" s="467"/>
      <c r="E171" s="467"/>
    </row>
    <row r="172" ht="14.25" customHeight="1">
      <c r="A172" s="467"/>
      <c r="B172" s="467"/>
      <c r="C172" s="467"/>
      <c r="D172" s="467"/>
      <c r="E172" s="467"/>
    </row>
    <row r="173" ht="14.25" customHeight="1">
      <c r="A173" s="467"/>
      <c r="B173" s="467"/>
      <c r="C173" s="467"/>
      <c r="D173" s="467"/>
      <c r="E173" s="467"/>
    </row>
    <row r="174" ht="14.25" customHeight="1">
      <c r="A174" s="467"/>
      <c r="B174" s="467"/>
      <c r="C174" s="467"/>
      <c r="D174" s="467"/>
      <c r="E174" s="467"/>
    </row>
    <row r="175" ht="14.25" customHeight="1">
      <c r="A175" s="467"/>
      <c r="B175" s="467"/>
      <c r="C175" s="467"/>
      <c r="D175" s="467"/>
      <c r="E175" s="467"/>
    </row>
    <row r="176" ht="14.25" customHeight="1">
      <c r="A176" s="467"/>
      <c r="B176" s="467"/>
      <c r="C176" s="467"/>
      <c r="D176" s="467"/>
      <c r="E176" s="467"/>
    </row>
    <row r="177" ht="14.25" customHeight="1">
      <c r="A177" s="467"/>
      <c r="B177" s="467"/>
      <c r="C177" s="467"/>
      <c r="D177" s="467"/>
      <c r="E177" s="467"/>
    </row>
    <row r="178" ht="14.25" customHeight="1">
      <c r="A178" s="467"/>
      <c r="B178" s="467"/>
      <c r="C178" s="467"/>
      <c r="D178" s="467"/>
      <c r="E178" s="467"/>
    </row>
    <row r="179" ht="14.25" customHeight="1">
      <c r="A179" s="467"/>
      <c r="B179" s="467"/>
      <c r="C179" s="467"/>
      <c r="D179" s="467"/>
      <c r="E179" s="467"/>
    </row>
    <row r="180" ht="14.25" customHeight="1">
      <c r="A180" s="467"/>
      <c r="B180" s="467"/>
      <c r="C180" s="467"/>
      <c r="D180" s="467"/>
      <c r="E180" s="467"/>
    </row>
    <row r="181" ht="14.25" customHeight="1">
      <c r="A181" s="467"/>
      <c r="B181" s="467"/>
      <c r="C181" s="467"/>
      <c r="D181" s="467"/>
      <c r="E181" s="467"/>
    </row>
    <row r="182" ht="14.25" customHeight="1">
      <c r="A182" s="467"/>
      <c r="B182" s="467"/>
      <c r="C182" s="467"/>
      <c r="D182" s="467"/>
      <c r="E182" s="467"/>
    </row>
    <row r="183" ht="14.25" customHeight="1">
      <c r="A183" s="467"/>
      <c r="B183" s="467"/>
      <c r="C183" s="467"/>
      <c r="D183" s="467"/>
      <c r="E183" s="467"/>
    </row>
    <row r="184" ht="14.25" customHeight="1">
      <c r="A184" s="467"/>
      <c r="B184" s="467"/>
      <c r="C184" s="467"/>
      <c r="D184" s="467"/>
      <c r="E184" s="467"/>
    </row>
    <row r="185" ht="14.25" customHeight="1">
      <c r="A185" s="467"/>
      <c r="B185" s="467"/>
      <c r="C185" s="467"/>
      <c r="D185" s="467"/>
      <c r="E185" s="467"/>
    </row>
    <row r="186" ht="14.25" customHeight="1">
      <c r="A186" s="467"/>
      <c r="B186" s="467"/>
      <c r="C186" s="467"/>
      <c r="D186" s="467"/>
      <c r="E186" s="467"/>
    </row>
    <row r="187" ht="14.25" customHeight="1">
      <c r="A187" s="467"/>
      <c r="B187" s="467"/>
      <c r="C187" s="467"/>
      <c r="D187" s="467"/>
      <c r="E187" s="467"/>
    </row>
    <row r="188" ht="14.25" customHeight="1">
      <c r="A188" s="467"/>
      <c r="B188" s="467"/>
      <c r="C188" s="467"/>
      <c r="D188" s="467"/>
      <c r="E188" s="467"/>
    </row>
    <row r="189" ht="14.25" customHeight="1">
      <c r="A189" s="467"/>
      <c r="B189" s="467"/>
      <c r="C189" s="467"/>
      <c r="D189" s="467"/>
      <c r="E189" s="467"/>
    </row>
    <row r="190" ht="14.25" customHeight="1">
      <c r="A190" s="467"/>
      <c r="B190" s="467"/>
      <c r="C190" s="467"/>
      <c r="D190" s="467"/>
      <c r="E190" s="467"/>
    </row>
    <row r="191" ht="14.25" customHeight="1">
      <c r="A191" s="467"/>
      <c r="B191" s="467"/>
      <c r="C191" s="467"/>
      <c r="D191" s="467"/>
      <c r="E191" s="467"/>
    </row>
    <row r="192" ht="14.25" customHeight="1">
      <c r="A192" s="467"/>
      <c r="B192" s="467"/>
      <c r="C192" s="467"/>
      <c r="D192" s="467"/>
      <c r="E192" s="467"/>
    </row>
    <row r="193" ht="14.25" customHeight="1">
      <c r="A193" s="467"/>
      <c r="B193" s="467"/>
      <c r="C193" s="467"/>
      <c r="D193" s="467"/>
      <c r="E193" s="467"/>
    </row>
    <row r="194" ht="14.25" customHeight="1">
      <c r="A194" s="467"/>
      <c r="B194" s="467"/>
      <c r="C194" s="467"/>
      <c r="D194" s="467"/>
      <c r="E194" s="467"/>
    </row>
    <row r="195" ht="14.25" customHeight="1">
      <c r="A195" s="467"/>
      <c r="B195" s="467"/>
      <c r="C195" s="467"/>
      <c r="D195" s="467"/>
      <c r="E195" s="467"/>
    </row>
    <row r="196" ht="14.25" customHeight="1">
      <c r="A196" s="467"/>
      <c r="B196" s="467"/>
      <c r="C196" s="467"/>
      <c r="D196" s="467"/>
      <c r="E196" s="467"/>
    </row>
    <row r="197" ht="14.25" customHeight="1">
      <c r="A197" s="467"/>
      <c r="B197" s="467"/>
      <c r="C197" s="467"/>
      <c r="D197" s="467"/>
      <c r="E197" s="467"/>
    </row>
    <row r="198" ht="14.25" customHeight="1">
      <c r="A198" s="467"/>
      <c r="B198" s="467"/>
      <c r="C198" s="467"/>
      <c r="D198" s="467"/>
      <c r="E198" s="467"/>
    </row>
    <row r="199" ht="14.25" customHeight="1">
      <c r="A199" s="467"/>
      <c r="B199" s="467"/>
      <c r="C199" s="467"/>
      <c r="D199" s="467"/>
      <c r="E199" s="467"/>
    </row>
    <row r="200" ht="14.25" customHeight="1">
      <c r="A200" s="467"/>
      <c r="B200" s="467"/>
      <c r="C200" s="467"/>
      <c r="D200" s="467"/>
      <c r="E200" s="467"/>
    </row>
    <row r="201" ht="14.25" customHeight="1">
      <c r="A201" s="467"/>
      <c r="B201" s="467"/>
      <c r="C201" s="467"/>
      <c r="D201" s="467"/>
      <c r="E201" s="467"/>
    </row>
    <row r="202" ht="14.25" customHeight="1">
      <c r="A202" s="467"/>
      <c r="B202" s="467"/>
      <c r="C202" s="467"/>
      <c r="D202" s="467"/>
      <c r="E202" s="467"/>
    </row>
    <row r="203" ht="14.25" customHeight="1">
      <c r="A203" s="467"/>
      <c r="B203" s="467"/>
      <c r="C203" s="467"/>
      <c r="D203" s="467"/>
      <c r="E203" s="467"/>
    </row>
    <row r="204" ht="14.25" customHeight="1">
      <c r="A204" s="467"/>
      <c r="B204" s="467"/>
      <c r="C204" s="467"/>
      <c r="D204" s="467"/>
      <c r="E204" s="467"/>
    </row>
    <row r="205" ht="14.25" customHeight="1">
      <c r="A205" s="467"/>
      <c r="B205" s="467"/>
      <c r="C205" s="467"/>
      <c r="D205" s="467"/>
      <c r="E205" s="467"/>
    </row>
    <row r="206" ht="14.25" customHeight="1">
      <c r="A206" s="467"/>
      <c r="B206" s="467"/>
      <c r="C206" s="467"/>
      <c r="D206" s="467"/>
      <c r="E206" s="467"/>
    </row>
    <row r="207" ht="14.25" customHeight="1">
      <c r="A207" s="467"/>
      <c r="B207" s="467"/>
      <c r="C207" s="467"/>
      <c r="D207" s="467"/>
      <c r="E207" s="467"/>
    </row>
    <row r="208" ht="14.25" customHeight="1">
      <c r="A208" s="467"/>
      <c r="B208" s="467"/>
      <c r="C208" s="467"/>
      <c r="D208" s="467"/>
      <c r="E208" s="467"/>
    </row>
    <row r="209" ht="14.25" customHeight="1">
      <c r="A209" s="467"/>
      <c r="B209" s="467"/>
      <c r="C209" s="467"/>
      <c r="D209" s="467"/>
      <c r="E209" s="467"/>
    </row>
    <row r="210" ht="14.25" customHeight="1">
      <c r="A210" s="467"/>
      <c r="B210" s="467"/>
      <c r="C210" s="467"/>
      <c r="D210" s="467"/>
      <c r="E210" s="467"/>
    </row>
    <row r="211" ht="14.25" customHeight="1">
      <c r="A211" s="467"/>
      <c r="B211" s="467"/>
      <c r="C211" s="467"/>
      <c r="D211" s="467"/>
      <c r="E211" s="467"/>
    </row>
    <row r="212" ht="14.25" customHeight="1">
      <c r="A212" s="467"/>
      <c r="B212" s="467"/>
      <c r="C212" s="467"/>
      <c r="D212" s="467"/>
      <c r="E212" s="467"/>
    </row>
    <row r="213" ht="14.25" customHeight="1">
      <c r="A213" s="467"/>
      <c r="B213" s="467"/>
      <c r="C213" s="467"/>
      <c r="D213" s="467"/>
      <c r="E213" s="467"/>
    </row>
    <row r="214" ht="14.25" customHeight="1">
      <c r="A214" s="467"/>
      <c r="B214" s="467"/>
      <c r="C214" s="467"/>
      <c r="D214" s="467"/>
      <c r="E214" s="467"/>
    </row>
    <row r="215" ht="14.25" customHeight="1">
      <c r="A215" s="467"/>
      <c r="B215" s="467"/>
      <c r="C215" s="467"/>
      <c r="D215" s="467"/>
      <c r="E215" s="467"/>
    </row>
    <row r="216" ht="14.25" customHeight="1">
      <c r="A216" s="467"/>
      <c r="B216" s="467"/>
      <c r="C216" s="467"/>
      <c r="D216" s="467"/>
      <c r="E216" s="467"/>
    </row>
    <row r="217" ht="14.25" customHeight="1">
      <c r="A217" s="467"/>
      <c r="B217" s="467"/>
      <c r="C217" s="467"/>
      <c r="D217" s="467"/>
      <c r="E217" s="467"/>
    </row>
    <row r="218" ht="14.25" customHeight="1">
      <c r="A218" s="467"/>
      <c r="B218" s="467"/>
      <c r="C218" s="467"/>
      <c r="D218" s="467"/>
      <c r="E218" s="467"/>
    </row>
    <row r="219" ht="14.25" customHeight="1">
      <c r="A219" s="467"/>
      <c r="B219" s="467"/>
      <c r="C219" s="467"/>
      <c r="D219" s="467"/>
      <c r="E219" s="467"/>
    </row>
    <row r="220" ht="14.25" customHeight="1">
      <c r="A220" s="467"/>
      <c r="B220" s="467"/>
      <c r="C220" s="467"/>
      <c r="D220" s="467"/>
      <c r="E220" s="467"/>
    </row>
    <row r="221" ht="14.25" customHeight="1">
      <c r="A221" s="467"/>
      <c r="B221" s="467"/>
      <c r="C221" s="467"/>
      <c r="D221" s="467"/>
      <c r="E221" s="467"/>
    </row>
    <row r="222" ht="14.25" customHeight="1">
      <c r="A222" s="467"/>
      <c r="B222" s="467"/>
      <c r="C222" s="467"/>
      <c r="D222" s="467"/>
      <c r="E222" s="467"/>
    </row>
    <row r="223" ht="14.25" customHeight="1">
      <c r="A223" s="467"/>
      <c r="B223" s="467"/>
      <c r="C223" s="467"/>
      <c r="D223" s="467"/>
      <c r="E223" s="467"/>
    </row>
    <row r="224" ht="14.25" customHeight="1">
      <c r="A224" s="467"/>
      <c r="B224" s="467"/>
      <c r="C224" s="467"/>
      <c r="D224" s="467"/>
      <c r="E224" s="467"/>
    </row>
    <row r="225" ht="14.25" customHeight="1">
      <c r="A225" s="467"/>
      <c r="B225" s="467"/>
      <c r="C225" s="467"/>
      <c r="D225" s="467"/>
      <c r="E225" s="467"/>
    </row>
    <row r="226" ht="14.25" customHeight="1">
      <c r="A226" s="467"/>
      <c r="B226" s="467"/>
      <c r="C226" s="467"/>
      <c r="D226" s="467"/>
      <c r="E226" s="467"/>
    </row>
    <row r="227" ht="14.25" customHeight="1">
      <c r="A227" s="467"/>
      <c r="B227" s="467"/>
      <c r="C227" s="467"/>
      <c r="D227" s="467"/>
      <c r="E227" s="467"/>
    </row>
    <row r="228" ht="14.25" customHeight="1">
      <c r="A228" s="467"/>
      <c r="B228" s="467"/>
      <c r="C228" s="467"/>
      <c r="D228" s="467"/>
      <c r="E228" s="467"/>
    </row>
    <row r="229" ht="14.25" customHeight="1">
      <c r="A229" s="467"/>
      <c r="B229" s="467"/>
      <c r="C229" s="467"/>
      <c r="D229" s="467"/>
      <c r="E229" s="467"/>
    </row>
    <row r="230" ht="14.25" customHeight="1">
      <c r="A230" s="467"/>
      <c r="B230" s="467"/>
      <c r="C230" s="467"/>
      <c r="D230" s="467"/>
      <c r="E230" s="467"/>
    </row>
    <row r="231" ht="14.25" customHeight="1">
      <c r="A231" s="467"/>
      <c r="B231" s="467"/>
      <c r="C231" s="467"/>
      <c r="D231" s="467"/>
      <c r="E231" s="467"/>
    </row>
    <row r="232" ht="14.25" customHeight="1">
      <c r="A232" s="467"/>
      <c r="B232" s="467"/>
      <c r="C232" s="467"/>
      <c r="D232" s="467"/>
      <c r="E232" s="467"/>
    </row>
    <row r="233" ht="14.25" customHeight="1">
      <c r="A233" s="467"/>
      <c r="B233" s="467"/>
      <c r="C233" s="467"/>
      <c r="D233" s="467"/>
      <c r="E233" s="467"/>
    </row>
    <row r="234" ht="14.25" customHeight="1">
      <c r="A234" s="467"/>
      <c r="B234" s="467"/>
      <c r="C234" s="467"/>
      <c r="D234" s="467"/>
      <c r="E234" s="467"/>
    </row>
    <row r="235" ht="14.25" customHeight="1">
      <c r="A235" s="467"/>
      <c r="B235" s="467"/>
      <c r="C235" s="467"/>
      <c r="D235" s="467"/>
      <c r="E235" s="467"/>
    </row>
    <row r="236" ht="14.25" customHeight="1">
      <c r="A236" s="467"/>
      <c r="B236" s="467"/>
      <c r="C236" s="467"/>
      <c r="D236" s="467"/>
      <c r="E236" s="467"/>
    </row>
    <row r="237" ht="14.25" customHeight="1">
      <c r="A237" s="467"/>
      <c r="B237" s="467"/>
      <c r="C237" s="467"/>
      <c r="D237" s="467"/>
      <c r="E237" s="467"/>
    </row>
    <row r="238" ht="14.25" customHeight="1">
      <c r="A238" s="467"/>
      <c r="B238" s="467"/>
      <c r="C238" s="467"/>
      <c r="D238" s="467"/>
      <c r="E238" s="467"/>
    </row>
    <row r="239" ht="14.25" customHeight="1">
      <c r="A239" s="467"/>
      <c r="B239" s="467"/>
      <c r="C239" s="467"/>
      <c r="D239" s="467"/>
      <c r="E239" s="467"/>
    </row>
    <row r="240" ht="14.25" customHeight="1">
      <c r="A240" s="467"/>
      <c r="B240" s="467"/>
      <c r="C240" s="467"/>
      <c r="D240" s="467"/>
      <c r="E240" s="467"/>
    </row>
    <row r="241" ht="14.25" customHeight="1">
      <c r="A241" s="467"/>
      <c r="B241" s="467"/>
      <c r="C241" s="467"/>
      <c r="D241" s="467"/>
      <c r="E241" s="467"/>
    </row>
    <row r="242" ht="14.25" customHeight="1">
      <c r="A242" s="467"/>
      <c r="B242" s="467"/>
      <c r="C242" s="467"/>
      <c r="D242" s="467"/>
      <c r="E242" s="467"/>
    </row>
    <row r="243" ht="14.25" customHeight="1">
      <c r="A243" s="467"/>
      <c r="B243" s="467"/>
      <c r="C243" s="467"/>
      <c r="D243" s="467"/>
      <c r="E243" s="467"/>
    </row>
    <row r="244" ht="14.25" customHeight="1">
      <c r="A244" s="467"/>
      <c r="B244" s="467"/>
      <c r="C244" s="467"/>
      <c r="D244" s="467"/>
      <c r="E244" s="467"/>
    </row>
    <row r="245" ht="14.25" customHeight="1">
      <c r="A245" s="467"/>
      <c r="B245" s="467"/>
      <c r="C245" s="467"/>
      <c r="D245" s="467"/>
      <c r="E245" s="467"/>
    </row>
    <row r="246" ht="14.25" customHeight="1">
      <c r="A246" s="467"/>
      <c r="B246" s="467"/>
      <c r="C246" s="467"/>
      <c r="D246" s="467"/>
      <c r="E246" s="467"/>
    </row>
    <row r="247" ht="14.25" customHeight="1">
      <c r="A247" s="467"/>
      <c r="B247" s="467"/>
      <c r="C247" s="467"/>
      <c r="D247" s="467"/>
      <c r="E247" s="467"/>
    </row>
    <row r="248" ht="14.25" customHeight="1">
      <c r="A248" s="467"/>
      <c r="B248" s="467"/>
      <c r="C248" s="467"/>
      <c r="D248" s="467"/>
      <c r="E248" s="467"/>
    </row>
    <row r="249" ht="14.25" customHeight="1">
      <c r="A249" s="467"/>
      <c r="B249" s="467"/>
      <c r="C249" s="467"/>
      <c r="D249" s="467"/>
      <c r="E249" s="467"/>
    </row>
    <row r="250" ht="14.25" customHeight="1">
      <c r="A250" s="467"/>
      <c r="B250" s="467"/>
      <c r="C250" s="467"/>
      <c r="D250" s="467"/>
      <c r="E250" s="467"/>
    </row>
    <row r="251" ht="14.25" customHeight="1">
      <c r="A251" s="467"/>
      <c r="B251" s="467"/>
      <c r="C251" s="467"/>
      <c r="D251" s="467"/>
      <c r="E251" s="467"/>
    </row>
    <row r="252" ht="14.25" customHeight="1">
      <c r="A252" s="467"/>
      <c r="B252" s="467"/>
      <c r="C252" s="467"/>
      <c r="D252" s="467"/>
      <c r="E252" s="467"/>
    </row>
    <row r="253" ht="14.25" customHeight="1">
      <c r="A253" s="467"/>
      <c r="B253" s="467"/>
      <c r="C253" s="467"/>
      <c r="D253" s="467"/>
      <c r="E253" s="467"/>
    </row>
    <row r="254" ht="14.25" customHeight="1">
      <c r="A254" s="467"/>
      <c r="B254" s="467"/>
      <c r="C254" s="467"/>
      <c r="D254" s="467"/>
      <c r="E254" s="467"/>
    </row>
    <row r="255" ht="14.25" customHeight="1">
      <c r="A255" s="467"/>
      <c r="B255" s="467"/>
      <c r="C255" s="467"/>
      <c r="D255" s="467"/>
      <c r="E255" s="467"/>
    </row>
    <row r="256" ht="14.25" customHeight="1">
      <c r="A256" s="467"/>
      <c r="B256" s="467"/>
      <c r="C256" s="467"/>
      <c r="D256" s="467"/>
      <c r="E256" s="467"/>
    </row>
    <row r="257" ht="14.25" customHeight="1">
      <c r="A257" s="467"/>
      <c r="B257" s="467"/>
      <c r="C257" s="467"/>
      <c r="D257" s="467"/>
      <c r="E257" s="467"/>
    </row>
    <row r="258" ht="14.25" customHeight="1">
      <c r="A258" s="467"/>
      <c r="B258" s="467"/>
      <c r="C258" s="467"/>
      <c r="D258" s="467"/>
      <c r="E258" s="467"/>
    </row>
    <row r="259" ht="14.25" customHeight="1">
      <c r="A259" s="467"/>
      <c r="B259" s="467"/>
      <c r="C259" s="467"/>
      <c r="D259" s="467"/>
      <c r="E259" s="467"/>
    </row>
    <row r="260" ht="14.25" customHeight="1">
      <c r="A260" s="467"/>
      <c r="B260" s="467"/>
      <c r="C260" s="467"/>
      <c r="D260" s="467"/>
      <c r="E260" s="467"/>
    </row>
    <row r="261" ht="14.25" customHeight="1">
      <c r="A261" s="467"/>
      <c r="B261" s="467"/>
      <c r="C261" s="467"/>
      <c r="D261" s="467"/>
      <c r="E261" s="467"/>
    </row>
    <row r="262" ht="14.25" customHeight="1">
      <c r="A262" s="467"/>
      <c r="B262" s="467"/>
      <c r="C262" s="467"/>
      <c r="D262" s="467"/>
      <c r="E262" s="467"/>
    </row>
    <row r="263" ht="14.25" customHeight="1">
      <c r="A263" s="467"/>
      <c r="B263" s="467"/>
      <c r="C263" s="467"/>
      <c r="D263" s="467"/>
      <c r="E263" s="467"/>
    </row>
    <row r="264" ht="14.25" customHeight="1">
      <c r="A264" s="467"/>
      <c r="B264" s="467"/>
      <c r="C264" s="467"/>
      <c r="D264" s="467"/>
      <c r="E264" s="467"/>
    </row>
    <row r="265" ht="14.25" customHeight="1">
      <c r="A265" s="467"/>
      <c r="B265" s="467"/>
      <c r="C265" s="467"/>
      <c r="D265" s="467"/>
      <c r="E265" s="467"/>
    </row>
    <row r="266" ht="14.25" customHeight="1">
      <c r="A266" s="467"/>
      <c r="B266" s="467"/>
      <c r="C266" s="467"/>
      <c r="D266" s="467"/>
      <c r="E266" s="467"/>
    </row>
    <row r="267" ht="14.25" customHeight="1">
      <c r="A267" s="467"/>
      <c r="B267" s="467"/>
      <c r="C267" s="467"/>
      <c r="D267" s="467"/>
      <c r="E267" s="467"/>
    </row>
    <row r="268" ht="14.25" customHeight="1">
      <c r="A268" s="467"/>
      <c r="B268" s="467"/>
      <c r="C268" s="467"/>
      <c r="D268" s="467"/>
      <c r="E268" s="467"/>
    </row>
    <row r="269" ht="14.25" customHeight="1">
      <c r="A269" s="467"/>
      <c r="B269" s="467"/>
      <c r="C269" s="467"/>
      <c r="D269" s="467"/>
      <c r="E269" s="467"/>
    </row>
    <row r="270" ht="14.25" customHeight="1">
      <c r="A270" s="467"/>
      <c r="B270" s="467"/>
      <c r="C270" s="467"/>
      <c r="D270" s="467"/>
      <c r="E270" s="467"/>
    </row>
    <row r="271" ht="14.25" customHeight="1">
      <c r="A271" s="467"/>
      <c r="B271" s="467"/>
      <c r="C271" s="467"/>
      <c r="D271" s="467"/>
      <c r="E271" s="467"/>
    </row>
    <row r="272" ht="14.25" customHeight="1">
      <c r="A272" s="467"/>
      <c r="B272" s="467"/>
      <c r="C272" s="467"/>
      <c r="D272" s="467"/>
      <c r="E272" s="467"/>
    </row>
    <row r="273" ht="14.25" customHeight="1">
      <c r="A273" s="467"/>
      <c r="B273" s="467"/>
      <c r="C273" s="467"/>
      <c r="D273" s="467"/>
      <c r="E273" s="467"/>
    </row>
    <row r="274" ht="14.25" customHeight="1">
      <c r="A274" s="467"/>
      <c r="B274" s="467"/>
      <c r="C274" s="467"/>
      <c r="D274" s="467"/>
      <c r="E274" s="467"/>
    </row>
    <row r="275" ht="14.25" customHeight="1">
      <c r="A275" s="467"/>
      <c r="B275" s="467"/>
      <c r="C275" s="467"/>
      <c r="D275" s="467"/>
      <c r="E275" s="467"/>
    </row>
    <row r="276" ht="14.25" customHeight="1">
      <c r="A276" s="467"/>
      <c r="B276" s="467"/>
      <c r="C276" s="467"/>
      <c r="D276" s="467"/>
      <c r="E276" s="467"/>
    </row>
    <row r="277" ht="14.25" customHeight="1">
      <c r="A277" s="467"/>
      <c r="B277" s="467"/>
      <c r="C277" s="467"/>
      <c r="D277" s="467"/>
      <c r="E277" s="467"/>
    </row>
    <row r="278" ht="14.25" customHeight="1">
      <c r="A278" s="467"/>
      <c r="B278" s="467"/>
      <c r="C278" s="467"/>
      <c r="D278" s="467"/>
      <c r="E278" s="467"/>
    </row>
    <row r="279" ht="14.25" customHeight="1">
      <c r="A279" s="467"/>
      <c r="B279" s="467"/>
      <c r="C279" s="467"/>
      <c r="D279" s="467"/>
      <c r="E279" s="467"/>
    </row>
    <row r="280" ht="14.25" customHeight="1">
      <c r="A280" s="467"/>
      <c r="B280" s="467"/>
      <c r="C280" s="467"/>
      <c r="D280" s="467"/>
      <c r="E280" s="467"/>
    </row>
    <row r="281" ht="14.25" customHeight="1">
      <c r="A281" s="467"/>
      <c r="B281" s="467"/>
      <c r="C281" s="467"/>
      <c r="D281" s="467"/>
      <c r="E281" s="467"/>
    </row>
    <row r="282" ht="14.25" customHeight="1">
      <c r="A282" s="467"/>
      <c r="B282" s="467"/>
      <c r="C282" s="467"/>
      <c r="D282" s="467"/>
      <c r="E282" s="467"/>
    </row>
    <row r="283" ht="14.25" customHeight="1">
      <c r="A283" s="467"/>
      <c r="B283" s="467"/>
      <c r="C283" s="467"/>
      <c r="D283" s="467"/>
      <c r="E283" s="467"/>
    </row>
    <row r="284" ht="14.25" customHeight="1">
      <c r="A284" s="467"/>
      <c r="B284" s="467"/>
      <c r="C284" s="467"/>
      <c r="D284" s="467"/>
      <c r="E284" s="467"/>
    </row>
    <row r="285" ht="14.25" customHeight="1">
      <c r="A285" s="467"/>
      <c r="B285" s="467"/>
      <c r="C285" s="467"/>
      <c r="D285" s="467"/>
      <c r="E285" s="467"/>
    </row>
    <row r="286" ht="14.25" customHeight="1">
      <c r="A286" s="467"/>
      <c r="B286" s="467"/>
      <c r="C286" s="467"/>
      <c r="D286" s="467"/>
      <c r="E286" s="467"/>
    </row>
    <row r="287" ht="14.25" customHeight="1">
      <c r="A287" s="467"/>
      <c r="B287" s="467"/>
      <c r="C287" s="467"/>
      <c r="D287" s="467"/>
      <c r="E287" s="467"/>
    </row>
    <row r="288" ht="14.25" customHeight="1">
      <c r="A288" s="467"/>
      <c r="B288" s="467"/>
      <c r="C288" s="467"/>
      <c r="D288" s="467"/>
      <c r="E288" s="467"/>
    </row>
    <row r="289" ht="14.25" customHeight="1">
      <c r="A289" s="467"/>
      <c r="B289" s="467"/>
      <c r="C289" s="467"/>
      <c r="D289" s="467"/>
      <c r="E289" s="467"/>
    </row>
    <row r="290" ht="14.25" customHeight="1">
      <c r="A290" s="467"/>
      <c r="B290" s="467"/>
      <c r="C290" s="467"/>
      <c r="D290" s="467"/>
      <c r="E290" s="467"/>
    </row>
    <row r="291" ht="14.25" customHeight="1">
      <c r="A291" s="467"/>
      <c r="B291" s="467"/>
      <c r="C291" s="467"/>
      <c r="D291" s="467"/>
      <c r="E291" s="467"/>
    </row>
    <row r="292" ht="14.25" customHeight="1">
      <c r="A292" s="467"/>
      <c r="B292" s="467"/>
      <c r="C292" s="467"/>
      <c r="D292" s="467"/>
      <c r="E292" s="467"/>
    </row>
    <row r="293" ht="14.25" customHeight="1">
      <c r="A293" s="467"/>
      <c r="B293" s="467"/>
      <c r="C293" s="467"/>
      <c r="D293" s="467"/>
      <c r="E293" s="467"/>
    </row>
    <row r="294" ht="14.25" customHeight="1">
      <c r="A294" s="467"/>
      <c r="B294" s="467"/>
      <c r="C294" s="467"/>
      <c r="D294" s="467"/>
      <c r="E294" s="467"/>
    </row>
    <row r="295" ht="14.25" customHeight="1">
      <c r="A295" s="467"/>
      <c r="B295" s="467"/>
      <c r="C295" s="467"/>
      <c r="D295" s="467"/>
      <c r="E295" s="467"/>
    </row>
    <row r="296" ht="14.25" customHeight="1">
      <c r="A296" s="467"/>
      <c r="B296" s="467"/>
      <c r="C296" s="467"/>
      <c r="D296" s="467"/>
      <c r="E296" s="467"/>
    </row>
    <row r="297" ht="14.25" customHeight="1">
      <c r="A297" s="467"/>
      <c r="B297" s="467"/>
      <c r="C297" s="467"/>
      <c r="D297" s="467"/>
      <c r="E297" s="467"/>
    </row>
    <row r="298" ht="14.25" customHeight="1">
      <c r="A298" s="467"/>
      <c r="B298" s="467"/>
      <c r="C298" s="467"/>
      <c r="D298" s="467"/>
      <c r="E298" s="467"/>
    </row>
    <row r="299" ht="14.25" customHeight="1">
      <c r="A299" s="467"/>
      <c r="B299" s="467"/>
      <c r="C299" s="467"/>
      <c r="D299" s="467"/>
      <c r="E299" s="467"/>
    </row>
    <row r="300" ht="14.25" customHeight="1">
      <c r="A300" s="467"/>
      <c r="B300" s="467"/>
      <c r="C300" s="467"/>
      <c r="D300" s="467"/>
      <c r="E300" s="467"/>
    </row>
    <row r="301" ht="14.25" customHeight="1">
      <c r="A301" s="467"/>
      <c r="B301" s="467"/>
      <c r="C301" s="467"/>
      <c r="D301" s="467"/>
      <c r="E301" s="467"/>
    </row>
    <row r="302" ht="14.25" customHeight="1">
      <c r="A302" s="467"/>
      <c r="B302" s="467"/>
      <c r="C302" s="467"/>
      <c r="D302" s="467"/>
      <c r="E302" s="467"/>
    </row>
    <row r="303" ht="14.25" customHeight="1">
      <c r="A303" s="467"/>
      <c r="B303" s="467"/>
      <c r="C303" s="467"/>
      <c r="D303" s="467"/>
      <c r="E303" s="467"/>
    </row>
    <row r="304" ht="14.25" customHeight="1">
      <c r="A304" s="467"/>
      <c r="B304" s="467"/>
      <c r="C304" s="467"/>
      <c r="D304" s="467"/>
      <c r="E304" s="467"/>
    </row>
    <row r="305" ht="14.25" customHeight="1">
      <c r="A305" s="467"/>
      <c r="B305" s="467"/>
      <c r="C305" s="467"/>
      <c r="D305" s="467"/>
      <c r="E305" s="467"/>
    </row>
    <row r="306" ht="14.25" customHeight="1">
      <c r="A306" s="467"/>
      <c r="B306" s="467"/>
      <c r="C306" s="467"/>
      <c r="D306" s="467"/>
      <c r="E306" s="467"/>
    </row>
    <row r="307" ht="14.25" customHeight="1">
      <c r="A307" s="467"/>
      <c r="B307" s="467"/>
      <c r="C307" s="467"/>
      <c r="D307" s="467"/>
      <c r="E307" s="467"/>
    </row>
    <row r="308" ht="14.25" customHeight="1">
      <c r="A308" s="467"/>
      <c r="B308" s="467"/>
      <c r="C308" s="467"/>
      <c r="D308" s="467"/>
      <c r="E308" s="467"/>
    </row>
    <row r="309" ht="14.25" customHeight="1">
      <c r="A309" s="467"/>
      <c r="B309" s="467"/>
      <c r="C309" s="467"/>
      <c r="D309" s="467"/>
      <c r="E309" s="467"/>
    </row>
    <row r="310" ht="14.25" customHeight="1">
      <c r="A310" s="467"/>
      <c r="B310" s="467"/>
      <c r="C310" s="467"/>
      <c r="D310" s="467"/>
      <c r="E310" s="467"/>
    </row>
    <row r="311" ht="14.25" customHeight="1">
      <c r="A311" s="467"/>
      <c r="B311" s="467"/>
      <c r="C311" s="467"/>
      <c r="D311" s="467"/>
      <c r="E311" s="467"/>
    </row>
    <row r="312" ht="14.25" customHeight="1">
      <c r="A312" s="467"/>
      <c r="B312" s="467"/>
      <c r="C312" s="467"/>
      <c r="D312" s="467"/>
      <c r="E312" s="467"/>
    </row>
    <row r="313" ht="14.25" customHeight="1">
      <c r="A313" s="467"/>
      <c r="B313" s="467"/>
      <c r="C313" s="467"/>
      <c r="D313" s="467"/>
      <c r="E313" s="467"/>
    </row>
    <row r="314" ht="14.25" customHeight="1">
      <c r="A314" s="467"/>
      <c r="B314" s="467"/>
      <c r="C314" s="467"/>
      <c r="D314" s="467"/>
      <c r="E314" s="467"/>
    </row>
    <row r="315" ht="14.25" customHeight="1">
      <c r="A315" s="467"/>
      <c r="B315" s="467"/>
      <c r="C315" s="467"/>
      <c r="D315" s="467"/>
      <c r="E315" s="467"/>
    </row>
    <row r="316" ht="14.25" customHeight="1">
      <c r="A316" s="467"/>
      <c r="B316" s="467"/>
      <c r="C316" s="467"/>
      <c r="D316" s="467"/>
      <c r="E316" s="467"/>
    </row>
    <row r="317" ht="14.25" customHeight="1">
      <c r="A317" s="467"/>
      <c r="B317" s="467"/>
      <c r="C317" s="467"/>
      <c r="D317" s="467"/>
      <c r="E317" s="467"/>
    </row>
    <row r="318" ht="14.25" customHeight="1">
      <c r="A318" s="467"/>
      <c r="B318" s="467"/>
      <c r="C318" s="467"/>
      <c r="D318" s="467"/>
      <c r="E318" s="467"/>
    </row>
    <row r="319" ht="14.25" customHeight="1">
      <c r="A319" s="467"/>
      <c r="B319" s="467"/>
      <c r="C319" s="467"/>
      <c r="D319" s="467"/>
      <c r="E319" s="467"/>
    </row>
    <row r="320" ht="14.25" customHeight="1">
      <c r="A320" s="467"/>
      <c r="B320" s="467"/>
      <c r="C320" s="467"/>
      <c r="D320" s="467"/>
      <c r="E320" s="467"/>
    </row>
    <row r="321" ht="14.25" customHeight="1">
      <c r="A321" s="467"/>
      <c r="B321" s="467"/>
      <c r="C321" s="467"/>
      <c r="D321" s="467"/>
      <c r="E321" s="467"/>
    </row>
    <row r="322" ht="14.25" customHeight="1">
      <c r="A322" s="467"/>
      <c r="B322" s="467"/>
      <c r="C322" s="467"/>
      <c r="D322" s="467"/>
      <c r="E322" s="467"/>
    </row>
    <row r="323" ht="14.25" customHeight="1">
      <c r="A323" s="467"/>
      <c r="B323" s="467"/>
      <c r="C323" s="467"/>
      <c r="D323" s="467"/>
      <c r="E323" s="467"/>
    </row>
    <row r="324" ht="14.25" customHeight="1">
      <c r="A324" s="467"/>
      <c r="B324" s="467"/>
      <c r="C324" s="467"/>
      <c r="D324" s="467"/>
      <c r="E324" s="467"/>
    </row>
    <row r="325" ht="14.25" customHeight="1">
      <c r="A325" s="467"/>
      <c r="B325" s="467"/>
      <c r="C325" s="467"/>
      <c r="D325" s="467"/>
      <c r="E325" s="467"/>
    </row>
    <row r="326" ht="14.25" customHeight="1">
      <c r="A326" s="467"/>
      <c r="B326" s="467"/>
      <c r="C326" s="467"/>
      <c r="D326" s="467"/>
      <c r="E326" s="467"/>
    </row>
    <row r="327" ht="14.25" customHeight="1">
      <c r="A327" s="467"/>
      <c r="B327" s="467"/>
      <c r="C327" s="467"/>
      <c r="D327" s="467"/>
      <c r="E327" s="467"/>
    </row>
    <row r="328" ht="14.25" customHeight="1">
      <c r="A328" s="467"/>
      <c r="B328" s="467"/>
      <c r="C328" s="467"/>
      <c r="D328" s="467"/>
      <c r="E328" s="467"/>
    </row>
    <row r="329" ht="14.25" customHeight="1">
      <c r="A329" s="467"/>
      <c r="B329" s="467"/>
      <c r="C329" s="467"/>
      <c r="D329" s="467"/>
      <c r="E329" s="467"/>
    </row>
    <row r="330" ht="14.25" customHeight="1">
      <c r="A330" s="467"/>
      <c r="B330" s="467"/>
      <c r="C330" s="467"/>
      <c r="D330" s="467"/>
      <c r="E330" s="467"/>
    </row>
    <row r="331" ht="14.25" customHeight="1">
      <c r="A331" s="467"/>
      <c r="B331" s="467"/>
      <c r="C331" s="467"/>
      <c r="D331" s="467"/>
      <c r="E331" s="467"/>
    </row>
    <row r="332" ht="14.25" customHeight="1">
      <c r="A332" s="467"/>
      <c r="B332" s="467"/>
      <c r="C332" s="467"/>
      <c r="D332" s="467"/>
      <c r="E332" s="467"/>
    </row>
    <row r="333" ht="14.25" customHeight="1">
      <c r="A333" s="467"/>
      <c r="B333" s="467"/>
      <c r="C333" s="467"/>
      <c r="D333" s="467"/>
      <c r="E333" s="467"/>
    </row>
    <row r="334" ht="14.25" customHeight="1">
      <c r="A334" s="467"/>
      <c r="B334" s="467"/>
      <c r="C334" s="467"/>
      <c r="D334" s="467"/>
      <c r="E334" s="467"/>
    </row>
    <row r="335" ht="14.25" customHeight="1">
      <c r="A335" s="467"/>
      <c r="B335" s="467"/>
      <c r="C335" s="467"/>
      <c r="D335" s="467"/>
      <c r="E335" s="467"/>
    </row>
    <row r="336" ht="14.25" customHeight="1">
      <c r="A336" s="467"/>
      <c r="B336" s="467"/>
      <c r="C336" s="467"/>
      <c r="D336" s="467"/>
      <c r="E336" s="467"/>
    </row>
    <row r="337" ht="14.25" customHeight="1">
      <c r="A337" s="467"/>
      <c r="B337" s="467"/>
      <c r="C337" s="467"/>
      <c r="D337" s="467"/>
      <c r="E337" s="467"/>
    </row>
    <row r="338" ht="14.25" customHeight="1">
      <c r="A338" s="467"/>
      <c r="B338" s="467"/>
      <c r="C338" s="467"/>
      <c r="D338" s="467"/>
      <c r="E338" s="467"/>
    </row>
    <row r="339" ht="14.25" customHeight="1">
      <c r="A339" s="467"/>
      <c r="B339" s="467"/>
      <c r="C339" s="467"/>
      <c r="D339" s="467"/>
      <c r="E339" s="467"/>
    </row>
    <row r="340" ht="14.25" customHeight="1">
      <c r="A340" s="467"/>
      <c r="B340" s="467"/>
      <c r="C340" s="467"/>
      <c r="D340" s="467"/>
      <c r="E340" s="467"/>
    </row>
    <row r="341" ht="14.25" customHeight="1">
      <c r="A341" s="467"/>
      <c r="B341" s="467"/>
      <c r="C341" s="467"/>
      <c r="D341" s="467"/>
      <c r="E341" s="467"/>
    </row>
    <row r="342" ht="14.25" customHeight="1">
      <c r="A342" s="467"/>
      <c r="B342" s="467"/>
      <c r="C342" s="467"/>
      <c r="D342" s="467"/>
      <c r="E342" s="467"/>
    </row>
    <row r="343" ht="14.25" customHeight="1">
      <c r="A343" s="467"/>
      <c r="B343" s="467"/>
      <c r="C343" s="467"/>
      <c r="D343" s="467"/>
      <c r="E343" s="467"/>
    </row>
    <row r="344" ht="14.25" customHeight="1">
      <c r="A344" s="467"/>
      <c r="B344" s="467"/>
      <c r="C344" s="467"/>
      <c r="D344" s="467"/>
      <c r="E344" s="467"/>
    </row>
    <row r="345" ht="14.25" customHeight="1">
      <c r="A345" s="467"/>
      <c r="B345" s="467"/>
      <c r="C345" s="467"/>
      <c r="D345" s="467"/>
      <c r="E345" s="467"/>
    </row>
    <row r="346" ht="14.25" customHeight="1">
      <c r="A346" s="467"/>
      <c r="B346" s="467"/>
      <c r="C346" s="467"/>
      <c r="D346" s="467"/>
      <c r="E346" s="467"/>
    </row>
    <row r="347" ht="14.25" customHeight="1">
      <c r="A347" s="467"/>
      <c r="B347" s="467"/>
      <c r="C347" s="467"/>
      <c r="D347" s="467"/>
      <c r="E347" s="467"/>
    </row>
    <row r="348" ht="14.25" customHeight="1">
      <c r="A348" s="467"/>
      <c r="B348" s="467"/>
      <c r="C348" s="467"/>
      <c r="D348" s="467"/>
      <c r="E348" s="467"/>
    </row>
    <row r="349" ht="14.25" customHeight="1">
      <c r="A349" s="467"/>
      <c r="B349" s="467"/>
      <c r="C349" s="467"/>
      <c r="D349" s="467"/>
      <c r="E349" s="467"/>
    </row>
    <row r="350" ht="14.25" customHeight="1">
      <c r="A350" s="467"/>
      <c r="B350" s="467"/>
      <c r="C350" s="467"/>
      <c r="D350" s="467"/>
      <c r="E350" s="467"/>
    </row>
    <row r="351" ht="14.25" customHeight="1">
      <c r="A351" s="467"/>
      <c r="B351" s="467"/>
      <c r="C351" s="467"/>
      <c r="D351" s="467"/>
      <c r="E351" s="467"/>
    </row>
    <row r="352" ht="14.25" customHeight="1">
      <c r="A352" s="467"/>
      <c r="B352" s="467"/>
      <c r="C352" s="467"/>
      <c r="D352" s="467"/>
      <c r="E352" s="467"/>
    </row>
    <row r="353" ht="14.25" customHeight="1">
      <c r="A353" s="467"/>
      <c r="B353" s="467"/>
      <c r="C353" s="467"/>
      <c r="D353" s="467"/>
      <c r="E353" s="467"/>
    </row>
    <row r="354" ht="14.25" customHeight="1">
      <c r="A354" s="467"/>
      <c r="B354" s="467"/>
      <c r="C354" s="467"/>
      <c r="D354" s="467"/>
      <c r="E354" s="467"/>
    </row>
    <row r="355" ht="14.25" customHeight="1">
      <c r="A355" s="467"/>
      <c r="B355" s="467"/>
      <c r="C355" s="467"/>
      <c r="D355" s="467"/>
      <c r="E355" s="467"/>
    </row>
    <row r="356" ht="14.25" customHeight="1">
      <c r="A356" s="467"/>
      <c r="B356" s="467"/>
      <c r="C356" s="467"/>
      <c r="D356" s="467"/>
      <c r="E356" s="467"/>
    </row>
    <row r="357" ht="14.25" customHeight="1">
      <c r="A357" s="467"/>
      <c r="B357" s="467"/>
      <c r="C357" s="467"/>
      <c r="D357" s="467"/>
      <c r="E357" s="467"/>
    </row>
    <row r="358" ht="14.25" customHeight="1">
      <c r="A358" s="467"/>
      <c r="B358" s="467"/>
      <c r="C358" s="467"/>
      <c r="D358" s="467"/>
      <c r="E358" s="467"/>
    </row>
    <row r="359" ht="14.25" customHeight="1">
      <c r="A359" s="467"/>
      <c r="B359" s="467"/>
      <c r="C359" s="467"/>
      <c r="D359" s="467"/>
      <c r="E359" s="467"/>
    </row>
    <row r="360" ht="14.25" customHeight="1">
      <c r="A360" s="467"/>
      <c r="B360" s="467"/>
      <c r="C360" s="467"/>
      <c r="D360" s="467"/>
      <c r="E360" s="467"/>
    </row>
    <row r="361" ht="14.25" customHeight="1">
      <c r="A361" s="467"/>
      <c r="B361" s="467"/>
      <c r="C361" s="467"/>
      <c r="D361" s="467"/>
      <c r="E361" s="467"/>
    </row>
    <row r="362" ht="14.25" customHeight="1">
      <c r="A362" s="467"/>
      <c r="B362" s="467"/>
      <c r="C362" s="467"/>
      <c r="D362" s="467"/>
      <c r="E362" s="467"/>
    </row>
    <row r="363" ht="14.25" customHeight="1">
      <c r="A363" s="467"/>
      <c r="B363" s="467"/>
      <c r="C363" s="467"/>
      <c r="D363" s="467"/>
      <c r="E363" s="467"/>
    </row>
    <row r="364" ht="14.25" customHeight="1">
      <c r="A364" s="467"/>
      <c r="B364" s="467"/>
      <c r="C364" s="467"/>
      <c r="D364" s="467"/>
      <c r="E364" s="467"/>
    </row>
    <row r="365" ht="14.25" customHeight="1">
      <c r="A365" s="467"/>
      <c r="B365" s="467"/>
      <c r="C365" s="467"/>
      <c r="D365" s="467"/>
      <c r="E365" s="467"/>
    </row>
    <row r="366" ht="14.25" customHeight="1">
      <c r="A366" s="467"/>
      <c r="B366" s="467"/>
      <c r="C366" s="467"/>
      <c r="D366" s="467"/>
      <c r="E366" s="467"/>
    </row>
    <row r="367" ht="14.25" customHeight="1">
      <c r="A367" s="467"/>
      <c r="B367" s="467"/>
      <c r="C367" s="467"/>
      <c r="D367" s="467"/>
      <c r="E367" s="467"/>
    </row>
    <row r="368" ht="14.25" customHeight="1">
      <c r="A368" s="467"/>
      <c r="B368" s="467"/>
      <c r="C368" s="467"/>
      <c r="D368" s="467"/>
      <c r="E368" s="467"/>
    </row>
    <row r="369" ht="14.25" customHeight="1">
      <c r="A369" s="467"/>
      <c r="B369" s="467"/>
      <c r="C369" s="467"/>
      <c r="D369" s="467"/>
      <c r="E369" s="467"/>
    </row>
    <row r="370" ht="14.25" customHeight="1">
      <c r="A370" s="467"/>
      <c r="B370" s="467"/>
      <c r="C370" s="467"/>
      <c r="D370" s="467"/>
      <c r="E370" s="467"/>
    </row>
    <row r="371" ht="14.25" customHeight="1">
      <c r="A371" s="467"/>
      <c r="B371" s="467"/>
      <c r="C371" s="467"/>
      <c r="D371" s="467"/>
      <c r="E371" s="467"/>
    </row>
    <row r="372" ht="14.25" customHeight="1">
      <c r="A372" s="467"/>
      <c r="B372" s="467"/>
      <c r="C372" s="467"/>
      <c r="D372" s="467"/>
      <c r="E372" s="467"/>
    </row>
    <row r="373" ht="14.25" customHeight="1">
      <c r="A373" s="467"/>
      <c r="B373" s="467"/>
      <c r="C373" s="467"/>
      <c r="D373" s="467"/>
      <c r="E373" s="467"/>
    </row>
    <row r="374" ht="14.25" customHeight="1">
      <c r="A374" s="467"/>
      <c r="B374" s="467"/>
      <c r="C374" s="467"/>
      <c r="D374" s="467"/>
      <c r="E374" s="467"/>
    </row>
    <row r="375" ht="14.25" customHeight="1">
      <c r="A375" s="467"/>
      <c r="B375" s="467"/>
      <c r="C375" s="467"/>
      <c r="D375" s="467"/>
      <c r="E375" s="467"/>
    </row>
    <row r="376" ht="14.25" customHeight="1">
      <c r="A376" s="467"/>
      <c r="B376" s="467"/>
      <c r="C376" s="467"/>
      <c r="D376" s="467"/>
      <c r="E376" s="467"/>
    </row>
    <row r="377" ht="14.25" customHeight="1">
      <c r="A377" s="467"/>
      <c r="B377" s="467"/>
      <c r="C377" s="467"/>
      <c r="D377" s="467"/>
      <c r="E377" s="467"/>
    </row>
    <row r="378" ht="14.25" customHeight="1">
      <c r="A378" s="467"/>
      <c r="B378" s="467"/>
      <c r="C378" s="467"/>
      <c r="D378" s="467"/>
      <c r="E378" s="467"/>
    </row>
    <row r="379" ht="14.25" customHeight="1">
      <c r="A379" s="467"/>
      <c r="B379" s="467"/>
      <c r="C379" s="467"/>
      <c r="D379" s="467"/>
      <c r="E379" s="467"/>
    </row>
    <row r="380" ht="14.25" customHeight="1">
      <c r="A380" s="467"/>
      <c r="B380" s="467"/>
      <c r="C380" s="467"/>
      <c r="D380" s="467"/>
      <c r="E380" s="467"/>
    </row>
    <row r="381" ht="14.25" customHeight="1">
      <c r="A381" s="467"/>
      <c r="B381" s="467"/>
      <c r="C381" s="467"/>
      <c r="D381" s="467"/>
      <c r="E381" s="467"/>
    </row>
    <row r="382" ht="14.25" customHeight="1">
      <c r="A382" s="467"/>
      <c r="B382" s="467"/>
      <c r="C382" s="467"/>
      <c r="D382" s="467"/>
      <c r="E382" s="467"/>
    </row>
    <row r="383" ht="14.25" customHeight="1">
      <c r="A383" s="467"/>
      <c r="B383" s="467"/>
      <c r="C383" s="467"/>
      <c r="D383" s="467"/>
      <c r="E383" s="467"/>
    </row>
    <row r="384" ht="14.25" customHeight="1">
      <c r="A384" s="467"/>
      <c r="B384" s="467"/>
      <c r="C384" s="467"/>
      <c r="D384" s="467"/>
      <c r="E384" s="467"/>
    </row>
    <row r="385" ht="14.25" customHeight="1">
      <c r="A385" s="467"/>
      <c r="B385" s="467"/>
      <c r="C385" s="467"/>
      <c r="D385" s="467"/>
      <c r="E385" s="467"/>
    </row>
    <row r="386" ht="14.25" customHeight="1">
      <c r="A386" s="467"/>
      <c r="B386" s="467"/>
      <c r="C386" s="467"/>
      <c r="D386" s="467"/>
      <c r="E386" s="467"/>
    </row>
    <row r="387" ht="14.25" customHeight="1">
      <c r="A387" s="467"/>
      <c r="B387" s="467"/>
      <c r="C387" s="467"/>
      <c r="D387" s="467"/>
      <c r="E387" s="467"/>
    </row>
    <row r="388" ht="14.25" customHeight="1">
      <c r="A388" s="467"/>
      <c r="B388" s="467"/>
      <c r="C388" s="467"/>
      <c r="D388" s="467"/>
      <c r="E388" s="467"/>
    </row>
    <row r="389" ht="14.25" customHeight="1">
      <c r="A389" s="467"/>
      <c r="B389" s="467"/>
      <c r="C389" s="467"/>
      <c r="D389" s="467"/>
      <c r="E389" s="467"/>
    </row>
    <row r="390" ht="14.25" customHeight="1">
      <c r="A390" s="467"/>
      <c r="B390" s="467"/>
      <c r="C390" s="467"/>
      <c r="D390" s="467"/>
      <c r="E390" s="467"/>
    </row>
    <row r="391" ht="14.25" customHeight="1">
      <c r="A391" s="467"/>
      <c r="B391" s="467"/>
      <c r="C391" s="467"/>
      <c r="D391" s="467"/>
      <c r="E391" s="467"/>
    </row>
    <row r="392" ht="14.25" customHeight="1">
      <c r="A392" s="467"/>
      <c r="B392" s="467"/>
      <c r="C392" s="467"/>
      <c r="D392" s="467"/>
      <c r="E392" s="467"/>
    </row>
    <row r="393" ht="14.25" customHeight="1">
      <c r="A393" s="467"/>
      <c r="B393" s="467"/>
      <c r="C393" s="467"/>
      <c r="D393" s="467"/>
      <c r="E393" s="467"/>
    </row>
    <row r="394" ht="14.25" customHeight="1">
      <c r="A394" s="467"/>
      <c r="B394" s="467"/>
      <c r="C394" s="467"/>
      <c r="D394" s="467"/>
      <c r="E394" s="467"/>
    </row>
    <row r="395" ht="14.25" customHeight="1">
      <c r="A395" s="467"/>
      <c r="B395" s="467"/>
      <c r="C395" s="467"/>
      <c r="D395" s="467"/>
      <c r="E395" s="467"/>
    </row>
    <row r="396" ht="14.25" customHeight="1">
      <c r="A396" s="467"/>
      <c r="B396" s="467"/>
      <c r="C396" s="467"/>
      <c r="D396" s="467"/>
      <c r="E396" s="467"/>
    </row>
    <row r="397" ht="14.25" customHeight="1">
      <c r="A397" s="467"/>
      <c r="B397" s="467"/>
      <c r="C397" s="467"/>
      <c r="D397" s="467"/>
      <c r="E397" s="467"/>
    </row>
    <row r="398" ht="14.25" customHeight="1">
      <c r="A398" s="467"/>
      <c r="B398" s="467"/>
      <c r="C398" s="467"/>
      <c r="D398" s="467"/>
      <c r="E398" s="467"/>
    </row>
    <row r="399" ht="14.25" customHeight="1">
      <c r="A399" s="467"/>
      <c r="B399" s="467"/>
      <c r="C399" s="467"/>
      <c r="D399" s="467"/>
      <c r="E399" s="467"/>
    </row>
    <row r="400" ht="14.25" customHeight="1">
      <c r="A400" s="467"/>
      <c r="B400" s="467"/>
      <c r="C400" s="467"/>
      <c r="D400" s="467"/>
      <c r="E400" s="467"/>
    </row>
    <row r="401" ht="14.25" customHeight="1">
      <c r="A401" s="467"/>
      <c r="B401" s="467"/>
      <c r="C401" s="467"/>
      <c r="D401" s="467"/>
      <c r="E401" s="467"/>
    </row>
    <row r="402" ht="14.25" customHeight="1">
      <c r="A402" s="467"/>
      <c r="B402" s="467"/>
      <c r="C402" s="467"/>
      <c r="D402" s="467"/>
      <c r="E402" s="467"/>
    </row>
    <row r="403" ht="14.25" customHeight="1">
      <c r="A403" s="467"/>
      <c r="B403" s="467"/>
      <c r="C403" s="467"/>
      <c r="D403" s="467"/>
      <c r="E403" s="467"/>
    </row>
    <row r="404" ht="14.25" customHeight="1">
      <c r="A404" s="467"/>
      <c r="B404" s="467"/>
      <c r="C404" s="467"/>
      <c r="D404" s="467"/>
      <c r="E404" s="467"/>
    </row>
    <row r="405" ht="14.25" customHeight="1">
      <c r="A405" s="467"/>
      <c r="B405" s="467"/>
      <c r="C405" s="467"/>
      <c r="D405" s="467"/>
      <c r="E405" s="467"/>
    </row>
    <row r="406" ht="14.25" customHeight="1">
      <c r="A406" s="467"/>
      <c r="B406" s="467"/>
      <c r="C406" s="467"/>
      <c r="D406" s="467"/>
      <c r="E406" s="467"/>
    </row>
    <row r="407" ht="14.25" customHeight="1">
      <c r="A407" s="467"/>
      <c r="B407" s="467"/>
      <c r="C407" s="467"/>
      <c r="D407" s="467"/>
      <c r="E407" s="467"/>
    </row>
    <row r="408" ht="14.25" customHeight="1">
      <c r="A408" s="467"/>
      <c r="B408" s="467"/>
      <c r="C408" s="467"/>
      <c r="D408" s="467"/>
      <c r="E408" s="467"/>
    </row>
    <row r="409" ht="14.25" customHeight="1">
      <c r="A409" s="467"/>
      <c r="B409" s="467"/>
      <c r="C409" s="467"/>
      <c r="D409" s="467"/>
      <c r="E409" s="467"/>
    </row>
    <row r="410" ht="14.25" customHeight="1">
      <c r="A410" s="467"/>
      <c r="B410" s="467"/>
      <c r="C410" s="467"/>
      <c r="D410" s="467"/>
      <c r="E410" s="467"/>
    </row>
    <row r="411" ht="14.25" customHeight="1">
      <c r="A411" s="467"/>
      <c r="B411" s="467"/>
      <c r="C411" s="467"/>
      <c r="D411" s="467"/>
      <c r="E411" s="467"/>
    </row>
    <row r="412" ht="14.25" customHeight="1">
      <c r="A412" s="467"/>
      <c r="B412" s="467"/>
      <c r="C412" s="467"/>
      <c r="D412" s="467"/>
      <c r="E412" s="467"/>
    </row>
    <row r="413" ht="14.25" customHeight="1">
      <c r="A413" s="467"/>
      <c r="B413" s="467"/>
      <c r="C413" s="467"/>
      <c r="D413" s="467"/>
      <c r="E413" s="467"/>
    </row>
    <row r="414" ht="14.25" customHeight="1">
      <c r="A414" s="467"/>
      <c r="B414" s="467"/>
      <c r="C414" s="467"/>
      <c r="D414" s="467"/>
      <c r="E414" s="467"/>
    </row>
    <row r="415" ht="14.25" customHeight="1">
      <c r="A415" s="467"/>
      <c r="B415" s="467"/>
      <c r="C415" s="467"/>
      <c r="D415" s="467"/>
      <c r="E415" s="467"/>
    </row>
    <row r="416" ht="14.25" customHeight="1">
      <c r="A416" s="467"/>
      <c r="B416" s="467"/>
      <c r="C416" s="467"/>
      <c r="D416" s="467"/>
      <c r="E416" s="467"/>
    </row>
    <row r="417" ht="14.25" customHeight="1">
      <c r="A417" s="467"/>
      <c r="B417" s="467"/>
      <c r="C417" s="467"/>
      <c r="D417" s="467"/>
      <c r="E417" s="467"/>
    </row>
    <row r="418" ht="14.25" customHeight="1">
      <c r="A418" s="467"/>
      <c r="B418" s="467"/>
      <c r="C418" s="467"/>
      <c r="D418" s="467"/>
      <c r="E418" s="467"/>
    </row>
    <row r="419" ht="14.25" customHeight="1">
      <c r="A419" s="467"/>
      <c r="B419" s="467"/>
      <c r="C419" s="467"/>
      <c r="D419" s="467"/>
      <c r="E419" s="467"/>
    </row>
    <row r="420" ht="14.25" customHeight="1">
      <c r="A420" s="467"/>
      <c r="B420" s="467"/>
      <c r="C420" s="467"/>
      <c r="D420" s="467"/>
      <c r="E420" s="467"/>
    </row>
    <row r="421" ht="14.25" customHeight="1">
      <c r="A421" s="467"/>
      <c r="B421" s="467"/>
      <c r="C421" s="467"/>
      <c r="D421" s="467"/>
      <c r="E421" s="467"/>
    </row>
    <row r="422" ht="14.25" customHeight="1">
      <c r="A422" s="467"/>
      <c r="B422" s="467"/>
      <c r="C422" s="467"/>
      <c r="D422" s="467"/>
      <c r="E422" s="467"/>
    </row>
    <row r="423" ht="14.25" customHeight="1">
      <c r="A423" s="467"/>
      <c r="B423" s="467"/>
      <c r="C423" s="467"/>
      <c r="D423" s="467"/>
      <c r="E423" s="467"/>
    </row>
    <row r="424" ht="14.25" customHeight="1">
      <c r="A424" s="467"/>
      <c r="B424" s="467"/>
      <c r="C424" s="467"/>
      <c r="D424" s="467"/>
      <c r="E424" s="467"/>
    </row>
    <row r="425" ht="14.25" customHeight="1">
      <c r="A425" s="467"/>
      <c r="B425" s="467"/>
      <c r="C425" s="467"/>
      <c r="D425" s="467"/>
      <c r="E425" s="467"/>
    </row>
    <row r="426" ht="14.25" customHeight="1">
      <c r="A426" s="467"/>
      <c r="B426" s="467"/>
      <c r="C426" s="467"/>
      <c r="D426" s="467"/>
      <c r="E426" s="467"/>
    </row>
    <row r="427" ht="14.25" customHeight="1">
      <c r="A427" s="467"/>
      <c r="B427" s="467"/>
      <c r="C427" s="467"/>
      <c r="D427" s="467"/>
      <c r="E427" s="467"/>
    </row>
    <row r="428" ht="14.25" customHeight="1">
      <c r="A428" s="467"/>
      <c r="B428" s="467"/>
      <c r="C428" s="467"/>
      <c r="D428" s="467"/>
      <c r="E428" s="467"/>
    </row>
    <row r="429" ht="14.25" customHeight="1">
      <c r="A429" s="467"/>
      <c r="B429" s="467"/>
      <c r="C429" s="467"/>
      <c r="D429" s="467"/>
      <c r="E429" s="467"/>
    </row>
    <row r="430" ht="14.25" customHeight="1">
      <c r="A430" s="467"/>
      <c r="B430" s="467"/>
      <c r="C430" s="467"/>
      <c r="D430" s="467"/>
      <c r="E430" s="467"/>
    </row>
    <row r="431" ht="14.25" customHeight="1">
      <c r="A431" s="467"/>
      <c r="B431" s="467"/>
      <c r="C431" s="467"/>
      <c r="D431" s="467"/>
      <c r="E431" s="467"/>
    </row>
    <row r="432" ht="14.25" customHeight="1">
      <c r="A432" s="467"/>
      <c r="B432" s="467"/>
      <c r="C432" s="467"/>
      <c r="D432" s="467"/>
      <c r="E432" s="467"/>
    </row>
    <row r="433" ht="14.25" customHeight="1">
      <c r="A433" s="467"/>
      <c r="B433" s="467"/>
      <c r="C433" s="467"/>
      <c r="D433" s="467"/>
      <c r="E433" s="467"/>
    </row>
    <row r="434" ht="14.25" customHeight="1">
      <c r="A434" s="467"/>
      <c r="B434" s="467"/>
      <c r="C434" s="467"/>
      <c r="D434" s="467"/>
      <c r="E434" s="467"/>
    </row>
    <row r="435" ht="14.25" customHeight="1">
      <c r="A435" s="467"/>
      <c r="B435" s="467"/>
      <c r="C435" s="467"/>
      <c r="D435" s="467"/>
      <c r="E435" s="467"/>
    </row>
    <row r="436" ht="14.25" customHeight="1">
      <c r="A436" s="467"/>
      <c r="B436" s="467"/>
      <c r="C436" s="467"/>
      <c r="D436" s="467"/>
      <c r="E436" s="467"/>
    </row>
    <row r="437" ht="14.25" customHeight="1">
      <c r="A437" s="467"/>
      <c r="B437" s="467"/>
      <c r="C437" s="467"/>
      <c r="D437" s="467"/>
      <c r="E437" s="467"/>
    </row>
    <row r="438" ht="14.25" customHeight="1">
      <c r="A438" s="467"/>
      <c r="B438" s="467"/>
      <c r="C438" s="467"/>
      <c r="D438" s="467"/>
      <c r="E438" s="467"/>
    </row>
    <row r="439" ht="14.25" customHeight="1">
      <c r="A439" s="467"/>
      <c r="B439" s="467"/>
      <c r="C439" s="467"/>
      <c r="D439" s="467"/>
      <c r="E439" s="467"/>
    </row>
    <row r="440" ht="14.25" customHeight="1">
      <c r="A440" s="467"/>
      <c r="B440" s="467"/>
      <c r="C440" s="467"/>
      <c r="D440" s="467"/>
      <c r="E440" s="467"/>
    </row>
    <row r="441" ht="14.25" customHeight="1">
      <c r="A441" s="467"/>
      <c r="B441" s="467"/>
      <c r="C441" s="467"/>
      <c r="D441" s="467"/>
      <c r="E441" s="467"/>
    </row>
    <row r="442" ht="14.25" customHeight="1">
      <c r="A442" s="467"/>
      <c r="B442" s="467"/>
      <c r="C442" s="467"/>
      <c r="D442" s="467"/>
      <c r="E442" s="467"/>
    </row>
    <row r="443" ht="14.25" customHeight="1">
      <c r="A443" s="467"/>
      <c r="B443" s="467"/>
      <c r="C443" s="467"/>
      <c r="D443" s="467"/>
      <c r="E443" s="467"/>
    </row>
    <row r="444" ht="14.25" customHeight="1">
      <c r="A444" s="467"/>
      <c r="B444" s="467"/>
      <c r="C444" s="467"/>
      <c r="D444" s="467"/>
      <c r="E444" s="467"/>
    </row>
    <row r="445" ht="14.25" customHeight="1">
      <c r="A445" s="467"/>
      <c r="B445" s="467"/>
      <c r="C445" s="467"/>
      <c r="D445" s="467"/>
      <c r="E445" s="467"/>
    </row>
    <row r="446" ht="14.25" customHeight="1">
      <c r="A446" s="467"/>
      <c r="B446" s="467"/>
      <c r="C446" s="467"/>
      <c r="D446" s="467"/>
      <c r="E446" s="467"/>
    </row>
    <row r="447" ht="14.25" customHeight="1">
      <c r="A447" s="467"/>
      <c r="B447" s="467"/>
      <c r="C447" s="467"/>
      <c r="D447" s="467"/>
      <c r="E447" s="467"/>
    </row>
    <row r="448" ht="14.25" customHeight="1">
      <c r="A448" s="467"/>
      <c r="B448" s="467"/>
      <c r="C448" s="467"/>
      <c r="D448" s="467"/>
      <c r="E448" s="467"/>
    </row>
    <row r="449" ht="14.25" customHeight="1">
      <c r="A449" s="467"/>
      <c r="B449" s="467"/>
      <c r="C449" s="467"/>
      <c r="D449" s="467"/>
      <c r="E449" s="467"/>
    </row>
    <row r="450" ht="14.25" customHeight="1">
      <c r="A450" s="467"/>
      <c r="B450" s="467"/>
      <c r="C450" s="467"/>
      <c r="D450" s="467"/>
      <c r="E450" s="467"/>
    </row>
    <row r="451" ht="14.25" customHeight="1">
      <c r="A451" s="467"/>
      <c r="B451" s="467"/>
      <c r="C451" s="467"/>
      <c r="D451" s="467"/>
      <c r="E451" s="467"/>
    </row>
    <row r="452" ht="14.25" customHeight="1">
      <c r="A452" s="467"/>
      <c r="B452" s="467"/>
      <c r="C452" s="467"/>
      <c r="D452" s="467"/>
      <c r="E452" s="467"/>
    </row>
    <row r="453" ht="14.25" customHeight="1">
      <c r="A453" s="467"/>
      <c r="B453" s="467"/>
      <c r="C453" s="467"/>
      <c r="D453" s="467"/>
      <c r="E453" s="467"/>
    </row>
    <row r="454" ht="14.25" customHeight="1">
      <c r="A454" s="467"/>
      <c r="B454" s="467"/>
      <c r="C454" s="467"/>
      <c r="D454" s="467"/>
      <c r="E454" s="467"/>
    </row>
    <row r="455" ht="14.25" customHeight="1">
      <c r="A455" s="467"/>
      <c r="B455" s="467"/>
      <c r="C455" s="467"/>
      <c r="D455" s="467"/>
      <c r="E455" s="467"/>
    </row>
    <row r="456" ht="14.25" customHeight="1">
      <c r="A456" s="467"/>
      <c r="B456" s="467"/>
      <c r="C456" s="467"/>
      <c r="D456" s="467"/>
      <c r="E456" s="467"/>
    </row>
    <row r="457" ht="14.25" customHeight="1">
      <c r="A457" s="467"/>
      <c r="B457" s="467"/>
      <c r="C457" s="467"/>
      <c r="D457" s="467"/>
      <c r="E457" s="467"/>
    </row>
    <row r="458" ht="14.25" customHeight="1">
      <c r="A458" s="467"/>
      <c r="B458" s="467"/>
      <c r="C458" s="467"/>
      <c r="D458" s="467"/>
      <c r="E458" s="467"/>
    </row>
    <row r="459" ht="14.25" customHeight="1">
      <c r="A459" s="467"/>
      <c r="B459" s="467"/>
      <c r="C459" s="467"/>
      <c r="D459" s="467"/>
      <c r="E459" s="467"/>
    </row>
    <row r="460" ht="14.25" customHeight="1">
      <c r="A460" s="467"/>
      <c r="B460" s="467"/>
      <c r="C460" s="467"/>
      <c r="D460" s="467"/>
      <c r="E460" s="467"/>
    </row>
    <row r="461" ht="14.25" customHeight="1">
      <c r="A461" s="467"/>
      <c r="B461" s="467"/>
      <c r="C461" s="467"/>
      <c r="D461" s="467"/>
      <c r="E461" s="467"/>
    </row>
    <row r="462" ht="14.25" customHeight="1">
      <c r="A462" s="467"/>
      <c r="B462" s="467"/>
      <c r="C462" s="467"/>
      <c r="D462" s="467"/>
      <c r="E462" s="467"/>
    </row>
    <row r="463" ht="14.25" customHeight="1">
      <c r="A463" s="467"/>
      <c r="B463" s="467"/>
      <c r="C463" s="467"/>
      <c r="D463" s="467"/>
      <c r="E463" s="467"/>
    </row>
    <row r="464" ht="14.25" customHeight="1">
      <c r="A464" s="467"/>
      <c r="B464" s="467"/>
      <c r="C464" s="467"/>
      <c r="D464" s="467"/>
      <c r="E464" s="467"/>
    </row>
    <row r="465" ht="14.25" customHeight="1">
      <c r="A465" s="467"/>
      <c r="B465" s="467"/>
      <c r="C465" s="467"/>
      <c r="D465" s="467"/>
      <c r="E465" s="467"/>
    </row>
    <row r="466" ht="14.25" customHeight="1">
      <c r="A466" s="467"/>
      <c r="B466" s="467"/>
      <c r="C466" s="467"/>
      <c r="D466" s="467"/>
      <c r="E466" s="467"/>
    </row>
    <row r="467" ht="14.25" customHeight="1">
      <c r="A467" s="467"/>
      <c r="B467" s="467"/>
      <c r="C467" s="467"/>
      <c r="D467" s="467"/>
      <c r="E467" s="467"/>
    </row>
    <row r="468" ht="14.25" customHeight="1">
      <c r="A468" s="467"/>
      <c r="B468" s="467"/>
      <c r="C468" s="467"/>
      <c r="D468" s="467"/>
      <c r="E468" s="467"/>
    </row>
    <row r="469" ht="14.25" customHeight="1">
      <c r="A469" s="467"/>
      <c r="B469" s="467"/>
      <c r="C469" s="467"/>
      <c r="D469" s="467"/>
      <c r="E469" s="467"/>
    </row>
    <row r="470" ht="14.25" customHeight="1">
      <c r="A470" s="467"/>
      <c r="B470" s="467"/>
      <c r="C470" s="467"/>
      <c r="D470" s="467"/>
      <c r="E470" s="467"/>
    </row>
    <row r="471" ht="14.25" customHeight="1">
      <c r="A471" s="467"/>
      <c r="B471" s="467"/>
      <c r="C471" s="467"/>
      <c r="D471" s="467"/>
      <c r="E471" s="467"/>
    </row>
    <row r="472" ht="14.25" customHeight="1">
      <c r="A472" s="467"/>
      <c r="B472" s="467"/>
      <c r="C472" s="467"/>
      <c r="D472" s="467"/>
      <c r="E472" s="467"/>
    </row>
    <row r="473" ht="14.25" customHeight="1">
      <c r="A473" s="467"/>
      <c r="B473" s="467"/>
      <c r="C473" s="467"/>
      <c r="D473" s="467"/>
      <c r="E473" s="467"/>
    </row>
    <row r="474" ht="14.25" customHeight="1">
      <c r="A474" s="467"/>
      <c r="B474" s="467"/>
      <c r="C474" s="467"/>
      <c r="D474" s="467"/>
      <c r="E474" s="467"/>
    </row>
    <row r="475" ht="14.25" customHeight="1">
      <c r="A475" s="467"/>
      <c r="B475" s="467"/>
      <c r="C475" s="467"/>
      <c r="D475" s="467"/>
      <c r="E475" s="467"/>
    </row>
    <row r="476" ht="14.25" customHeight="1">
      <c r="A476" s="467"/>
      <c r="B476" s="467"/>
      <c r="C476" s="467"/>
      <c r="D476" s="467"/>
      <c r="E476" s="467"/>
    </row>
    <row r="477" ht="14.25" customHeight="1">
      <c r="A477" s="467"/>
      <c r="B477" s="467"/>
      <c r="C477" s="467"/>
      <c r="D477" s="467"/>
      <c r="E477" s="467"/>
    </row>
    <row r="478" ht="14.25" customHeight="1">
      <c r="A478" s="467"/>
      <c r="B478" s="467"/>
      <c r="C478" s="467"/>
      <c r="D478" s="467"/>
      <c r="E478" s="467"/>
    </row>
    <row r="479" ht="14.25" customHeight="1">
      <c r="A479" s="467"/>
      <c r="B479" s="467"/>
      <c r="C479" s="467"/>
      <c r="D479" s="467"/>
      <c r="E479" s="467"/>
    </row>
    <row r="480" ht="14.25" customHeight="1">
      <c r="A480" s="467"/>
      <c r="B480" s="467"/>
      <c r="C480" s="467"/>
      <c r="D480" s="467"/>
      <c r="E480" s="467"/>
    </row>
    <row r="481" ht="14.25" customHeight="1">
      <c r="A481" s="467"/>
      <c r="B481" s="467"/>
      <c r="C481" s="467"/>
      <c r="D481" s="467"/>
      <c r="E481" s="467"/>
    </row>
    <row r="482" ht="14.25" customHeight="1">
      <c r="A482" s="467"/>
      <c r="B482" s="467"/>
      <c r="C482" s="467"/>
      <c r="D482" s="467"/>
      <c r="E482" s="467"/>
    </row>
    <row r="483" ht="14.25" customHeight="1">
      <c r="A483" s="467"/>
      <c r="B483" s="467"/>
      <c r="C483" s="467"/>
      <c r="D483" s="467"/>
      <c r="E483" s="467"/>
    </row>
    <row r="484" ht="14.25" customHeight="1">
      <c r="A484" s="467"/>
      <c r="B484" s="467"/>
      <c r="C484" s="467"/>
      <c r="D484" s="467"/>
      <c r="E484" s="467"/>
    </row>
    <row r="485" ht="14.25" customHeight="1">
      <c r="A485" s="467"/>
      <c r="B485" s="467"/>
      <c r="C485" s="467"/>
      <c r="D485" s="467"/>
      <c r="E485" s="467"/>
    </row>
    <row r="486" ht="14.25" customHeight="1">
      <c r="A486" s="467"/>
      <c r="B486" s="467"/>
      <c r="C486" s="467"/>
      <c r="D486" s="467"/>
      <c r="E486" s="467"/>
    </row>
    <row r="487" ht="14.25" customHeight="1">
      <c r="A487" s="467"/>
      <c r="B487" s="467"/>
      <c r="C487" s="467"/>
      <c r="D487" s="467"/>
      <c r="E487" s="467"/>
    </row>
    <row r="488" ht="14.25" customHeight="1">
      <c r="A488" s="467"/>
      <c r="B488" s="467"/>
      <c r="C488" s="467"/>
      <c r="D488" s="467"/>
      <c r="E488" s="467"/>
    </row>
    <row r="489" ht="14.25" customHeight="1">
      <c r="A489" s="467"/>
      <c r="B489" s="467"/>
      <c r="C489" s="467"/>
      <c r="D489" s="467"/>
      <c r="E489" s="467"/>
    </row>
    <row r="490" ht="14.25" customHeight="1">
      <c r="A490" s="467"/>
      <c r="B490" s="467"/>
      <c r="C490" s="467"/>
      <c r="D490" s="467"/>
      <c r="E490" s="467"/>
    </row>
    <row r="491" ht="14.25" customHeight="1">
      <c r="A491" s="467"/>
      <c r="B491" s="467"/>
      <c r="C491" s="467"/>
      <c r="D491" s="467"/>
      <c r="E491" s="467"/>
    </row>
    <row r="492" ht="14.25" customHeight="1">
      <c r="A492" s="467"/>
      <c r="B492" s="467"/>
      <c r="C492" s="467"/>
      <c r="D492" s="467"/>
      <c r="E492" s="467"/>
    </row>
    <row r="493" ht="14.25" customHeight="1">
      <c r="A493" s="467"/>
      <c r="B493" s="467"/>
      <c r="C493" s="467"/>
      <c r="D493" s="467"/>
      <c r="E493" s="467"/>
    </row>
    <row r="494" ht="14.25" customHeight="1">
      <c r="A494" s="467"/>
      <c r="B494" s="467"/>
      <c r="C494" s="467"/>
      <c r="D494" s="467"/>
      <c r="E494" s="467"/>
    </row>
    <row r="495" ht="14.25" customHeight="1">
      <c r="A495" s="467"/>
      <c r="B495" s="467"/>
      <c r="C495" s="467"/>
      <c r="D495" s="467"/>
      <c r="E495" s="467"/>
    </row>
    <row r="496" ht="14.25" customHeight="1">
      <c r="A496" s="467"/>
      <c r="B496" s="467"/>
      <c r="C496" s="467"/>
      <c r="D496" s="467"/>
      <c r="E496" s="467"/>
    </row>
    <row r="497" ht="14.25" customHeight="1">
      <c r="A497" s="467"/>
      <c r="B497" s="467"/>
      <c r="C497" s="467"/>
      <c r="D497" s="467"/>
      <c r="E497" s="467"/>
    </row>
    <row r="498" ht="14.25" customHeight="1">
      <c r="A498" s="467"/>
      <c r="B498" s="467"/>
      <c r="C498" s="467"/>
      <c r="D498" s="467"/>
      <c r="E498" s="467"/>
    </row>
    <row r="499" ht="14.25" customHeight="1">
      <c r="A499" s="467"/>
      <c r="B499" s="467"/>
      <c r="C499" s="467"/>
      <c r="D499" s="467"/>
      <c r="E499" s="467"/>
    </row>
    <row r="500" ht="14.25" customHeight="1">
      <c r="A500" s="467"/>
      <c r="B500" s="467"/>
      <c r="C500" s="467"/>
      <c r="D500" s="467"/>
      <c r="E500" s="467"/>
    </row>
    <row r="501" ht="14.25" customHeight="1">
      <c r="A501" s="467"/>
      <c r="B501" s="467"/>
      <c r="C501" s="467"/>
      <c r="D501" s="467"/>
      <c r="E501" s="467"/>
    </row>
    <row r="502" ht="14.25" customHeight="1">
      <c r="A502" s="467"/>
      <c r="B502" s="467"/>
      <c r="C502" s="467"/>
      <c r="D502" s="467"/>
      <c r="E502" s="467"/>
    </row>
    <row r="503" ht="14.25" customHeight="1">
      <c r="A503" s="467"/>
      <c r="B503" s="467"/>
      <c r="C503" s="467"/>
      <c r="D503" s="467"/>
      <c r="E503" s="467"/>
    </row>
    <row r="504" ht="14.25" customHeight="1">
      <c r="A504" s="467"/>
      <c r="B504" s="467"/>
      <c r="C504" s="467"/>
      <c r="D504" s="467"/>
      <c r="E504" s="467"/>
    </row>
    <row r="505" ht="14.25" customHeight="1">
      <c r="A505" s="467"/>
      <c r="B505" s="467"/>
      <c r="C505" s="467"/>
      <c r="D505" s="467"/>
      <c r="E505" s="467"/>
    </row>
    <row r="506" ht="14.25" customHeight="1">
      <c r="A506" s="467"/>
      <c r="B506" s="467"/>
      <c r="C506" s="467"/>
      <c r="D506" s="467"/>
      <c r="E506" s="467"/>
    </row>
    <row r="507" ht="14.25" customHeight="1">
      <c r="A507" s="467"/>
      <c r="B507" s="467"/>
      <c r="C507" s="467"/>
      <c r="D507" s="467"/>
      <c r="E507" s="467"/>
    </row>
    <row r="508" ht="14.25" customHeight="1">
      <c r="A508" s="467"/>
      <c r="B508" s="467"/>
      <c r="C508" s="467"/>
      <c r="D508" s="467"/>
      <c r="E508" s="467"/>
    </row>
    <row r="509" ht="14.25" customHeight="1">
      <c r="A509" s="467"/>
      <c r="B509" s="467"/>
      <c r="C509" s="467"/>
      <c r="D509" s="467"/>
      <c r="E509" s="467"/>
    </row>
    <row r="510" ht="14.25" customHeight="1">
      <c r="A510" s="467"/>
      <c r="B510" s="467"/>
      <c r="C510" s="467"/>
      <c r="D510" s="467"/>
      <c r="E510" s="467"/>
    </row>
    <row r="511" ht="14.25" customHeight="1">
      <c r="A511" s="467"/>
      <c r="B511" s="467"/>
      <c r="C511" s="467"/>
      <c r="D511" s="467"/>
      <c r="E511" s="467"/>
    </row>
    <row r="512" ht="14.25" customHeight="1">
      <c r="A512" s="467"/>
      <c r="B512" s="467"/>
      <c r="C512" s="467"/>
      <c r="D512" s="467"/>
      <c r="E512" s="467"/>
    </row>
    <row r="513" ht="14.25" customHeight="1">
      <c r="A513" s="467"/>
      <c r="B513" s="467"/>
      <c r="C513" s="467"/>
      <c r="D513" s="467"/>
      <c r="E513" s="467"/>
    </row>
    <row r="514" ht="14.25" customHeight="1">
      <c r="A514" s="467"/>
      <c r="B514" s="467"/>
      <c r="C514" s="467"/>
      <c r="D514" s="467"/>
      <c r="E514" s="467"/>
    </row>
    <row r="515" ht="14.25" customHeight="1">
      <c r="A515" s="467"/>
      <c r="B515" s="467"/>
      <c r="C515" s="467"/>
      <c r="D515" s="467"/>
      <c r="E515" s="467"/>
    </row>
    <row r="516" ht="14.25" customHeight="1">
      <c r="A516" s="467"/>
      <c r="B516" s="467"/>
      <c r="C516" s="467"/>
      <c r="D516" s="467"/>
      <c r="E516" s="467"/>
    </row>
    <row r="517" ht="14.25" customHeight="1">
      <c r="A517" s="467"/>
      <c r="B517" s="467"/>
      <c r="C517" s="467"/>
      <c r="D517" s="467"/>
      <c r="E517" s="467"/>
    </row>
    <row r="518" ht="14.25" customHeight="1">
      <c r="A518" s="467"/>
      <c r="B518" s="467"/>
      <c r="C518" s="467"/>
      <c r="D518" s="467"/>
      <c r="E518" s="467"/>
    </row>
    <row r="519" ht="14.25" customHeight="1">
      <c r="A519" s="467"/>
      <c r="B519" s="467"/>
      <c r="C519" s="467"/>
      <c r="D519" s="467"/>
      <c r="E519" s="467"/>
    </row>
    <row r="520" ht="14.25" customHeight="1">
      <c r="A520" s="467"/>
      <c r="B520" s="467"/>
      <c r="C520" s="467"/>
      <c r="D520" s="467"/>
      <c r="E520" s="467"/>
    </row>
    <row r="521" ht="14.25" customHeight="1">
      <c r="A521" s="467"/>
      <c r="B521" s="467"/>
      <c r="C521" s="467"/>
      <c r="D521" s="467"/>
      <c r="E521" s="467"/>
    </row>
    <row r="522" ht="14.25" customHeight="1">
      <c r="A522" s="467"/>
      <c r="B522" s="467"/>
      <c r="C522" s="467"/>
      <c r="D522" s="467"/>
      <c r="E522" s="467"/>
    </row>
    <row r="523" ht="14.25" customHeight="1">
      <c r="A523" s="467"/>
      <c r="B523" s="467"/>
      <c r="C523" s="467"/>
      <c r="D523" s="467"/>
      <c r="E523" s="467"/>
    </row>
    <row r="524" ht="14.25" customHeight="1">
      <c r="A524" s="467"/>
      <c r="B524" s="467"/>
      <c r="C524" s="467"/>
      <c r="D524" s="467"/>
      <c r="E524" s="467"/>
    </row>
    <row r="525" ht="14.25" customHeight="1">
      <c r="A525" s="467"/>
      <c r="B525" s="467"/>
      <c r="C525" s="467"/>
      <c r="D525" s="467"/>
      <c r="E525" s="467"/>
    </row>
    <row r="526" ht="14.25" customHeight="1">
      <c r="A526" s="467"/>
      <c r="B526" s="467"/>
      <c r="C526" s="467"/>
      <c r="D526" s="467"/>
      <c r="E526" s="467"/>
    </row>
    <row r="527" ht="14.25" customHeight="1">
      <c r="A527" s="467"/>
      <c r="B527" s="467"/>
      <c r="C527" s="467"/>
      <c r="D527" s="467"/>
      <c r="E527" s="467"/>
    </row>
    <row r="528" ht="14.25" customHeight="1">
      <c r="A528" s="467"/>
      <c r="B528" s="467"/>
      <c r="C528" s="467"/>
      <c r="D528" s="467"/>
      <c r="E528" s="467"/>
    </row>
    <row r="529" ht="14.25" customHeight="1">
      <c r="A529" s="467"/>
      <c r="B529" s="467"/>
      <c r="C529" s="467"/>
      <c r="D529" s="467"/>
      <c r="E529" s="467"/>
    </row>
    <row r="530" ht="14.25" customHeight="1">
      <c r="A530" s="467"/>
      <c r="B530" s="467"/>
      <c r="C530" s="467"/>
      <c r="D530" s="467"/>
      <c r="E530" s="467"/>
    </row>
    <row r="531" ht="14.25" customHeight="1">
      <c r="A531" s="467"/>
      <c r="B531" s="467"/>
      <c r="C531" s="467"/>
      <c r="D531" s="467"/>
      <c r="E531" s="467"/>
    </row>
    <row r="532" ht="14.25" customHeight="1">
      <c r="A532" s="467"/>
      <c r="B532" s="467"/>
      <c r="C532" s="467"/>
      <c r="D532" s="467"/>
      <c r="E532" s="467"/>
    </row>
    <row r="533" ht="14.25" customHeight="1">
      <c r="A533" s="467"/>
      <c r="B533" s="467"/>
      <c r="C533" s="467"/>
      <c r="D533" s="467"/>
      <c r="E533" s="467"/>
    </row>
    <row r="534" ht="14.25" customHeight="1">
      <c r="A534" s="467"/>
      <c r="B534" s="467"/>
      <c r="C534" s="467"/>
      <c r="D534" s="467"/>
      <c r="E534" s="467"/>
    </row>
    <row r="535" ht="14.25" customHeight="1">
      <c r="A535" s="467"/>
      <c r="B535" s="467"/>
      <c r="C535" s="467"/>
      <c r="D535" s="467"/>
      <c r="E535" s="467"/>
    </row>
    <row r="536" ht="14.25" customHeight="1">
      <c r="A536" s="467"/>
      <c r="B536" s="467"/>
      <c r="C536" s="467"/>
      <c r="D536" s="467"/>
      <c r="E536" s="467"/>
    </row>
    <row r="537" ht="14.25" customHeight="1">
      <c r="A537" s="467"/>
      <c r="B537" s="467"/>
      <c r="C537" s="467"/>
      <c r="D537" s="467"/>
      <c r="E537" s="467"/>
    </row>
    <row r="538" ht="14.25" customHeight="1">
      <c r="A538" s="467"/>
      <c r="B538" s="467"/>
      <c r="C538" s="467"/>
      <c r="D538" s="467"/>
      <c r="E538" s="467"/>
    </row>
    <row r="539" ht="14.25" customHeight="1">
      <c r="A539" s="467"/>
      <c r="B539" s="467"/>
      <c r="C539" s="467"/>
      <c r="D539" s="467"/>
      <c r="E539" s="467"/>
    </row>
    <row r="540" ht="14.25" customHeight="1">
      <c r="A540" s="467"/>
      <c r="B540" s="467"/>
      <c r="C540" s="467"/>
      <c r="D540" s="467"/>
      <c r="E540" s="467"/>
    </row>
    <row r="541" ht="14.25" customHeight="1">
      <c r="A541" s="467"/>
      <c r="B541" s="467"/>
      <c r="C541" s="467"/>
      <c r="D541" s="467"/>
      <c r="E541" s="467"/>
    </row>
    <row r="542" ht="14.25" customHeight="1">
      <c r="A542" s="467"/>
      <c r="B542" s="467"/>
      <c r="C542" s="467"/>
      <c r="D542" s="467"/>
      <c r="E542" s="467"/>
    </row>
    <row r="543" ht="14.25" customHeight="1">
      <c r="A543" s="467"/>
      <c r="B543" s="467"/>
      <c r="C543" s="467"/>
      <c r="D543" s="467"/>
      <c r="E543" s="467"/>
    </row>
    <row r="544" ht="14.25" customHeight="1">
      <c r="A544" s="467"/>
      <c r="B544" s="467"/>
      <c r="C544" s="467"/>
      <c r="D544" s="467"/>
      <c r="E544" s="467"/>
    </row>
    <row r="545" ht="14.25" customHeight="1">
      <c r="A545" s="467"/>
      <c r="B545" s="467"/>
      <c r="C545" s="467"/>
      <c r="D545" s="467"/>
      <c r="E545" s="467"/>
    </row>
    <row r="546" ht="14.25" customHeight="1">
      <c r="A546" s="467"/>
      <c r="B546" s="467"/>
      <c r="C546" s="467"/>
      <c r="D546" s="467"/>
      <c r="E546" s="467"/>
    </row>
    <row r="547" ht="14.25" customHeight="1">
      <c r="A547" s="467"/>
      <c r="B547" s="467"/>
      <c r="C547" s="467"/>
      <c r="D547" s="467"/>
      <c r="E547" s="467"/>
    </row>
    <row r="548" ht="14.25" customHeight="1">
      <c r="A548" s="467"/>
      <c r="B548" s="467"/>
      <c r="C548" s="467"/>
      <c r="D548" s="467"/>
      <c r="E548" s="467"/>
    </row>
    <row r="549" ht="14.25" customHeight="1">
      <c r="A549" s="467"/>
      <c r="B549" s="467"/>
      <c r="C549" s="467"/>
      <c r="D549" s="467"/>
      <c r="E549" s="467"/>
    </row>
    <row r="550" ht="14.25" customHeight="1">
      <c r="A550" s="467"/>
      <c r="B550" s="467"/>
      <c r="C550" s="467"/>
      <c r="D550" s="467"/>
      <c r="E550" s="467"/>
    </row>
    <row r="551" ht="14.25" customHeight="1">
      <c r="A551" s="467"/>
      <c r="B551" s="467"/>
      <c r="C551" s="467"/>
      <c r="D551" s="467"/>
      <c r="E551" s="467"/>
    </row>
    <row r="552" ht="14.25" customHeight="1">
      <c r="A552" s="467"/>
      <c r="B552" s="467"/>
      <c r="C552" s="467"/>
      <c r="D552" s="467"/>
      <c r="E552" s="467"/>
    </row>
    <row r="553" ht="14.25" customHeight="1">
      <c r="A553" s="467"/>
      <c r="B553" s="467"/>
      <c r="C553" s="467"/>
      <c r="D553" s="467"/>
      <c r="E553" s="467"/>
    </row>
    <row r="554" ht="14.25" customHeight="1">
      <c r="A554" s="467"/>
      <c r="B554" s="467"/>
      <c r="C554" s="467"/>
      <c r="D554" s="467"/>
      <c r="E554" s="467"/>
    </row>
    <row r="555" ht="14.25" customHeight="1">
      <c r="A555" s="467"/>
      <c r="B555" s="467"/>
      <c r="C555" s="467"/>
      <c r="D555" s="467"/>
      <c r="E555" s="467"/>
    </row>
    <row r="556" ht="14.25" customHeight="1">
      <c r="A556" s="467"/>
      <c r="B556" s="467"/>
      <c r="C556" s="467"/>
      <c r="D556" s="467"/>
      <c r="E556" s="467"/>
    </row>
    <row r="557" ht="14.25" customHeight="1">
      <c r="A557" s="467"/>
      <c r="B557" s="467"/>
      <c r="C557" s="467"/>
      <c r="D557" s="467"/>
      <c r="E557" s="467"/>
    </row>
    <row r="558" ht="14.25" customHeight="1">
      <c r="A558" s="467"/>
      <c r="B558" s="467"/>
      <c r="C558" s="467"/>
      <c r="D558" s="467"/>
      <c r="E558" s="467"/>
    </row>
    <row r="559" ht="14.25" customHeight="1">
      <c r="A559" s="467"/>
      <c r="B559" s="467"/>
      <c r="C559" s="467"/>
      <c r="D559" s="467"/>
      <c r="E559" s="467"/>
    </row>
    <row r="560" ht="14.25" customHeight="1">
      <c r="A560" s="467"/>
      <c r="B560" s="467"/>
      <c r="C560" s="467"/>
      <c r="D560" s="467"/>
      <c r="E560" s="467"/>
    </row>
    <row r="561" ht="14.25" customHeight="1">
      <c r="A561" s="467"/>
      <c r="B561" s="467"/>
      <c r="C561" s="467"/>
      <c r="D561" s="467"/>
      <c r="E561" s="467"/>
    </row>
    <row r="562" ht="14.25" customHeight="1">
      <c r="A562" s="467"/>
      <c r="B562" s="467"/>
      <c r="C562" s="467"/>
      <c r="D562" s="467"/>
      <c r="E562" s="467"/>
    </row>
    <row r="563" ht="14.25" customHeight="1">
      <c r="A563" s="467"/>
      <c r="B563" s="467"/>
      <c r="C563" s="467"/>
      <c r="D563" s="467"/>
      <c r="E563" s="467"/>
    </row>
    <row r="564" ht="14.25" customHeight="1">
      <c r="A564" s="467"/>
      <c r="B564" s="467"/>
      <c r="C564" s="467"/>
      <c r="D564" s="467"/>
      <c r="E564" s="467"/>
    </row>
    <row r="565" ht="14.25" customHeight="1">
      <c r="A565" s="467"/>
      <c r="B565" s="467"/>
      <c r="C565" s="467"/>
      <c r="D565" s="467"/>
      <c r="E565" s="467"/>
    </row>
    <row r="566" ht="14.25" customHeight="1">
      <c r="A566" s="467"/>
      <c r="B566" s="467"/>
      <c r="C566" s="467"/>
      <c r="D566" s="467"/>
      <c r="E566" s="467"/>
    </row>
    <row r="567" ht="14.25" customHeight="1">
      <c r="A567" s="467"/>
      <c r="B567" s="467"/>
      <c r="C567" s="467"/>
      <c r="D567" s="467"/>
      <c r="E567" s="467"/>
    </row>
    <row r="568" ht="14.25" customHeight="1">
      <c r="A568" s="467"/>
      <c r="B568" s="467"/>
      <c r="C568" s="467"/>
      <c r="D568" s="467"/>
      <c r="E568" s="467"/>
    </row>
    <row r="569" ht="14.25" customHeight="1">
      <c r="A569" s="467"/>
      <c r="B569" s="467"/>
      <c r="C569" s="467"/>
      <c r="D569" s="467"/>
      <c r="E569" s="467"/>
    </row>
    <row r="570" ht="14.25" customHeight="1">
      <c r="A570" s="467"/>
      <c r="B570" s="467"/>
      <c r="C570" s="467"/>
      <c r="D570" s="467"/>
      <c r="E570" s="467"/>
    </row>
    <row r="571" ht="14.25" customHeight="1">
      <c r="A571" s="467"/>
      <c r="B571" s="467"/>
      <c r="C571" s="467"/>
      <c r="D571" s="467"/>
      <c r="E571" s="467"/>
    </row>
    <row r="572" ht="14.25" customHeight="1">
      <c r="A572" s="467"/>
      <c r="B572" s="467"/>
      <c r="C572" s="467"/>
      <c r="D572" s="467"/>
      <c r="E572" s="467"/>
    </row>
    <row r="573" ht="14.25" customHeight="1">
      <c r="A573" s="467"/>
      <c r="B573" s="467"/>
      <c r="C573" s="467"/>
      <c r="D573" s="467"/>
      <c r="E573" s="467"/>
    </row>
    <row r="574" ht="14.25" customHeight="1">
      <c r="A574" s="467"/>
      <c r="B574" s="467"/>
      <c r="C574" s="467"/>
      <c r="D574" s="467"/>
      <c r="E574" s="467"/>
    </row>
    <row r="575" ht="14.25" customHeight="1">
      <c r="A575" s="467"/>
      <c r="B575" s="467"/>
      <c r="C575" s="467"/>
      <c r="D575" s="467"/>
      <c r="E575" s="467"/>
    </row>
    <row r="576" ht="14.25" customHeight="1">
      <c r="A576" s="467"/>
      <c r="B576" s="467"/>
      <c r="C576" s="467"/>
      <c r="D576" s="467"/>
      <c r="E576" s="467"/>
    </row>
    <row r="577" ht="14.25" customHeight="1">
      <c r="A577" s="467"/>
      <c r="B577" s="467"/>
      <c r="C577" s="467"/>
      <c r="D577" s="467"/>
      <c r="E577" s="467"/>
    </row>
    <row r="578" ht="14.25" customHeight="1">
      <c r="A578" s="467"/>
      <c r="B578" s="467"/>
      <c r="C578" s="467"/>
      <c r="D578" s="467"/>
      <c r="E578" s="467"/>
    </row>
    <row r="579" ht="14.25" customHeight="1">
      <c r="A579" s="467"/>
      <c r="B579" s="467"/>
      <c r="C579" s="467"/>
      <c r="D579" s="467"/>
      <c r="E579" s="467"/>
    </row>
    <row r="580" ht="14.25" customHeight="1">
      <c r="A580" s="467"/>
      <c r="B580" s="467"/>
      <c r="C580" s="467"/>
      <c r="D580" s="467"/>
      <c r="E580" s="467"/>
    </row>
    <row r="581" ht="14.25" customHeight="1">
      <c r="A581" s="467"/>
      <c r="B581" s="467"/>
      <c r="C581" s="467"/>
      <c r="D581" s="467"/>
      <c r="E581" s="467"/>
    </row>
    <row r="582" ht="14.25" customHeight="1">
      <c r="A582" s="467"/>
      <c r="B582" s="467"/>
      <c r="C582" s="467"/>
      <c r="D582" s="467"/>
      <c r="E582" s="467"/>
    </row>
    <row r="583" ht="14.25" customHeight="1">
      <c r="A583" s="467"/>
      <c r="B583" s="467"/>
      <c r="C583" s="467"/>
      <c r="D583" s="467"/>
      <c r="E583" s="467"/>
    </row>
    <row r="584" ht="14.25" customHeight="1">
      <c r="A584" s="467"/>
      <c r="B584" s="467"/>
      <c r="C584" s="467"/>
      <c r="D584" s="467"/>
      <c r="E584" s="467"/>
    </row>
    <row r="585" ht="14.25" customHeight="1">
      <c r="A585" s="467"/>
      <c r="B585" s="467"/>
      <c r="C585" s="467"/>
      <c r="D585" s="467"/>
      <c r="E585" s="467"/>
    </row>
    <row r="586" ht="14.25" customHeight="1">
      <c r="A586" s="467"/>
      <c r="B586" s="467"/>
      <c r="C586" s="467"/>
      <c r="D586" s="467"/>
      <c r="E586" s="467"/>
    </row>
    <row r="587" ht="14.25" customHeight="1">
      <c r="A587" s="467"/>
      <c r="B587" s="467"/>
      <c r="C587" s="467"/>
      <c r="D587" s="467"/>
      <c r="E587" s="467"/>
    </row>
    <row r="588" ht="14.25" customHeight="1">
      <c r="A588" s="467"/>
      <c r="B588" s="467"/>
      <c r="C588" s="467"/>
      <c r="D588" s="467"/>
      <c r="E588" s="467"/>
    </row>
    <row r="589" ht="14.25" customHeight="1">
      <c r="A589" s="467"/>
      <c r="B589" s="467"/>
      <c r="C589" s="467"/>
      <c r="D589" s="467"/>
      <c r="E589" s="467"/>
    </row>
    <row r="590" ht="14.25" customHeight="1">
      <c r="A590" s="467"/>
      <c r="B590" s="467"/>
      <c r="C590" s="467"/>
      <c r="D590" s="467"/>
      <c r="E590" s="467"/>
    </row>
    <row r="591" ht="14.25" customHeight="1">
      <c r="A591" s="467"/>
      <c r="B591" s="467"/>
      <c r="C591" s="467"/>
      <c r="D591" s="467"/>
      <c r="E591" s="467"/>
    </row>
    <row r="592" ht="14.25" customHeight="1">
      <c r="A592" s="467"/>
      <c r="B592" s="467"/>
      <c r="C592" s="467"/>
      <c r="D592" s="467"/>
      <c r="E592" s="467"/>
    </row>
    <row r="593" ht="14.25" customHeight="1">
      <c r="A593" s="467"/>
      <c r="B593" s="467"/>
      <c r="C593" s="467"/>
      <c r="D593" s="467"/>
      <c r="E593" s="467"/>
    </row>
    <row r="594" ht="14.25" customHeight="1">
      <c r="A594" s="467"/>
      <c r="B594" s="467"/>
      <c r="C594" s="467"/>
      <c r="D594" s="467"/>
      <c r="E594" s="467"/>
    </row>
    <row r="595" ht="14.25" customHeight="1">
      <c r="A595" s="467"/>
      <c r="B595" s="467"/>
      <c r="C595" s="467"/>
      <c r="D595" s="467"/>
      <c r="E595" s="467"/>
    </row>
    <row r="596" ht="14.25" customHeight="1">
      <c r="A596" s="467"/>
      <c r="B596" s="467"/>
      <c r="C596" s="467"/>
      <c r="D596" s="467"/>
      <c r="E596" s="467"/>
    </row>
    <row r="597" ht="14.25" customHeight="1">
      <c r="A597" s="467"/>
      <c r="B597" s="467"/>
      <c r="C597" s="467"/>
      <c r="D597" s="467"/>
      <c r="E597" s="467"/>
    </row>
    <row r="598" ht="14.25" customHeight="1">
      <c r="A598" s="467"/>
      <c r="B598" s="467"/>
      <c r="C598" s="467"/>
      <c r="D598" s="467"/>
      <c r="E598" s="467"/>
    </row>
    <row r="599" ht="14.25" customHeight="1">
      <c r="A599" s="467"/>
      <c r="B599" s="467"/>
      <c r="C599" s="467"/>
      <c r="D599" s="467"/>
      <c r="E599" s="467"/>
    </row>
    <row r="600" ht="14.25" customHeight="1">
      <c r="A600" s="467"/>
      <c r="B600" s="467"/>
      <c r="C600" s="467"/>
      <c r="D600" s="467"/>
      <c r="E600" s="467"/>
    </row>
    <row r="601" ht="14.25" customHeight="1">
      <c r="A601" s="467"/>
      <c r="B601" s="467"/>
      <c r="C601" s="467"/>
      <c r="D601" s="467"/>
      <c r="E601" s="467"/>
    </row>
    <row r="602" ht="14.25" customHeight="1">
      <c r="A602" s="467"/>
      <c r="B602" s="467"/>
      <c r="C602" s="467"/>
      <c r="D602" s="467"/>
      <c r="E602" s="467"/>
    </row>
    <row r="603" ht="14.25" customHeight="1">
      <c r="A603" s="467"/>
      <c r="B603" s="467"/>
      <c r="C603" s="467"/>
      <c r="D603" s="467"/>
      <c r="E603" s="467"/>
    </row>
    <row r="604" ht="14.25" customHeight="1">
      <c r="A604" s="467"/>
      <c r="B604" s="467"/>
      <c r="C604" s="467"/>
      <c r="D604" s="467"/>
      <c r="E604" s="467"/>
    </row>
    <row r="605" ht="14.25" customHeight="1">
      <c r="A605" s="467"/>
      <c r="B605" s="467"/>
      <c r="C605" s="467"/>
      <c r="D605" s="467"/>
      <c r="E605" s="467"/>
    </row>
    <row r="606" ht="14.25" customHeight="1">
      <c r="A606" s="467"/>
      <c r="B606" s="467"/>
      <c r="C606" s="467"/>
      <c r="D606" s="467"/>
      <c r="E606" s="467"/>
    </row>
    <row r="607" ht="14.25" customHeight="1">
      <c r="A607" s="467"/>
      <c r="B607" s="467"/>
      <c r="C607" s="467"/>
      <c r="D607" s="467"/>
      <c r="E607" s="467"/>
    </row>
    <row r="608" ht="14.25" customHeight="1">
      <c r="A608" s="467"/>
      <c r="B608" s="467"/>
      <c r="C608" s="467"/>
      <c r="D608" s="467"/>
      <c r="E608" s="467"/>
    </row>
    <row r="609" ht="14.25" customHeight="1">
      <c r="A609" s="467"/>
      <c r="B609" s="467"/>
      <c r="C609" s="467"/>
      <c r="D609" s="467"/>
      <c r="E609" s="467"/>
    </row>
    <row r="610" ht="14.25" customHeight="1">
      <c r="A610" s="467"/>
      <c r="B610" s="467"/>
      <c r="C610" s="467"/>
      <c r="D610" s="467"/>
      <c r="E610" s="467"/>
    </row>
    <row r="611" ht="14.25" customHeight="1">
      <c r="A611" s="467"/>
      <c r="B611" s="467"/>
      <c r="C611" s="467"/>
      <c r="D611" s="467"/>
      <c r="E611" s="467"/>
    </row>
    <row r="612" ht="14.25" customHeight="1">
      <c r="A612" s="467"/>
      <c r="B612" s="467"/>
      <c r="C612" s="467"/>
      <c r="D612" s="467"/>
      <c r="E612" s="467"/>
    </row>
    <row r="613" ht="14.25" customHeight="1">
      <c r="A613" s="467"/>
      <c r="B613" s="467"/>
      <c r="C613" s="467"/>
      <c r="D613" s="467"/>
      <c r="E613" s="467"/>
    </row>
    <row r="614" ht="14.25" customHeight="1">
      <c r="A614" s="467"/>
      <c r="B614" s="467"/>
      <c r="C614" s="467"/>
      <c r="D614" s="467"/>
      <c r="E614" s="467"/>
    </row>
    <row r="615" ht="14.25" customHeight="1">
      <c r="A615" s="467"/>
      <c r="B615" s="467"/>
      <c r="C615" s="467"/>
      <c r="D615" s="467"/>
      <c r="E615" s="467"/>
    </row>
    <row r="616" ht="14.25" customHeight="1">
      <c r="A616" s="467"/>
      <c r="B616" s="467"/>
      <c r="C616" s="467"/>
      <c r="D616" s="467"/>
      <c r="E616" s="467"/>
    </row>
    <row r="617" ht="14.25" customHeight="1">
      <c r="A617" s="467"/>
      <c r="B617" s="467"/>
      <c r="C617" s="467"/>
      <c r="D617" s="467"/>
      <c r="E617" s="467"/>
    </row>
    <row r="618" ht="14.25" customHeight="1">
      <c r="A618" s="467"/>
      <c r="B618" s="467"/>
      <c r="C618" s="467"/>
      <c r="D618" s="467"/>
      <c r="E618" s="467"/>
    </row>
    <row r="619" ht="14.25" customHeight="1">
      <c r="A619" s="467"/>
      <c r="B619" s="467"/>
      <c r="C619" s="467"/>
      <c r="D619" s="467"/>
      <c r="E619" s="467"/>
    </row>
    <row r="620" ht="14.25" customHeight="1">
      <c r="A620" s="467"/>
      <c r="B620" s="467"/>
      <c r="C620" s="467"/>
      <c r="D620" s="467"/>
      <c r="E620" s="467"/>
    </row>
    <row r="621" ht="14.25" customHeight="1">
      <c r="A621" s="467"/>
      <c r="B621" s="467"/>
      <c r="C621" s="467"/>
      <c r="D621" s="467"/>
      <c r="E621" s="467"/>
    </row>
    <row r="622" ht="14.25" customHeight="1">
      <c r="A622" s="467"/>
      <c r="B622" s="467"/>
      <c r="C622" s="467"/>
      <c r="D622" s="467"/>
      <c r="E622" s="467"/>
    </row>
    <row r="623" ht="14.25" customHeight="1">
      <c r="A623" s="467"/>
      <c r="B623" s="467"/>
      <c r="C623" s="467"/>
      <c r="D623" s="467"/>
      <c r="E623" s="467"/>
    </row>
    <row r="624" ht="14.25" customHeight="1">
      <c r="A624" s="467"/>
      <c r="B624" s="467"/>
      <c r="C624" s="467"/>
      <c r="D624" s="467"/>
      <c r="E624" s="467"/>
    </row>
    <row r="625" ht="14.25" customHeight="1">
      <c r="A625" s="467"/>
      <c r="B625" s="467"/>
      <c r="C625" s="467"/>
      <c r="D625" s="467"/>
      <c r="E625" s="467"/>
    </row>
    <row r="626" ht="14.25" customHeight="1">
      <c r="A626" s="467"/>
      <c r="B626" s="467"/>
      <c r="C626" s="467"/>
      <c r="D626" s="467"/>
      <c r="E626" s="467"/>
    </row>
    <row r="627" ht="14.25" customHeight="1">
      <c r="A627" s="467"/>
      <c r="B627" s="467"/>
      <c r="C627" s="467"/>
      <c r="D627" s="467"/>
      <c r="E627" s="467"/>
    </row>
    <row r="628" ht="14.25" customHeight="1">
      <c r="A628" s="467"/>
      <c r="B628" s="467"/>
      <c r="C628" s="467"/>
      <c r="D628" s="467"/>
      <c r="E628" s="467"/>
    </row>
    <row r="629" ht="14.25" customHeight="1">
      <c r="A629" s="467"/>
      <c r="B629" s="467"/>
      <c r="C629" s="467"/>
      <c r="D629" s="467"/>
      <c r="E629" s="467"/>
    </row>
    <row r="630" ht="14.25" customHeight="1">
      <c r="A630" s="467"/>
      <c r="B630" s="467"/>
      <c r="C630" s="467"/>
      <c r="D630" s="467"/>
      <c r="E630" s="467"/>
    </row>
    <row r="631" ht="14.25" customHeight="1">
      <c r="A631" s="467"/>
      <c r="B631" s="467"/>
      <c r="C631" s="467"/>
      <c r="D631" s="467"/>
      <c r="E631" s="467"/>
    </row>
    <row r="632" ht="14.25" customHeight="1">
      <c r="A632" s="467"/>
      <c r="B632" s="467"/>
      <c r="C632" s="467"/>
      <c r="D632" s="467"/>
      <c r="E632" s="467"/>
    </row>
    <row r="633" ht="14.25" customHeight="1">
      <c r="A633" s="467"/>
      <c r="B633" s="467"/>
      <c r="C633" s="467"/>
      <c r="D633" s="467"/>
      <c r="E633" s="467"/>
    </row>
    <row r="634" ht="14.25" customHeight="1">
      <c r="A634" s="467"/>
      <c r="B634" s="467"/>
      <c r="C634" s="467"/>
      <c r="D634" s="467"/>
      <c r="E634" s="467"/>
    </row>
    <row r="635" ht="14.25" customHeight="1">
      <c r="A635" s="467"/>
      <c r="B635" s="467"/>
      <c r="C635" s="467"/>
      <c r="D635" s="467"/>
      <c r="E635" s="467"/>
    </row>
    <row r="636" ht="14.25" customHeight="1">
      <c r="A636" s="467"/>
      <c r="B636" s="467"/>
      <c r="C636" s="467"/>
      <c r="D636" s="467"/>
      <c r="E636" s="467"/>
    </row>
    <row r="637" ht="14.25" customHeight="1">
      <c r="A637" s="467"/>
      <c r="B637" s="467"/>
      <c r="C637" s="467"/>
      <c r="D637" s="467"/>
      <c r="E637" s="467"/>
    </row>
    <row r="638" ht="14.25" customHeight="1">
      <c r="A638" s="467"/>
      <c r="B638" s="467"/>
      <c r="C638" s="467"/>
      <c r="D638" s="467"/>
      <c r="E638" s="467"/>
    </row>
    <row r="639" ht="14.25" customHeight="1">
      <c r="A639" s="467"/>
      <c r="B639" s="467"/>
      <c r="C639" s="467"/>
      <c r="D639" s="467"/>
      <c r="E639" s="467"/>
    </row>
    <row r="640" ht="14.25" customHeight="1">
      <c r="A640" s="467"/>
      <c r="B640" s="467"/>
      <c r="C640" s="467"/>
      <c r="D640" s="467"/>
      <c r="E640" s="467"/>
    </row>
    <row r="641" ht="14.25" customHeight="1">
      <c r="A641" s="467"/>
      <c r="B641" s="467"/>
      <c r="C641" s="467"/>
      <c r="D641" s="467"/>
      <c r="E641" s="467"/>
    </row>
    <row r="642" ht="14.25" customHeight="1">
      <c r="A642" s="467"/>
      <c r="B642" s="467"/>
      <c r="C642" s="467"/>
      <c r="D642" s="467"/>
      <c r="E642" s="467"/>
    </row>
    <row r="643" ht="14.25" customHeight="1">
      <c r="A643" s="467"/>
      <c r="B643" s="467"/>
      <c r="C643" s="467"/>
      <c r="D643" s="467"/>
      <c r="E643" s="467"/>
    </row>
    <row r="644" ht="14.25" customHeight="1">
      <c r="A644" s="467"/>
      <c r="B644" s="467"/>
      <c r="C644" s="467"/>
      <c r="D644" s="467"/>
      <c r="E644" s="467"/>
    </row>
    <row r="645" ht="14.25" customHeight="1">
      <c r="A645" s="467"/>
      <c r="B645" s="467"/>
      <c r="C645" s="467"/>
      <c r="D645" s="467"/>
      <c r="E645" s="467"/>
    </row>
    <row r="646" ht="14.25" customHeight="1">
      <c r="A646" s="467"/>
      <c r="B646" s="467"/>
      <c r="C646" s="467"/>
      <c r="D646" s="467"/>
      <c r="E646" s="467"/>
    </row>
    <row r="647" ht="14.25" customHeight="1">
      <c r="A647" s="467"/>
      <c r="B647" s="467"/>
      <c r="C647" s="467"/>
      <c r="D647" s="467"/>
      <c r="E647" s="467"/>
    </row>
    <row r="648" ht="14.25" customHeight="1">
      <c r="A648" s="467"/>
      <c r="B648" s="467"/>
      <c r="C648" s="467"/>
      <c r="D648" s="467"/>
      <c r="E648" s="467"/>
    </row>
    <row r="649" ht="14.25" customHeight="1">
      <c r="A649" s="467"/>
      <c r="B649" s="467"/>
      <c r="C649" s="467"/>
      <c r="D649" s="467"/>
      <c r="E649" s="467"/>
    </row>
    <row r="650" ht="14.25" customHeight="1">
      <c r="A650" s="467"/>
      <c r="B650" s="467"/>
      <c r="C650" s="467"/>
      <c r="D650" s="467"/>
      <c r="E650" s="467"/>
    </row>
    <row r="651" ht="14.25" customHeight="1">
      <c r="A651" s="467"/>
      <c r="B651" s="467"/>
      <c r="C651" s="467"/>
      <c r="D651" s="467"/>
      <c r="E651" s="467"/>
    </row>
    <row r="652" ht="14.25" customHeight="1">
      <c r="A652" s="467"/>
      <c r="B652" s="467"/>
      <c r="C652" s="467"/>
      <c r="D652" s="467"/>
      <c r="E652" s="467"/>
    </row>
    <row r="653" ht="14.25" customHeight="1">
      <c r="A653" s="467"/>
      <c r="B653" s="467"/>
      <c r="C653" s="467"/>
      <c r="D653" s="467"/>
      <c r="E653" s="467"/>
    </row>
    <row r="654" ht="14.25" customHeight="1">
      <c r="A654" s="467"/>
      <c r="B654" s="467"/>
      <c r="C654" s="467"/>
      <c r="D654" s="467"/>
      <c r="E654" s="467"/>
    </row>
    <row r="655" ht="14.25" customHeight="1">
      <c r="A655" s="467"/>
      <c r="B655" s="467"/>
      <c r="C655" s="467"/>
      <c r="D655" s="467"/>
      <c r="E655" s="467"/>
    </row>
    <row r="656" ht="14.25" customHeight="1">
      <c r="A656" s="467"/>
      <c r="B656" s="467"/>
      <c r="C656" s="467"/>
      <c r="D656" s="467"/>
      <c r="E656" s="467"/>
    </row>
    <row r="657" ht="14.25" customHeight="1">
      <c r="A657" s="467"/>
      <c r="B657" s="467"/>
      <c r="C657" s="467"/>
      <c r="D657" s="467"/>
      <c r="E657" s="467"/>
    </row>
    <row r="658" ht="14.25" customHeight="1">
      <c r="A658" s="467"/>
      <c r="B658" s="467"/>
      <c r="C658" s="467"/>
      <c r="D658" s="467"/>
      <c r="E658" s="467"/>
    </row>
    <row r="659" ht="14.25" customHeight="1">
      <c r="A659" s="467"/>
      <c r="B659" s="467"/>
      <c r="C659" s="467"/>
      <c r="D659" s="467"/>
      <c r="E659" s="467"/>
    </row>
    <row r="660" ht="14.25" customHeight="1">
      <c r="A660" s="467"/>
      <c r="B660" s="467"/>
      <c r="C660" s="467"/>
      <c r="D660" s="467"/>
      <c r="E660" s="467"/>
    </row>
    <row r="661" ht="14.25" customHeight="1">
      <c r="A661" s="467"/>
      <c r="B661" s="467"/>
      <c r="C661" s="467"/>
      <c r="D661" s="467"/>
      <c r="E661" s="467"/>
    </row>
    <row r="662" ht="14.25" customHeight="1">
      <c r="A662" s="467"/>
      <c r="B662" s="467"/>
      <c r="C662" s="467"/>
      <c r="D662" s="467"/>
      <c r="E662" s="467"/>
    </row>
    <row r="663" ht="14.25" customHeight="1">
      <c r="A663" s="467"/>
      <c r="B663" s="467"/>
      <c r="C663" s="467"/>
      <c r="D663" s="467"/>
      <c r="E663" s="467"/>
    </row>
    <row r="664" ht="14.25" customHeight="1">
      <c r="A664" s="467"/>
      <c r="B664" s="467"/>
      <c r="C664" s="467"/>
      <c r="D664" s="467"/>
      <c r="E664" s="467"/>
    </row>
    <row r="665" ht="14.25" customHeight="1">
      <c r="A665" s="467"/>
      <c r="B665" s="467"/>
      <c r="C665" s="467"/>
      <c r="D665" s="467"/>
      <c r="E665" s="467"/>
    </row>
    <row r="666" ht="14.25" customHeight="1">
      <c r="A666" s="467"/>
      <c r="B666" s="467"/>
      <c r="C666" s="467"/>
      <c r="D666" s="467"/>
      <c r="E666" s="467"/>
    </row>
    <row r="667" ht="14.25" customHeight="1">
      <c r="A667" s="467"/>
      <c r="B667" s="467"/>
      <c r="C667" s="467"/>
      <c r="D667" s="467"/>
      <c r="E667" s="467"/>
    </row>
    <row r="668" ht="14.25" customHeight="1">
      <c r="A668" s="467"/>
      <c r="B668" s="467"/>
      <c r="C668" s="467"/>
      <c r="D668" s="467"/>
      <c r="E668" s="467"/>
    </row>
    <row r="669" ht="14.25" customHeight="1">
      <c r="A669" s="467"/>
      <c r="B669" s="467"/>
      <c r="C669" s="467"/>
      <c r="D669" s="467"/>
      <c r="E669" s="467"/>
    </row>
    <row r="670" ht="14.25" customHeight="1">
      <c r="A670" s="467"/>
      <c r="B670" s="467"/>
      <c r="C670" s="467"/>
      <c r="D670" s="467"/>
      <c r="E670" s="467"/>
    </row>
    <row r="671" ht="14.25" customHeight="1">
      <c r="A671" s="467"/>
      <c r="B671" s="467"/>
      <c r="C671" s="467"/>
      <c r="D671" s="467"/>
      <c r="E671" s="467"/>
    </row>
    <row r="672" ht="14.25" customHeight="1">
      <c r="A672" s="467"/>
      <c r="B672" s="467"/>
      <c r="C672" s="467"/>
      <c r="D672" s="467"/>
      <c r="E672" s="467"/>
    </row>
    <row r="673" ht="14.25" customHeight="1">
      <c r="A673" s="467"/>
      <c r="B673" s="467"/>
      <c r="C673" s="467"/>
      <c r="D673" s="467"/>
      <c r="E673" s="467"/>
    </row>
    <row r="674" ht="14.25" customHeight="1">
      <c r="A674" s="467"/>
      <c r="B674" s="467"/>
      <c r="C674" s="467"/>
      <c r="D674" s="467"/>
      <c r="E674" s="467"/>
    </row>
    <row r="675" ht="14.25" customHeight="1">
      <c r="A675" s="467"/>
      <c r="B675" s="467"/>
      <c r="C675" s="467"/>
      <c r="D675" s="467"/>
      <c r="E675" s="467"/>
    </row>
    <row r="676" ht="14.25" customHeight="1">
      <c r="A676" s="467"/>
      <c r="B676" s="467"/>
      <c r="C676" s="467"/>
      <c r="D676" s="467"/>
      <c r="E676" s="467"/>
    </row>
    <row r="677" ht="14.25" customHeight="1">
      <c r="A677" s="467"/>
      <c r="B677" s="467"/>
      <c r="C677" s="467"/>
      <c r="D677" s="467"/>
      <c r="E677" s="467"/>
    </row>
    <row r="678" ht="14.25" customHeight="1">
      <c r="A678" s="467"/>
      <c r="B678" s="467"/>
      <c r="C678" s="467"/>
      <c r="D678" s="467"/>
      <c r="E678" s="467"/>
    </row>
    <row r="679" ht="14.25" customHeight="1">
      <c r="A679" s="467"/>
      <c r="B679" s="467"/>
      <c r="C679" s="467"/>
      <c r="D679" s="467"/>
      <c r="E679" s="467"/>
    </row>
    <row r="680" ht="14.25" customHeight="1">
      <c r="A680" s="467"/>
      <c r="B680" s="467"/>
      <c r="C680" s="467"/>
      <c r="D680" s="467"/>
      <c r="E680" s="467"/>
    </row>
    <row r="681" ht="14.25" customHeight="1">
      <c r="A681" s="467"/>
      <c r="B681" s="467"/>
      <c r="C681" s="467"/>
      <c r="D681" s="467"/>
      <c r="E681" s="467"/>
    </row>
    <row r="682" ht="14.25" customHeight="1">
      <c r="A682" s="467"/>
      <c r="B682" s="467"/>
      <c r="C682" s="467"/>
      <c r="D682" s="467"/>
      <c r="E682" s="467"/>
    </row>
    <row r="683" ht="14.25" customHeight="1">
      <c r="A683" s="467"/>
      <c r="B683" s="467"/>
      <c r="C683" s="467"/>
      <c r="D683" s="467"/>
      <c r="E683" s="467"/>
    </row>
    <row r="684" ht="14.25" customHeight="1">
      <c r="A684" s="467"/>
      <c r="B684" s="467"/>
      <c r="C684" s="467"/>
      <c r="D684" s="467"/>
      <c r="E684" s="467"/>
    </row>
    <row r="685" ht="14.25" customHeight="1">
      <c r="A685" s="467"/>
      <c r="B685" s="467"/>
      <c r="C685" s="467"/>
      <c r="D685" s="467"/>
      <c r="E685" s="467"/>
    </row>
    <row r="686" ht="14.25" customHeight="1">
      <c r="A686" s="467"/>
      <c r="B686" s="467"/>
      <c r="C686" s="467"/>
      <c r="D686" s="467"/>
      <c r="E686" s="467"/>
    </row>
    <row r="687" ht="14.25" customHeight="1">
      <c r="A687" s="467"/>
      <c r="B687" s="467"/>
      <c r="C687" s="467"/>
      <c r="D687" s="467"/>
      <c r="E687" s="467"/>
    </row>
    <row r="688" ht="14.25" customHeight="1">
      <c r="A688" s="467"/>
      <c r="B688" s="467"/>
      <c r="C688" s="467"/>
      <c r="D688" s="467"/>
      <c r="E688" s="467"/>
    </row>
    <row r="689" ht="14.25" customHeight="1">
      <c r="A689" s="467"/>
      <c r="B689" s="467"/>
      <c r="C689" s="467"/>
      <c r="D689" s="467"/>
      <c r="E689" s="467"/>
    </row>
    <row r="690" ht="14.25" customHeight="1">
      <c r="A690" s="467"/>
      <c r="B690" s="467"/>
      <c r="C690" s="467"/>
      <c r="D690" s="467"/>
      <c r="E690" s="467"/>
    </row>
    <row r="691" ht="14.25" customHeight="1">
      <c r="A691" s="467"/>
      <c r="B691" s="467"/>
      <c r="C691" s="467"/>
      <c r="D691" s="467"/>
      <c r="E691" s="467"/>
    </row>
    <row r="692" ht="14.25" customHeight="1">
      <c r="A692" s="467"/>
      <c r="B692" s="467"/>
      <c r="C692" s="467"/>
      <c r="D692" s="467"/>
      <c r="E692" s="467"/>
    </row>
    <row r="693" ht="14.25" customHeight="1">
      <c r="A693" s="467"/>
      <c r="B693" s="467"/>
      <c r="C693" s="467"/>
      <c r="D693" s="467"/>
      <c r="E693" s="467"/>
    </row>
    <row r="694" ht="14.25" customHeight="1">
      <c r="A694" s="467"/>
      <c r="B694" s="467"/>
      <c r="C694" s="467"/>
      <c r="D694" s="467"/>
      <c r="E694" s="467"/>
    </row>
    <row r="695" ht="14.25" customHeight="1">
      <c r="A695" s="467"/>
      <c r="B695" s="467"/>
      <c r="C695" s="467"/>
      <c r="D695" s="467"/>
      <c r="E695" s="467"/>
    </row>
    <row r="696" ht="14.25" customHeight="1">
      <c r="A696" s="467"/>
      <c r="B696" s="467"/>
      <c r="C696" s="467"/>
      <c r="D696" s="467"/>
      <c r="E696" s="467"/>
    </row>
    <row r="697" ht="14.25" customHeight="1">
      <c r="A697" s="467"/>
      <c r="B697" s="467"/>
      <c r="C697" s="467"/>
      <c r="D697" s="467"/>
      <c r="E697" s="467"/>
    </row>
    <row r="698" ht="14.25" customHeight="1">
      <c r="A698" s="467"/>
      <c r="B698" s="467"/>
      <c r="C698" s="467"/>
      <c r="D698" s="467"/>
      <c r="E698" s="467"/>
    </row>
    <row r="699" ht="14.25" customHeight="1">
      <c r="A699" s="467"/>
      <c r="B699" s="467"/>
      <c r="C699" s="467"/>
      <c r="D699" s="467"/>
      <c r="E699" s="467"/>
    </row>
    <row r="700" ht="14.25" customHeight="1">
      <c r="A700" s="467"/>
      <c r="B700" s="467"/>
      <c r="C700" s="467"/>
      <c r="D700" s="467"/>
      <c r="E700" s="467"/>
    </row>
    <row r="701" ht="14.25" customHeight="1">
      <c r="A701" s="467"/>
      <c r="B701" s="467"/>
      <c r="C701" s="467"/>
      <c r="D701" s="467"/>
      <c r="E701" s="467"/>
    </row>
    <row r="702" ht="14.25" customHeight="1">
      <c r="A702" s="467"/>
      <c r="B702" s="467"/>
      <c r="C702" s="467"/>
      <c r="D702" s="467"/>
      <c r="E702" s="467"/>
    </row>
    <row r="703" ht="14.25" customHeight="1">
      <c r="A703" s="467"/>
      <c r="B703" s="467"/>
      <c r="C703" s="467"/>
      <c r="D703" s="467"/>
      <c r="E703" s="467"/>
    </row>
    <row r="704" ht="14.25" customHeight="1">
      <c r="A704" s="467"/>
      <c r="B704" s="467"/>
      <c r="C704" s="467"/>
      <c r="D704" s="467"/>
      <c r="E704" s="467"/>
    </row>
    <row r="705" ht="14.25" customHeight="1">
      <c r="A705" s="467"/>
      <c r="B705" s="467"/>
      <c r="C705" s="467"/>
      <c r="D705" s="467"/>
      <c r="E705" s="467"/>
    </row>
    <row r="706" ht="14.25" customHeight="1">
      <c r="A706" s="467"/>
      <c r="B706" s="467"/>
      <c r="C706" s="467"/>
      <c r="D706" s="467"/>
      <c r="E706" s="467"/>
    </row>
    <row r="707" ht="14.25" customHeight="1">
      <c r="A707" s="467"/>
      <c r="B707" s="467"/>
      <c r="C707" s="467"/>
      <c r="D707" s="467"/>
      <c r="E707" s="467"/>
    </row>
    <row r="708" ht="14.25" customHeight="1">
      <c r="A708" s="467"/>
      <c r="B708" s="467"/>
      <c r="C708" s="467"/>
      <c r="D708" s="467"/>
      <c r="E708" s="467"/>
    </row>
    <row r="709" ht="14.25" customHeight="1">
      <c r="A709" s="467"/>
      <c r="B709" s="467"/>
      <c r="C709" s="467"/>
      <c r="D709" s="467"/>
      <c r="E709" s="467"/>
    </row>
    <row r="710" ht="14.25" customHeight="1">
      <c r="A710" s="467"/>
      <c r="B710" s="467"/>
      <c r="C710" s="467"/>
      <c r="D710" s="467"/>
      <c r="E710" s="467"/>
    </row>
    <row r="711" ht="14.25" customHeight="1">
      <c r="A711" s="467"/>
      <c r="B711" s="467"/>
      <c r="C711" s="467"/>
      <c r="D711" s="467"/>
      <c r="E711" s="467"/>
    </row>
    <row r="712" ht="14.25" customHeight="1">
      <c r="A712" s="467"/>
      <c r="B712" s="467"/>
      <c r="C712" s="467"/>
      <c r="D712" s="467"/>
      <c r="E712" s="467"/>
    </row>
    <row r="713" ht="14.25" customHeight="1">
      <c r="A713" s="467"/>
      <c r="B713" s="467"/>
      <c r="C713" s="467"/>
      <c r="D713" s="467"/>
      <c r="E713" s="467"/>
    </row>
    <row r="714" ht="14.25" customHeight="1">
      <c r="A714" s="467"/>
      <c r="B714" s="467"/>
      <c r="C714" s="467"/>
      <c r="D714" s="467"/>
      <c r="E714" s="467"/>
    </row>
    <row r="715" ht="14.25" customHeight="1">
      <c r="A715" s="467"/>
      <c r="B715" s="467"/>
      <c r="C715" s="467"/>
      <c r="D715" s="467"/>
      <c r="E715" s="467"/>
    </row>
    <row r="716" ht="14.25" customHeight="1">
      <c r="A716" s="467"/>
      <c r="B716" s="467"/>
      <c r="C716" s="467"/>
      <c r="D716" s="467"/>
      <c r="E716" s="467"/>
    </row>
    <row r="717" ht="14.25" customHeight="1">
      <c r="A717" s="467"/>
      <c r="B717" s="467"/>
      <c r="C717" s="467"/>
      <c r="D717" s="467"/>
      <c r="E717" s="467"/>
    </row>
    <row r="718" ht="14.25" customHeight="1">
      <c r="A718" s="467"/>
      <c r="B718" s="467"/>
      <c r="C718" s="467"/>
      <c r="D718" s="467"/>
      <c r="E718" s="467"/>
    </row>
    <row r="719" ht="14.25" customHeight="1">
      <c r="A719" s="467"/>
      <c r="B719" s="467"/>
      <c r="C719" s="467"/>
      <c r="D719" s="467"/>
      <c r="E719" s="467"/>
    </row>
    <row r="720" ht="14.25" customHeight="1">
      <c r="A720" s="467"/>
      <c r="B720" s="467"/>
      <c r="C720" s="467"/>
      <c r="D720" s="467"/>
      <c r="E720" s="467"/>
    </row>
    <row r="721" ht="14.25" customHeight="1">
      <c r="A721" s="467"/>
      <c r="B721" s="467"/>
      <c r="C721" s="467"/>
      <c r="D721" s="467"/>
      <c r="E721" s="467"/>
    </row>
    <row r="722" ht="14.25" customHeight="1">
      <c r="A722" s="467"/>
      <c r="B722" s="467"/>
      <c r="C722" s="467"/>
      <c r="D722" s="467"/>
      <c r="E722" s="467"/>
    </row>
    <row r="723" ht="14.25" customHeight="1">
      <c r="A723" s="467"/>
      <c r="B723" s="467"/>
      <c r="C723" s="467"/>
      <c r="D723" s="467"/>
      <c r="E723" s="467"/>
    </row>
    <row r="724" ht="14.25" customHeight="1">
      <c r="A724" s="467"/>
      <c r="B724" s="467"/>
      <c r="C724" s="467"/>
      <c r="D724" s="467"/>
      <c r="E724" s="467"/>
    </row>
    <row r="725" ht="14.25" customHeight="1">
      <c r="A725" s="467"/>
      <c r="B725" s="467"/>
      <c r="C725" s="467"/>
      <c r="D725" s="467"/>
      <c r="E725" s="467"/>
    </row>
    <row r="726" ht="14.25" customHeight="1">
      <c r="A726" s="467"/>
      <c r="B726" s="467"/>
      <c r="C726" s="467"/>
      <c r="D726" s="467"/>
      <c r="E726" s="467"/>
    </row>
    <row r="727" ht="14.25" customHeight="1">
      <c r="A727" s="467"/>
      <c r="B727" s="467"/>
      <c r="C727" s="467"/>
      <c r="D727" s="467"/>
      <c r="E727" s="467"/>
    </row>
    <row r="728" ht="14.25" customHeight="1">
      <c r="A728" s="467"/>
      <c r="B728" s="467"/>
      <c r="C728" s="467"/>
      <c r="D728" s="467"/>
      <c r="E728" s="467"/>
    </row>
    <row r="729" ht="14.25" customHeight="1">
      <c r="A729" s="467"/>
      <c r="B729" s="467"/>
      <c r="C729" s="467"/>
      <c r="D729" s="467"/>
      <c r="E729" s="467"/>
    </row>
    <row r="730" ht="14.25" customHeight="1">
      <c r="A730" s="467"/>
      <c r="B730" s="467"/>
      <c r="C730" s="467"/>
      <c r="D730" s="467"/>
      <c r="E730" s="467"/>
    </row>
    <row r="731" ht="14.25" customHeight="1">
      <c r="A731" s="467"/>
      <c r="B731" s="467"/>
      <c r="C731" s="467"/>
      <c r="D731" s="467"/>
      <c r="E731" s="467"/>
    </row>
    <row r="732" ht="14.25" customHeight="1">
      <c r="A732" s="467"/>
      <c r="B732" s="467"/>
      <c r="C732" s="467"/>
      <c r="D732" s="467"/>
      <c r="E732" s="467"/>
    </row>
    <row r="733" ht="14.25" customHeight="1">
      <c r="A733" s="467"/>
      <c r="B733" s="467"/>
      <c r="C733" s="467"/>
      <c r="D733" s="467"/>
      <c r="E733" s="467"/>
    </row>
    <row r="734" ht="14.25" customHeight="1">
      <c r="A734" s="467"/>
      <c r="B734" s="467"/>
      <c r="C734" s="467"/>
      <c r="D734" s="467"/>
      <c r="E734" s="467"/>
    </row>
    <row r="735" ht="14.25" customHeight="1">
      <c r="A735" s="467"/>
      <c r="B735" s="467"/>
      <c r="C735" s="467"/>
      <c r="D735" s="467"/>
      <c r="E735" s="467"/>
    </row>
    <row r="736" ht="14.25" customHeight="1">
      <c r="A736" s="467"/>
      <c r="B736" s="467"/>
      <c r="C736" s="467"/>
      <c r="D736" s="467"/>
      <c r="E736" s="467"/>
    </row>
    <row r="737" ht="14.25" customHeight="1">
      <c r="A737" s="467"/>
      <c r="B737" s="467"/>
      <c r="C737" s="467"/>
      <c r="D737" s="467"/>
      <c r="E737" s="467"/>
    </row>
    <row r="738" ht="14.25" customHeight="1">
      <c r="A738" s="467"/>
      <c r="B738" s="467"/>
      <c r="C738" s="467"/>
      <c r="D738" s="467"/>
      <c r="E738" s="467"/>
    </row>
    <row r="739" ht="14.25" customHeight="1">
      <c r="A739" s="467"/>
      <c r="B739" s="467"/>
      <c r="C739" s="467"/>
      <c r="D739" s="467"/>
      <c r="E739" s="467"/>
    </row>
    <row r="740" ht="14.25" customHeight="1">
      <c r="A740" s="467"/>
      <c r="B740" s="467"/>
      <c r="C740" s="467"/>
      <c r="D740" s="467"/>
      <c r="E740" s="467"/>
    </row>
    <row r="741" ht="14.25" customHeight="1">
      <c r="A741" s="467"/>
      <c r="B741" s="467"/>
      <c r="C741" s="467"/>
      <c r="D741" s="467"/>
      <c r="E741" s="467"/>
    </row>
    <row r="742" ht="14.25" customHeight="1">
      <c r="A742" s="467"/>
      <c r="B742" s="467"/>
      <c r="C742" s="467"/>
      <c r="D742" s="467"/>
      <c r="E742" s="467"/>
    </row>
    <row r="743" ht="14.25" customHeight="1">
      <c r="A743" s="467"/>
      <c r="B743" s="467"/>
      <c r="C743" s="467"/>
      <c r="D743" s="467"/>
      <c r="E743" s="467"/>
    </row>
    <row r="744" ht="14.25" customHeight="1">
      <c r="A744" s="467"/>
      <c r="B744" s="467"/>
      <c r="C744" s="467"/>
      <c r="D744" s="467"/>
      <c r="E744" s="467"/>
    </row>
    <row r="745" ht="14.25" customHeight="1">
      <c r="A745" s="467"/>
      <c r="B745" s="467"/>
      <c r="C745" s="467"/>
      <c r="D745" s="467"/>
      <c r="E745" s="467"/>
    </row>
    <row r="746" ht="14.25" customHeight="1">
      <c r="A746" s="467"/>
      <c r="B746" s="467"/>
      <c r="C746" s="467"/>
      <c r="D746" s="467"/>
      <c r="E746" s="467"/>
    </row>
    <row r="747" ht="14.25" customHeight="1">
      <c r="A747" s="467"/>
      <c r="B747" s="467"/>
      <c r="C747" s="467"/>
      <c r="D747" s="467"/>
      <c r="E747" s="467"/>
    </row>
    <row r="748" ht="14.25" customHeight="1">
      <c r="A748" s="467"/>
      <c r="B748" s="467"/>
      <c r="C748" s="467"/>
      <c r="D748" s="467"/>
      <c r="E748" s="467"/>
    </row>
    <row r="749" ht="14.25" customHeight="1">
      <c r="A749" s="467"/>
      <c r="B749" s="467"/>
      <c r="C749" s="467"/>
      <c r="D749" s="467"/>
      <c r="E749" s="467"/>
    </row>
    <row r="750" ht="14.25" customHeight="1">
      <c r="A750" s="467"/>
      <c r="B750" s="467"/>
      <c r="C750" s="467"/>
      <c r="D750" s="467"/>
      <c r="E750" s="467"/>
    </row>
    <row r="751" ht="14.25" customHeight="1">
      <c r="A751" s="467"/>
      <c r="B751" s="467"/>
      <c r="C751" s="467"/>
      <c r="D751" s="467"/>
      <c r="E751" s="467"/>
    </row>
    <row r="752" ht="14.25" customHeight="1">
      <c r="A752" s="467"/>
      <c r="B752" s="467"/>
      <c r="C752" s="467"/>
      <c r="D752" s="467"/>
      <c r="E752" s="467"/>
    </row>
    <row r="753" ht="14.25" customHeight="1">
      <c r="A753" s="467"/>
      <c r="B753" s="467"/>
      <c r="C753" s="467"/>
      <c r="D753" s="467"/>
      <c r="E753" s="467"/>
    </row>
    <row r="754" ht="14.25" customHeight="1">
      <c r="A754" s="467"/>
      <c r="B754" s="467"/>
      <c r="C754" s="467"/>
      <c r="D754" s="467"/>
      <c r="E754" s="467"/>
    </row>
    <row r="755" ht="14.25" customHeight="1">
      <c r="A755" s="467"/>
      <c r="B755" s="467"/>
      <c r="C755" s="467"/>
      <c r="D755" s="467"/>
      <c r="E755" s="467"/>
    </row>
    <row r="756" ht="14.25" customHeight="1">
      <c r="A756" s="467"/>
      <c r="B756" s="467"/>
      <c r="C756" s="467"/>
      <c r="D756" s="467"/>
      <c r="E756" s="467"/>
    </row>
    <row r="757" ht="14.25" customHeight="1">
      <c r="A757" s="467"/>
      <c r="B757" s="467"/>
      <c r="C757" s="467"/>
      <c r="D757" s="467"/>
      <c r="E757" s="467"/>
    </row>
    <row r="758" ht="14.25" customHeight="1">
      <c r="A758" s="467"/>
      <c r="B758" s="467"/>
      <c r="C758" s="467"/>
      <c r="D758" s="467"/>
      <c r="E758" s="467"/>
    </row>
    <row r="759" ht="14.25" customHeight="1">
      <c r="A759" s="467"/>
      <c r="B759" s="467"/>
      <c r="C759" s="467"/>
      <c r="D759" s="467"/>
      <c r="E759" s="467"/>
    </row>
    <row r="760" ht="14.25" customHeight="1">
      <c r="A760" s="467"/>
      <c r="B760" s="467"/>
      <c r="C760" s="467"/>
      <c r="D760" s="467"/>
      <c r="E760" s="467"/>
    </row>
    <row r="761" ht="14.25" customHeight="1">
      <c r="A761" s="467"/>
      <c r="B761" s="467"/>
      <c r="C761" s="467"/>
      <c r="D761" s="467"/>
      <c r="E761" s="467"/>
    </row>
    <row r="762" ht="14.25" customHeight="1">
      <c r="A762" s="467"/>
      <c r="B762" s="467"/>
      <c r="C762" s="467"/>
      <c r="D762" s="467"/>
      <c r="E762" s="467"/>
    </row>
    <row r="763" ht="14.25" customHeight="1">
      <c r="A763" s="467"/>
      <c r="B763" s="467"/>
      <c r="C763" s="467"/>
      <c r="D763" s="467"/>
      <c r="E763" s="467"/>
    </row>
    <row r="764" ht="14.25" customHeight="1">
      <c r="A764" s="467"/>
      <c r="B764" s="467"/>
      <c r="C764" s="467"/>
      <c r="D764" s="467"/>
      <c r="E764" s="467"/>
    </row>
    <row r="765" ht="14.25" customHeight="1">
      <c r="A765" s="467"/>
      <c r="B765" s="467"/>
      <c r="C765" s="467"/>
      <c r="D765" s="467"/>
      <c r="E765" s="467"/>
    </row>
    <row r="766" ht="14.25" customHeight="1">
      <c r="A766" s="467"/>
      <c r="B766" s="467"/>
      <c r="C766" s="467"/>
      <c r="D766" s="467"/>
      <c r="E766" s="467"/>
    </row>
    <row r="767" ht="14.25" customHeight="1">
      <c r="A767" s="467"/>
      <c r="B767" s="467"/>
      <c r="C767" s="467"/>
      <c r="D767" s="467"/>
      <c r="E767" s="467"/>
    </row>
    <row r="768" ht="14.25" customHeight="1">
      <c r="A768" s="467"/>
      <c r="B768" s="467"/>
      <c r="C768" s="467"/>
      <c r="D768" s="467"/>
      <c r="E768" s="467"/>
    </row>
    <row r="769" ht="14.25" customHeight="1">
      <c r="A769" s="467"/>
      <c r="B769" s="467"/>
      <c r="C769" s="467"/>
      <c r="D769" s="467"/>
      <c r="E769" s="467"/>
    </row>
    <row r="770" ht="14.25" customHeight="1">
      <c r="A770" s="467"/>
      <c r="B770" s="467"/>
      <c r="C770" s="467"/>
      <c r="D770" s="467"/>
      <c r="E770" s="467"/>
    </row>
    <row r="771" ht="14.25" customHeight="1">
      <c r="A771" s="467"/>
      <c r="B771" s="467"/>
      <c r="C771" s="467"/>
      <c r="D771" s="467"/>
      <c r="E771" s="467"/>
    </row>
    <row r="772" ht="14.25" customHeight="1">
      <c r="A772" s="467"/>
      <c r="B772" s="467"/>
      <c r="C772" s="467"/>
      <c r="D772" s="467"/>
      <c r="E772" s="467"/>
    </row>
    <row r="773" ht="14.25" customHeight="1">
      <c r="A773" s="467"/>
      <c r="B773" s="467"/>
      <c r="C773" s="467"/>
      <c r="D773" s="467"/>
      <c r="E773" s="467"/>
    </row>
    <row r="774" ht="14.25" customHeight="1">
      <c r="A774" s="467"/>
      <c r="B774" s="467"/>
      <c r="C774" s="467"/>
      <c r="D774" s="467"/>
      <c r="E774" s="467"/>
    </row>
    <row r="775" ht="14.25" customHeight="1">
      <c r="A775" s="467"/>
      <c r="B775" s="467"/>
      <c r="C775" s="467"/>
      <c r="D775" s="467"/>
      <c r="E775" s="467"/>
    </row>
    <row r="776" ht="14.25" customHeight="1">
      <c r="A776" s="467"/>
      <c r="B776" s="467"/>
      <c r="C776" s="467"/>
      <c r="D776" s="467"/>
      <c r="E776" s="467"/>
    </row>
    <row r="777" ht="14.25" customHeight="1">
      <c r="A777" s="467"/>
      <c r="B777" s="467"/>
      <c r="C777" s="467"/>
      <c r="D777" s="467"/>
      <c r="E777" s="467"/>
    </row>
    <row r="778" ht="14.25" customHeight="1">
      <c r="A778" s="467"/>
      <c r="B778" s="467"/>
      <c r="C778" s="467"/>
      <c r="D778" s="467"/>
      <c r="E778" s="467"/>
    </row>
    <row r="779" ht="14.25" customHeight="1">
      <c r="A779" s="467"/>
      <c r="B779" s="467"/>
      <c r="C779" s="467"/>
      <c r="D779" s="467"/>
      <c r="E779" s="467"/>
    </row>
    <row r="780" ht="14.25" customHeight="1">
      <c r="A780" s="467"/>
      <c r="B780" s="467"/>
      <c r="C780" s="467"/>
      <c r="D780" s="467"/>
      <c r="E780" s="467"/>
    </row>
    <row r="781" ht="14.25" customHeight="1">
      <c r="A781" s="467"/>
      <c r="B781" s="467"/>
      <c r="C781" s="467"/>
      <c r="D781" s="467"/>
      <c r="E781" s="467"/>
    </row>
    <row r="782" ht="14.25" customHeight="1">
      <c r="A782" s="467"/>
      <c r="B782" s="467"/>
      <c r="C782" s="467"/>
      <c r="D782" s="467"/>
      <c r="E782" s="467"/>
    </row>
    <row r="783" ht="14.25" customHeight="1">
      <c r="A783" s="467"/>
      <c r="B783" s="467"/>
      <c r="C783" s="467"/>
      <c r="D783" s="467"/>
      <c r="E783" s="467"/>
    </row>
    <row r="784" ht="14.25" customHeight="1">
      <c r="A784" s="467"/>
      <c r="B784" s="467"/>
      <c r="C784" s="467"/>
      <c r="D784" s="467"/>
      <c r="E784" s="467"/>
    </row>
    <row r="785" ht="14.25" customHeight="1">
      <c r="A785" s="467"/>
      <c r="B785" s="467"/>
      <c r="C785" s="467"/>
      <c r="D785" s="467"/>
      <c r="E785" s="467"/>
    </row>
    <row r="786" ht="14.25" customHeight="1">
      <c r="A786" s="467"/>
      <c r="B786" s="467"/>
      <c r="C786" s="467"/>
      <c r="D786" s="467"/>
      <c r="E786" s="467"/>
    </row>
    <row r="787" ht="14.25" customHeight="1">
      <c r="A787" s="467"/>
      <c r="B787" s="467"/>
      <c r="C787" s="467"/>
      <c r="D787" s="467"/>
      <c r="E787" s="467"/>
    </row>
    <row r="788" ht="14.25" customHeight="1">
      <c r="A788" s="467"/>
      <c r="B788" s="467"/>
      <c r="C788" s="467"/>
      <c r="D788" s="467"/>
      <c r="E788" s="467"/>
    </row>
    <row r="789" ht="14.25" customHeight="1">
      <c r="A789" s="467"/>
      <c r="B789" s="467"/>
      <c r="C789" s="467"/>
      <c r="D789" s="467"/>
      <c r="E789" s="467"/>
    </row>
    <row r="790" ht="14.25" customHeight="1">
      <c r="A790" s="467"/>
      <c r="B790" s="467"/>
      <c r="C790" s="467"/>
      <c r="D790" s="467"/>
      <c r="E790" s="467"/>
    </row>
    <row r="791" ht="14.25" customHeight="1">
      <c r="A791" s="467"/>
      <c r="B791" s="467"/>
      <c r="C791" s="467"/>
      <c r="D791" s="467"/>
      <c r="E791" s="467"/>
    </row>
    <row r="792" ht="14.25" customHeight="1">
      <c r="A792" s="467"/>
      <c r="B792" s="467"/>
      <c r="C792" s="467"/>
      <c r="D792" s="467"/>
      <c r="E792" s="467"/>
    </row>
    <row r="793" ht="14.25" customHeight="1">
      <c r="A793" s="467"/>
      <c r="B793" s="467"/>
      <c r="C793" s="467"/>
      <c r="D793" s="467"/>
      <c r="E793" s="467"/>
    </row>
    <row r="794" ht="14.25" customHeight="1">
      <c r="A794" s="467"/>
      <c r="B794" s="467"/>
      <c r="C794" s="467"/>
      <c r="D794" s="467"/>
      <c r="E794" s="467"/>
    </row>
    <row r="795" ht="14.25" customHeight="1">
      <c r="A795" s="467"/>
      <c r="B795" s="467"/>
      <c r="C795" s="467"/>
      <c r="D795" s="467"/>
      <c r="E795" s="467"/>
    </row>
    <row r="796" ht="14.25" customHeight="1">
      <c r="A796" s="467"/>
      <c r="B796" s="467"/>
      <c r="C796" s="467"/>
      <c r="D796" s="467"/>
      <c r="E796" s="467"/>
    </row>
    <row r="797" ht="14.25" customHeight="1">
      <c r="A797" s="467"/>
      <c r="B797" s="467"/>
      <c r="C797" s="467"/>
      <c r="D797" s="467"/>
      <c r="E797" s="467"/>
    </row>
    <row r="798" ht="14.25" customHeight="1">
      <c r="A798" s="467"/>
      <c r="B798" s="467"/>
      <c r="C798" s="467"/>
      <c r="D798" s="467"/>
      <c r="E798" s="467"/>
    </row>
    <row r="799" ht="14.25" customHeight="1">
      <c r="A799" s="467"/>
      <c r="B799" s="467"/>
      <c r="C799" s="467"/>
      <c r="D799" s="467"/>
      <c r="E799" s="467"/>
    </row>
    <row r="800" ht="14.25" customHeight="1">
      <c r="A800" s="467"/>
      <c r="B800" s="467"/>
      <c r="C800" s="467"/>
      <c r="D800" s="467"/>
      <c r="E800" s="467"/>
    </row>
    <row r="801" ht="14.25" customHeight="1">
      <c r="A801" s="467"/>
      <c r="B801" s="467"/>
      <c r="C801" s="467"/>
      <c r="D801" s="467"/>
      <c r="E801" s="467"/>
    </row>
    <row r="802" ht="14.25" customHeight="1">
      <c r="A802" s="467"/>
      <c r="B802" s="467"/>
      <c r="C802" s="467"/>
      <c r="D802" s="467"/>
      <c r="E802" s="467"/>
    </row>
    <row r="803" ht="14.25" customHeight="1">
      <c r="A803" s="467"/>
      <c r="B803" s="467"/>
      <c r="C803" s="467"/>
      <c r="D803" s="467"/>
      <c r="E803" s="467"/>
    </row>
    <row r="804" ht="14.25" customHeight="1">
      <c r="A804" s="467"/>
      <c r="B804" s="467"/>
      <c r="C804" s="467"/>
      <c r="D804" s="467"/>
      <c r="E804" s="467"/>
    </row>
    <row r="805" ht="14.25" customHeight="1">
      <c r="A805" s="467"/>
      <c r="B805" s="467"/>
      <c r="C805" s="467"/>
      <c r="D805" s="467"/>
      <c r="E805" s="467"/>
    </row>
    <row r="806" ht="14.25" customHeight="1">
      <c r="A806" s="467"/>
      <c r="B806" s="467"/>
      <c r="C806" s="467"/>
      <c r="D806" s="467"/>
      <c r="E806" s="467"/>
    </row>
    <row r="807" ht="14.25" customHeight="1">
      <c r="A807" s="467"/>
      <c r="B807" s="467"/>
      <c r="C807" s="467"/>
      <c r="D807" s="467"/>
      <c r="E807" s="467"/>
    </row>
    <row r="808" ht="14.25" customHeight="1">
      <c r="A808" s="467"/>
      <c r="B808" s="467"/>
      <c r="C808" s="467"/>
      <c r="D808" s="467"/>
      <c r="E808" s="467"/>
    </row>
    <row r="809" ht="14.25" customHeight="1">
      <c r="A809" s="467"/>
      <c r="B809" s="467"/>
      <c r="C809" s="467"/>
      <c r="D809" s="467"/>
      <c r="E809" s="467"/>
    </row>
    <row r="810" ht="14.25" customHeight="1">
      <c r="A810" s="467"/>
      <c r="B810" s="467"/>
      <c r="C810" s="467"/>
      <c r="D810" s="467"/>
      <c r="E810" s="467"/>
    </row>
    <row r="811" ht="14.25" customHeight="1">
      <c r="A811" s="467"/>
      <c r="B811" s="467"/>
      <c r="C811" s="467"/>
      <c r="D811" s="467"/>
      <c r="E811" s="467"/>
    </row>
    <row r="812" ht="14.25" customHeight="1">
      <c r="A812" s="467"/>
      <c r="B812" s="467"/>
      <c r="C812" s="467"/>
      <c r="D812" s="467"/>
      <c r="E812" s="467"/>
    </row>
    <row r="813" ht="14.25" customHeight="1">
      <c r="A813" s="467"/>
      <c r="B813" s="467"/>
      <c r="C813" s="467"/>
      <c r="D813" s="467"/>
      <c r="E813" s="467"/>
    </row>
    <row r="814" ht="14.25" customHeight="1">
      <c r="A814" s="467"/>
      <c r="B814" s="467"/>
      <c r="C814" s="467"/>
      <c r="D814" s="467"/>
      <c r="E814" s="467"/>
    </row>
    <row r="815" ht="14.25" customHeight="1">
      <c r="A815" s="467"/>
      <c r="B815" s="467"/>
      <c r="C815" s="467"/>
      <c r="D815" s="467"/>
      <c r="E815" s="467"/>
    </row>
    <row r="816" ht="14.25" customHeight="1">
      <c r="A816" s="467"/>
      <c r="B816" s="467"/>
      <c r="C816" s="467"/>
      <c r="D816" s="467"/>
      <c r="E816" s="467"/>
    </row>
    <row r="817" ht="14.25" customHeight="1">
      <c r="A817" s="467"/>
      <c r="B817" s="467"/>
      <c r="C817" s="467"/>
      <c r="D817" s="467"/>
      <c r="E817" s="467"/>
    </row>
    <row r="818" ht="14.25" customHeight="1">
      <c r="A818" s="467"/>
      <c r="B818" s="467"/>
      <c r="C818" s="467"/>
      <c r="D818" s="467"/>
      <c r="E818" s="467"/>
    </row>
    <row r="819" ht="14.25" customHeight="1">
      <c r="A819" s="467"/>
      <c r="B819" s="467"/>
      <c r="C819" s="467"/>
      <c r="D819" s="467"/>
      <c r="E819" s="467"/>
    </row>
    <row r="820" ht="14.25" customHeight="1">
      <c r="A820" s="467"/>
      <c r="B820" s="467"/>
      <c r="C820" s="467"/>
      <c r="D820" s="467"/>
      <c r="E820" s="467"/>
    </row>
    <row r="821" ht="14.25" customHeight="1">
      <c r="A821" s="467"/>
      <c r="B821" s="467"/>
      <c r="C821" s="467"/>
      <c r="D821" s="467"/>
      <c r="E821" s="467"/>
    </row>
    <row r="822" ht="14.25" customHeight="1">
      <c r="A822" s="467"/>
      <c r="B822" s="467"/>
      <c r="C822" s="467"/>
      <c r="D822" s="467"/>
      <c r="E822" s="467"/>
    </row>
    <row r="823" ht="14.25" customHeight="1">
      <c r="A823" s="467"/>
      <c r="B823" s="467"/>
      <c r="C823" s="467"/>
      <c r="D823" s="467"/>
      <c r="E823" s="467"/>
    </row>
    <row r="824" ht="14.25" customHeight="1">
      <c r="A824" s="467"/>
      <c r="B824" s="467"/>
      <c r="C824" s="467"/>
      <c r="D824" s="467"/>
      <c r="E824" s="467"/>
    </row>
    <row r="825" ht="14.25" customHeight="1">
      <c r="A825" s="467"/>
      <c r="B825" s="467"/>
      <c r="C825" s="467"/>
      <c r="D825" s="467"/>
      <c r="E825" s="467"/>
    </row>
    <row r="826" ht="14.25" customHeight="1">
      <c r="A826" s="467"/>
      <c r="B826" s="467"/>
      <c r="C826" s="467"/>
      <c r="D826" s="467"/>
      <c r="E826" s="467"/>
    </row>
    <row r="827" ht="14.25" customHeight="1">
      <c r="A827" s="467"/>
      <c r="B827" s="467"/>
      <c r="C827" s="467"/>
      <c r="D827" s="467"/>
      <c r="E827" s="467"/>
    </row>
    <row r="828" ht="14.25" customHeight="1">
      <c r="A828" s="467"/>
      <c r="B828" s="467"/>
      <c r="C828" s="467"/>
      <c r="D828" s="467"/>
      <c r="E828" s="467"/>
    </row>
    <row r="829" ht="14.25" customHeight="1">
      <c r="A829" s="467"/>
      <c r="B829" s="467"/>
      <c r="C829" s="467"/>
      <c r="D829" s="467"/>
      <c r="E829" s="467"/>
    </row>
    <row r="830" ht="14.25" customHeight="1">
      <c r="A830" s="467"/>
      <c r="B830" s="467"/>
      <c r="C830" s="467"/>
      <c r="D830" s="467"/>
      <c r="E830" s="467"/>
    </row>
    <row r="831" ht="14.25" customHeight="1">
      <c r="A831" s="467"/>
      <c r="B831" s="467"/>
      <c r="C831" s="467"/>
      <c r="D831" s="467"/>
      <c r="E831" s="467"/>
    </row>
    <row r="832" ht="14.25" customHeight="1">
      <c r="A832" s="467"/>
      <c r="B832" s="467"/>
      <c r="C832" s="467"/>
      <c r="D832" s="467"/>
      <c r="E832" s="467"/>
    </row>
    <row r="833" ht="14.25" customHeight="1">
      <c r="A833" s="467"/>
      <c r="B833" s="467"/>
      <c r="C833" s="467"/>
      <c r="D833" s="467"/>
      <c r="E833" s="467"/>
    </row>
    <row r="834" ht="14.25" customHeight="1">
      <c r="A834" s="467"/>
      <c r="B834" s="467"/>
      <c r="C834" s="467"/>
      <c r="D834" s="467"/>
      <c r="E834" s="467"/>
    </row>
    <row r="835" ht="14.25" customHeight="1">
      <c r="A835" s="467"/>
      <c r="B835" s="467"/>
      <c r="C835" s="467"/>
      <c r="D835" s="467"/>
      <c r="E835" s="467"/>
    </row>
    <row r="836" ht="14.25" customHeight="1">
      <c r="A836" s="467"/>
      <c r="B836" s="467"/>
      <c r="C836" s="467"/>
      <c r="D836" s="467"/>
      <c r="E836" s="467"/>
    </row>
    <row r="837" ht="14.25" customHeight="1">
      <c r="A837" s="467"/>
      <c r="B837" s="467"/>
      <c r="C837" s="467"/>
      <c r="D837" s="467"/>
      <c r="E837" s="467"/>
    </row>
    <row r="838" ht="14.25" customHeight="1">
      <c r="A838" s="467"/>
      <c r="B838" s="467"/>
      <c r="C838" s="467"/>
      <c r="D838" s="467"/>
      <c r="E838" s="467"/>
    </row>
    <row r="839" ht="14.25" customHeight="1">
      <c r="A839" s="467"/>
      <c r="B839" s="467"/>
      <c r="C839" s="467"/>
      <c r="D839" s="467"/>
      <c r="E839" s="467"/>
    </row>
    <row r="840" ht="14.25" customHeight="1">
      <c r="A840" s="467"/>
      <c r="B840" s="467"/>
      <c r="C840" s="467"/>
      <c r="D840" s="467"/>
      <c r="E840" s="467"/>
    </row>
    <row r="841" ht="14.25" customHeight="1">
      <c r="A841" s="467"/>
      <c r="B841" s="467"/>
      <c r="C841" s="467"/>
      <c r="D841" s="467"/>
      <c r="E841" s="467"/>
    </row>
    <row r="842" ht="14.25" customHeight="1">
      <c r="A842" s="467"/>
      <c r="B842" s="467"/>
      <c r="C842" s="467"/>
      <c r="D842" s="467"/>
      <c r="E842" s="467"/>
    </row>
    <row r="843" ht="14.25" customHeight="1">
      <c r="A843" s="467"/>
      <c r="B843" s="467"/>
      <c r="C843" s="467"/>
      <c r="D843" s="467"/>
      <c r="E843" s="467"/>
    </row>
    <row r="844" ht="14.25" customHeight="1">
      <c r="A844" s="467"/>
      <c r="B844" s="467"/>
      <c r="C844" s="467"/>
      <c r="D844" s="467"/>
      <c r="E844" s="467"/>
    </row>
    <row r="845" ht="14.25" customHeight="1">
      <c r="A845" s="467"/>
      <c r="B845" s="467"/>
      <c r="C845" s="467"/>
      <c r="D845" s="467"/>
      <c r="E845" s="467"/>
    </row>
    <row r="846" ht="14.25" customHeight="1">
      <c r="A846" s="467"/>
      <c r="B846" s="467"/>
      <c r="C846" s="467"/>
      <c r="D846" s="467"/>
      <c r="E846" s="467"/>
    </row>
    <row r="847" ht="14.25" customHeight="1">
      <c r="A847" s="467"/>
      <c r="B847" s="467"/>
      <c r="C847" s="467"/>
      <c r="D847" s="467"/>
      <c r="E847" s="467"/>
    </row>
    <row r="848" ht="14.25" customHeight="1">
      <c r="A848" s="467"/>
      <c r="B848" s="467"/>
      <c r="C848" s="467"/>
      <c r="D848" s="467"/>
      <c r="E848" s="467"/>
    </row>
    <row r="849" ht="14.25" customHeight="1">
      <c r="A849" s="467"/>
      <c r="B849" s="467"/>
      <c r="C849" s="467"/>
      <c r="D849" s="467"/>
      <c r="E849" s="467"/>
    </row>
    <row r="850" ht="14.25" customHeight="1">
      <c r="A850" s="467"/>
      <c r="B850" s="467"/>
      <c r="C850" s="467"/>
      <c r="D850" s="467"/>
      <c r="E850" s="467"/>
    </row>
    <row r="851" ht="14.25" customHeight="1">
      <c r="A851" s="467"/>
      <c r="B851" s="467"/>
      <c r="C851" s="467"/>
      <c r="D851" s="467"/>
      <c r="E851" s="467"/>
    </row>
    <row r="852" ht="14.25" customHeight="1">
      <c r="A852" s="467"/>
      <c r="B852" s="467"/>
      <c r="C852" s="467"/>
      <c r="D852" s="467"/>
      <c r="E852" s="467"/>
    </row>
    <row r="853" ht="14.25" customHeight="1">
      <c r="A853" s="467"/>
      <c r="B853" s="467"/>
      <c r="C853" s="467"/>
      <c r="D853" s="467"/>
      <c r="E853" s="467"/>
    </row>
    <row r="854" ht="14.25" customHeight="1">
      <c r="A854" s="467"/>
      <c r="B854" s="467"/>
      <c r="C854" s="467"/>
      <c r="D854" s="467"/>
      <c r="E854" s="467"/>
    </row>
    <row r="855" ht="14.25" customHeight="1">
      <c r="A855" s="467"/>
      <c r="B855" s="467"/>
      <c r="C855" s="467"/>
      <c r="D855" s="467"/>
      <c r="E855" s="467"/>
    </row>
    <row r="856" ht="14.25" customHeight="1">
      <c r="A856" s="467"/>
      <c r="B856" s="467"/>
      <c r="C856" s="467"/>
      <c r="D856" s="467"/>
      <c r="E856" s="467"/>
    </row>
    <row r="857" ht="14.25" customHeight="1">
      <c r="A857" s="467"/>
      <c r="B857" s="467"/>
      <c r="C857" s="467"/>
      <c r="D857" s="467"/>
      <c r="E857" s="467"/>
    </row>
    <row r="858" ht="14.25" customHeight="1">
      <c r="A858" s="467"/>
      <c r="B858" s="467"/>
      <c r="C858" s="467"/>
      <c r="D858" s="467"/>
      <c r="E858" s="467"/>
    </row>
    <row r="859" ht="14.25" customHeight="1">
      <c r="A859" s="467"/>
      <c r="B859" s="467"/>
      <c r="C859" s="467"/>
      <c r="D859" s="467"/>
      <c r="E859" s="467"/>
    </row>
    <row r="860" ht="14.25" customHeight="1">
      <c r="A860" s="467"/>
      <c r="B860" s="467"/>
      <c r="C860" s="467"/>
      <c r="D860" s="467"/>
      <c r="E860" s="467"/>
    </row>
    <row r="861" ht="14.25" customHeight="1">
      <c r="A861" s="467"/>
      <c r="B861" s="467"/>
      <c r="C861" s="467"/>
      <c r="D861" s="467"/>
      <c r="E861" s="467"/>
    </row>
    <row r="862" ht="14.25" customHeight="1">
      <c r="A862" s="467"/>
      <c r="B862" s="467"/>
      <c r="C862" s="467"/>
      <c r="D862" s="467"/>
      <c r="E862" s="467"/>
    </row>
    <row r="863" ht="14.25" customHeight="1">
      <c r="A863" s="467"/>
      <c r="B863" s="467"/>
      <c r="C863" s="467"/>
      <c r="D863" s="467"/>
      <c r="E863" s="467"/>
    </row>
    <row r="864" ht="14.25" customHeight="1">
      <c r="A864" s="467"/>
      <c r="B864" s="467"/>
      <c r="C864" s="467"/>
      <c r="D864" s="467"/>
      <c r="E864" s="467"/>
    </row>
    <row r="865" ht="14.25" customHeight="1">
      <c r="A865" s="467"/>
      <c r="B865" s="467"/>
      <c r="C865" s="467"/>
      <c r="D865" s="467"/>
      <c r="E865" s="467"/>
    </row>
    <row r="866" ht="14.25" customHeight="1">
      <c r="A866" s="467"/>
      <c r="B866" s="467"/>
      <c r="C866" s="467"/>
      <c r="D866" s="467"/>
      <c r="E866" s="467"/>
    </row>
    <row r="867" ht="14.25" customHeight="1">
      <c r="A867" s="467"/>
      <c r="B867" s="467"/>
      <c r="C867" s="467"/>
      <c r="D867" s="467"/>
      <c r="E867" s="467"/>
    </row>
    <row r="868" ht="14.25" customHeight="1">
      <c r="A868" s="467"/>
      <c r="B868" s="467"/>
      <c r="C868" s="467"/>
      <c r="D868" s="467"/>
      <c r="E868" s="467"/>
    </row>
    <row r="869" ht="14.25" customHeight="1">
      <c r="A869" s="467"/>
      <c r="B869" s="467"/>
      <c r="C869" s="467"/>
      <c r="D869" s="467"/>
      <c r="E869" s="467"/>
    </row>
    <row r="870" ht="14.25" customHeight="1">
      <c r="A870" s="467"/>
      <c r="B870" s="467"/>
      <c r="C870" s="467"/>
      <c r="D870" s="467"/>
      <c r="E870" s="467"/>
    </row>
    <row r="871" ht="14.25" customHeight="1">
      <c r="A871" s="467"/>
      <c r="B871" s="467"/>
      <c r="C871" s="467"/>
      <c r="D871" s="467"/>
      <c r="E871" s="467"/>
    </row>
    <row r="872" ht="14.25" customHeight="1">
      <c r="A872" s="467"/>
      <c r="B872" s="467"/>
      <c r="C872" s="467"/>
      <c r="D872" s="467"/>
      <c r="E872" s="467"/>
    </row>
    <row r="873" ht="14.25" customHeight="1">
      <c r="A873" s="467"/>
      <c r="B873" s="467"/>
      <c r="C873" s="467"/>
      <c r="D873" s="467"/>
      <c r="E873" s="467"/>
    </row>
    <row r="874" ht="14.25" customHeight="1">
      <c r="A874" s="467"/>
      <c r="B874" s="467"/>
      <c r="C874" s="467"/>
      <c r="D874" s="467"/>
      <c r="E874" s="467"/>
    </row>
    <row r="875" ht="14.25" customHeight="1">
      <c r="A875" s="467"/>
      <c r="B875" s="467"/>
      <c r="C875" s="467"/>
      <c r="D875" s="467"/>
      <c r="E875" s="467"/>
    </row>
    <row r="876" ht="14.25" customHeight="1">
      <c r="A876" s="467"/>
      <c r="B876" s="467"/>
      <c r="C876" s="467"/>
      <c r="D876" s="467"/>
      <c r="E876" s="467"/>
    </row>
    <row r="877" ht="14.25" customHeight="1">
      <c r="A877" s="467"/>
      <c r="B877" s="467"/>
      <c r="C877" s="467"/>
      <c r="D877" s="467"/>
      <c r="E877" s="467"/>
    </row>
    <row r="878" ht="14.25" customHeight="1">
      <c r="A878" s="467"/>
      <c r="B878" s="467"/>
      <c r="C878" s="467"/>
      <c r="D878" s="467"/>
      <c r="E878" s="467"/>
    </row>
    <row r="879" ht="14.25" customHeight="1">
      <c r="A879" s="467"/>
      <c r="B879" s="467"/>
      <c r="C879" s="467"/>
      <c r="D879" s="467"/>
      <c r="E879" s="467"/>
    </row>
    <row r="880" ht="14.25" customHeight="1">
      <c r="A880" s="467"/>
      <c r="B880" s="467"/>
      <c r="C880" s="467"/>
      <c r="D880" s="467"/>
      <c r="E880" s="467"/>
    </row>
    <row r="881" ht="14.25" customHeight="1">
      <c r="A881" s="467"/>
      <c r="B881" s="467"/>
      <c r="C881" s="467"/>
      <c r="D881" s="467"/>
      <c r="E881" s="467"/>
    </row>
    <row r="882" ht="14.25" customHeight="1">
      <c r="A882" s="467"/>
      <c r="B882" s="467"/>
      <c r="C882" s="467"/>
      <c r="D882" s="467"/>
      <c r="E882" s="467"/>
    </row>
    <row r="883" ht="14.25" customHeight="1">
      <c r="A883" s="467"/>
      <c r="B883" s="467"/>
      <c r="C883" s="467"/>
      <c r="D883" s="467"/>
      <c r="E883" s="467"/>
    </row>
    <row r="884" ht="14.25" customHeight="1">
      <c r="A884" s="467"/>
      <c r="B884" s="467"/>
      <c r="C884" s="467"/>
      <c r="D884" s="467"/>
      <c r="E884" s="467"/>
    </row>
    <row r="885" ht="14.25" customHeight="1">
      <c r="A885" s="467"/>
      <c r="B885" s="467"/>
      <c r="C885" s="467"/>
      <c r="D885" s="467"/>
      <c r="E885" s="467"/>
    </row>
    <row r="886" ht="14.25" customHeight="1">
      <c r="A886" s="467"/>
      <c r="B886" s="467"/>
      <c r="C886" s="467"/>
      <c r="D886" s="467"/>
      <c r="E886" s="467"/>
    </row>
    <row r="887" ht="14.25" customHeight="1">
      <c r="A887" s="467"/>
      <c r="B887" s="467"/>
      <c r="C887" s="467"/>
      <c r="D887" s="467"/>
      <c r="E887" s="467"/>
    </row>
    <row r="888" ht="14.25" customHeight="1">
      <c r="A888" s="467"/>
      <c r="B888" s="467"/>
      <c r="C888" s="467"/>
      <c r="D888" s="467"/>
      <c r="E888" s="467"/>
    </row>
    <row r="889" ht="14.25" customHeight="1">
      <c r="A889" s="467"/>
      <c r="B889" s="467"/>
      <c r="C889" s="467"/>
      <c r="D889" s="467"/>
      <c r="E889" s="467"/>
    </row>
    <row r="890" ht="14.25" customHeight="1">
      <c r="A890" s="467"/>
      <c r="B890" s="467"/>
      <c r="C890" s="467"/>
      <c r="D890" s="467"/>
      <c r="E890" s="467"/>
    </row>
    <row r="891" ht="14.25" customHeight="1">
      <c r="A891" s="467"/>
      <c r="B891" s="467"/>
      <c r="C891" s="467"/>
      <c r="D891" s="467"/>
      <c r="E891" s="467"/>
    </row>
    <row r="892" ht="14.25" customHeight="1">
      <c r="A892" s="467"/>
      <c r="B892" s="467"/>
      <c r="C892" s="467"/>
      <c r="D892" s="467"/>
      <c r="E892" s="467"/>
    </row>
    <row r="893" ht="14.25" customHeight="1">
      <c r="A893" s="467"/>
      <c r="B893" s="467"/>
      <c r="C893" s="467"/>
      <c r="D893" s="467"/>
      <c r="E893" s="467"/>
    </row>
    <row r="894" ht="14.25" customHeight="1">
      <c r="A894" s="467"/>
      <c r="B894" s="467"/>
      <c r="C894" s="467"/>
      <c r="D894" s="467"/>
      <c r="E894" s="467"/>
    </row>
    <row r="895" ht="14.25" customHeight="1">
      <c r="A895" s="467"/>
      <c r="B895" s="467"/>
      <c r="C895" s="467"/>
      <c r="D895" s="467"/>
      <c r="E895" s="467"/>
    </row>
    <row r="896" ht="14.25" customHeight="1">
      <c r="A896" s="467"/>
      <c r="B896" s="467"/>
      <c r="C896" s="467"/>
      <c r="D896" s="467"/>
      <c r="E896" s="467"/>
    </row>
    <row r="897" ht="14.25" customHeight="1">
      <c r="A897" s="467"/>
      <c r="B897" s="467"/>
      <c r="C897" s="467"/>
      <c r="D897" s="467"/>
      <c r="E897" s="467"/>
    </row>
    <row r="898" ht="14.25" customHeight="1">
      <c r="A898" s="467"/>
      <c r="B898" s="467"/>
      <c r="C898" s="467"/>
      <c r="D898" s="467"/>
      <c r="E898" s="467"/>
    </row>
    <row r="899" ht="14.25" customHeight="1">
      <c r="A899" s="467"/>
      <c r="B899" s="467"/>
      <c r="C899" s="467"/>
      <c r="D899" s="467"/>
      <c r="E899" s="467"/>
    </row>
    <row r="900" ht="14.25" customHeight="1">
      <c r="A900" s="467"/>
      <c r="B900" s="467"/>
      <c r="C900" s="467"/>
      <c r="D900" s="467"/>
      <c r="E900" s="467"/>
    </row>
    <row r="901" ht="14.25" customHeight="1">
      <c r="A901" s="467"/>
      <c r="B901" s="467"/>
      <c r="C901" s="467"/>
      <c r="D901" s="467"/>
      <c r="E901" s="467"/>
    </row>
    <row r="902" ht="14.25" customHeight="1">
      <c r="A902" s="467"/>
      <c r="B902" s="467"/>
      <c r="C902" s="467"/>
      <c r="D902" s="467"/>
      <c r="E902" s="467"/>
    </row>
    <row r="903" ht="14.25" customHeight="1">
      <c r="A903" s="467"/>
      <c r="B903" s="467"/>
      <c r="C903" s="467"/>
      <c r="D903" s="467"/>
      <c r="E903" s="467"/>
    </row>
    <row r="904" ht="14.25" customHeight="1">
      <c r="A904" s="467"/>
      <c r="B904" s="467"/>
      <c r="C904" s="467"/>
      <c r="D904" s="467"/>
      <c r="E904" s="467"/>
    </row>
    <row r="905" ht="14.25" customHeight="1">
      <c r="A905" s="467"/>
      <c r="B905" s="467"/>
      <c r="C905" s="467"/>
      <c r="D905" s="467"/>
      <c r="E905" s="467"/>
    </row>
    <row r="906" ht="14.25" customHeight="1">
      <c r="A906" s="467"/>
      <c r="B906" s="467"/>
      <c r="C906" s="467"/>
      <c r="D906" s="467"/>
      <c r="E906" s="467"/>
    </row>
    <row r="907" ht="14.25" customHeight="1">
      <c r="A907" s="467"/>
      <c r="B907" s="467"/>
      <c r="C907" s="467"/>
      <c r="D907" s="467"/>
      <c r="E907" s="467"/>
    </row>
    <row r="908" ht="14.25" customHeight="1">
      <c r="A908" s="467"/>
      <c r="B908" s="467"/>
      <c r="C908" s="467"/>
      <c r="D908" s="467"/>
      <c r="E908" s="467"/>
    </row>
    <row r="909" ht="14.25" customHeight="1">
      <c r="A909" s="467"/>
      <c r="B909" s="467"/>
      <c r="C909" s="467"/>
      <c r="D909" s="467"/>
      <c r="E909" s="467"/>
    </row>
    <row r="910" ht="14.25" customHeight="1">
      <c r="A910" s="467"/>
      <c r="B910" s="467"/>
      <c r="C910" s="467"/>
      <c r="D910" s="467"/>
      <c r="E910" s="467"/>
    </row>
    <row r="911" ht="14.25" customHeight="1">
      <c r="A911" s="467"/>
      <c r="B911" s="467"/>
      <c r="C911" s="467"/>
      <c r="D911" s="467"/>
      <c r="E911" s="467"/>
    </row>
    <row r="912" ht="14.25" customHeight="1">
      <c r="A912" s="467"/>
      <c r="B912" s="467"/>
      <c r="C912" s="467"/>
      <c r="D912" s="467"/>
      <c r="E912" s="467"/>
    </row>
    <row r="913" ht="14.25" customHeight="1">
      <c r="A913" s="467"/>
      <c r="B913" s="467"/>
      <c r="C913" s="467"/>
      <c r="D913" s="467"/>
      <c r="E913" s="467"/>
    </row>
    <row r="914" ht="14.25" customHeight="1">
      <c r="A914" s="467"/>
      <c r="B914" s="467"/>
      <c r="C914" s="467"/>
      <c r="D914" s="467"/>
      <c r="E914" s="467"/>
    </row>
    <row r="915" ht="14.25" customHeight="1">
      <c r="A915" s="467"/>
      <c r="B915" s="467"/>
      <c r="C915" s="467"/>
      <c r="D915" s="467"/>
      <c r="E915" s="467"/>
    </row>
    <row r="916" ht="14.25" customHeight="1">
      <c r="A916" s="467"/>
      <c r="B916" s="467"/>
      <c r="C916" s="467"/>
      <c r="D916" s="467"/>
      <c r="E916" s="467"/>
    </row>
    <row r="917" ht="14.25" customHeight="1">
      <c r="A917" s="467"/>
      <c r="B917" s="467"/>
      <c r="C917" s="467"/>
      <c r="D917" s="467"/>
      <c r="E917" s="467"/>
    </row>
    <row r="918" ht="14.25" customHeight="1">
      <c r="A918" s="467"/>
      <c r="B918" s="467"/>
      <c r="C918" s="467"/>
      <c r="D918" s="467"/>
      <c r="E918" s="467"/>
    </row>
    <row r="919" ht="14.25" customHeight="1">
      <c r="A919" s="467"/>
      <c r="B919" s="467"/>
      <c r="C919" s="467"/>
      <c r="D919" s="467"/>
      <c r="E919" s="467"/>
    </row>
    <row r="920" ht="14.25" customHeight="1">
      <c r="A920" s="467"/>
      <c r="B920" s="467"/>
      <c r="C920" s="467"/>
      <c r="D920" s="467"/>
      <c r="E920" s="467"/>
    </row>
    <row r="921" ht="14.25" customHeight="1">
      <c r="A921" s="467"/>
      <c r="B921" s="467"/>
      <c r="C921" s="467"/>
      <c r="D921" s="467"/>
      <c r="E921" s="467"/>
    </row>
    <row r="922" ht="14.25" customHeight="1">
      <c r="A922" s="467"/>
      <c r="B922" s="467"/>
      <c r="C922" s="467"/>
      <c r="D922" s="467"/>
      <c r="E922" s="467"/>
    </row>
    <row r="923" ht="14.25" customHeight="1">
      <c r="A923" s="467"/>
      <c r="B923" s="467"/>
      <c r="C923" s="467"/>
      <c r="D923" s="467"/>
      <c r="E923" s="467"/>
    </row>
    <row r="924" ht="14.25" customHeight="1">
      <c r="A924" s="467"/>
      <c r="B924" s="467"/>
      <c r="C924" s="467"/>
      <c r="D924" s="467"/>
      <c r="E924" s="467"/>
    </row>
    <row r="925" ht="14.25" customHeight="1">
      <c r="A925" s="467"/>
      <c r="B925" s="467"/>
      <c r="C925" s="467"/>
      <c r="D925" s="467"/>
      <c r="E925" s="467"/>
    </row>
    <row r="926" ht="14.25" customHeight="1">
      <c r="A926" s="467"/>
      <c r="B926" s="467"/>
      <c r="C926" s="467"/>
      <c r="D926" s="467"/>
      <c r="E926" s="467"/>
    </row>
    <row r="927" ht="14.25" customHeight="1">
      <c r="A927" s="467"/>
      <c r="B927" s="467"/>
      <c r="C927" s="467"/>
      <c r="D927" s="467"/>
      <c r="E927" s="467"/>
    </row>
    <row r="928" ht="14.25" customHeight="1">
      <c r="A928" s="467"/>
      <c r="B928" s="467"/>
      <c r="C928" s="467"/>
      <c r="D928" s="467"/>
      <c r="E928" s="467"/>
    </row>
    <row r="929" ht="14.25" customHeight="1">
      <c r="A929" s="467"/>
      <c r="B929" s="467"/>
      <c r="C929" s="467"/>
      <c r="D929" s="467"/>
      <c r="E929" s="467"/>
    </row>
    <row r="930" ht="14.25" customHeight="1">
      <c r="A930" s="467"/>
      <c r="B930" s="467"/>
      <c r="C930" s="467"/>
      <c r="D930" s="467"/>
      <c r="E930" s="467"/>
    </row>
    <row r="931" ht="14.25" customHeight="1">
      <c r="A931" s="467"/>
      <c r="B931" s="467"/>
      <c r="C931" s="467"/>
      <c r="D931" s="467"/>
      <c r="E931" s="467"/>
    </row>
    <row r="932" ht="14.25" customHeight="1">
      <c r="A932" s="467"/>
      <c r="B932" s="467"/>
      <c r="C932" s="467"/>
      <c r="D932" s="467"/>
      <c r="E932" s="467"/>
    </row>
    <row r="933" ht="14.25" customHeight="1">
      <c r="A933" s="467"/>
      <c r="B933" s="467"/>
      <c r="C933" s="467"/>
      <c r="D933" s="467"/>
      <c r="E933" s="467"/>
    </row>
    <row r="934" ht="14.25" customHeight="1">
      <c r="A934" s="467"/>
      <c r="B934" s="467"/>
      <c r="C934" s="467"/>
      <c r="D934" s="467"/>
      <c r="E934" s="467"/>
    </row>
    <row r="935" ht="14.25" customHeight="1">
      <c r="A935" s="467"/>
      <c r="B935" s="467"/>
      <c r="C935" s="467"/>
      <c r="D935" s="467"/>
      <c r="E935" s="467"/>
    </row>
    <row r="936" ht="14.25" customHeight="1">
      <c r="A936" s="467"/>
      <c r="B936" s="467"/>
      <c r="C936" s="467"/>
      <c r="D936" s="467"/>
      <c r="E936" s="467"/>
    </row>
    <row r="937" ht="14.25" customHeight="1">
      <c r="A937" s="467"/>
      <c r="B937" s="467"/>
      <c r="C937" s="467"/>
      <c r="D937" s="467"/>
      <c r="E937" s="467"/>
    </row>
    <row r="938" ht="14.25" customHeight="1">
      <c r="A938" s="467"/>
      <c r="B938" s="467"/>
      <c r="C938" s="467"/>
      <c r="D938" s="467"/>
      <c r="E938" s="467"/>
    </row>
    <row r="939" ht="14.25" customHeight="1">
      <c r="A939" s="467"/>
      <c r="B939" s="467"/>
      <c r="C939" s="467"/>
      <c r="D939" s="467"/>
      <c r="E939" s="467"/>
    </row>
    <row r="940" ht="14.25" customHeight="1">
      <c r="A940" s="467"/>
      <c r="B940" s="467"/>
      <c r="C940" s="467"/>
      <c r="D940" s="467"/>
      <c r="E940" s="467"/>
    </row>
    <row r="941" ht="14.25" customHeight="1">
      <c r="A941" s="467"/>
      <c r="B941" s="467"/>
      <c r="C941" s="467"/>
      <c r="D941" s="467"/>
      <c r="E941" s="467"/>
    </row>
    <row r="942" ht="14.25" customHeight="1">
      <c r="A942" s="467"/>
      <c r="B942" s="467"/>
      <c r="C942" s="467"/>
      <c r="D942" s="467"/>
      <c r="E942" s="467"/>
    </row>
    <row r="943" ht="14.25" customHeight="1">
      <c r="A943" s="467"/>
      <c r="B943" s="467"/>
      <c r="C943" s="467"/>
      <c r="D943" s="467"/>
      <c r="E943" s="467"/>
    </row>
    <row r="944" ht="14.25" customHeight="1">
      <c r="A944" s="467"/>
      <c r="B944" s="467"/>
      <c r="C944" s="467"/>
      <c r="D944" s="467"/>
      <c r="E944" s="467"/>
    </row>
    <row r="945" ht="14.25" customHeight="1">
      <c r="A945" s="467"/>
      <c r="B945" s="467"/>
      <c r="C945" s="467"/>
      <c r="D945" s="467"/>
      <c r="E945" s="467"/>
    </row>
    <row r="946" ht="14.25" customHeight="1">
      <c r="A946" s="467"/>
      <c r="B946" s="467"/>
      <c r="C946" s="467"/>
      <c r="D946" s="467"/>
      <c r="E946" s="467"/>
    </row>
    <row r="947" ht="14.25" customHeight="1">
      <c r="A947" s="467"/>
      <c r="B947" s="467"/>
      <c r="C947" s="467"/>
      <c r="D947" s="467"/>
      <c r="E947" s="467"/>
    </row>
    <row r="948" ht="14.25" customHeight="1">
      <c r="A948" s="467"/>
      <c r="B948" s="467"/>
      <c r="C948" s="467"/>
      <c r="D948" s="467"/>
      <c r="E948" s="467"/>
    </row>
    <row r="949" ht="14.25" customHeight="1">
      <c r="A949" s="467"/>
      <c r="B949" s="467"/>
      <c r="C949" s="467"/>
      <c r="D949" s="467"/>
      <c r="E949" s="467"/>
    </row>
    <row r="950" ht="14.25" customHeight="1">
      <c r="A950" s="467"/>
      <c r="B950" s="467"/>
      <c r="C950" s="467"/>
      <c r="D950" s="467"/>
      <c r="E950" s="467"/>
    </row>
    <row r="951" ht="14.25" customHeight="1">
      <c r="A951" s="467"/>
      <c r="B951" s="467"/>
      <c r="C951" s="467"/>
      <c r="D951" s="467"/>
      <c r="E951" s="467"/>
    </row>
    <row r="952" ht="14.25" customHeight="1">
      <c r="A952" s="467"/>
      <c r="B952" s="467"/>
      <c r="C952" s="467"/>
      <c r="D952" s="467"/>
      <c r="E952" s="467"/>
    </row>
    <row r="953" ht="14.25" customHeight="1">
      <c r="A953" s="467"/>
      <c r="B953" s="467"/>
      <c r="C953" s="467"/>
      <c r="D953" s="467"/>
      <c r="E953" s="467"/>
    </row>
    <row r="954" ht="14.25" customHeight="1">
      <c r="A954" s="467"/>
      <c r="B954" s="467"/>
      <c r="C954" s="467"/>
      <c r="D954" s="467"/>
      <c r="E954" s="467"/>
    </row>
    <row r="955" ht="14.25" customHeight="1">
      <c r="A955" s="467"/>
      <c r="B955" s="467"/>
      <c r="C955" s="467"/>
      <c r="D955" s="467"/>
      <c r="E955" s="467"/>
    </row>
    <row r="956" ht="14.25" customHeight="1">
      <c r="A956" s="467"/>
      <c r="B956" s="467"/>
      <c r="C956" s="467"/>
      <c r="D956" s="467"/>
      <c r="E956" s="467"/>
    </row>
    <row r="957" ht="14.25" customHeight="1">
      <c r="A957" s="467"/>
      <c r="B957" s="467"/>
      <c r="C957" s="467"/>
      <c r="D957" s="467"/>
      <c r="E957" s="467"/>
    </row>
    <row r="958" ht="14.25" customHeight="1">
      <c r="A958" s="467"/>
      <c r="B958" s="467"/>
      <c r="C958" s="467"/>
      <c r="D958" s="467"/>
      <c r="E958" s="467"/>
    </row>
    <row r="959" ht="14.25" customHeight="1">
      <c r="A959" s="467"/>
      <c r="B959" s="467"/>
      <c r="C959" s="467"/>
      <c r="D959" s="467"/>
      <c r="E959" s="467"/>
    </row>
    <row r="960" ht="14.25" customHeight="1">
      <c r="A960" s="467"/>
      <c r="B960" s="467"/>
      <c r="C960" s="467"/>
      <c r="D960" s="467"/>
      <c r="E960" s="467"/>
    </row>
    <row r="961" ht="14.25" customHeight="1">
      <c r="A961" s="467"/>
      <c r="B961" s="467"/>
      <c r="C961" s="467"/>
      <c r="D961" s="467"/>
      <c r="E961" s="467"/>
    </row>
    <row r="962" ht="14.25" customHeight="1">
      <c r="A962" s="467"/>
      <c r="B962" s="467"/>
      <c r="C962" s="467"/>
      <c r="D962" s="467"/>
      <c r="E962" s="467"/>
    </row>
    <row r="963" ht="14.25" customHeight="1">
      <c r="A963" s="467"/>
      <c r="B963" s="467"/>
      <c r="C963" s="467"/>
      <c r="D963" s="467"/>
      <c r="E963" s="467"/>
    </row>
    <row r="964" ht="14.25" customHeight="1">
      <c r="A964" s="467"/>
      <c r="B964" s="467"/>
      <c r="C964" s="467"/>
      <c r="D964" s="467"/>
      <c r="E964" s="467"/>
    </row>
    <row r="965" ht="14.25" customHeight="1">
      <c r="A965" s="467"/>
      <c r="B965" s="467"/>
      <c r="C965" s="467"/>
      <c r="D965" s="467"/>
      <c r="E965" s="467"/>
    </row>
    <row r="966" ht="14.25" customHeight="1">
      <c r="A966" s="467"/>
      <c r="B966" s="467"/>
      <c r="C966" s="467"/>
      <c r="D966" s="467"/>
      <c r="E966" s="467"/>
    </row>
    <row r="967" ht="14.25" customHeight="1">
      <c r="A967" s="467"/>
      <c r="B967" s="467"/>
      <c r="C967" s="467"/>
      <c r="D967" s="467"/>
      <c r="E967" s="467"/>
    </row>
    <row r="968" ht="14.25" customHeight="1">
      <c r="A968" s="467"/>
      <c r="B968" s="467"/>
      <c r="C968" s="467"/>
      <c r="D968" s="467"/>
      <c r="E968" s="467"/>
    </row>
    <row r="969" ht="14.25" customHeight="1">
      <c r="A969" s="467"/>
      <c r="B969" s="467"/>
      <c r="C969" s="467"/>
      <c r="D969" s="467"/>
      <c r="E969" s="467"/>
    </row>
    <row r="970" ht="14.25" customHeight="1">
      <c r="A970" s="467"/>
      <c r="B970" s="467"/>
      <c r="C970" s="467"/>
      <c r="D970" s="467"/>
      <c r="E970" s="467"/>
    </row>
    <row r="971" ht="14.25" customHeight="1">
      <c r="A971" s="467"/>
      <c r="B971" s="467"/>
      <c r="C971" s="467"/>
      <c r="D971" s="467"/>
      <c r="E971" s="467"/>
    </row>
    <row r="972" ht="14.25" customHeight="1">
      <c r="A972" s="467"/>
      <c r="B972" s="467"/>
      <c r="C972" s="467"/>
      <c r="D972" s="467"/>
      <c r="E972" s="467"/>
    </row>
    <row r="973" ht="14.25" customHeight="1">
      <c r="A973" s="467"/>
      <c r="B973" s="467"/>
      <c r="C973" s="467"/>
      <c r="D973" s="467"/>
      <c r="E973" s="467"/>
    </row>
    <row r="974" ht="14.25" customHeight="1">
      <c r="A974" s="467"/>
      <c r="B974" s="467"/>
      <c r="C974" s="467"/>
      <c r="D974" s="467"/>
      <c r="E974" s="467"/>
    </row>
    <row r="975" ht="14.25" customHeight="1">
      <c r="A975" s="467"/>
      <c r="B975" s="467"/>
      <c r="C975" s="467"/>
      <c r="D975" s="467"/>
      <c r="E975" s="467"/>
    </row>
    <row r="976" ht="14.25" customHeight="1">
      <c r="A976" s="467"/>
      <c r="B976" s="467"/>
      <c r="C976" s="467"/>
      <c r="D976" s="467"/>
      <c r="E976" s="467"/>
    </row>
    <row r="977" ht="14.25" customHeight="1">
      <c r="A977" s="467"/>
      <c r="B977" s="467"/>
      <c r="C977" s="467"/>
      <c r="D977" s="467"/>
      <c r="E977" s="467"/>
    </row>
    <row r="978" ht="14.25" customHeight="1">
      <c r="A978" s="467"/>
      <c r="B978" s="467"/>
      <c r="C978" s="467"/>
      <c r="D978" s="467"/>
      <c r="E978" s="467"/>
    </row>
    <row r="979" ht="14.25" customHeight="1">
      <c r="A979" s="467"/>
      <c r="B979" s="467"/>
      <c r="C979" s="467"/>
      <c r="D979" s="467"/>
      <c r="E979" s="467"/>
    </row>
    <row r="980" ht="14.25" customHeight="1">
      <c r="A980" s="467"/>
      <c r="B980" s="467"/>
      <c r="C980" s="467"/>
      <c r="D980" s="467"/>
      <c r="E980" s="467"/>
    </row>
    <row r="981" ht="14.25" customHeight="1">
      <c r="A981" s="467"/>
      <c r="B981" s="467"/>
      <c r="C981" s="467"/>
      <c r="D981" s="467"/>
      <c r="E981" s="467"/>
    </row>
    <row r="982" ht="14.25" customHeight="1">
      <c r="A982" s="467"/>
      <c r="B982" s="467"/>
      <c r="C982" s="467"/>
      <c r="D982" s="467"/>
      <c r="E982" s="467"/>
    </row>
    <row r="983" ht="14.25" customHeight="1">
      <c r="A983" s="467"/>
      <c r="B983" s="467"/>
      <c r="C983" s="467"/>
      <c r="D983" s="467"/>
      <c r="E983" s="467"/>
    </row>
    <row r="984" ht="14.25" customHeight="1">
      <c r="A984" s="467"/>
      <c r="B984" s="467"/>
      <c r="C984" s="467"/>
      <c r="D984" s="467"/>
      <c r="E984" s="467"/>
    </row>
    <row r="985" ht="14.25" customHeight="1">
      <c r="A985" s="467"/>
      <c r="B985" s="467"/>
      <c r="C985" s="467"/>
      <c r="D985" s="467"/>
      <c r="E985" s="467"/>
    </row>
    <row r="986" ht="14.25" customHeight="1">
      <c r="A986" s="467"/>
      <c r="B986" s="467"/>
      <c r="C986" s="467"/>
      <c r="D986" s="467"/>
      <c r="E986" s="467"/>
    </row>
    <row r="987" ht="14.25" customHeight="1">
      <c r="A987" s="467"/>
      <c r="B987" s="467"/>
      <c r="C987" s="467"/>
      <c r="D987" s="467"/>
      <c r="E987" s="467"/>
    </row>
    <row r="988" ht="14.25" customHeight="1">
      <c r="A988" s="467"/>
      <c r="B988" s="467"/>
      <c r="C988" s="467"/>
      <c r="D988" s="467"/>
      <c r="E988" s="467"/>
    </row>
    <row r="989" ht="14.25" customHeight="1">
      <c r="A989" s="467"/>
      <c r="B989" s="467"/>
      <c r="C989" s="467"/>
      <c r="D989" s="467"/>
      <c r="E989" s="467"/>
    </row>
    <row r="990" ht="14.25" customHeight="1">
      <c r="A990" s="467"/>
      <c r="B990" s="467"/>
      <c r="C990" s="467"/>
      <c r="D990" s="467"/>
      <c r="E990" s="467"/>
    </row>
    <row r="991" ht="14.25" customHeight="1">
      <c r="A991" s="467"/>
      <c r="B991" s="467"/>
      <c r="C991" s="467"/>
      <c r="D991" s="467"/>
      <c r="E991" s="467"/>
    </row>
    <row r="992" ht="14.25" customHeight="1">
      <c r="A992" s="467"/>
      <c r="B992" s="467"/>
      <c r="C992" s="467"/>
      <c r="D992" s="467"/>
      <c r="E992" s="467"/>
    </row>
    <row r="993" ht="14.25" customHeight="1">
      <c r="A993" s="467"/>
      <c r="B993" s="467"/>
      <c r="C993" s="467"/>
      <c r="D993" s="467"/>
      <c r="E993" s="467"/>
    </row>
    <row r="994" ht="14.25" customHeight="1">
      <c r="A994" s="467"/>
      <c r="B994" s="467"/>
      <c r="C994" s="467"/>
      <c r="D994" s="467"/>
      <c r="E994" s="467"/>
    </row>
    <row r="995" ht="14.25" customHeight="1">
      <c r="A995" s="467"/>
      <c r="B995" s="467"/>
      <c r="C995" s="467"/>
      <c r="D995" s="467"/>
      <c r="E995" s="467"/>
    </row>
    <row r="996" ht="14.25" customHeight="1">
      <c r="A996" s="467"/>
      <c r="B996" s="467"/>
      <c r="C996" s="467"/>
      <c r="D996" s="467"/>
      <c r="E996" s="467"/>
    </row>
    <row r="997" ht="14.25" customHeight="1">
      <c r="A997" s="467"/>
      <c r="B997" s="467"/>
      <c r="C997" s="467"/>
      <c r="D997" s="467"/>
      <c r="E997" s="467"/>
    </row>
    <row r="998" ht="14.25" customHeight="1">
      <c r="A998" s="467"/>
      <c r="B998" s="467"/>
      <c r="C998" s="467"/>
      <c r="D998" s="467"/>
      <c r="E998" s="467"/>
    </row>
    <row r="999" ht="14.25" customHeight="1">
      <c r="A999" s="467"/>
      <c r="B999" s="467"/>
      <c r="C999" s="467"/>
      <c r="D999" s="467"/>
      <c r="E999" s="467"/>
    </row>
    <row r="1000" ht="14.25" customHeight="1">
      <c r="A1000" s="467"/>
      <c r="B1000" s="467"/>
      <c r="C1000" s="467"/>
      <c r="D1000" s="467"/>
      <c r="E1000" s="467"/>
    </row>
  </sheetData>
  <printOptions/>
  <pageMargins bottom="0.4" footer="0.0" header="0.0" left="1.09" right="0.25" top="0.72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2.29"/>
    <col customWidth="1" min="3" max="3" width="17.29"/>
    <col customWidth="1" min="4" max="4" width="15.0"/>
    <col customWidth="1" min="5" max="5" width="14.57"/>
    <col customWidth="1" min="6" max="6" width="12.71"/>
    <col customWidth="1" min="7" max="7" width="12.86"/>
    <col customWidth="1" min="8" max="9" width="11.29"/>
    <col customWidth="1" min="10" max="11" width="11.71"/>
    <col customWidth="1" min="12" max="12" width="11.29"/>
    <col customWidth="1" min="13" max="13" width="7.71"/>
    <col customWidth="1" min="14" max="26" width="8.71"/>
  </cols>
  <sheetData>
    <row r="1" ht="14.25" customHeight="1">
      <c r="A1" s="646" t="s">
        <v>736</v>
      </c>
      <c r="B1" s="646" t="s">
        <v>737</v>
      </c>
      <c r="C1" s="646" t="s">
        <v>738</v>
      </c>
      <c r="D1" s="646" t="s">
        <v>739</v>
      </c>
      <c r="E1" s="646" t="s">
        <v>740</v>
      </c>
      <c r="F1" s="646" t="s">
        <v>741</v>
      </c>
      <c r="G1" s="646" t="s">
        <v>742</v>
      </c>
      <c r="H1" s="646" t="s">
        <v>492</v>
      </c>
      <c r="I1" s="646" t="s">
        <v>493</v>
      </c>
      <c r="J1" s="646" t="s">
        <v>743</v>
      </c>
      <c r="K1" s="646" t="s">
        <v>482</v>
      </c>
    </row>
    <row r="2" ht="14.25" customHeight="1">
      <c r="K2" s="646" t="s">
        <v>744</v>
      </c>
      <c r="L2" s="646" t="s">
        <v>745</v>
      </c>
      <c r="M2" s="646" t="s">
        <v>746</v>
      </c>
    </row>
    <row r="3" ht="14.25" customHeight="1">
      <c r="A3" s="647" t="s">
        <v>747</v>
      </c>
    </row>
    <row r="4" ht="14.25" customHeight="1">
      <c r="A4" s="648">
        <v>1.0</v>
      </c>
      <c r="B4" s="649">
        <v>3000000.0</v>
      </c>
      <c r="C4" s="648">
        <v>168.0</v>
      </c>
      <c r="D4" s="648">
        <v>0.0</v>
      </c>
      <c r="E4" s="648">
        <v>0.0</v>
      </c>
      <c r="F4" s="648">
        <v>0.0</v>
      </c>
      <c r="G4" s="649">
        <v>3000000.0</v>
      </c>
      <c r="H4" s="649">
        <v>240000.0</v>
      </c>
      <c r="I4" s="649">
        <v>269000.0</v>
      </c>
      <c r="J4" s="649">
        <v>24910.0</v>
      </c>
      <c r="K4" s="649">
        <v>1267100.0</v>
      </c>
      <c r="L4" s="649">
        <v>1198990.0</v>
      </c>
      <c r="M4" s="648">
        <v>0.0</v>
      </c>
    </row>
    <row r="5" ht="14.25" customHeight="1">
      <c r="A5" s="648">
        <v>2.0</v>
      </c>
      <c r="B5" s="649">
        <v>3000000.0</v>
      </c>
      <c r="C5" s="648">
        <v>168.0</v>
      </c>
      <c r="D5" s="648">
        <v>0.0</v>
      </c>
      <c r="E5" s="648">
        <v>0.0</v>
      </c>
      <c r="F5" s="648">
        <v>0.0</v>
      </c>
      <c r="G5" s="649">
        <v>3000000.0</v>
      </c>
      <c r="H5" s="649">
        <v>240000.0</v>
      </c>
      <c r="I5" s="649">
        <v>269000.0</v>
      </c>
      <c r="J5" s="649">
        <v>24910.0</v>
      </c>
      <c r="K5" s="649">
        <v>1245500.0</v>
      </c>
      <c r="L5" s="649">
        <v>1220590.0</v>
      </c>
      <c r="M5" s="648">
        <v>0.0</v>
      </c>
    </row>
    <row r="6" ht="14.25" customHeight="1">
      <c r="A6" s="648">
        <v>3.0</v>
      </c>
      <c r="B6" s="649">
        <v>3000000.0</v>
      </c>
      <c r="C6" s="648">
        <v>96.0</v>
      </c>
      <c r="D6" s="648">
        <v>0.0</v>
      </c>
      <c r="E6" s="648">
        <v>0.0</v>
      </c>
      <c r="F6" s="648">
        <v>0.0</v>
      </c>
      <c r="G6" s="649">
        <v>2250000.0</v>
      </c>
      <c r="H6" s="649">
        <v>225000.0</v>
      </c>
      <c r="I6" s="649">
        <v>195500.0</v>
      </c>
      <c r="J6" s="649">
        <v>18295.0</v>
      </c>
      <c r="K6" s="649">
        <v>1245500.0</v>
      </c>
      <c r="L6" s="649">
        <v>565705.0</v>
      </c>
      <c r="M6" s="648">
        <v>0.0</v>
      </c>
    </row>
    <row r="7" ht="14.25" customHeight="1">
      <c r="A7" s="648">
        <v>4.0</v>
      </c>
      <c r="B7" s="649">
        <v>3000000.0</v>
      </c>
      <c r="C7" s="648">
        <v>64.0</v>
      </c>
      <c r="D7" s="648">
        <v>0.0</v>
      </c>
      <c r="E7" s="649">
        <v>2266084.25</v>
      </c>
      <c r="F7" s="648">
        <v>0.0</v>
      </c>
      <c r="G7" s="649">
        <v>3408941.39</v>
      </c>
      <c r="H7" s="649">
        <v>240000.0</v>
      </c>
      <c r="I7" s="649">
        <v>309894.14</v>
      </c>
      <c r="J7" s="649">
        <v>9327.0</v>
      </c>
      <c r="K7" s="649">
        <v>2473332.97</v>
      </c>
      <c r="L7" s="649">
        <v>376387.28</v>
      </c>
      <c r="M7" s="648">
        <v>0.0</v>
      </c>
    </row>
    <row r="8" ht="14.25" customHeight="1">
      <c r="A8" s="648">
        <v>5.0</v>
      </c>
      <c r="B8" s="649">
        <v>240000.0</v>
      </c>
      <c r="C8" s="648">
        <v>176.0</v>
      </c>
      <c r="D8" s="648">
        <v>0.0</v>
      </c>
      <c r="E8" s="648">
        <v>0.0</v>
      </c>
      <c r="F8" s="648">
        <v>0.0</v>
      </c>
      <c r="G8" s="648">
        <v>0.0</v>
      </c>
      <c r="H8" s="648">
        <v>0.0</v>
      </c>
      <c r="I8" s="648">
        <v>0.0</v>
      </c>
      <c r="J8" s="648">
        <v>0.0</v>
      </c>
      <c r="K8" s="648">
        <v>0.0</v>
      </c>
      <c r="L8" s="648">
        <v>0.0</v>
      </c>
      <c r="M8" s="648">
        <v>0.0</v>
      </c>
    </row>
    <row r="9" ht="14.25" customHeight="1">
      <c r="A9" s="648">
        <v>6.0</v>
      </c>
      <c r="B9" s="649">
        <v>240000.0</v>
      </c>
      <c r="C9" s="648">
        <v>168.0</v>
      </c>
      <c r="D9" s="648">
        <v>0.0</v>
      </c>
      <c r="E9" s="648">
        <v>0.0</v>
      </c>
      <c r="F9" s="648">
        <v>0.0</v>
      </c>
      <c r="G9" s="648">
        <v>0.0</v>
      </c>
      <c r="H9" s="648">
        <v>0.0</v>
      </c>
      <c r="I9" s="648">
        <v>0.0</v>
      </c>
      <c r="J9" s="648">
        <v>0.0</v>
      </c>
      <c r="K9" s="648">
        <v>0.0</v>
      </c>
      <c r="L9" s="648">
        <v>0.0</v>
      </c>
      <c r="M9" s="648">
        <v>0.0</v>
      </c>
    </row>
    <row r="10" ht="14.25" customHeight="1">
      <c r="A10" s="648">
        <v>7.0</v>
      </c>
      <c r="B10" s="649">
        <v>240000.0</v>
      </c>
      <c r="C10" s="648">
        <v>120.0</v>
      </c>
      <c r="D10" s="648">
        <v>0.0</v>
      </c>
      <c r="E10" s="648">
        <v>0.0</v>
      </c>
      <c r="F10" s="648">
        <v>0.0</v>
      </c>
      <c r="G10" s="648">
        <v>0.0</v>
      </c>
      <c r="H10" s="648">
        <v>0.0</v>
      </c>
      <c r="I10" s="648">
        <v>0.0</v>
      </c>
      <c r="J10" s="648">
        <v>0.0</v>
      </c>
      <c r="K10" s="648">
        <v>0.0</v>
      </c>
      <c r="L10" s="648">
        <v>0.0</v>
      </c>
      <c r="M10" s="648">
        <v>0.0</v>
      </c>
    </row>
    <row r="11" ht="14.25" customHeight="1">
      <c r="A11" s="648">
        <v>8.0</v>
      </c>
      <c r="B11" s="649">
        <v>240000.0</v>
      </c>
      <c r="C11" s="648">
        <v>184.0</v>
      </c>
      <c r="D11" s="648">
        <v>0.0</v>
      </c>
      <c r="E11" s="648">
        <v>0.0</v>
      </c>
      <c r="F11" s="648">
        <v>0.0</v>
      </c>
      <c r="G11" s="648">
        <v>0.0</v>
      </c>
      <c r="H11" s="648">
        <v>0.0</v>
      </c>
      <c r="I11" s="648">
        <v>0.0</v>
      </c>
      <c r="J11" s="648">
        <v>0.0</v>
      </c>
      <c r="K11" s="648">
        <v>0.0</v>
      </c>
      <c r="L11" s="648">
        <v>0.0</v>
      </c>
      <c r="M11" s="648">
        <v>0.0</v>
      </c>
    </row>
    <row r="12" ht="14.25" customHeight="1">
      <c r="A12" s="648">
        <v>9.0</v>
      </c>
      <c r="B12" s="649">
        <v>240000.0</v>
      </c>
      <c r="C12" s="648">
        <v>168.0</v>
      </c>
      <c r="D12" s="648">
        <v>0.0</v>
      </c>
      <c r="E12" s="648">
        <v>0.0</v>
      </c>
      <c r="F12" s="648">
        <v>0.0</v>
      </c>
      <c r="G12" s="648">
        <v>0.0</v>
      </c>
      <c r="H12" s="648">
        <v>0.0</v>
      </c>
      <c r="I12" s="648">
        <v>0.0</v>
      </c>
      <c r="J12" s="648">
        <v>0.0</v>
      </c>
      <c r="K12" s="648">
        <v>0.0</v>
      </c>
      <c r="L12" s="648">
        <v>0.0</v>
      </c>
      <c r="M12" s="648">
        <v>0.0</v>
      </c>
    </row>
    <row r="13" ht="14.25" customHeight="1">
      <c r="A13" s="648">
        <v>10.0</v>
      </c>
      <c r="B13" s="649">
        <v>240000.0</v>
      </c>
      <c r="C13" s="648">
        <v>176.0</v>
      </c>
      <c r="D13" s="648">
        <v>0.0</v>
      </c>
      <c r="E13" s="648">
        <v>0.0</v>
      </c>
      <c r="F13" s="648">
        <v>0.0</v>
      </c>
      <c r="G13" s="648">
        <v>0.0</v>
      </c>
      <c r="H13" s="648">
        <v>0.0</v>
      </c>
      <c r="I13" s="648">
        <v>0.0</v>
      </c>
      <c r="J13" s="648">
        <v>0.0</v>
      </c>
      <c r="K13" s="648">
        <v>0.0</v>
      </c>
      <c r="L13" s="648">
        <v>0.0</v>
      </c>
      <c r="M13" s="648">
        <v>0.0</v>
      </c>
    </row>
    <row r="14" ht="14.25" customHeight="1">
      <c r="A14" s="648">
        <v>11.0</v>
      </c>
      <c r="B14" s="649">
        <v>240000.0</v>
      </c>
      <c r="C14" s="648">
        <v>176.0</v>
      </c>
      <c r="D14" s="648">
        <v>0.0</v>
      </c>
      <c r="E14" s="648">
        <v>0.0</v>
      </c>
      <c r="F14" s="648">
        <v>0.0</v>
      </c>
      <c r="G14" s="648">
        <v>0.0</v>
      </c>
      <c r="H14" s="648">
        <v>0.0</v>
      </c>
      <c r="I14" s="648">
        <v>0.0</v>
      </c>
      <c r="J14" s="648">
        <v>0.0</v>
      </c>
      <c r="K14" s="648">
        <v>0.0</v>
      </c>
      <c r="L14" s="648">
        <v>0.0</v>
      </c>
      <c r="M14" s="648">
        <v>0.0</v>
      </c>
    </row>
    <row r="15" ht="14.25" customHeight="1">
      <c r="A15" s="648">
        <v>12.0</v>
      </c>
      <c r="B15" s="649">
        <v>3000000.0</v>
      </c>
      <c r="C15" s="648">
        <v>128.0</v>
      </c>
      <c r="D15" s="648">
        <v>0.0</v>
      </c>
      <c r="E15" s="648">
        <v>0.0</v>
      </c>
      <c r="F15" s="648">
        <v>0.0</v>
      </c>
      <c r="G15" s="649">
        <v>2285714.29</v>
      </c>
      <c r="H15" s="649">
        <v>228571.43</v>
      </c>
      <c r="I15" s="649">
        <v>198714.29</v>
      </c>
      <c r="J15" s="649">
        <v>38584.0</v>
      </c>
      <c r="K15" s="649">
        <v>611000.0</v>
      </c>
      <c r="L15" s="649">
        <v>1208844.57</v>
      </c>
      <c r="M15" s="648">
        <v>0.0</v>
      </c>
    </row>
    <row r="16" ht="14.25" customHeight="1">
      <c r="A16" s="648" t="s">
        <v>748</v>
      </c>
      <c r="B16" s="649">
        <f>SUM(B4:B15)</f>
        <v>16680000</v>
      </c>
      <c r="C16" s="648"/>
      <c r="D16" s="648"/>
      <c r="E16" s="649">
        <f t="shared" ref="E16:M16" si="1">SUM(E4:E15)</f>
        <v>2266084.25</v>
      </c>
      <c r="F16" s="649">
        <f t="shared" si="1"/>
        <v>0</v>
      </c>
      <c r="G16" s="649">
        <f t="shared" si="1"/>
        <v>13944655.68</v>
      </c>
      <c r="H16" s="649">
        <f t="shared" si="1"/>
        <v>1173571.43</v>
      </c>
      <c r="I16" s="649">
        <f t="shared" si="1"/>
        <v>1242108.43</v>
      </c>
      <c r="J16" s="649">
        <f t="shared" si="1"/>
        <v>116026</v>
      </c>
      <c r="K16" s="649">
        <f t="shared" si="1"/>
        <v>6842432.97</v>
      </c>
      <c r="L16" s="649">
        <f t="shared" si="1"/>
        <v>4570516.85</v>
      </c>
      <c r="M16" s="649">
        <f t="shared" si="1"/>
        <v>0</v>
      </c>
    </row>
    <row r="17" ht="14.25" customHeight="1">
      <c r="G17" s="650">
        <f>+G16+SUM(B8:B14)</f>
        <v>15624655.68</v>
      </c>
    </row>
    <row r="18" ht="14.25" customHeight="1">
      <c r="G18" s="650"/>
    </row>
    <row r="19" ht="14.25" customHeight="1">
      <c r="J19" s="650">
        <f>+G15-H15-I15</f>
        <v>1858428.57</v>
      </c>
      <c r="K19" s="650">
        <f>SUM(J15:L15)</f>
        <v>1858428.57</v>
      </c>
    </row>
    <row r="20" ht="14.25" customHeight="1">
      <c r="K20" s="651">
        <f>+'ТТ-11-1'!V11</f>
        <v>4073821.959</v>
      </c>
    </row>
    <row r="21" ht="14.25" customHeight="1">
      <c r="K21" s="650">
        <f>+K20-K19</f>
        <v>2215393.389</v>
      </c>
    </row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2">
    <mergeCell ref="H1:H2"/>
    <mergeCell ref="I1:I2"/>
    <mergeCell ref="J1:J2"/>
    <mergeCell ref="K1:M1"/>
    <mergeCell ref="A1:A2"/>
    <mergeCell ref="B1:B2"/>
    <mergeCell ref="C1:C2"/>
    <mergeCell ref="D1:D2"/>
    <mergeCell ref="E1:E2"/>
    <mergeCell ref="F1:F2"/>
    <mergeCell ref="G1:G2"/>
    <mergeCell ref="A3:M3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47.14"/>
    <col customWidth="1" min="4" max="5" width="24.29"/>
  </cols>
  <sheetData>
    <row r="1" ht="14.25" customHeight="1">
      <c r="A1" s="652"/>
      <c r="B1" s="653" t="s">
        <v>749</v>
      </c>
    </row>
    <row r="2" ht="14.25" customHeight="1">
      <c r="A2" s="652"/>
      <c r="B2" s="336"/>
      <c r="C2" s="505"/>
      <c r="D2" s="505"/>
      <c r="E2" s="505"/>
    </row>
    <row r="3" ht="14.25" customHeight="1">
      <c r="A3" s="652"/>
      <c r="B3" s="654" t="s">
        <v>0</v>
      </c>
      <c r="C3" s="505"/>
      <c r="D3" s="655"/>
      <c r="E3" s="655" t="s">
        <v>632</v>
      </c>
    </row>
    <row r="4" ht="14.25" customHeight="1">
      <c r="A4" s="656"/>
      <c r="B4" s="657" t="s">
        <v>109</v>
      </c>
      <c r="C4" s="658" t="s">
        <v>425</v>
      </c>
      <c r="D4" s="659" t="s">
        <v>750</v>
      </c>
      <c r="E4" s="659" t="s">
        <v>634</v>
      </c>
    </row>
    <row r="5" ht="14.25" customHeight="1">
      <c r="A5" s="652"/>
      <c r="B5" s="660">
        <v>1.0</v>
      </c>
      <c r="C5" s="549" t="s">
        <v>751</v>
      </c>
      <c r="D5" s="661">
        <v>6.8846099366E8</v>
      </c>
      <c r="E5" s="661">
        <v>2.2212613267510002E10</v>
      </c>
    </row>
    <row r="6" ht="14.25" customHeight="1">
      <c r="A6" s="652"/>
      <c r="B6" s="660">
        <v>2.0</v>
      </c>
      <c r="C6" s="549" t="s">
        <v>752</v>
      </c>
      <c r="D6" s="661"/>
      <c r="E6" s="661"/>
    </row>
    <row r="7" ht="14.25" customHeight="1">
      <c r="A7" s="652"/>
      <c r="B7" s="662">
        <v>3.0</v>
      </c>
      <c r="C7" s="658" t="s">
        <v>753</v>
      </c>
      <c r="D7" s="663">
        <v>6.8846099366E8</v>
      </c>
      <c r="E7" s="663">
        <v>2.2212613267510002E10</v>
      </c>
    </row>
    <row r="8" ht="14.25" customHeight="1">
      <c r="A8" s="652"/>
      <c r="B8" s="660">
        <v>4.0</v>
      </c>
      <c r="C8" s="549" t="s">
        <v>74</v>
      </c>
      <c r="D8" s="664">
        <v>7.7046363992E8</v>
      </c>
      <c r="E8" s="665">
        <v>7.5253546233E8</v>
      </c>
    </row>
    <row r="9" ht="14.25" customHeight="1">
      <c r="A9" s="652"/>
      <c r="B9" s="660">
        <v>5.0</v>
      </c>
      <c r="C9" s="549" t="s">
        <v>72</v>
      </c>
      <c r="D9" s="661">
        <v>3.0983997150000002E7</v>
      </c>
      <c r="E9" s="661">
        <v>1.31638365273E9</v>
      </c>
    </row>
    <row r="10" ht="14.25" customHeight="1">
      <c r="A10" s="652"/>
      <c r="B10" s="666">
        <v>6.0</v>
      </c>
      <c r="C10" s="549" t="s">
        <v>754</v>
      </c>
      <c r="D10" s="664">
        <v>1.3117358156000001E9</v>
      </c>
      <c r="E10" s="664">
        <v>1.00416206143E9</v>
      </c>
    </row>
    <row r="11" ht="14.25" customHeight="1">
      <c r="A11" s="652"/>
      <c r="B11" s="660">
        <v>7.0</v>
      </c>
      <c r="C11" s="549" t="s">
        <v>755</v>
      </c>
      <c r="D11" s="661"/>
      <c r="E11" s="661"/>
    </row>
    <row r="12" ht="14.25" customHeight="1">
      <c r="A12" s="652"/>
      <c r="B12" s="660">
        <v>8.0</v>
      </c>
      <c r="C12" s="549" t="s">
        <v>83</v>
      </c>
      <c r="D12" s="661">
        <v>1.4527650696E8</v>
      </c>
      <c r="E12" s="661">
        <v>3.452987826E7</v>
      </c>
    </row>
    <row r="13" ht="14.25" customHeight="1">
      <c r="A13" s="652"/>
      <c r="B13" s="660">
        <v>9.0</v>
      </c>
      <c r="C13" s="549" t="s">
        <v>756</v>
      </c>
      <c r="D13" s="661">
        <v>2.7138062341E8</v>
      </c>
      <c r="E13" s="661">
        <v>1.09723686369E9</v>
      </c>
    </row>
    <row r="14" ht="14.25" customHeight="1">
      <c r="A14" s="652"/>
      <c r="B14" s="660">
        <v>10.0</v>
      </c>
      <c r="C14" s="549" t="s">
        <v>757</v>
      </c>
      <c r="D14" s="661">
        <v>3.1837914408800006E9</v>
      </c>
      <c r="E14" s="661">
        <v>1.643005243614E10</v>
      </c>
    </row>
    <row r="15" ht="14.25" customHeight="1">
      <c r="A15" s="652"/>
      <c r="B15" s="660">
        <v>11.0</v>
      </c>
      <c r="C15" s="549" t="s">
        <v>81</v>
      </c>
      <c r="D15" s="661">
        <v>2.8763528414799995E9</v>
      </c>
      <c r="E15" s="661">
        <v>3.2461272869E9</v>
      </c>
    </row>
    <row r="16" ht="14.25" customHeight="1">
      <c r="A16" s="652"/>
      <c r="B16" s="660">
        <v>12.0</v>
      </c>
      <c r="C16" s="549" t="s">
        <v>758</v>
      </c>
      <c r="D16" s="661">
        <v>7.8588720712E8</v>
      </c>
      <c r="E16" s="661">
        <v>2.35267533041E9</v>
      </c>
    </row>
    <row r="17" ht="14.25" customHeight="1">
      <c r="A17" s="652"/>
      <c r="B17" s="660">
        <v>13.0</v>
      </c>
      <c r="C17" s="549" t="s">
        <v>759</v>
      </c>
      <c r="D17" s="661">
        <v>-1.7014040403E8</v>
      </c>
      <c r="E17" s="661">
        <v>-361060.80000000005</v>
      </c>
    </row>
    <row r="18" ht="14.25" customHeight="1">
      <c r="A18" s="652"/>
      <c r="B18" s="660">
        <v>14.0</v>
      </c>
      <c r="C18" s="549" t="s">
        <v>760</v>
      </c>
      <c r="D18" s="661">
        <v>0.0</v>
      </c>
      <c r="E18" s="661">
        <v>-2.695477273E7</v>
      </c>
    </row>
    <row r="19" ht="14.25" customHeight="1">
      <c r="A19" s="652"/>
      <c r="B19" s="660" t="s">
        <v>761</v>
      </c>
      <c r="C19" s="549" t="s">
        <v>762</v>
      </c>
      <c r="D19" s="661"/>
      <c r="E19" s="661"/>
    </row>
    <row r="20" ht="14.25" customHeight="1">
      <c r="A20" s="652"/>
      <c r="B20" s="660" t="s">
        <v>763</v>
      </c>
      <c r="C20" s="549" t="s">
        <v>764</v>
      </c>
      <c r="D20" s="661">
        <v>3.0391511848400015E8</v>
      </c>
      <c r="E20" s="661">
        <v>-3.7310778512E8</v>
      </c>
    </row>
    <row r="21" ht="14.25" customHeight="1">
      <c r="A21" s="652"/>
      <c r="B21" s="660">
        <v>17.0</v>
      </c>
      <c r="C21" s="549" t="s">
        <v>765</v>
      </c>
      <c r="D21" s="661"/>
      <c r="E21" s="661"/>
    </row>
    <row r="22" ht="14.25" customHeight="1">
      <c r="A22" s="652"/>
      <c r="B22" s="662">
        <v>18.0</v>
      </c>
      <c r="C22" s="667" t="s">
        <v>164</v>
      </c>
      <c r="D22" s="663">
        <v>-4.036716445146E9</v>
      </c>
      <c r="E22" s="663">
        <v>1.7937087864700046E9</v>
      </c>
    </row>
    <row r="23" ht="14.25" customHeight="1">
      <c r="A23" s="652"/>
      <c r="B23" s="660">
        <v>19.0</v>
      </c>
      <c r="C23" s="549" t="s">
        <v>87</v>
      </c>
      <c r="D23" s="550">
        <v>-2041161.927142799</v>
      </c>
      <c r="E23" s="550">
        <v>4.5892066639E8</v>
      </c>
    </row>
    <row r="24" ht="14.25" customHeight="1">
      <c r="A24" s="652"/>
      <c r="B24" s="660">
        <v>20.0</v>
      </c>
      <c r="C24" s="667" t="s">
        <v>766</v>
      </c>
      <c r="D24" s="663">
        <v>-4.0346752832188573E9</v>
      </c>
      <c r="E24" s="663">
        <v>1.3347881200800047E9</v>
      </c>
    </row>
    <row r="25" ht="14.25" customHeight="1">
      <c r="A25" s="652"/>
      <c r="B25" s="660">
        <v>21.0</v>
      </c>
      <c r="C25" s="549" t="s">
        <v>767</v>
      </c>
      <c r="D25" s="550"/>
      <c r="E25" s="550"/>
    </row>
    <row r="26" ht="14.25" customHeight="1">
      <c r="A26" s="652"/>
      <c r="B26" s="662">
        <v>22.0</v>
      </c>
      <c r="C26" s="658" t="s">
        <v>768</v>
      </c>
      <c r="D26" s="663">
        <v>-4.0346752832188573E9</v>
      </c>
      <c r="E26" s="663">
        <v>1.3347881200800047E9</v>
      </c>
    </row>
    <row r="27" ht="14.25" customHeight="1">
      <c r="A27" s="652"/>
      <c r="B27" s="660">
        <v>23.0</v>
      </c>
      <c r="C27" s="658" t="s">
        <v>769</v>
      </c>
      <c r="D27" s="663">
        <v>4.2350213815199986E9</v>
      </c>
      <c r="E27" s="663">
        <v>1.931229307479E11</v>
      </c>
    </row>
    <row r="28" ht="14.25" customHeight="1">
      <c r="A28" s="652"/>
      <c r="B28" s="660">
        <v>23.1</v>
      </c>
      <c r="C28" s="549" t="s">
        <v>770</v>
      </c>
      <c r="D28" s="550"/>
      <c r="E28" s="550"/>
    </row>
    <row r="29" ht="14.25" customHeight="1">
      <c r="A29" s="652"/>
      <c r="B29" s="660">
        <v>23.2</v>
      </c>
      <c r="C29" s="549" t="s">
        <v>771</v>
      </c>
      <c r="D29" s="550"/>
      <c r="E29" s="550"/>
    </row>
    <row r="30" ht="14.25" customHeight="1">
      <c r="A30" s="652"/>
      <c r="B30" s="660">
        <v>23.3</v>
      </c>
      <c r="C30" s="549" t="s">
        <v>772</v>
      </c>
      <c r="D30" s="550">
        <v>4.2350213815199986E9</v>
      </c>
      <c r="E30" s="550">
        <v>1.931229307479E11</v>
      </c>
    </row>
    <row r="31" ht="14.25" customHeight="1">
      <c r="A31" s="652"/>
      <c r="B31" s="662">
        <v>24.0</v>
      </c>
      <c r="C31" s="667" t="s">
        <v>773</v>
      </c>
      <c r="D31" s="663">
        <v>2.0034609830114126E8</v>
      </c>
      <c r="E31" s="663">
        <v>1.9445771886798E11</v>
      </c>
    </row>
    <row r="32" ht="14.25" customHeight="1">
      <c r="A32" s="652"/>
      <c r="B32" s="662">
        <v>25.0</v>
      </c>
      <c r="C32" s="667" t="s">
        <v>774</v>
      </c>
      <c r="D32" s="550">
        <v>0.0</v>
      </c>
      <c r="E32" s="550">
        <v>0.0</v>
      </c>
    </row>
    <row r="33" ht="14.25" customHeight="1">
      <c r="A33" s="668"/>
      <c r="B33" s="669"/>
      <c r="C33" s="670"/>
      <c r="D33" s="671"/>
      <c r="E33" s="671"/>
    </row>
    <row r="34" ht="14.25" customHeight="1">
      <c r="A34" s="668"/>
      <c r="B34" s="336"/>
      <c r="C34" s="672"/>
      <c r="D34" s="673" t="e">
        <v>#REF!</v>
      </c>
      <c r="E34" s="673" t="e">
        <v>#REF!</v>
      </c>
    </row>
    <row r="35" ht="14.25" customHeight="1">
      <c r="A35" s="652"/>
      <c r="B35" s="336"/>
      <c r="C35" s="505"/>
      <c r="D35" s="674"/>
      <c r="E35" s="674"/>
    </row>
    <row r="36" ht="14.25" customHeight="1">
      <c r="A36" s="675"/>
      <c r="B36" s="336"/>
      <c r="C36" s="336" t="s">
        <v>731</v>
      </c>
      <c r="D36" s="676"/>
      <c r="E36" s="676" t="s">
        <v>732</v>
      </c>
    </row>
    <row r="37" ht="14.25" customHeight="1">
      <c r="A37" s="675"/>
      <c r="B37" s="336"/>
      <c r="C37" s="336"/>
      <c r="D37" s="676"/>
      <c r="E37" s="676" t="s">
        <v>733</v>
      </c>
    </row>
    <row r="38" ht="45.0" customHeight="1">
      <c r="A38" s="675"/>
      <c r="B38" s="336"/>
      <c r="C38" s="677" t="s">
        <v>775</v>
      </c>
      <c r="D38" s="336"/>
      <c r="E38" s="336" t="s">
        <v>735</v>
      </c>
    </row>
    <row r="39" ht="14.25" customHeight="1">
      <c r="A39" s="652"/>
      <c r="B39" s="336"/>
      <c r="C39" s="505"/>
      <c r="D39" s="678"/>
      <c r="E39" s="678"/>
    </row>
    <row r="40" ht="14.25" customHeight="1">
      <c r="A40" s="467"/>
      <c r="B40" s="467"/>
      <c r="C40" s="467"/>
      <c r="D40" s="467"/>
      <c r="E40" s="467"/>
    </row>
    <row r="41" ht="14.25" customHeight="1">
      <c r="A41" s="467"/>
      <c r="B41" s="467"/>
      <c r="C41" s="467"/>
      <c r="D41" s="467"/>
      <c r="E41" s="467"/>
    </row>
    <row r="42" ht="14.25" customHeight="1">
      <c r="A42" s="467"/>
      <c r="B42" s="467"/>
      <c r="C42" s="467"/>
      <c r="D42" s="467"/>
      <c r="E42" s="467"/>
    </row>
    <row r="43" ht="14.25" customHeight="1">
      <c r="A43" s="467"/>
      <c r="B43" s="467"/>
      <c r="C43" s="467"/>
      <c r="D43" s="467"/>
      <c r="E43" s="467"/>
    </row>
    <row r="44" ht="14.25" customHeight="1">
      <c r="A44" s="467"/>
      <c r="B44" s="467"/>
      <c r="C44" s="467"/>
      <c r="D44" s="467"/>
      <c r="E44" s="467"/>
    </row>
    <row r="45" ht="14.25" customHeight="1">
      <c r="A45" s="467"/>
      <c r="B45" s="467"/>
      <c r="C45" s="467"/>
      <c r="D45" s="467"/>
      <c r="E45" s="467"/>
    </row>
    <row r="46" ht="14.25" customHeight="1">
      <c r="A46" s="467"/>
      <c r="B46" s="467"/>
      <c r="C46" s="467"/>
      <c r="D46" s="467"/>
      <c r="E46" s="467"/>
    </row>
    <row r="47" ht="14.25" customHeight="1">
      <c r="A47" s="467"/>
      <c r="B47" s="467"/>
      <c r="C47" s="467"/>
      <c r="D47" s="467"/>
      <c r="E47" s="467"/>
    </row>
    <row r="48" ht="14.25" customHeight="1">
      <c r="A48" s="467"/>
      <c r="B48" s="467"/>
      <c r="C48" s="467"/>
      <c r="D48" s="467"/>
      <c r="E48" s="467"/>
    </row>
    <row r="49" ht="14.25" customHeight="1">
      <c r="A49" s="467"/>
      <c r="B49" s="467"/>
      <c r="C49" s="467"/>
      <c r="D49" s="467"/>
      <c r="E49" s="467"/>
    </row>
    <row r="50" ht="14.25" customHeight="1">
      <c r="A50" s="467"/>
      <c r="B50" s="467"/>
      <c r="C50" s="467"/>
      <c r="D50" s="467"/>
      <c r="E50" s="467"/>
    </row>
    <row r="51" ht="14.25" customHeight="1">
      <c r="A51" s="467"/>
      <c r="B51" s="467"/>
      <c r="C51" s="467"/>
      <c r="D51" s="467"/>
      <c r="E51" s="467"/>
    </row>
    <row r="52" ht="14.25" customHeight="1">
      <c r="A52" s="467"/>
      <c r="B52" s="467"/>
      <c r="C52" s="467"/>
      <c r="D52" s="467"/>
      <c r="E52" s="467"/>
    </row>
    <row r="53" ht="14.25" customHeight="1">
      <c r="A53" s="467"/>
      <c r="B53" s="467"/>
      <c r="C53" s="467"/>
      <c r="D53" s="467"/>
      <c r="E53" s="467"/>
    </row>
    <row r="54" ht="14.25" customHeight="1">
      <c r="A54" s="467"/>
      <c r="B54" s="467"/>
      <c r="C54" s="467"/>
      <c r="D54" s="467"/>
      <c r="E54" s="467"/>
    </row>
    <row r="55" ht="14.25" customHeight="1">
      <c r="A55" s="467"/>
      <c r="B55" s="467"/>
      <c r="C55" s="467"/>
      <c r="D55" s="467"/>
      <c r="E55" s="467"/>
    </row>
    <row r="56" ht="14.25" customHeight="1">
      <c r="A56" s="467"/>
      <c r="B56" s="467"/>
      <c r="C56" s="467"/>
      <c r="D56" s="467"/>
      <c r="E56" s="467"/>
    </row>
    <row r="57" ht="14.25" customHeight="1">
      <c r="A57" s="467"/>
      <c r="B57" s="467"/>
      <c r="C57" s="467"/>
      <c r="D57" s="467"/>
      <c r="E57" s="467"/>
    </row>
    <row r="58" ht="14.25" customHeight="1">
      <c r="A58" s="467"/>
      <c r="B58" s="467"/>
      <c r="C58" s="467"/>
      <c r="D58" s="467"/>
      <c r="E58" s="467"/>
    </row>
    <row r="59" ht="14.25" customHeight="1">
      <c r="A59" s="467"/>
      <c r="B59" s="467"/>
      <c r="C59" s="467"/>
      <c r="D59" s="467"/>
      <c r="E59" s="467"/>
    </row>
    <row r="60" ht="14.25" customHeight="1">
      <c r="A60" s="467"/>
      <c r="B60" s="467"/>
      <c r="C60" s="467"/>
      <c r="D60" s="467"/>
      <c r="E60" s="467"/>
    </row>
    <row r="61" ht="14.25" customHeight="1">
      <c r="A61" s="467"/>
      <c r="B61" s="467"/>
      <c r="C61" s="467"/>
      <c r="D61" s="467"/>
      <c r="E61" s="467"/>
    </row>
    <row r="62" ht="14.25" customHeight="1">
      <c r="A62" s="467"/>
      <c r="B62" s="467"/>
      <c r="C62" s="467"/>
      <c r="D62" s="467"/>
      <c r="E62" s="467"/>
    </row>
    <row r="63" ht="14.25" customHeight="1">
      <c r="A63" s="467"/>
      <c r="B63" s="467"/>
      <c r="C63" s="467"/>
      <c r="D63" s="467"/>
      <c r="E63" s="467"/>
    </row>
    <row r="64" ht="14.25" customHeight="1">
      <c r="A64" s="467"/>
      <c r="B64" s="467"/>
      <c r="C64" s="467"/>
      <c r="D64" s="467"/>
      <c r="E64" s="467"/>
    </row>
    <row r="65" ht="14.25" customHeight="1">
      <c r="A65" s="467"/>
      <c r="B65" s="467"/>
      <c r="C65" s="467"/>
      <c r="D65" s="467"/>
      <c r="E65" s="467"/>
    </row>
    <row r="66" ht="14.25" customHeight="1">
      <c r="A66" s="467"/>
      <c r="B66" s="467"/>
      <c r="C66" s="467"/>
      <c r="D66" s="467"/>
      <c r="E66" s="467"/>
    </row>
    <row r="67" ht="14.25" customHeight="1">
      <c r="A67" s="467"/>
      <c r="B67" s="467"/>
      <c r="C67" s="467"/>
      <c r="D67" s="467"/>
      <c r="E67" s="467"/>
    </row>
    <row r="68" ht="14.25" customHeight="1">
      <c r="A68" s="467"/>
      <c r="B68" s="467"/>
      <c r="C68" s="467"/>
      <c r="D68" s="467"/>
      <c r="E68" s="467"/>
    </row>
    <row r="69" ht="14.25" customHeight="1">
      <c r="A69" s="467"/>
      <c r="B69" s="467"/>
      <c r="C69" s="467"/>
      <c r="D69" s="467"/>
      <c r="E69" s="467"/>
    </row>
    <row r="70" ht="14.25" customHeight="1">
      <c r="A70" s="467"/>
      <c r="B70" s="467"/>
      <c r="C70" s="467"/>
      <c r="D70" s="467"/>
      <c r="E70" s="467"/>
    </row>
    <row r="71" ht="14.25" customHeight="1">
      <c r="A71" s="467"/>
      <c r="B71" s="467"/>
      <c r="C71" s="467"/>
      <c r="D71" s="467"/>
      <c r="E71" s="467"/>
    </row>
    <row r="72" ht="14.25" customHeight="1">
      <c r="A72" s="467"/>
      <c r="B72" s="467"/>
      <c r="C72" s="467"/>
      <c r="D72" s="467"/>
      <c r="E72" s="467"/>
    </row>
    <row r="73" ht="14.25" customHeight="1">
      <c r="A73" s="467"/>
      <c r="B73" s="467"/>
      <c r="C73" s="467"/>
      <c r="D73" s="467"/>
      <c r="E73" s="467"/>
    </row>
    <row r="74" ht="14.25" customHeight="1">
      <c r="A74" s="467"/>
      <c r="B74" s="467"/>
      <c r="C74" s="467"/>
      <c r="D74" s="467"/>
      <c r="E74" s="467"/>
    </row>
    <row r="75" ht="14.25" customHeight="1">
      <c r="A75" s="467"/>
      <c r="B75" s="467"/>
      <c r="C75" s="467"/>
      <c r="D75" s="467"/>
      <c r="E75" s="467"/>
    </row>
    <row r="76" ht="14.25" customHeight="1">
      <c r="A76" s="467"/>
      <c r="B76" s="467"/>
      <c r="C76" s="467"/>
      <c r="D76" s="467"/>
      <c r="E76" s="467"/>
    </row>
    <row r="77" ht="14.25" customHeight="1">
      <c r="A77" s="467"/>
      <c r="B77" s="467"/>
      <c r="C77" s="467"/>
      <c r="D77" s="467"/>
      <c r="E77" s="467"/>
    </row>
    <row r="78" ht="14.25" customHeight="1">
      <c r="A78" s="467"/>
      <c r="B78" s="467"/>
      <c r="C78" s="467"/>
      <c r="D78" s="467"/>
      <c r="E78" s="467"/>
    </row>
    <row r="79" ht="14.25" customHeight="1">
      <c r="A79" s="467"/>
      <c r="B79" s="467"/>
      <c r="C79" s="467"/>
      <c r="D79" s="467"/>
      <c r="E79" s="467"/>
    </row>
    <row r="80" ht="14.25" customHeight="1">
      <c r="A80" s="467"/>
      <c r="B80" s="467"/>
      <c r="C80" s="467"/>
      <c r="D80" s="467"/>
      <c r="E80" s="467"/>
    </row>
    <row r="81" ht="14.25" customHeight="1">
      <c r="A81" s="467"/>
      <c r="B81" s="467"/>
      <c r="C81" s="467"/>
      <c r="D81" s="467"/>
      <c r="E81" s="467"/>
    </row>
    <row r="82" ht="14.25" customHeight="1">
      <c r="A82" s="467"/>
      <c r="B82" s="467"/>
      <c r="C82" s="467"/>
      <c r="D82" s="467"/>
      <c r="E82" s="467"/>
    </row>
    <row r="83" ht="14.25" customHeight="1">
      <c r="A83" s="467"/>
      <c r="B83" s="467"/>
      <c r="C83" s="467"/>
      <c r="D83" s="467"/>
      <c r="E83" s="467"/>
    </row>
    <row r="84" ht="14.25" customHeight="1">
      <c r="A84" s="467"/>
      <c r="B84" s="467"/>
      <c r="C84" s="467"/>
      <c r="D84" s="467"/>
      <c r="E84" s="467"/>
    </row>
    <row r="85" ht="14.25" customHeight="1">
      <c r="A85" s="467"/>
      <c r="B85" s="467"/>
      <c r="C85" s="467"/>
      <c r="D85" s="467"/>
      <c r="E85" s="467"/>
    </row>
    <row r="86" ht="14.25" customHeight="1">
      <c r="A86" s="467"/>
      <c r="B86" s="467"/>
      <c r="C86" s="467"/>
      <c r="D86" s="467"/>
      <c r="E86" s="467"/>
    </row>
    <row r="87" ht="14.25" customHeight="1">
      <c r="A87" s="467"/>
      <c r="B87" s="467"/>
      <c r="C87" s="467"/>
      <c r="D87" s="467"/>
      <c r="E87" s="467"/>
    </row>
    <row r="88" ht="14.25" customHeight="1">
      <c r="A88" s="467"/>
      <c r="B88" s="467"/>
      <c r="C88" s="467"/>
      <c r="D88" s="467"/>
      <c r="E88" s="467"/>
    </row>
    <row r="89" ht="14.25" customHeight="1">
      <c r="A89" s="467"/>
      <c r="B89" s="467"/>
      <c r="C89" s="467"/>
      <c r="D89" s="467"/>
      <c r="E89" s="467"/>
    </row>
    <row r="90" ht="14.25" customHeight="1">
      <c r="A90" s="467"/>
      <c r="B90" s="467"/>
      <c r="C90" s="467"/>
      <c r="D90" s="467"/>
      <c r="E90" s="467"/>
    </row>
    <row r="91" ht="14.25" customHeight="1">
      <c r="A91" s="467"/>
      <c r="B91" s="467"/>
      <c r="C91" s="467"/>
      <c r="D91" s="467"/>
      <c r="E91" s="467"/>
    </row>
    <row r="92" ht="14.25" customHeight="1">
      <c r="A92" s="467"/>
      <c r="B92" s="467"/>
      <c r="C92" s="467"/>
      <c r="D92" s="467"/>
      <c r="E92" s="467"/>
    </row>
    <row r="93" ht="14.25" customHeight="1">
      <c r="A93" s="467"/>
      <c r="B93" s="467"/>
      <c r="C93" s="467"/>
      <c r="D93" s="467"/>
      <c r="E93" s="467"/>
    </row>
    <row r="94" ht="14.25" customHeight="1">
      <c r="A94" s="467"/>
      <c r="B94" s="467"/>
      <c r="C94" s="467"/>
      <c r="D94" s="467"/>
      <c r="E94" s="467"/>
    </row>
    <row r="95" ht="14.25" customHeight="1">
      <c r="A95" s="467"/>
      <c r="B95" s="467"/>
      <c r="C95" s="467"/>
      <c r="D95" s="467"/>
      <c r="E95" s="467"/>
    </row>
    <row r="96" ht="14.25" customHeight="1">
      <c r="A96" s="467"/>
      <c r="B96" s="467"/>
      <c r="C96" s="467"/>
      <c r="D96" s="467"/>
      <c r="E96" s="467"/>
    </row>
    <row r="97" ht="14.25" customHeight="1">
      <c r="A97" s="467"/>
      <c r="B97" s="467"/>
      <c r="C97" s="467"/>
      <c r="D97" s="467"/>
      <c r="E97" s="467"/>
    </row>
    <row r="98" ht="14.25" customHeight="1">
      <c r="A98" s="467"/>
      <c r="B98" s="467"/>
      <c r="C98" s="467"/>
      <c r="D98" s="467"/>
      <c r="E98" s="467"/>
    </row>
    <row r="99" ht="14.25" customHeight="1">
      <c r="A99" s="467"/>
      <c r="B99" s="467"/>
      <c r="C99" s="467"/>
      <c r="D99" s="467"/>
      <c r="E99" s="467"/>
    </row>
    <row r="100" ht="14.25" customHeight="1">
      <c r="A100" s="467"/>
      <c r="B100" s="467"/>
      <c r="C100" s="467"/>
      <c r="D100" s="467"/>
      <c r="E100" s="467"/>
    </row>
    <row r="101" ht="14.25" customHeight="1">
      <c r="A101" s="467"/>
      <c r="B101" s="467"/>
      <c r="C101" s="467"/>
      <c r="D101" s="467"/>
      <c r="E101" s="467"/>
    </row>
    <row r="102" ht="14.25" customHeight="1">
      <c r="A102" s="467"/>
      <c r="B102" s="467"/>
      <c r="C102" s="467"/>
      <c r="D102" s="467"/>
      <c r="E102" s="467"/>
    </row>
    <row r="103" ht="14.25" customHeight="1">
      <c r="A103" s="467"/>
      <c r="B103" s="467"/>
      <c r="C103" s="467"/>
      <c r="D103" s="467"/>
      <c r="E103" s="467"/>
    </row>
    <row r="104" ht="14.25" customHeight="1">
      <c r="A104" s="467"/>
      <c r="B104" s="467"/>
      <c r="C104" s="467"/>
      <c r="D104" s="467"/>
      <c r="E104" s="467"/>
    </row>
    <row r="105" ht="14.25" customHeight="1">
      <c r="A105" s="467"/>
      <c r="B105" s="467"/>
      <c r="C105" s="467"/>
      <c r="D105" s="467"/>
      <c r="E105" s="467"/>
    </row>
    <row r="106" ht="14.25" customHeight="1">
      <c r="A106" s="467"/>
      <c r="B106" s="467"/>
      <c r="C106" s="467"/>
      <c r="D106" s="467"/>
      <c r="E106" s="467"/>
    </row>
    <row r="107" ht="14.25" customHeight="1">
      <c r="A107" s="467"/>
      <c r="B107" s="467"/>
      <c r="C107" s="467"/>
      <c r="D107" s="467"/>
      <c r="E107" s="467"/>
    </row>
    <row r="108" ht="14.25" customHeight="1">
      <c r="A108" s="467"/>
      <c r="B108" s="467"/>
      <c r="C108" s="467"/>
      <c r="D108" s="467"/>
      <c r="E108" s="467"/>
    </row>
    <row r="109" ht="14.25" customHeight="1">
      <c r="A109" s="467"/>
      <c r="B109" s="467"/>
      <c r="C109" s="467"/>
      <c r="D109" s="467"/>
      <c r="E109" s="467"/>
    </row>
    <row r="110" ht="14.25" customHeight="1">
      <c r="A110" s="467"/>
      <c r="B110" s="467"/>
      <c r="C110" s="467"/>
      <c r="D110" s="467"/>
      <c r="E110" s="467"/>
    </row>
    <row r="111" ht="14.25" customHeight="1">
      <c r="A111" s="467"/>
      <c r="B111" s="467"/>
      <c r="C111" s="467"/>
      <c r="D111" s="467"/>
      <c r="E111" s="467"/>
    </row>
    <row r="112" ht="14.25" customHeight="1">
      <c r="A112" s="467"/>
      <c r="B112" s="467"/>
      <c r="C112" s="467"/>
      <c r="D112" s="467"/>
      <c r="E112" s="467"/>
    </row>
    <row r="113" ht="14.25" customHeight="1">
      <c r="A113" s="467"/>
      <c r="B113" s="467"/>
      <c r="C113" s="467"/>
      <c r="D113" s="467"/>
      <c r="E113" s="467"/>
    </row>
    <row r="114" ht="14.25" customHeight="1">
      <c r="A114" s="467"/>
      <c r="B114" s="467"/>
      <c r="C114" s="467"/>
      <c r="D114" s="467"/>
      <c r="E114" s="467"/>
    </row>
    <row r="115" ht="14.25" customHeight="1">
      <c r="A115" s="467"/>
      <c r="B115" s="467"/>
      <c r="C115" s="467"/>
      <c r="D115" s="467"/>
      <c r="E115" s="467"/>
    </row>
    <row r="116" ht="14.25" customHeight="1">
      <c r="A116" s="467"/>
      <c r="B116" s="467"/>
      <c r="C116" s="467"/>
      <c r="D116" s="467"/>
      <c r="E116" s="467"/>
    </row>
    <row r="117" ht="14.25" customHeight="1">
      <c r="A117" s="467"/>
      <c r="B117" s="467"/>
      <c r="C117" s="467"/>
      <c r="D117" s="467"/>
      <c r="E117" s="467"/>
    </row>
    <row r="118" ht="14.25" customHeight="1">
      <c r="A118" s="467"/>
      <c r="B118" s="467"/>
      <c r="C118" s="467"/>
      <c r="D118" s="467"/>
      <c r="E118" s="467"/>
    </row>
    <row r="119" ht="14.25" customHeight="1">
      <c r="A119" s="467"/>
      <c r="B119" s="467"/>
      <c r="C119" s="467"/>
      <c r="D119" s="467"/>
      <c r="E119" s="467"/>
    </row>
    <row r="120" ht="14.25" customHeight="1">
      <c r="A120" s="467"/>
      <c r="B120" s="467"/>
      <c r="C120" s="467"/>
      <c r="D120" s="467"/>
      <c r="E120" s="467"/>
    </row>
    <row r="121" ht="14.25" customHeight="1">
      <c r="A121" s="467"/>
      <c r="B121" s="467"/>
      <c r="C121" s="467"/>
      <c r="D121" s="467"/>
      <c r="E121" s="467"/>
    </row>
    <row r="122" ht="14.25" customHeight="1">
      <c r="A122" s="467"/>
      <c r="B122" s="467"/>
      <c r="C122" s="467"/>
      <c r="D122" s="467"/>
      <c r="E122" s="467"/>
    </row>
    <row r="123" ht="14.25" customHeight="1">
      <c r="A123" s="467"/>
      <c r="B123" s="467"/>
      <c r="C123" s="467"/>
      <c r="D123" s="467"/>
      <c r="E123" s="467"/>
    </row>
    <row r="124" ht="14.25" customHeight="1">
      <c r="A124" s="467"/>
      <c r="B124" s="467"/>
      <c r="C124" s="467"/>
      <c r="D124" s="467"/>
      <c r="E124" s="467"/>
    </row>
    <row r="125" ht="14.25" customHeight="1">
      <c r="A125" s="467"/>
      <c r="B125" s="467"/>
      <c r="C125" s="467"/>
      <c r="D125" s="467"/>
      <c r="E125" s="467"/>
    </row>
    <row r="126" ht="14.25" customHeight="1">
      <c r="A126" s="467"/>
      <c r="B126" s="467"/>
      <c r="C126" s="467"/>
      <c r="D126" s="467"/>
      <c r="E126" s="467"/>
    </row>
    <row r="127" ht="14.25" customHeight="1">
      <c r="A127" s="467"/>
      <c r="B127" s="467"/>
      <c r="C127" s="467"/>
      <c r="D127" s="467"/>
      <c r="E127" s="467"/>
    </row>
    <row r="128" ht="14.25" customHeight="1">
      <c r="A128" s="467"/>
      <c r="B128" s="467"/>
      <c r="C128" s="467"/>
      <c r="D128" s="467"/>
      <c r="E128" s="467"/>
    </row>
    <row r="129" ht="14.25" customHeight="1">
      <c r="A129" s="467"/>
      <c r="B129" s="467"/>
      <c r="C129" s="467"/>
      <c r="D129" s="467"/>
      <c r="E129" s="467"/>
    </row>
    <row r="130" ht="14.25" customHeight="1">
      <c r="A130" s="467"/>
      <c r="B130" s="467"/>
      <c r="C130" s="467"/>
      <c r="D130" s="467"/>
      <c r="E130" s="467"/>
    </row>
    <row r="131" ht="14.25" customHeight="1">
      <c r="A131" s="467"/>
      <c r="B131" s="467"/>
      <c r="C131" s="467"/>
      <c r="D131" s="467"/>
      <c r="E131" s="467"/>
    </row>
    <row r="132" ht="14.25" customHeight="1">
      <c r="A132" s="467"/>
      <c r="B132" s="467"/>
      <c r="C132" s="467"/>
      <c r="D132" s="467"/>
      <c r="E132" s="467"/>
    </row>
    <row r="133" ht="14.25" customHeight="1">
      <c r="A133" s="467"/>
      <c r="B133" s="467"/>
      <c r="C133" s="467"/>
      <c r="D133" s="467"/>
      <c r="E133" s="467"/>
    </row>
    <row r="134" ht="14.25" customHeight="1">
      <c r="A134" s="467"/>
      <c r="B134" s="467"/>
      <c r="C134" s="467"/>
      <c r="D134" s="467"/>
      <c r="E134" s="467"/>
    </row>
    <row r="135" ht="14.25" customHeight="1">
      <c r="A135" s="467"/>
      <c r="B135" s="467"/>
      <c r="C135" s="467"/>
      <c r="D135" s="467"/>
      <c r="E135" s="467"/>
    </row>
    <row r="136" ht="14.25" customHeight="1">
      <c r="A136" s="467"/>
      <c r="B136" s="467"/>
      <c r="C136" s="467"/>
      <c r="D136" s="467"/>
      <c r="E136" s="467"/>
    </row>
    <row r="137" ht="14.25" customHeight="1">
      <c r="A137" s="467"/>
      <c r="B137" s="467"/>
      <c r="C137" s="467"/>
      <c r="D137" s="467"/>
      <c r="E137" s="467"/>
    </row>
    <row r="138" ht="14.25" customHeight="1">
      <c r="A138" s="467"/>
      <c r="B138" s="467"/>
      <c r="C138" s="467"/>
      <c r="D138" s="467"/>
      <c r="E138" s="467"/>
    </row>
    <row r="139" ht="14.25" customHeight="1">
      <c r="A139" s="467"/>
      <c r="B139" s="467"/>
      <c r="C139" s="467"/>
      <c r="D139" s="467"/>
      <c r="E139" s="467"/>
    </row>
    <row r="140" ht="14.25" customHeight="1">
      <c r="A140" s="467"/>
      <c r="B140" s="467"/>
      <c r="C140" s="467"/>
      <c r="D140" s="467"/>
      <c r="E140" s="467"/>
    </row>
    <row r="141" ht="14.25" customHeight="1">
      <c r="A141" s="467"/>
      <c r="B141" s="467"/>
      <c r="C141" s="467"/>
      <c r="D141" s="467"/>
      <c r="E141" s="467"/>
    </row>
    <row r="142" ht="14.25" customHeight="1">
      <c r="A142" s="467"/>
      <c r="B142" s="467"/>
      <c r="C142" s="467"/>
      <c r="D142" s="467"/>
      <c r="E142" s="467"/>
    </row>
    <row r="143" ht="14.25" customHeight="1">
      <c r="A143" s="467"/>
      <c r="B143" s="467"/>
      <c r="C143" s="467"/>
      <c r="D143" s="467"/>
      <c r="E143" s="467"/>
    </row>
    <row r="144" ht="14.25" customHeight="1">
      <c r="A144" s="467"/>
      <c r="B144" s="467"/>
      <c r="C144" s="467"/>
      <c r="D144" s="467"/>
      <c r="E144" s="467"/>
    </row>
    <row r="145" ht="14.25" customHeight="1">
      <c r="A145" s="467"/>
      <c r="B145" s="467"/>
      <c r="C145" s="467"/>
      <c r="D145" s="467"/>
      <c r="E145" s="467"/>
    </row>
    <row r="146" ht="14.25" customHeight="1">
      <c r="A146" s="467"/>
      <c r="B146" s="467"/>
      <c r="C146" s="467"/>
      <c r="D146" s="467"/>
      <c r="E146" s="467"/>
    </row>
    <row r="147" ht="14.25" customHeight="1">
      <c r="A147" s="467"/>
      <c r="B147" s="467"/>
      <c r="C147" s="467"/>
      <c r="D147" s="467"/>
      <c r="E147" s="467"/>
    </row>
    <row r="148" ht="14.25" customHeight="1">
      <c r="A148" s="467"/>
      <c r="B148" s="467"/>
      <c r="C148" s="467"/>
      <c r="D148" s="467"/>
      <c r="E148" s="467"/>
    </row>
    <row r="149" ht="14.25" customHeight="1">
      <c r="A149" s="467"/>
      <c r="B149" s="467"/>
      <c r="C149" s="467"/>
      <c r="D149" s="467"/>
      <c r="E149" s="467"/>
    </row>
    <row r="150" ht="14.25" customHeight="1">
      <c r="A150" s="467"/>
      <c r="B150" s="467"/>
      <c r="C150" s="467"/>
      <c r="D150" s="467"/>
      <c r="E150" s="467"/>
    </row>
    <row r="151" ht="14.25" customHeight="1">
      <c r="A151" s="467"/>
      <c r="B151" s="467"/>
      <c r="C151" s="467"/>
      <c r="D151" s="467"/>
      <c r="E151" s="467"/>
    </row>
    <row r="152" ht="14.25" customHeight="1">
      <c r="A152" s="467"/>
      <c r="B152" s="467"/>
      <c r="C152" s="467"/>
      <c r="D152" s="467"/>
      <c r="E152" s="467"/>
    </row>
    <row r="153" ht="14.25" customHeight="1">
      <c r="A153" s="467"/>
      <c r="B153" s="467"/>
      <c r="C153" s="467"/>
      <c r="D153" s="467"/>
      <c r="E153" s="467"/>
    </row>
    <row r="154" ht="14.25" customHeight="1">
      <c r="A154" s="467"/>
      <c r="B154" s="467"/>
      <c r="C154" s="467"/>
      <c r="D154" s="467"/>
      <c r="E154" s="467"/>
    </row>
    <row r="155" ht="14.25" customHeight="1">
      <c r="A155" s="467"/>
      <c r="B155" s="467"/>
      <c r="C155" s="467"/>
      <c r="D155" s="467"/>
      <c r="E155" s="467"/>
    </row>
    <row r="156" ht="14.25" customHeight="1">
      <c r="A156" s="467"/>
      <c r="B156" s="467"/>
      <c r="C156" s="467"/>
      <c r="D156" s="467"/>
      <c r="E156" s="467"/>
    </row>
    <row r="157" ht="14.25" customHeight="1">
      <c r="A157" s="467"/>
      <c r="B157" s="467"/>
      <c r="C157" s="467"/>
      <c r="D157" s="467"/>
      <c r="E157" s="467"/>
    </row>
    <row r="158" ht="14.25" customHeight="1">
      <c r="A158" s="467"/>
      <c r="B158" s="467"/>
      <c r="C158" s="467"/>
      <c r="D158" s="467"/>
      <c r="E158" s="467"/>
    </row>
    <row r="159" ht="14.25" customHeight="1">
      <c r="A159" s="467"/>
      <c r="B159" s="467"/>
      <c r="C159" s="467"/>
      <c r="D159" s="467"/>
      <c r="E159" s="467"/>
    </row>
    <row r="160" ht="14.25" customHeight="1">
      <c r="A160" s="467"/>
      <c r="B160" s="467"/>
      <c r="C160" s="467"/>
      <c r="D160" s="467"/>
      <c r="E160" s="467"/>
    </row>
    <row r="161" ht="14.25" customHeight="1">
      <c r="A161" s="467"/>
      <c r="B161" s="467"/>
      <c r="C161" s="467"/>
      <c r="D161" s="467"/>
      <c r="E161" s="467"/>
    </row>
    <row r="162" ht="14.25" customHeight="1">
      <c r="A162" s="467"/>
      <c r="B162" s="467"/>
      <c r="C162" s="467"/>
      <c r="D162" s="467"/>
      <c r="E162" s="467"/>
    </row>
    <row r="163" ht="14.25" customHeight="1">
      <c r="A163" s="467"/>
      <c r="B163" s="467"/>
      <c r="C163" s="467"/>
      <c r="D163" s="467"/>
      <c r="E163" s="467"/>
    </row>
    <row r="164" ht="14.25" customHeight="1">
      <c r="A164" s="467"/>
      <c r="B164" s="467"/>
      <c r="C164" s="467"/>
      <c r="D164" s="467"/>
      <c r="E164" s="467"/>
    </row>
    <row r="165" ht="14.25" customHeight="1">
      <c r="A165" s="467"/>
      <c r="B165" s="467"/>
      <c r="C165" s="467"/>
      <c r="D165" s="467"/>
      <c r="E165" s="467"/>
    </row>
    <row r="166" ht="14.25" customHeight="1">
      <c r="A166" s="467"/>
      <c r="B166" s="467"/>
      <c r="C166" s="467"/>
      <c r="D166" s="467"/>
      <c r="E166" s="467"/>
    </row>
    <row r="167" ht="14.25" customHeight="1">
      <c r="A167" s="467"/>
      <c r="B167" s="467"/>
      <c r="C167" s="467"/>
      <c r="D167" s="467"/>
      <c r="E167" s="467"/>
    </row>
    <row r="168" ht="14.25" customHeight="1">
      <c r="A168" s="467"/>
      <c r="B168" s="467"/>
      <c r="C168" s="467"/>
      <c r="D168" s="467"/>
      <c r="E168" s="467"/>
    </row>
    <row r="169" ht="14.25" customHeight="1">
      <c r="A169" s="467"/>
      <c r="B169" s="467"/>
      <c r="C169" s="467"/>
      <c r="D169" s="467"/>
      <c r="E169" s="467"/>
    </row>
    <row r="170" ht="14.25" customHeight="1">
      <c r="A170" s="467"/>
      <c r="B170" s="467"/>
      <c r="C170" s="467"/>
      <c r="D170" s="467"/>
      <c r="E170" s="467"/>
    </row>
    <row r="171" ht="14.25" customHeight="1">
      <c r="A171" s="467"/>
      <c r="B171" s="467"/>
      <c r="C171" s="467"/>
      <c r="D171" s="467"/>
      <c r="E171" s="467"/>
    </row>
    <row r="172" ht="14.25" customHeight="1">
      <c r="A172" s="467"/>
      <c r="B172" s="467"/>
      <c r="C172" s="467"/>
      <c r="D172" s="467"/>
      <c r="E172" s="467"/>
    </row>
    <row r="173" ht="14.25" customHeight="1">
      <c r="A173" s="467"/>
      <c r="B173" s="467"/>
      <c r="C173" s="467"/>
      <c r="D173" s="467"/>
      <c r="E173" s="467"/>
    </row>
    <row r="174" ht="14.25" customHeight="1">
      <c r="A174" s="467"/>
      <c r="B174" s="467"/>
      <c r="C174" s="467"/>
      <c r="D174" s="467"/>
      <c r="E174" s="467"/>
    </row>
    <row r="175" ht="14.25" customHeight="1">
      <c r="A175" s="467"/>
      <c r="B175" s="467"/>
      <c r="C175" s="467"/>
      <c r="D175" s="467"/>
      <c r="E175" s="467"/>
    </row>
    <row r="176" ht="14.25" customHeight="1">
      <c r="A176" s="467"/>
      <c r="B176" s="467"/>
      <c r="C176" s="467"/>
      <c r="D176" s="467"/>
      <c r="E176" s="467"/>
    </row>
    <row r="177" ht="14.25" customHeight="1">
      <c r="A177" s="467"/>
      <c r="B177" s="467"/>
      <c r="C177" s="467"/>
      <c r="D177" s="467"/>
      <c r="E177" s="467"/>
    </row>
    <row r="178" ht="14.25" customHeight="1">
      <c r="A178" s="467"/>
      <c r="B178" s="467"/>
      <c r="C178" s="467"/>
      <c r="D178" s="467"/>
      <c r="E178" s="467"/>
    </row>
    <row r="179" ht="14.25" customHeight="1">
      <c r="A179" s="467"/>
      <c r="B179" s="467"/>
      <c r="C179" s="467"/>
      <c r="D179" s="467"/>
      <c r="E179" s="467"/>
    </row>
    <row r="180" ht="14.25" customHeight="1">
      <c r="A180" s="467"/>
      <c r="B180" s="467"/>
      <c r="C180" s="467"/>
      <c r="D180" s="467"/>
      <c r="E180" s="467"/>
    </row>
    <row r="181" ht="14.25" customHeight="1">
      <c r="A181" s="467"/>
      <c r="B181" s="467"/>
      <c r="C181" s="467"/>
      <c r="D181" s="467"/>
      <c r="E181" s="467"/>
    </row>
    <row r="182" ht="14.25" customHeight="1">
      <c r="A182" s="467"/>
      <c r="B182" s="467"/>
      <c r="C182" s="467"/>
      <c r="D182" s="467"/>
      <c r="E182" s="467"/>
    </row>
    <row r="183" ht="14.25" customHeight="1">
      <c r="A183" s="467"/>
      <c r="B183" s="467"/>
      <c r="C183" s="467"/>
      <c r="D183" s="467"/>
      <c r="E183" s="467"/>
    </row>
    <row r="184" ht="14.25" customHeight="1">
      <c r="A184" s="467"/>
      <c r="B184" s="467"/>
      <c r="C184" s="467"/>
      <c r="D184" s="467"/>
      <c r="E184" s="467"/>
    </row>
    <row r="185" ht="14.25" customHeight="1">
      <c r="A185" s="467"/>
      <c r="B185" s="467"/>
      <c r="C185" s="467"/>
      <c r="D185" s="467"/>
      <c r="E185" s="467"/>
    </row>
    <row r="186" ht="14.25" customHeight="1">
      <c r="A186" s="467"/>
      <c r="B186" s="467"/>
      <c r="C186" s="467"/>
      <c r="D186" s="467"/>
      <c r="E186" s="467"/>
    </row>
    <row r="187" ht="14.25" customHeight="1">
      <c r="A187" s="467"/>
      <c r="B187" s="467"/>
      <c r="C187" s="467"/>
      <c r="D187" s="467"/>
      <c r="E187" s="467"/>
    </row>
    <row r="188" ht="14.25" customHeight="1">
      <c r="A188" s="467"/>
      <c r="B188" s="467"/>
      <c r="C188" s="467"/>
      <c r="D188" s="467"/>
      <c r="E188" s="467"/>
    </row>
    <row r="189" ht="14.25" customHeight="1">
      <c r="A189" s="467"/>
      <c r="B189" s="467"/>
      <c r="C189" s="467"/>
      <c r="D189" s="467"/>
      <c r="E189" s="467"/>
    </row>
    <row r="190" ht="14.25" customHeight="1">
      <c r="A190" s="467"/>
      <c r="B190" s="467"/>
      <c r="C190" s="467"/>
      <c r="D190" s="467"/>
      <c r="E190" s="467"/>
    </row>
    <row r="191" ht="14.25" customHeight="1">
      <c r="A191" s="467"/>
      <c r="B191" s="467"/>
      <c r="C191" s="467"/>
      <c r="D191" s="467"/>
      <c r="E191" s="467"/>
    </row>
    <row r="192" ht="14.25" customHeight="1">
      <c r="A192" s="467"/>
      <c r="B192" s="467"/>
      <c r="C192" s="467"/>
      <c r="D192" s="467"/>
      <c r="E192" s="467"/>
    </row>
    <row r="193" ht="14.25" customHeight="1">
      <c r="A193" s="467"/>
      <c r="B193" s="467"/>
      <c r="C193" s="467"/>
      <c r="D193" s="467"/>
      <c r="E193" s="467"/>
    </row>
    <row r="194" ht="14.25" customHeight="1">
      <c r="A194" s="467"/>
      <c r="B194" s="467"/>
      <c r="C194" s="467"/>
      <c r="D194" s="467"/>
      <c r="E194" s="467"/>
    </row>
    <row r="195" ht="14.25" customHeight="1">
      <c r="A195" s="467"/>
      <c r="B195" s="467"/>
      <c r="C195" s="467"/>
      <c r="D195" s="467"/>
      <c r="E195" s="467"/>
    </row>
    <row r="196" ht="14.25" customHeight="1">
      <c r="A196" s="467"/>
      <c r="B196" s="467"/>
      <c r="C196" s="467"/>
      <c r="D196" s="467"/>
      <c r="E196" s="467"/>
    </row>
    <row r="197" ht="14.25" customHeight="1">
      <c r="A197" s="467"/>
      <c r="B197" s="467"/>
      <c r="C197" s="467"/>
      <c r="D197" s="467"/>
      <c r="E197" s="467"/>
    </row>
    <row r="198" ht="14.25" customHeight="1">
      <c r="A198" s="467"/>
      <c r="B198" s="467"/>
      <c r="C198" s="467"/>
      <c r="D198" s="467"/>
      <c r="E198" s="467"/>
    </row>
    <row r="199" ht="14.25" customHeight="1">
      <c r="A199" s="467"/>
      <c r="B199" s="467"/>
      <c r="C199" s="467"/>
      <c r="D199" s="467"/>
      <c r="E199" s="467"/>
    </row>
    <row r="200" ht="14.25" customHeight="1">
      <c r="A200" s="467"/>
      <c r="B200" s="467"/>
      <c r="C200" s="467"/>
      <c r="D200" s="467"/>
      <c r="E200" s="467"/>
    </row>
    <row r="201" ht="14.25" customHeight="1">
      <c r="A201" s="467"/>
      <c r="B201" s="467"/>
      <c r="C201" s="467"/>
      <c r="D201" s="467"/>
      <c r="E201" s="467"/>
    </row>
    <row r="202" ht="14.25" customHeight="1">
      <c r="A202" s="467"/>
      <c r="B202" s="467"/>
      <c r="C202" s="467"/>
      <c r="D202" s="467"/>
      <c r="E202" s="467"/>
    </row>
    <row r="203" ht="14.25" customHeight="1">
      <c r="A203" s="467"/>
      <c r="B203" s="467"/>
      <c r="C203" s="467"/>
      <c r="D203" s="467"/>
      <c r="E203" s="467"/>
    </row>
    <row r="204" ht="14.25" customHeight="1">
      <c r="A204" s="467"/>
      <c r="B204" s="467"/>
      <c r="C204" s="467"/>
      <c r="D204" s="467"/>
      <c r="E204" s="467"/>
    </row>
    <row r="205" ht="14.25" customHeight="1">
      <c r="A205" s="467"/>
      <c r="B205" s="467"/>
      <c r="C205" s="467"/>
      <c r="D205" s="467"/>
      <c r="E205" s="467"/>
    </row>
    <row r="206" ht="14.25" customHeight="1">
      <c r="A206" s="467"/>
      <c r="B206" s="467"/>
      <c r="C206" s="467"/>
      <c r="D206" s="467"/>
      <c r="E206" s="467"/>
    </row>
    <row r="207" ht="14.25" customHeight="1">
      <c r="A207" s="467"/>
      <c r="B207" s="467"/>
      <c r="C207" s="467"/>
      <c r="D207" s="467"/>
      <c r="E207" s="467"/>
    </row>
    <row r="208" ht="14.25" customHeight="1">
      <c r="A208" s="467"/>
      <c r="B208" s="467"/>
      <c r="C208" s="467"/>
      <c r="D208" s="467"/>
      <c r="E208" s="467"/>
    </row>
    <row r="209" ht="14.25" customHeight="1">
      <c r="A209" s="467"/>
      <c r="B209" s="467"/>
      <c r="C209" s="467"/>
      <c r="D209" s="467"/>
      <c r="E209" s="467"/>
    </row>
    <row r="210" ht="14.25" customHeight="1">
      <c r="A210" s="467"/>
      <c r="B210" s="467"/>
      <c r="C210" s="467"/>
      <c r="D210" s="467"/>
      <c r="E210" s="467"/>
    </row>
    <row r="211" ht="14.25" customHeight="1">
      <c r="A211" s="467"/>
      <c r="B211" s="467"/>
      <c r="C211" s="467"/>
      <c r="D211" s="467"/>
      <c r="E211" s="467"/>
    </row>
    <row r="212" ht="14.25" customHeight="1">
      <c r="A212" s="467"/>
      <c r="B212" s="467"/>
      <c r="C212" s="467"/>
      <c r="D212" s="467"/>
      <c r="E212" s="467"/>
    </row>
    <row r="213" ht="14.25" customHeight="1">
      <c r="A213" s="467"/>
      <c r="B213" s="467"/>
      <c r="C213" s="467"/>
      <c r="D213" s="467"/>
      <c r="E213" s="467"/>
    </row>
    <row r="214" ht="14.25" customHeight="1">
      <c r="A214" s="467"/>
      <c r="B214" s="467"/>
      <c r="C214" s="467"/>
      <c r="D214" s="467"/>
      <c r="E214" s="467"/>
    </row>
    <row r="215" ht="14.25" customHeight="1">
      <c r="A215" s="467"/>
      <c r="B215" s="467"/>
      <c r="C215" s="467"/>
      <c r="D215" s="467"/>
      <c r="E215" s="467"/>
    </row>
    <row r="216" ht="14.25" customHeight="1">
      <c r="A216" s="467"/>
      <c r="B216" s="467"/>
      <c r="C216" s="467"/>
      <c r="D216" s="467"/>
      <c r="E216" s="467"/>
    </row>
    <row r="217" ht="14.25" customHeight="1">
      <c r="A217" s="467"/>
      <c r="B217" s="467"/>
      <c r="C217" s="467"/>
      <c r="D217" s="467"/>
      <c r="E217" s="467"/>
    </row>
    <row r="218" ht="14.25" customHeight="1">
      <c r="A218" s="467"/>
      <c r="B218" s="467"/>
      <c r="C218" s="467"/>
      <c r="D218" s="467"/>
      <c r="E218" s="467"/>
    </row>
    <row r="219" ht="14.25" customHeight="1">
      <c r="A219" s="467"/>
      <c r="B219" s="467"/>
      <c r="C219" s="467"/>
      <c r="D219" s="467"/>
      <c r="E219" s="467"/>
    </row>
    <row r="220" ht="14.25" customHeight="1">
      <c r="A220" s="467"/>
      <c r="B220" s="467"/>
      <c r="C220" s="467"/>
      <c r="D220" s="467"/>
      <c r="E220" s="467"/>
    </row>
    <row r="221" ht="14.25" customHeight="1">
      <c r="A221" s="467"/>
      <c r="B221" s="467"/>
      <c r="C221" s="467"/>
      <c r="D221" s="467"/>
      <c r="E221" s="467"/>
    </row>
    <row r="222" ht="14.25" customHeight="1">
      <c r="A222" s="467"/>
      <c r="B222" s="467"/>
      <c r="C222" s="467"/>
      <c r="D222" s="467"/>
      <c r="E222" s="467"/>
    </row>
    <row r="223" ht="14.25" customHeight="1">
      <c r="A223" s="467"/>
      <c r="B223" s="467"/>
      <c r="C223" s="467"/>
      <c r="D223" s="467"/>
      <c r="E223" s="467"/>
    </row>
    <row r="224" ht="14.25" customHeight="1">
      <c r="A224" s="467"/>
      <c r="B224" s="467"/>
      <c r="C224" s="467"/>
      <c r="D224" s="467"/>
      <c r="E224" s="467"/>
    </row>
    <row r="225" ht="14.25" customHeight="1">
      <c r="A225" s="467"/>
      <c r="B225" s="467"/>
      <c r="C225" s="467"/>
      <c r="D225" s="467"/>
      <c r="E225" s="467"/>
    </row>
    <row r="226" ht="14.25" customHeight="1">
      <c r="A226" s="467"/>
      <c r="B226" s="467"/>
      <c r="C226" s="467"/>
      <c r="D226" s="467"/>
      <c r="E226" s="467"/>
    </row>
    <row r="227" ht="14.25" customHeight="1">
      <c r="A227" s="467"/>
      <c r="B227" s="467"/>
      <c r="C227" s="467"/>
      <c r="D227" s="467"/>
      <c r="E227" s="467"/>
    </row>
    <row r="228" ht="14.25" customHeight="1">
      <c r="A228" s="467"/>
      <c r="B228" s="467"/>
      <c r="C228" s="467"/>
      <c r="D228" s="467"/>
      <c r="E228" s="467"/>
    </row>
    <row r="229" ht="14.25" customHeight="1">
      <c r="A229" s="467"/>
      <c r="B229" s="467"/>
      <c r="C229" s="467"/>
      <c r="D229" s="467"/>
      <c r="E229" s="467"/>
    </row>
    <row r="230" ht="14.25" customHeight="1">
      <c r="A230" s="467"/>
      <c r="B230" s="467"/>
      <c r="C230" s="467"/>
      <c r="D230" s="467"/>
      <c r="E230" s="467"/>
    </row>
    <row r="231" ht="14.25" customHeight="1">
      <c r="A231" s="467"/>
      <c r="B231" s="467"/>
      <c r="C231" s="467"/>
      <c r="D231" s="467"/>
      <c r="E231" s="467"/>
    </row>
    <row r="232" ht="14.25" customHeight="1">
      <c r="A232" s="467"/>
      <c r="B232" s="467"/>
      <c r="C232" s="467"/>
      <c r="D232" s="467"/>
      <c r="E232" s="467"/>
    </row>
    <row r="233" ht="14.25" customHeight="1">
      <c r="A233" s="467"/>
      <c r="B233" s="467"/>
      <c r="C233" s="467"/>
      <c r="D233" s="467"/>
      <c r="E233" s="467"/>
    </row>
    <row r="234" ht="14.25" customHeight="1">
      <c r="A234" s="467"/>
      <c r="B234" s="467"/>
      <c r="C234" s="467"/>
      <c r="D234" s="467"/>
      <c r="E234" s="467"/>
    </row>
    <row r="235" ht="14.25" customHeight="1">
      <c r="A235" s="467"/>
      <c r="B235" s="467"/>
      <c r="C235" s="467"/>
      <c r="D235" s="467"/>
      <c r="E235" s="467"/>
    </row>
    <row r="236" ht="14.25" customHeight="1">
      <c r="A236" s="467"/>
      <c r="B236" s="467"/>
      <c r="C236" s="467"/>
      <c r="D236" s="467"/>
      <c r="E236" s="467"/>
    </row>
    <row r="237" ht="14.25" customHeight="1">
      <c r="A237" s="467"/>
      <c r="B237" s="467"/>
      <c r="C237" s="467"/>
      <c r="D237" s="467"/>
      <c r="E237" s="467"/>
    </row>
    <row r="238" ht="14.25" customHeight="1">
      <c r="A238" s="467"/>
      <c r="B238" s="467"/>
      <c r="C238" s="467"/>
      <c r="D238" s="467"/>
      <c r="E238" s="467"/>
    </row>
    <row r="239" ht="14.25" customHeight="1">
      <c r="A239" s="467"/>
      <c r="B239" s="467"/>
      <c r="C239" s="467"/>
      <c r="D239" s="467"/>
      <c r="E239" s="467"/>
    </row>
    <row r="240" ht="14.25" customHeight="1">
      <c r="A240" s="467"/>
      <c r="B240" s="467"/>
      <c r="C240" s="467"/>
      <c r="D240" s="467"/>
      <c r="E240" s="467"/>
    </row>
    <row r="241" ht="14.25" customHeight="1">
      <c r="A241" s="467"/>
      <c r="B241" s="467"/>
      <c r="C241" s="467"/>
      <c r="D241" s="467"/>
      <c r="E241" s="467"/>
    </row>
    <row r="242" ht="14.25" customHeight="1">
      <c r="A242" s="467"/>
      <c r="B242" s="467"/>
      <c r="C242" s="467"/>
      <c r="D242" s="467"/>
      <c r="E242" s="467"/>
    </row>
    <row r="243" ht="14.25" customHeight="1">
      <c r="A243" s="467"/>
      <c r="B243" s="467"/>
      <c r="C243" s="467"/>
      <c r="D243" s="467"/>
      <c r="E243" s="467"/>
    </row>
    <row r="244" ht="14.25" customHeight="1">
      <c r="A244" s="467"/>
      <c r="B244" s="467"/>
      <c r="C244" s="467"/>
      <c r="D244" s="467"/>
      <c r="E244" s="467"/>
    </row>
    <row r="245" ht="14.25" customHeight="1">
      <c r="A245" s="467"/>
      <c r="B245" s="467"/>
      <c r="C245" s="467"/>
      <c r="D245" s="467"/>
      <c r="E245" s="467"/>
    </row>
    <row r="246" ht="14.25" customHeight="1">
      <c r="A246" s="467"/>
      <c r="B246" s="467"/>
      <c r="C246" s="467"/>
      <c r="D246" s="467"/>
      <c r="E246" s="467"/>
    </row>
    <row r="247" ht="14.25" customHeight="1">
      <c r="A247" s="467"/>
      <c r="B247" s="467"/>
      <c r="C247" s="467"/>
      <c r="D247" s="467"/>
      <c r="E247" s="467"/>
    </row>
    <row r="248" ht="14.25" customHeight="1">
      <c r="A248" s="467"/>
      <c r="B248" s="467"/>
      <c r="C248" s="467"/>
      <c r="D248" s="467"/>
      <c r="E248" s="467"/>
    </row>
    <row r="249" ht="14.25" customHeight="1">
      <c r="A249" s="467"/>
      <c r="B249" s="467"/>
      <c r="C249" s="467"/>
      <c r="D249" s="467"/>
      <c r="E249" s="467"/>
    </row>
    <row r="250" ht="14.25" customHeight="1">
      <c r="A250" s="467"/>
      <c r="B250" s="467"/>
      <c r="C250" s="467"/>
      <c r="D250" s="467"/>
      <c r="E250" s="467"/>
    </row>
    <row r="251" ht="14.25" customHeight="1">
      <c r="A251" s="467"/>
      <c r="B251" s="467"/>
      <c r="C251" s="467"/>
      <c r="D251" s="467"/>
      <c r="E251" s="467"/>
    </row>
    <row r="252" ht="14.25" customHeight="1">
      <c r="A252" s="467"/>
      <c r="B252" s="467"/>
      <c r="C252" s="467"/>
      <c r="D252" s="467"/>
      <c r="E252" s="467"/>
    </row>
    <row r="253" ht="14.25" customHeight="1">
      <c r="A253" s="467"/>
      <c r="B253" s="467"/>
      <c r="C253" s="467"/>
      <c r="D253" s="467"/>
      <c r="E253" s="467"/>
    </row>
    <row r="254" ht="14.25" customHeight="1">
      <c r="A254" s="467"/>
      <c r="B254" s="467"/>
      <c r="C254" s="467"/>
      <c r="D254" s="467"/>
      <c r="E254" s="467"/>
    </row>
    <row r="255" ht="14.25" customHeight="1">
      <c r="A255" s="467"/>
      <c r="B255" s="467"/>
      <c r="C255" s="467"/>
      <c r="D255" s="467"/>
      <c r="E255" s="467"/>
    </row>
    <row r="256" ht="14.25" customHeight="1">
      <c r="A256" s="467"/>
      <c r="B256" s="467"/>
      <c r="C256" s="467"/>
      <c r="D256" s="467"/>
      <c r="E256" s="467"/>
    </row>
    <row r="257" ht="14.25" customHeight="1">
      <c r="A257" s="467"/>
      <c r="B257" s="467"/>
      <c r="C257" s="467"/>
      <c r="D257" s="467"/>
      <c r="E257" s="467"/>
    </row>
    <row r="258" ht="14.25" customHeight="1">
      <c r="A258" s="467"/>
      <c r="B258" s="467"/>
      <c r="C258" s="467"/>
      <c r="D258" s="467"/>
      <c r="E258" s="467"/>
    </row>
    <row r="259" ht="14.25" customHeight="1">
      <c r="A259" s="467"/>
      <c r="B259" s="467"/>
      <c r="C259" s="467"/>
      <c r="D259" s="467"/>
      <c r="E259" s="467"/>
    </row>
    <row r="260" ht="14.25" customHeight="1">
      <c r="A260" s="467"/>
      <c r="B260" s="467"/>
      <c r="C260" s="467"/>
      <c r="D260" s="467"/>
      <c r="E260" s="467"/>
    </row>
    <row r="261" ht="14.25" customHeight="1">
      <c r="A261" s="467"/>
      <c r="B261" s="467"/>
      <c r="C261" s="467"/>
      <c r="D261" s="467"/>
      <c r="E261" s="467"/>
    </row>
    <row r="262" ht="14.25" customHeight="1">
      <c r="A262" s="467"/>
      <c r="B262" s="467"/>
      <c r="C262" s="467"/>
      <c r="D262" s="467"/>
      <c r="E262" s="467"/>
    </row>
    <row r="263" ht="14.25" customHeight="1">
      <c r="A263" s="467"/>
      <c r="B263" s="467"/>
      <c r="C263" s="467"/>
      <c r="D263" s="467"/>
      <c r="E263" s="467"/>
    </row>
    <row r="264" ht="14.25" customHeight="1">
      <c r="A264" s="467"/>
      <c r="B264" s="467"/>
      <c r="C264" s="467"/>
      <c r="D264" s="467"/>
      <c r="E264" s="467"/>
    </row>
    <row r="265" ht="14.25" customHeight="1">
      <c r="A265" s="467"/>
      <c r="B265" s="467"/>
      <c r="C265" s="467"/>
      <c r="D265" s="467"/>
      <c r="E265" s="467"/>
    </row>
    <row r="266" ht="14.25" customHeight="1">
      <c r="A266" s="467"/>
      <c r="B266" s="467"/>
      <c r="C266" s="467"/>
      <c r="D266" s="467"/>
      <c r="E266" s="467"/>
    </row>
    <row r="267" ht="14.25" customHeight="1">
      <c r="A267" s="467"/>
      <c r="B267" s="467"/>
      <c r="C267" s="467"/>
      <c r="D267" s="467"/>
      <c r="E267" s="467"/>
    </row>
    <row r="268" ht="14.25" customHeight="1">
      <c r="A268" s="467"/>
      <c r="B268" s="467"/>
      <c r="C268" s="467"/>
      <c r="D268" s="467"/>
      <c r="E268" s="467"/>
    </row>
    <row r="269" ht="14.25" customHeight="1">
      <c r="A269" s="467"/>
      <c r="B269" s="467"/>
      <c r="C269" s="467"/>
      <c r="D269" s="467"/>
      <c r="E269" s="467"/>
    </row>
    <row r="270" ht="14.25" customHeight="1">
      <c r="A270" s="467"/>
      <c r="B270" s="467"/>
      <c r="C270" s="467"/>
      <c r="D270" s="467"/>
      <c r="E270" s="467"/>
    </row>
    <row r="271" ht="14.25" customHeight="1">
      <c r="A271" s="467"/>
      <c r="B271" s="467"/>
      <c r="C271" s="467"/>
      <c r="D271" s="467"/>
      <c r="E271" s="467"/>
    </row>
    <row r="272" ht="14.25" customHeight="1">
      <c r="A272" s="467"/>
      <c r="B272" s="467"/>
      <c r="C272" s="467"/>
      <c r="D272" s="467"/>
      <c r="E272" s="467"/>
    </row>
    <row r="273" ht="14.25" customHeight="1">
      <c r="A273" s="467"/>
      <c r="B273" s="467"/>
      <c r="C273" s="467"/>
      <c r="D273" s="467"/>
      <c r="E273" s="467"/>
    </row>
    <row r="274" ht="14.25" customHeight="1">
      <c r="A274" s="467"/>
      <c r="B274" s="467"/>
      <c r="C274" s="467"/>
      <c r="D274" s="467"/>
      <c r="E274" s="467"/>
    </row>
    <row r="275" ht="14.25" customHeight="1">
      <c r="A275" s="467"/>
      <c r="B275" s="467"/>
      <c r="C275" s="467"/>
      <c r="D275" s="467"/>
      <c r="E275" s="467"/>
    </row>
    <row r="276" ht="14.25" customHeight="1">
      <c r="A276" s="467"/>
      <c r="B276" s="467"/>
      <c r="C276" s="467"/>
      <c r="D276" s="467"/>
      <c r="E276" s="467"/>
    </row>
    <row r="277" ht="14.25" customHeight="1">
      <c r="A277" s="467"/>
      <c r="B277" s="467"/>
      <c r="C277" s="467"/>
      <c r="D277" s="467"/>
      <c r="E277" s="467"/>
    </row>
    <row r="278" ht="14.25" customHeight="1">
      <c r="A278" s="467"/>
      <c r="B278" s="467"/>
      <c r="C278" s="467"/>
      <c r="D278" s="467"/>
      <c r="E278" s="467"/>
    </row>
    <row r="279" ht="14.25" customHeight="1">
      <c r="A279" s="467"/>
      <c r="B279" s="467"/>
      <c r="C279" s="467"/>
      <c r="D279" s="467"/>
      <c r="E279" s="467"/>
    </row>
    <row r="280" ht="14.25" customHeight="1">
      <c r="A280" s="467"/>
      <c r="B280" s="467"/>
      <c r="C280" s="467"/>
      <c r="D280" s="467"/>
      <c r="E280" s="467"/>
    </row>
    <row r="281" ht="14.25" customHeight="1">
      <c r="A281" s="467"/>
      <c r="B281" s="467"/>
      <c r="C281" s="467"/>
      <c r="D281" s="467"/>
      <c r="E281" s="467"/>
    </row>
    <row r="282" ht="14.25" customHeight="1">
      <c r="A282" s="467"/>
      <c r="B282" s="467"/>
      <c r="C282" s="467"/>
      <c r="D282" s="467"/>
      <c r="E282" s="467"/>
    </row>
    <row r="283" ht="14.25" customHeight="1">
      <c r="A283" s="467"/>
      <c r="B283" s="467"/>
      <c r="C283" s="467"/>
      <c r="D283" s="467"/>
      <c r="E283" s="467"/>
    </row>
    <row r="284" ht="14.25" customHeight="1">
      <c r="A284" s="467"/>
      <c r="B284" s="467"/>
      <c r="C284" s="467"/>
      <c r="D284" s="467"/>
      <c r="E284" s="467"/>
    </row>
    <row r="285" ht="14.25" customHeight="1">
      <c r="A285" s="467"/>
      <c r="B285" s="467"/>
      <c r="C285" s="467"/>
      <c r="D285" s="467"/>
      <c r="E285" s="467"/>
    </row>
    <row r="286" ht="14.25" customHeight="1">
      <c r="A286" s="467"/>
      <c r="B286" s="467"/>
      <c r="C286" s="467"/>
      <c r="D286" s="467"/>
      <c r="E286" s="467"/>
    </row>
    <row r="287" ht="14.25" customHeight="1">
      <c r="A287" s="467"/>
      <c r="B287" s="467"/>
      <c r="C287" s="467"/>
      <c r="D287" s="467"/>
      <c r="E287" s="467"/>
    </row>
    <row r="288" ht="14.25" customHeight="1">
      <c r="A288" s="467"/>
      <c r="B288" s="467"/>
      <c r="C288" s="467"/>
      <c r="D288" s="467"/>
      <c r="E288" s="467"/>
    </row>
    <row r="289" ht="14.25" customHeight="1">
      <c r="A289" s="467"/>
      <c r="B289" s="467"/>
      <c r="C289" s="467"/>
      <c r="D289" s="467"/>
      <c r="E289" s="467"/>
    </row>
    <row r="290" ht="14.25" customHeight="1">
      <c r="A290" s="467"/>
      <c r="B290" s="467"/>
      <c r="C290" s="467"/>
      <c r="D290" s="467"/>
      <c r="E290" s="467"/>
    </row>
    <row r="291" ht="14.25" customHeight="1">
      <c r="A291" s="467"/>
      <c r="B291" s="467"/>
      <c r="C291" s="467"/>
      <c r="D291" s="467"/>
      <c r="E291" s="467"/>
    </row>
    <row r="292" ht="14.25" customHeight="1">
      <c r="A292" s="467"/>
      <c r="B292" s="467"/>
      <c r="C292" s="467"/>
      <c r="D292" s="467"/>
      <c r="E292" s="467"/>
    </row>
    <row r="293" ht="14.25" customHeight="1">
      <c r="A293" s="467"/>
      <c r="B293" s="467"/>
      <c r="C293" s="467"/>
      <c r="D293" s="467"/>
      <c r="E293" s="467"/>
    </row>
    <row r="294" ht="14.25" customHeight="1">
      <c r="A294" s="467"/>
      <c r="B294" s="467"/>
      <c r="C294" s="467"/>
      <c r="D294" s="467"/>
      <c r="E294" s="467"/>
    </row>
    <row r="295" ht="14.25" customHeight="1">
      <c r="A295" s="467"/>
      <c r="B295" s="467"/>
      <c r="C295" s="467"/>
      <c r="D295" s="467"/>
      <c r="E295" s="467"/>
    </row>
    <row r="296" ht="14.25" customHeight="1">
      <c r="A296" s="467"/>
      <c r="B296" s="467"/>
      <c r="C296" s="467"/>
      <c r="D296" s="467"/>
      <c r="E296" s="467"/>
    </row>
    <row r="297" ht="14.25" customHeight="1">
      <c r="A297" s="467"/>
      <c r="B297" s="467"/>
      <c r="C297" s="467"/>
      <c r="D297" s="467"/>
      <c r="E297" s="467"/>
    </row>
    <row r="298" ht="14.25" customHeight="1">
      <c r="A298" s="467"/>
      <c r="B298" s="467"/>
      <c r="C298" s="467"/>
      <c r="D298" s="467"/>
      <c r="E298" s="467"/>
    </row>
    <row r="299" ht="14.25" customHeight="1">
      <c r="A299" s="467"/>
      <c r="B299" s="467"/>
      <c r="C299" s="467"/>
      <c r="D299" s="467"/>
      <c r="E299" s="467"/>
    </row>
    <row r="300" ht="14.25" customHeight="1">
      <c r="A300" s="467"/>
      <c r="B300" s="467"/>
      <c r="C300" s="467"/>
      <c r="D300" s="467"/>
      <c r="E300" s="467"/>
    </row>
    <row r="301" ht="14.25" customHeight="1">
      <c r="A301" s="467"/>
      <c r="B301" s="467"/>
      <c r="C301" s="467"/>
      <c r="D301" s="467"/>
      <c r="E301" s="467"/>
    </row>
    <row r="302" ht="14.25" customHeight="1">
      <c r="A302" s="467"/>
      <c r="B302" s="467"/>
      <c r="C302" s="467"/>
      <c r="D302" s="467"/>
      <c r="E302" s="467"/>
    </row>
    <row r="303" ht="14.25" customHeight="1">
      <c r="A303" s="467"/>
      <c r="B303" s="467"/>
      <c r="C303" s="467"/>
      <c r="D303" s="467"/>
      <c r="E303" s="467"/>
    </row>
    <row r="304" ht="14.25" customHeight="1">
      <c r="A304" s="467"/>
      <c r="B304" s="467"/>
      <c r="C304" s="467"/>
      <c r="D304" s="467"/>
      <c r="E304" s="467"/>
    </row>
    <row r="305" ht="14.25" customHeight="1">
      <c r="A305" s="467"/>
      <c r="B305" s="467"/>
      <c r="C305" s="467"/>
      <c r="D305" s="467"/>
      <c r="E305" s="467"/>
    </row>
    <row r="306" ht="14.25" customHeight="1">
      <c r="A306" s="467"/>
      <c r="B306" s="467"/>
      <c r="C306" s="467"/>
      <c r="D306" s="467"/>
      <c r="E306" s="467"/>
    </row>
    <row r="307" ht="14.25" customHeight="1">
      <c r="A307" s="467"/>
      <c r="B307" s="467"/>
      <c r="C307" s="467"/>
      <c r="D307" s="467"/>
      <c r="E307" s="467"/>
    </row>
    <row r="308" ht="14.25" customHeight="1">
      <c r="A308" s="467"/>
      <c r="B308" s="467"/>
      <c r="C308" s="467"/>
      <c r="D308" s="467"/>
      <c r="E308" s="467"/>
    </row>
    <row r="309" ht="14.25" customHeight="1">
      <c r="A309" s="467"/>
      <c r="B309" s="467"/>
      <c r="C309" s="467"/>
      <c r="D309" s="467"/>
      <c r="E309" s="467"/>
    </row>
    <row r="310" ht="14.25" customHeight="1">
      <c r="A310" s="467"/>
      <c r="B310" s="467"/>
      <c r="C310" s="467"/>
      <c r="D310" s="467"/>
      <c r="E310" s="467"/>
    </row>
    <row r="311" ht="14.25" customHeight="1">
      <c r="A311" s="467"/>
      <c r="B311" s="467"/>
      <c r="C311" s="467"/>
      <c r="D311" s="467"/>
      <c r="E311" s="467"/>
    </row>
    <row r="312" ht="14.25" customHeight="1">
      <c r="A312" s="467"/>
      <c r="B312" s="467"/>
      <c r="C312" s="467"/>
      <c r="D312" s="467"/>
      <c r="E312" s="467"/>
    </row>
    <row r="313" ht="14.25" customHeight="1">
      <c r="A313" s="467"/>
      <c r="B313" s="467"/>
      <c r="C313" s="467"/>
      <c r="D313" s="467"/>
      <c r="E313" s="467"/>
    </row>
    <row r="314" ht="14.25" customHeight="1">
      <c r="A314" s="467"/>
      <c r="B314" s="467"/>
      <c r="C314" s="467"/>
      <c r="D314" s="467"/>
      <c r="E314" s="467"/>
    </row>
    <row r="315" ht="14.25" customHeight="1">
      <c r="A315" s="467"/>
      <c r="B315" s="467"/>
      <c r="C315" s="467"/>
      <c r="D315" s="467"/>
      <c r="E315" s="467"/>
    </row>
    <row r="316" ht="14.25" customHeight="1">
      <c r="A316" s="467"/>
      <c r="B316" s="467"/>
      <c r="C316" s="467"/>
      <c r="D316" s="467"/>
      <c r="E316" s="467"/>
    </row>
    <row r="317" ht="14.25" customHeight="1">
      <c r="A317" s="467"/>
      <c r="B317" s="467"/>
      <c r="C317" s="467"/>
      <c r="D317" s="467"/>
      <c r="E317" s="467"/>
    </row>
    <row r="318" ht="14.25" customHeight="1">
      <c r="A318" s="467"/>
      <c r="B318" s="467"/>
      <c r="C318" s="467"/>
      <c r="D318" s="467"/>
      <c r="E318" s="467"/>
    </row>
    <row r="319" ht="14.25" customHeight="1">
      <c r="A319" s="467"/>
      <c r="B319" s="467"/>
      <c r="C319" s="467"/>
      <c r="D319" s="467"/>
      <c r="E319" s="467"/>
    </row>
    <row r="320" ht="14.25" customHeight="1">
      <c r="A320" s="467"/>
      <c r="B320" s="467"/>
      <c r="C320" s="467"/>
      <c r="D320" s="467"/>
      <c r="E320" s="467"/>
    </row>
    <row r="321" ht="14.25" customHeight="1">
      <c r="A321" s="467"/>
      <c r="B321" s="467"/>
      <c r="C321" s="467"/>
      <c r="D321" s="467"/>
      <c r="E321" s="467"/>
    </row>
    <row r="322" ht="14.25" customHeight="1">
      <c r="A322" s="467"/>
      <c r="B322" s="467"/>
      <c r="C322" s="467"/>
      <c r="D322" s="467"/>
      <c r="E322" s="467"/>
    </row>
    <row r="323" ht="14.25" customHeight="1">
      <c r="A323" s="467"/>
      <c r="B323" s="467"/>
      <c r="C323" s="467"/>
      <c r="D323" s="467"/>
      <c r="E323" s="467"/>
    </row>
    <row r="324" ht="14.25" customHeight="1">
      <c r="A324" s="467"/>
      <c r="B324" s="467"/>
      <c r="C324" s="467"/>
      <c r="D324" s="467"/>
      <c r="E324" s="467"/>
    </row>
    <row r="325" ht="14.25" customHeight="1">
      <c r="A325" s="467"/>
      <c r="B325" s="467"/>
      <c r="C325" s="467"/>
      <c r="D325" s="467"/>
      <c r="E325" s="467"/>
    </row>
    <row r="326" ht="14.25" customHeight="1">
      <c r="A326" s="467"/>
      <c r="B326" s="467"/>
      <c r="C326" s="467"/>
      <c r="D326" s="467"/>
      <c r="E326" s="467"/>
    </row>
    <row r="327" ht="14.25" customHeight="1">
      <c r="A327" s="467"/>
      <c r="B327" s="467"/>
      <c r="C327" s="467"/>
      <c r="D327" s="467"/>
      <c r="E327" s="467"/>
    </row>
    <row r="328" ht="14.25" customHeight="1">
      <c r="A328" s="467"/>
      <c r="B328" s="467"/>
      <c r="C328" s="467"/>
      <c r="D328" s="467"/>
      <c r="E328" s="467"/>
    </row>
    <row r="329" ht="14.25" customHeight="1">
      <c r="A329" s="467"/>
      <c r="B329" s="467"/>
      <c r="C329" s="467"/>
      <c r="D329" s="467"/>
      <c r="E329" s="467"/>
    </row>
    <row r="330" ht="14.25" customHeight="1">
      <c r="A330" s="467"/>
      <c r="B330" s="467"/>
      <c r="C330" s="467"/>
      <c r="D330" s="467"/>
      <c r="E330" s="467"/>
    </row>
    <row r="331" ht="14.25" customHeight="1">
      <c r="A331" s="467"/>
      <c r="B331" s="467"/>
      <c r="C331" s="467"/>
      <c r="D331" s="467"/>
      <c r="E331" s="467"/>
    </row>
    <row r="332" ht="14.25" customHeight="1">
      <c r="A332" s="467"/>
      <c r="B332" s="467"/>
      <c r="C332" s="467"/>
      <c r="D332" s="467"/>
      <c r="E332" s="467"/>
    </row>
    <row r="333" ht="14.25" customHeight="1">
      <c r="A333" s="467"/>
      <c r="B333" s="467"/>
      <c r="C333" s="467"/>
      <c r="D333" s="467"/>
      <c r="E333" s="467"/>
    </row>
    <row r="334" ht="14.25" customHeight="1">
      <c r="A334" s="467"/>
      <c r="B334" s="467"/>
      <c r="C334" s="467"/>
      <c r="D334" s="467"/>
      <c r="E334" s="467"/>
    </row>
    <row r="335" ht="14.25" customHeight="1">
      <c r="A335" s="467"/>
      <c r="B335" s="467"/>
      <c r="C335" s="467"/>
      <c r="D335" s="467"/>
      <c r="E335" s="467"/>
    </row>
    <row r="336" ht="14.25" customHeight="1">
      <c r="A336" s="467"/>
      <c r="B336" s="467"/>
      <c r="C336" s="467"/>
      <c r="D336" s="467"/>
      <c r="E336" s="467"/>
    </row>
    <row r="337" ht="14.25" customHeight="1">
      <c r="A337" s="467"/>
      <c r="B337" s="467"/>
      <c r="C337" s="467"/>
      <c r="D337" s="467"/>
      <c r="E337" s="467"/>
    </row>
    <row r="338" ht="14.25" customHeight="1">
      <c r="A338" s="467"/>
      <c r="B338" s="467"/>
      <c r="C338" s="467"/>
      <c r="D338" s="467"/>
      <c r="E338" s="467"/>
    </row>
    <row r="339" ht="14.25" customHeight="1">
      <c r="A339" s="467"/>
      <c r="B339" s="467"/>
      <c r="C339" s="467"/>
      <c r="D339" s="467"/>
      <c r="E339" s="467"/>
    </row>
    <row r="340" ht="14.25" customHeight="1">
      <c r="A340" s="467"/>
      <c r="B340" s="467"/>
      <c r="C340" s="467"/>
      <c r="D340" s="467"/>
      <c r="E340" s="467"/>
    </row>
    <row r="341" ht="14.25" customHeight="1">
      <c r="A341" s="467"/>
      <c r="B341" s="467"/>
      <c r="C341" s="467"/>
      <c r="D341" s="467"/>
      <c r="E341" s="467"/>
    </row>
    <row r="342" ht="14.25" customHeight="1">
      <c r="A342" s="467"/>
      <c r="B342" s="467"/>
      <c r="C342" s="467"/>
      <c r="D342" s="467"/>
      <c r="E342" s="467"/>
    </row>
    <row r="343" ht="14.25" customHeight="1">
      <c r="A343" s="467"/>
      <c r="B343" s="467"/>
      <c r="C343" s="467"/>
      <c r="D343" s="467"/>
      <c r="E343" s="467"/>
    </row>
    <row r="344" ht="14.25" customHeight="1">
      <c r="A344" s="467"/>
      <c r="B344" s="467"/>
      <c r="C344" s="467"/>
      <c r="D344" s="467"/>
      <c r="E344" s="467"/>
    </row>
    <row r="345" ht="14.25" customHeight="1">
      <c r="A345" s="467"/>
      <c r="B345" s="467"/>
      <c r="C345" s="467"/>
      <c r="D345" s="467"/>
      <c r="E345" s="467"/>
    </row>
    <row r="346" ht="14.25" customHeight="1">
      <c r="A346" s="467"/>
      <c r="B346" s="467"/>
      <c r="C346" s="467"/>
      <c r="D346" s="467"/>
      <c r="E346" s="467"/>
    </row>
    <row r="347" ht="14.25" customHeight="1">
      <c r="A347" s="467"/>
      <c r="B347" s="467"/>
      <c r="C347" s="467"/>
      <c r="D347" s="467"/>
      <c r="E347" s="467"/>
    </row>
    <row r="348" ht="14.25" customHeight="1">
      <c r="A348" s="467"/>
      <c r="B348" s="467"/>
      <c r="C348" s="467"/>
      <c r="D348" s="467"/>
      <c r="E348" s="467"/>
    </row>
    <row r="349" ht="14.25" customHeight="1">
      <c r="A349" s="467"/>
      <c r="B349" s="467"/>
      <c r="C349" s="467"/>
      <c r="D349" s="467"/>
      <c r="E349" s="467"/>
    </row>
    <row r="350" ht="14.25" customHeight="1">
      <c r="A350" s="467"/>
      <c r="B350" s="467"/>
      <c r="C350" s="467"/>
      <c r="D350" s="467"/>
      <c r="E350" s="467"/>
    </row>
    <row r="351" ht="14.25" customHeight="1">
      <c r="A351" s="467"/>
      <c r="B351" s="467"/>
      <c r="C351" s="467"/>
      <c r="D351" s="467"/>
      <c r="E351" s="467"/>
    </row>
    <row r="352" ht="14.25" customHeight="1">
      <c r="A352" s="467"/>
      <c r="B352" s="467"/>
      <c r="C352" s="467"/>
      <c r="D352" s="467"/>
      <c r="E352" s="467"/>
    </row>
    <row r="353" ht="14.25" customHeight="1">
      <c r="A353" s="467"/>
      <c r="B353" s="467"/>
      <c r="C353" s="467"/>
      <c r="D353" s="467"/>
      <c r="E353" s="467"/>
    </row>
    <row r="354" ht="14.25" customHeight="1">
      <c r="A354" s="467"/>
      <c r="B354" s="467"/>
      <c r="C354" s="467"/>
      <c r="D354" s="467"/>
      <c r="E354" s="467"/>
    </row>
    <row r="355" ht="14.25" customHeight="1">
      <c r="A355" s="467"/>
      <c r="B355" s="467"/>
      <c r="C355" s="467"/>
      <c r="D355" s="467"/>
      <c r="E355" s="467"/>
    </row>
    <row r="356" ht="14.25" customHeight="1">
      <c r="A356" s="467"/>
      <c r="B356" s="467"/>
      <c r="C356" s="467"/>
      <c r="D356" s="467"/>
      <c r="E356" s="467"/>
    </row>
    <row r="357" ht="14.25" customHeight="1">
      <c r="A357" s="467"/>
      <c r="B357" s="467"/>
      <c r="C357" s="467"/>
      <c r="D357" s="467"/>
      <c r="E357" s="467"/>
    </row>
    <row r="358" ht="14.25" customHeight="1">
      <c r="A358" s="467"/>
      <c r="B358" s="467"/>
      <c r="C358" s="467"/>
      <c r="D358" s="467"/>
      <c r="E358" s="467"/>
    </row>
    <row r="359" ht="14.25" customHeight="1">
      <c r="A359" s="467"/>
      <c r="B359" s="467"/>
      <c r="C359" s="467"/>
      <c r="D359" s="467"/>
      <c r="E359" s="467"/>
    </row>
    <row r="360" ht="14.25" customHeight="1">
      <c r="A360" s="467"/>
      <c r="B360" s="467"/>
      <c r="C360" s="467"/>
      <c r="D360" s="467"/>
      <c r="E360" s="467"/>
    </row>
    <row r="361" ht="14.25" customHeight="1">
      <c r="A361" s="467"/>
      <c r="B361" s="467"/>
      <c r="C361" s="467"/>
      <c r="D361" s="467"/>
      <c r="E361" s="467"/>
    </row>
    <row r="362" ht="14.25" customHeight="1">
      <c r="A362" s="467"/>
      <c r="B362" s="467"/>
      <c r="C362" s="467"/>
      <c r="D362" s="467"/>
      <c r="E362" s="467"/>
    </row>
    <row r="363" ht="14.25" customHeight="1">
      <c r="A363" s="467"/>
      <c r="B363" s="467"/>
      <c r="C363" s="467"/>
      <c r="D363" s="467"/>
      <c r="E363" s="467"/>
    </row>
    <row r="364" ht="14.25" customHeight="1">
      <c r="A364" s="467"/>
      <c r="B364" s="467"/>
      <c r="C364" s="467"/>
      <c r="D364" s="467"/>
      <c r="E364" s="467"/>
    </row>
    <row r="365" ht="14.25" customHeight="1">
      <c r="A365" s="467"/>
      <c r="B365" s="467"/>
      <c r="C365" s="467"/>
      <c r="D365" s="467"/>
      <c r="E365" s="467"/>
    </row>
    <row r="366" ht="14.25" customHeight="1">
      <c r="A366" s="467"/>
      <c r="B366" s="467"/>
      <c r="C366" s="467"/>
      <c r="D366" s="467"/>
      <c r="E366" s="467"/>
    </row>
    <row r="367" ht="14.25" customHeight="1">
      <c r="A367" s="467"/>
      <c r="B367" s="467"/>
      <c r="C367" s="467"/>
      <c r="D367" s="467"/>
      <c r="E367" s="467"/>
    </row>
    <row r="368" ht="14.25" customHeight="1">
      <c r="A368" s="467"/>
      <c r="B368" s="467"/>
      <c r="C368" s="467"/>
      <c r="D368" s="467"/>
      <c r="E368" s="467"/>
    </row>
    <row r="369" ht="14.25" customHeight="1">
      <c r="A369" s="467"/>
      <c r="B369" s="467"/>
      <c r="C369" s="467"/>
      <c r="D369" s="467"/>
      <c r="E369" s="467"/>
    </row>
    <row r="370" ht="14.25" customHeight="1">
      <c r="A370" s="467"/>
      <c r="B370" s="467"/>
      <c r="C370" s="467"/>
      <c r="D370" s="467"/>
      <c r="E370" s="467"/>
    </row>
    <row r="371" ht="14.25" customHeight="1">
      <c r="A371" s="467"/>
      <c r="B371" s="467"/>
      <c r="C371" s="467"/>
      <c r="D371" s="467"/>
      <c r="E371" s="467"/>
    </row>
    <row r="372" ht="14.25" customHeight="1">
      <c r="A372" s="467"/>
      <c r="B372" s="467"/>
      <c r="C372" s="467"/>
      <c r="D372" s="467"/>
      <c r="E372" s="467"/>
    </row>
    <row r="373" ht="14.25" customHeight="1">
      <c r="A373" s="467"/>
      <c r="B373" s="467"/>
      <c r="C373" s="467"/>
      <c r="D373" s="467"/>
      <c r="E373" s="467"/>
    </row>
    <row r="374" ht="14.25" customHeight="1">
      <c r="A374" s="467"/>
      <c r="B374" s="467"/>
      <c r="C374" s="467"/>
      <c r="D374" s="467"/>
      <c r="E374" s="467"/>
    </row>
    <row r="375" ht="14.25" customHeight="1">
      <c r="A375" s="467"/>
      <c r="B375" s="467"/>
      <c r="C375" s="467"/>
      <c r="D375" s="467"/>
      <c r="E375" s="467"/>
    </row>
    <row r="376" ht="14.25" customHeight="1">
      <c r="A376" s="467"/>
      <c r="B376" s="467"/>
      <c r="C376" s="467"/>
      <c r="D376" s="467"/>
      <c r="E376" s="467"/>
    </row>
    <row r="377" ht="14.25" customHeight="1">
      <c r="A377" s="467"/>
      <c r="B377" s="467"/>
      <c r="C377" s="467"/>
      <c r="D377" s="467"/>
      <c r="E377" s="467"/>
    </row>
    <row r="378" ht="14.25" customHeight="1">
      <c r="A378" s="467"/>
      <c r="B378" s="467"/>
      <c r="C378" s="467"/>
      <c r="D378" s="467"/>
      <c r="E378" s="467"/>
    </row>
    <row r="379" ht="14.25" customHeight="1">
      <c r="A379" s="467"/>
      <c r="B379" s="467"/>
      <c r="C379" s="467"/>
      <c r="D379" s="467"/>
      <c r="E379" s="467"/>
    </row>
    <row r="380" ht="14.25" customHeight="1">
      <c r="A380" s="467"/>
      <c r="B380" s="467"/>
      <c r="C380" s="467"/>
      <c r="D380" s="467"/>
      <c r="E380" s="467"/>
    </row>
    <row r="381" ht="14.25" customHeight="1">
      <c r="A381" s="467"/>
      <c r="B381" s="467"/>
      <c r="C381" s="467"/>
      <c r="D381" s="467"/>
      <c r="E381" s="467"/>
    </row>
    <row r="382" ht="14.25" customHeight="1">
      <c r="A382" s="467"/>
      <c r="B382" s="467"/>
      <c r="C382" s="467"/>
      <c r="D382" s="467"/>
      <c r="E382" s="467"/>
    </row>
    <row r="383" ht="14.25" customHeight="1">
      <c r="A383" s="467"/>
      <c r="B383" s="467"/>
      <c r="C383" s="467"/>
      <c r="D383" s="467"/>
      <c r="E383" s="467"/>
    </row>
    <row r="384" ht="14.25" customHeight="1">
      <c r="A384" s="467"/>
      <c r="B384" s="467"/>
      <c r="C384" s="467"/>
      <c r="D384" s="467"/>
      <c r="E384" s="467"/>
    </row>
    <row r="385" ht="14.25" customHeight="1">
      <c r="A385" s="467"/>
      <c r="B385" s="467"/>
      <c r="C385" s="467"/>
      <c r="D385" s="467"/>
      <c r="E385" s="467"/>
    </row>
    <row r="386" ht="14.25" customHeight="1">
      <c r="A386" s="467"/>
      <c r="B386" s="467"/>
      <c r="C386" s="467"/>
      <c r="D386" s="467"/>
      <c r="E386" s="467"/>
    </row>
    <row r="387" ht="14.25" customHeight="1">
      <c r="A387" s="467"/>
      <c r="B387" s="467"/>
      <c r="C387" s="467"/>
      <c r="D387" s="467"/>
      <c r="E387" s="467"/>
    </row>
    <row r="388" ht="14.25" customHeight="1">
      <c r="A388" s="467"/>
      <c r="B388" s="467"/>
      <c r="C388" s="467"/>
      <c r="D388" s="467"/>
      <c r="E388" s="467"/>
    </row>
    <row r="389" ht="14.25" customHeight="1">
      <c r="A389" s="467"/>
      <c r="B389" s="467"/>
      <c r="C389" s="467"/>
      <c r="D389" s="467"/>
      <c r="E389" s="467"/>
    </row>
    <row r="390" ht="14.25" customHeight="1">
      <c r="A390" s="467"/>
      <c r="B390" s="467"/>
      <c r="C390" s="467"/>
      <c r="D390" s="467"/>
      <c r="E390" s="467"/>
    </row>
    <row r="391" ht="14.25" customHeight="1">
      <c r="A391" s="467"/>
      <c r="B391" s="467"/>
      <c r="C391" s="467"/>
      <c r="D391" s="467"/>
      <c r="E391" s="467"/>
    </row>
    <row r="392" ht="14.25" customHeight="1">
      <c r="A392" s="467"/>
      <c r="B392" s="467"/>
      <c r="C392" s="467"/>
      <c r="D392" s="467"/>
      <c r="E392" s="467"/>
    </row>
    <row r="393" ht="14.25" customHeight="1">
      <c r="A393" s="467"/>
      <c r="B393" s="467"/>
      <c r="C393" s="467"/>
      <c r="D393" s="467"/>
      <c r="E393" s="467"/>
    </row>
    <row r="394" ht="14.25" customHeight="1">
      <c r="A394" s="467"/>
      <c r="B394" s="467"/>
      <c r="C394" s="467"/>
      <c r="D394" s="467"/>
      <c r="E394" s="467"/>
    </row>
    <row r="395" ht="14.25" customHeight="1">
      <c r="A395" s="467"/>
      <c r="B395" s="467"/>
      <c r="C395" s="467"/>
      <c r="D395" s="467"/>
      <c r="E395" s="467"/>
    </row>
    <row r="396" ht="14.25" customHeight="1">
      <c r="A396" s="467"/>
      <c r="B396" s="467"/>
      <c r="C396" s="467"/>
      <c r="D396" s="467"/>
      <c r="E396" s="467"/>
    </row>
    <row r="397" ht="14.25" customHeight="1">
      <c r="A397" s="467"/>
      <c r="B397" s="467"/>
      <c r="C397" s="467"/>
      <c r="D397" s="467"/>
      <c r="E397" s="467"/>
    </row>
    <row r="398" ht="14.25" customHeight="1">
      <c r="A398" s="467"/>
      <c r="B398" s="467"/>
      <c r="C398" s="467"/>
      <c r="D398" s="467"/>
      <c r="E398" s="467"/>
    </row>
    <row r="399" ht="14.25" customHeight="1">
      <c r="A399" s="467"/>
      <c r="B399" s="467"/>
      <c r="C399" s="467"/>
      <c r="D399" s="467"/>
      <c r="E399" s="467"/>
    </row>
    <row r="400" ht="14.25" customHeight="1">
      <c r="A400" s="467"/>
      <c r="B400" s="467"/>
      <c r="C400" s="467"/>
      <c r="D400" s="467"/>
      <c r="E400" s="467"/>
    </row>
    <row r="401" ht="14.25" customHeight="1">
      <c r="A401" s="467"/>
      <c r="B401" s="467"/>
      <c r="C401" s="467"/>
      <c r="D401" s="467"/>
      <c r="E401" s="467"/>
    </row>
    <row r="402" ht="14.25" customHeight="1">
      <c r="A402" s="467"/>
      <c r="B402" s="467"/>
      <c r="C402" s="467"/>
      <c r="D402" s="467"/>
      <c r="E402" s="467"/>
    </row>
    <row r="403" ht="14.25" customHeight="1">
      <c r="A403" s="467"/>
      <c r="B403" s="467"/>
      <c r="C403" s="467"/>
      <c r="D403" s="467"/>
      <c r="E403" s="467"/>
    </row>
    <row r="404" ht="14.25" customHeight="1">
      <c r="A404" s="467"/>
      <c r="B404" s="467"/>
      <c r="C404" s="467"/>
      <c r="D404" s="467"/>
      <c r="E404" s="467"/>
    </row>
    <row r="405" ht="14.25" customHeight="1">
      <c r="A405" s="467"/>
      <c r="B405" s="467"/>
      <c r="C405" s="467"/>
      <c r="D405" s="467"/>
      <c r="E405" s="467"/>
    </row>
    <row r="406" ht="14.25" customHeight="1">
      <c r="A406" s="467"/>
      <c r="B406" s="467"/>
      <c r="C406" s="467"/>
      <c r="D406" s="467"/>
      <c r="E406" s="467"/>
    </row>
    <row r="407" ht="14.25" customHeight="1">
      <c r="A407" s="467"/>
      <c r="B407" s="467"/>
      <c r="C407" s="467"/>
      <c r="D407" s="467"/>
      <c r="E407" s="467"/>
    </row>
    <row r="408" ht="14.25" customHeight="1">
      <c r="A408" s="467"/>
      <c r="B408" s="467"/>
      <c r="C408" s="467"/>
      <c r="D408" s="467"/>
      <c r="E408" s="467"/>
    </row>
    <row r="409" ht="14.25" customHeight="1">
      <c r="A409" s="467"/>
      <c r="B409" s="467"/>
      <c r="C409" s="467"/>
      <c r="D409" s="467"/>
      <c r="E409" s="467"/>
    </row>
    <row r="410" ht="14.25" customHeight="1">
      <c r="A410" s="467"/>
      <c r="B410" s="467"/>
      <c r="C410" s="467"/>
      <c r="D410" s="467"/>
      <c r="E410" s="467"/>
    </row>
    <row r="411" ht="14.25" customHeight="1">
      <c r="A411" s="467"/>
      <c r="B411" s="467"/>
      <c r="C411" s="467"/>
      <c r="D411" s="467"/>
      <c r="E411" s="467"/>
    </row>
    <row r="412" ht="14.25" customHeight="1">
      <c r="A412" s="467"/>
      <c r="B412" s="467"/>
      <c r="C412" s="467"/>
      <c r="D412" s="467"/>
      <c r="E412" s="467"/>
    </row>
    <row r="413" ht="14.25" customHeight="1">
      <c r="A413" s="467"/>
      <c r="B413" s="467"/>
      <c r="C413" s="467"/>
      <c r="D413" s="467"/>
      <c r="E413" s="467"/>
    </row>
    <row r="414" ht="14.25" customHeight="1">
      <c r="A414" s="467"/>
      <c r="B414" s="467"/>
      <c r="C414" s="467"/>
      <c r="D414" s="467"/>
      <c r="E414" s="467"/>
    </row>
    <row r="415" ht="14.25" customHeight="1">
      <c r="A415" s="467"/>
      <c r="B415" s="467"/>
      <c r="C415" s="467"/>
      <c r="D415" s="467"/>
      <c r="E415" s="467"/>
    </row>
    <row r="416" ht="14.25" customHeight="1">
      <c r="A416" s="467"/>
      <c r="B416" s="467"/>
      <c r="C416" s="467"/>
      <c r="D416" s="467"/>
      <c r="E416" s="467"/>
    </row>
    <row r="417" ht="14.25" customHeight="1">
      <c r="A417" s="467"/>
      <c r="B417" s="467"/>
      <c r="C417" s="467"/>
      <c r="D417" s="467"/>
      <c r="E417" s="467"/>
    </row>
    <row r="418" ht="14.25" customHeight="1">
      <c r="A418" s="467"/>
      <c r="B418" s="467"/>
      <c r="C418" s="467"/>
      <c r="D418" s="467"/>
      <c r="E418" s="467"/>
    </row>
    <row r="419" ht="14.25" customHeight="1">
      <c r="A419" s="467"/>
      <c r="B419" s="467"/>
      <c r="C419" s="467"/>
      <c r="D419" s="467"/>
      <c r="E419" s="467"/>
    </row>
    <row r="420" ht="14.25" customHeight="1">
      <c r="A420" s="467"/>
      <c r="B420" s="467"/>
      <c r="C420" s="467"/>
      <c r="D420" s="467"/>
      <c r="E420" s="467"/>
    </row>
    <row r="421" ht="14.25" customHeight="1">
      <c r="A421" s="467"/>
      <c r="B421" s="467"/>
      <c r="C421" s="467"/>
      <c r="D421" s="467"/>
      <c r="E421" s="467"/>
    </row>
    <row r="422" ht="14.25" customHeight="1">
      <c r="A422" s="467"/>
      <c r="B422" s="467"/>
      <c r="C422" s="467"/>
      <c r="D422" s="467"/>
      <c r="E422" s="467"/>
    </row>
    <row r="423" ht="14.25" customHeight="1">
      <c r="A423" s="467"/>
      <c r="B423" s="467"/>
      <c r="C423" s="467"/>
      <c r="D423" s="467"/>
      <c r="E423" s="467"/>
    </row>
    <row r="424" ht="14.25" customHeight="1">
      <c r="A424" s="467"/>
      <c r="B424" s="467"/>
      <c r="C424" s="467"/>
      <c r="D424" s="467"/>
      <c r="E424" s="467"/>
    </row>
    <row r="425" ht="14.25" customHeight="1">
      <c r="A425" s="467"/>
      <c r="B425" s="467"/>
      <c r="C425" s="467"/>
      <c r="D425" s="467"/>
      <c r="E425" s="467"/>
    </row>
    <row r="426" ht="14.25" customHeight="1">
      <c r="A426" s="467"/>
      <c r="B426" s="467"/>
      <c r="C426" s="467"/>
      <c r="D426" s="467"/>
      <c r="E426" s="467"/>
    </row>
    <row r="427" ht="14.25" customHeight="1">
      <c r="A427" s="467"/>
      <c r="B427" s="467"/>
      <c r="C427" s="467"/>
      <c r="D427" s="467"/>
      <c r="E427" s="467"/>
    </row>
    <row r="428" ht="14.25" customHeight="1">
      <c r="A428" s="467"/>
      <c r="B428" s="467"/>
      <c r="C428" s="467"/>
      <c r="D428" s="467"/>
      <c r="E428" s="467"/>
    </row>
    <row r="429" ht="14.25" customHeight="1">
      <c r="A429" s="467"/>
      <c r="B429" s="467"/>
      <c r="C429" s="467"/>
      <c r="D429" s="467"/>
      <c r="E429" s="467"/>
    </row>
    <row r="430" ht="14.25" customHeight="1">
      <c r="A430" s="467"/>
      <c r="B430" s="467"/>
      <c r="C430" s="467"/>
      <c r="D430" s="467"/>
      <c r="E430" s="467"/>
    </row>
    <row r="431" ht="14.25" customHeight="1">
      <c r="A431" s="467"/>
      <c r="B431" s="467"/>
      <c r="C431" s="467"/>
      <c r="D431" s="467"/>
      <c r="E431" s="467"/>
    </row>
    <row r="432" ht="14.25" customHeight="1">
      <c r="A432" s="467"/>
      <c r="B432" s="467"/>
      <c r="C432" s="467"/>
      <c r="D432" s="467"/>
      <c r="E432" s="467"/>
    </row>
    <row r="433" ht="14.25" customHeight="1">
      <c r="A433" s="467"/>
      <c r="B433" s="467"/>
      <c r="C433" s="467"/>
      <c r="D433" s="467"/>
      <c r="E433" s="467"/>
    </row>
    <row r="434" ht="14.25" customHeight="1">
      <c r="A434" s="467"/>
      <c r="B434" s="467"/>
      <c r="C434" s="467"/>
      <c r="D434" s="467"/>
      <c r="E434" s="467"/>
    </row>
    <row r="435" ht="14.25" customHeight="1">
      <c r="A435" s="467"/>
      <c r="B435" s="467"/>
      <c r="C435" s="467"/>
      <c r="D435" s="467"/>
      <c r="E435" s="467"/>
    </row>
    <row r="436" ht="14.25" customHeight="1">
      <c r="A436" s="467"/>
      <c r="B436" s="467"/>
      <c r="C436" s="467"/>
      <c r="D436" s="467"/>
      <c r="E436" s="467"/>
    </row>
    <row r="437" ht="14.25" customHeight="1">
      <c r="A437" s="467"/>
      <c r="B437" s="467"/>
      <c r="C437" s="467"/>
      <c r="D437" s="467"/>
      <c r="E437" s="467"/>
    </row>
    <row r="438" ht="14.25" customHeight="1">
      <c r="A438" s="467"/>
      <c r="B438" s="467"/>
      <c r="C438" s="467"/>
      <c r="D438" s="467"/>
      <c r="E438" s="467"/>
    </row>
    <row r="439" ht="14.25" customHeight="1">
      <c r="A439" s="467"/>
      <c r="B439" s="467"/>
      <c r="C439" s="467"/>
      <c r="D439" s="467"/>
      <c r="E439" s="467"/>
    </row>
    <row r="440" ht="14.25" customHeight="1">
      <c r="A440" s="467"/>
      <c r="B440" s="467"/>
      <c r="C440" s="467"/>
      <c r="D440" s="467"/>
      <c r="E440" s="467"/>
    </row>
    <row r="441" ht="14.25" customHeight="1">
      <c r="A441" s="467"/>
      <c r="B441" s="467"/>
      <c r="C441" s="467"/>
      <c r="D441" s="467"/>
      <c r="E441" s="467"/>
    </row>
    <row r="442" ht="14.25" customHeight="1">
      <c r="A442" s="467"/>
      <c r="B442" s="467"/>
      <c r="C442" s="467"/>
      <c r="D442" s="467"/>
      <c r="E442" s="467"/>
    </row>
    <row r="443" ht="14.25" customHeight="1">
      <c r="A443" s="467"/>
      <c r="B443" s="467"/>
      <c r="C443" s="467"/>
      <c r="D443" s="467"/>
      <c r="E443" s="467"/>
    </row>
    <row r="444" ht="14.25" customHeight="1">
      <c r="A444" s="467"/>
      <c r="B444" s="467"/>
      <c r="C444" s="467"/>
      <c r="D444" s="467"/>
      <c r="E444" s="467"/>
    </row>
    <row r="445" ht="14.25" customHeight="1">
      <c r="A445" s="467"/>
      <c r="B445" s="467"/>
      <c r="C445" s="467"/>
      <c r="D445" s="467"/>
      <c r="E445" s="467"/>
    </row>
    <row r="446" ht="14.25" customHeight="1">
      <c r="A446" s="467"/>
      <c r="B446" s="467"/>
      <c r="C446" s="467"/>
      <c r="D446" s="467"/>
      <c r="E446" s="467"/>
    </row>
    <row r="447" ht="14.25" customHeight="1">
      <c r="A447" s="467"/>
      <c r="B447" s="467"/>
      <c r="C447" s="467"/>
      <c r="D447" s="467"/>
      <c r="E447" s="467"/>
    </row>
    <row r="448" ht="14.25" customHeight="1">
      <c r="A448" s="467"/>
      <c r="B448" s="467"/>
      <c r="C448" s="467"/>
      <c r="D448" s="467"/>
      <c r="E448" s="467"/>
    </row>
    <row r="449" ht="14.25" customHeight="1">
      <c r="A449" s="467"/>
      <c r="B449" s="467"/>
      <c r="C449" s="467"/>
      <c r="D449" s="467"/>
      <c r="E449" s="467"/>
    </row>
    <row r="450" ht="14.25" customHeight="1">
      <c r="A450" s="467"/>
      <c r="B450" s="467"/>
      <c r="C450" s="467"/>
      <c r="D450" s="467"/>
      <c r="E450" s="467"/>
    </row>
    <row r="451" ht="14.25" customHeight="1">
      <c r="A451" s="467"/>
      <c r="B451" s="467"/>
      <c r="C451" s="467"/>
      <c r="D451" s="467"/>
      <c r="E451" s="467"/>
    </row>
    <row r="452" ht="14.25" customHeight="1">
      <c r="A452" s="467"/>
      <c r="B452" s="467"/>
      <c r="C452" s="467"/>
      <c r="D452" s="467"/>
      <c r="E452" s="467"/>
    </row>
    <row r="453" ht="14.25" customHeight="1">
      <c r="A453" s="467"/>
      <c r="B453" s="467"/>
      <c r="C453" s="467"/>
      <c r="D453" s="467"/>
      <c r="E453" s="467"/>
    </row>
    <row r="454" ht="14.25" customHeight="1">
      <c r="A454" s="467"/>
      <c r="B454" s="467"/>
      <c r="C454" s="467"/>
      <c r="D454" s="467"/>
      <c r="E454" s="467"/>
    </row>
    <row r="455" ht="14.25" customHeight="1">
      <c r="A455" s="467"/>
      <c r="B455" s="467"/>
      <c r="C455" s="467"/>
      <c r="D455" s="467"/>
      <c r="E455" s="467"/>
    </row>
    <row r="456" ht="14.25" customHeight="1">
      <c r="A456" s="467"/>
      <c r="B456" s="467"/>
      <c r="C456" s="467"/>
      <c r="D456" s="467"/>
      <c r="E456" s="467"/>
    </row>
    <row r="457" ht="14.25" customHeight="1">
      <c r="A457" s="467"/>
      <c r="B457" s="467"/>
      <c r="C457" s="467"/>
      <c r="D457" s="467"/>
      <c r="E457" s="467"/>
    </row>
    <row r="458" ht="14.25" customHeight="1">
      <c r="A458" s="467"/>
      <c r="B458" s="467"/>
      <c r="C458" s="467"/>
      <c r="D458" s="467"/>
      <c r="E458" s="467"/>
    </row>
    <row r="459" ht="14.25" customHeight="1">
      <c r="A459" s="467"/>
      <c r="B459" s="467"/>
      <c r="C459" s="467"/>
      <c r="D459" s="467"/>
      <c r="E459" s="467"/>
    </row>
    <row r="460" ht="14.25" customHeight="1">
      <c r="A460" s="467"/>
      <c r="B460" s="467"/>
      <c r="C460" s="467"/>
      <c r="D460" s="467"/>
      <c r="E460" s="467"/>
    </row>
    <row r="461" ht="14.25" customHeight="1">
      <c r="A461" s="467"/>
      <c r="B461" s="467"/>
      <c r="C461" s="467"/>
      <c r="D461" s="467"/>
      <c r="E461" s="467"/>
    </row>
    <row r="462" ht="14.25" customHeight="1">
      <c r="A462" s="467"/>
      <c r="B462" s="467"/>
      <c r="C462" s="467"/>
      <c r="D462" s="467"/>
      <c r="E462" s="467"/>
    </row>
    <row r="463" ht="14.25" customHeight="1">
      <c r="A463" s="467"/>
      <c r="B463" s="467"/>
      <c r="C463" s="467"/>
      <c r="D463" s="467"/>
      <c r="E463" s="467"/>
    </row>
    <row r="464" ht="14.25" customHeight="1">
      <c r="A464" s="467"/>
      <c r="B464" s="467"/>
      <c r="C464" s="467"/>
      <c r="D464" s="467"/>
      <c r="E464" s="467"/>
    </row>
    <row r="465" ht="14.25" customHeight="1">
      <c r="A465" s="467"/>
      <c r="B465" s="467"/>
      <c r="C465" s="467"/>
      <c r="D465" s="467"/>
      <c r="E465" s="467"/>
    </row>
    <row r="466" ht="14.25" customHeight="1">
      <c r="A466" s="467"/>
      <c r="B466" s="467"/>
      <c r="C466" s="467"/>
      <c r="D466" s="467"/>
      <c r="E466" s="467"/>
    </row>
    <row r="467" ht="14.25" customHeight="1">
      <c r="A467" s="467"/>
      <c r="B467" s="467"/>
      <c r="C467" s="467"/>
      <c r="D467" s="467"/>
      <c r="E467" s="467"/>
    </row>
    <row r="468" ht="14.25" customHeight="1">
      <c r="A468" s="467"/>
      <c r="B468" s="467"/>
      <c r="C468" s="467"/>
      <c r="D468" s="467"/>
      <c r="E468" s="467"/>
    </row>
    <row r="469" ht="14.25" customHeight="1">
      <c r="A469" s="467"/>
      <c r="B469" s="467"/>
      <c r="C469" s="467"/>
      <c r="D469" s="467"/>
      <c r="E469" s="467"/>
    </row>
    <row r="470" ht="14.25" customHeight="1">
      <c r="A470" s="467"/>
      <c r="B470" s="467"/>
      <c r="C470" s="467"/>
      <c r="D470" s="467"/>
      <c r="E470" s="467"/>
    </row>
    <row r="471" ht="14.25" customHeight="1">
      <c r="A471" s="467"/>
      <c r="B471" s="467"/>
      <c r="C471" s="467"/>
      <c r="D471" s="467"/>
      <c r="E471" s="467"/>
    </row>
    <row r="472" ht="14.25" customHeight="1">
      <c r="A472" s="467"/>
      <c r="B472" s="467"/>
      <c r="C472" s="467"/>
      <c r="D472" s="467"/>
      <c r="E472" s="467"/>
    </row>
    <row r="473" ht="14.25" customHeight="1">
      <c r="A473" s="467"/>
      <c r="B473" s="467"/>
      <c r="C473" s="467"/>
      <c r="D473" s="467"/>
      <c r="E473" s="467"/>
    </row>
    <row r="474" ht="14.25" customHeight="1">
      <c r="A474" s="467"/>
      <c r="B474" s="467"/>
      <c r="C474" s="467"/>
      <c r="D474" s="467"/>
      <c r="E474" s="467"/>
    </row>
    <row r="475" ht="14.25" customHeight="1">
      <c r="A475" s="467"/>
      <c r="B475" s="467"/>
      <c r="C475" s="467"/>
      <c r="D475" s="467"/>
      <c r="E475" s="467"/>
    </row>
    <row r="476" ht="14.25" customHeight="1">
      <c r="A476" s="467"/>
      <c r="B476" s="467"/>
      <c r="C476" s="467"/>
      <c r="D476" s="467"/>
      <c r="E476" s="467"/>
    </row>
    <row r="477" ht="14.25" customHeight="1">
      <c r="A477" s="467"/>
      <c r="B477" s="467"/>
      <c r="C477" s="467"/>
      <c r="D477" s="467"/>
      <c r="E477" s="467"/>
    </row>
    <row r="478" ht="14.25" customHeight="1">
      <c r="A478" s="467"/>
      <c r="B478" s="467"/>
      <c r="C478" s="467"/>
      <c r="D478" s="467"/>
      <c r="E478" s="467"/>
    </row>
    <row r="479" ht="14.25" customHeight="1">
      <c r="A479" s="467"/>
      <c r="B479" s="467"/>
      <c r="C479" s="467"/>
      <c r="D479" s="467"/>
      <c r="E479" s="467"/>
    </row>
    <row r="480" ht="14.25" customHeight="1">
      <c r="A480" s="467"/>
      <c r="B480" s="467"/>
      <c r="C480" s="467"/>
      <c r="D480" s="467"/>
      <c r="E480" s="467"/>
    </row>
    <row r="481" ht="14.25" customHeight="1">
      <c r="A481" s="467"/>
      <c r="B481" s="467"/>
      <c r="C481" s="467"/>
      <c r="D481" s="467"/>
      <c r="E481" s="467"/>
    </row>
    <row r="482" ht="14.25" customHeight="1">
      <c r="A482" s="467"/>
      <c r="B482" s="467"/>
      <c r="C482" s="467"/>
      <c r="D482" s="467"/>
      <c r="E482" s="467"/>
    </row>
    <row r="483" ht="14.25" customHeight="1">
      <c r="A483" s="467"/>
      <c r="B483" s="467"/>
      <c r="C483" s="467"/>
      <c r="D483" s="467"/>
      <c r="E483" s="467"/>
    </row>
    <row r="484" ht="14.25" customHeight="1">
      <c r="A484" s="467"/>
      <c r="B484" s="467"/>
      <c r="C484" s="467"/>
      <c r="D484" s="467"/>
      <c r="E484" s="467"/>
    </row>
    <row r="485" ht="14.25" customHeight="1">
      <c r="A485" s="467"/>
      <c r="B485" s="467"/>
      <c r="C485" s="467"/>
      <c r="D485" s="467"/>
      <c r="E485" s="467"/>
    </row>
    <row r="486" ht="14.25" customHeight="1">
      <c r="A486" s="467"/>
      <c r="B486" s="467"/>
      <c r="C486" s="467"/>
      <c r="D486" s="467"/>
      <c r="E486" s="467"/>
    </row>
    <row r="487" ht="14.25" customHeight="1">
      <c r="A487" s="467"/>
      <c r="B487" s="467"/>
      <c r="C487" s="467"/>
      <c r="D487" s="467"/>
      <c r="E487" s="467"/>
    </row>
    <row r="488" ht="14.25" customHeight="1">
      <c r="A488" s="467"/>
      <c r="B488" s="467"/>
      <c r="C488" s="467"/>
      <c r="D488" s="467"/>
      <c r="E488" s="467"/>
    </row>
    <row r="489" ht="14.25" customHeight="1">
      <c r="A489" s="467"/>
      <c r="B489" s="467"/>
      <c r="C489" s="467"/>
      <c r="D489" s="467"/>
      <c r="E489" s="467"/>
    </row>
    <row r="490" ht="14.25" customHeight="1">
      <c r="A490" s="467"/>
      <c r="B490" s="467"/>
      <c r="C490" s="467"/>
      <c r="D490" s="467"/>
      <c r="E490" s="467"/>
    </row>
    <row r="491" ht="14.25" customHeight="1">
      <c r="A491" s="467"/>
      <c r="B491" s="467"/>
      <c r="C491" s="467"/>
      <c r="D491" s="467"/>
      <c r="E491" s="467"/>
    </row>
    <row r="492" ht="14.25" customHeight="1">
      <c r="A492" s="467"/>
      <c r="B492" s="467"/>
      <c r="C492" s="467"/>
      <c r="D492" s="467"/>
      <c r="E492" s="467"/>
    </row>
    <row r="493" ht="14.25" customHeight="1">
      <c r="A493" s="467"/>
      <c r="B493" s="467"/>
      <c r="C493" s="467"/>
      <c r="D493" s="467"/>
      <c r="E493" s="467"/>
    </row>
    <row r="494" ht="14.25" customHeight="1">
      <c r="A494" s="467"/>
      <c r="B494" s="467"/>
      <c r="C494" s="467"/>
      <c r="D494" s="467"/>
      <c r="E494" s="467"/>
    </row>
    <row r="495" ht="14.25" customHeight="1">
      <c r="A495" s="467"/>
      <c r="B495" s="467"/>
      <c r="C495" s="467"/>
      <c r="D495" s="467"/>
      <c r="E495" s="467"/>
    </row>
    <row r="496" ht="14.25" customHeight="1">
      <c r="A496" s="467"/>
      <c r="B496" s="467"/>
      <c r="C496" s="467"/>
      <c r="D496" s="467"/>
      <c r="E496" s="467"/>
    </row>
    <row r="497" ht="14.25" customHeight="1">
      <c r="A497" s="467"/>
      <c r="B497" s="467"/>
      <c r="C497" s="467"/>
      <c r="D497" s="467"/>
      <c r="E497" s="467"/>
    </row>
    <row r="498" ht="14.25" customHeight="1">
      <c r="A498" s="467"/>
      <c r="B498" s="467"/>
      <c r="C498" s="467"/>
      <c r="D498" s="467"/>
      <c r="E498" s="467"/>
    </row>
    <row r="499" ht="14.25" customHeight="1">
      <c r="A499" s="467"/>
      <c r="B499" s="467"/>
      <c r="C499" s="467"/>
      <c r="D499" s="467"/>
      <c r="E499" s="467"/>
    </row>
    <row r="500" ht="14.25" customHeight="1">
      <c r="A500" s="467"/>
      <c r="B500" s="467"/>
      <c r="C500" s="467"/>
      <c r="D500" s="467"/>
      <c r="E500" s="467"/>
    </row>
    <row r="501" ht="14.25" customHeight="1">
      <c r="A501" s="467"/>
      <c r="B501" s="467"/>
      <c r="C501" s="467"/>
      <c r="D501" s="467"/>
      <c r="E501" s="467"/>
    </row>
    <row r="502" ht="14.25" customHeight="1">
      <c r="A502" s="467"/>
      <c r="B502" s="467"/>
      <c r="C502" s="467"/>
      <c r="D502" s="467"/>
      <c r="E502" s="467"/>
    </row>
    <row r="503" ht="14.25" customHeight="1">
      <c r="A503" s="467"/>
      <c r="B503" s="467"/>
      <c r="C503" s="467"/>
      <c r="D503" s="467"/>
      <c r="E503" s="467"/>
    </row>
    <row r="504" ht="14.25" customHeight="1">
      <c r="A504" s="467"/>
      <c r="B504" s="467"/>
      <c r="C504" s="467"/>
      <c r="D504" s="467"/>
      <c r="E504" s="467"/>
    </row>
    <row r="505" ht="14.25" customHeight="1">
      <c r="A505" s="467"/>
      <c r="B505" s="467"/>
      <c r="C505" s="467"/>
      <c r="D505" s="467"/>
      <c r="E505" s="467"/>
    </row>
    <row r="506" ht="14.25" customHeight="1">
      <c r="A506" s="467"/>
      <c r="B506" s="467"/>
      <c r="C506" s="467"/>
      <c r="D506" s="467"/>
      <c r="E506" s="467"/>
    </row>
    <row r="507" ht="14.25" customHeight="1">
      <c r="A507" s="467"/>
      <c r="B507" s="467"/>
      <c r="C507" s="467"/>
      <c r="D507" s="467"/>
      <c r="E507" s="467"/>
    </row>
    <row r="508" ht="14.25" customHeight="1">
      <c r="A508" s="467"/>
      <c r="B508" s="467"/>
      <c r="C508" s="467"/>
      <c r="D508" s="467"/>
      <c r="E508" s="467"/>
    </row>
    <row r="509" ht="14.25" customHeight="1">
      <c r="A509" s="467"/>
      <c r="B509" s="467"/>
      <c r="C509" s="467"/>
      <c r="D509" s="467"/>
      <c r="E509" s="467"/>
    </row>
    <row r="510" ht="14.25" customHeight="1">
      <c r="A510" s="467"/>
      <c r="B510" s="467"/>
      <c r="C510" s="467"/>
      <c r="D510" s="467"/>
      <c r="E510" s="467"/>
    </row>
    <row r="511" ht="14.25" customHeight="1">
      <c r="A511" s="467"/>
      <c r="B511" s="467"/>
      <c r="C511" s="467"/>
      <c r="D511" s="467"/>
      <c r="E511" s="467"/>
    </row>
    <row r="512" ht="14.25" customHeight="1">
      <c r="A512" s="467"/>
      <c r="B512" s="467"/>
      <c r="C512" s="467"/>
      <c r="D512" s="467"/>
      <c r="E512" s="467"/>
    </row>
    <row r="513" ht="14.25" customHeight="1">
      <c r="A513" s="467"/>
      <c r="B513" s="467"/>
      <c r="C513" s="467"/>
      <c r="D513" s="467"/>
      <c r="E513" s="467"/>
    </row>
    <row r="514" ht="14.25" customHeight="1">
      <c r="A514" s="467"/>
      <c r="B514" s="467"/>
      <c r="C514" s="467"/>
      <c r="D514" s="467"/>
      <c r="E514" s="467"/>
    </row>
    <row r="515" ht="14.25" customHeight="1">
      <c r="A515" s="467"/>
      <c r="B515" s="467"/>
      <c r="C515" s="467"/>
      <c r="D515" s="467"/>
      <c r="E515" s="467"/>
    </row>
    <row r="516" ht="14.25" customHeight="1">
      <c r="A516" s="467"/>
      <c r="B516" s="467"/>
      <c r="C516" s="467"/>
      <c r="D516" s="467"/>
      <c r="E516" s="467"/>
    </row>
    <row r="517" ht="14.25" customHeight="1">
      <c r="A517" s="467"/>
      <c r="B517" s="467"/>
      <c r="C517" s="467"/>
      <c r="D517" s="467"/>
      <c r="E517" s="467"/>
    </row>
    <row r="518" ht="14.25" customHeight="1">
      <c r="A518" s="467"/>
      <c r="B518" s="467"/>
      <c r="C518" s="467"/>
      <c r="D518" s="467"/>
      <c r="E518" s="467"/>
    </row>
    <row r="519" ht="14.25" customHeight="1">
      <c r="A519" s="467"/>
      <c r="B519" s="467"/>
      <c r="C519" s="467"/>
      <c r="D519" s="467"/>
      <c r="E519" s="467"/>
    </row>
    <row r="520" ht="14.25" customHeight="1">
      <c r="A520" s="467"/>
      <c r="B520" s="467"/>
      <c r="C520" s="467"/>
      <c r="D520" s="467"/>
      <c r="E520" s="467"/>
    </row>
    <row r="521" ht="14.25" customHeight="1">
      <c r="A521" s="467"/>
      <c r="B521" s="467"/>
      <c r="C521" s="467"/>
      <c r="D521" s="467"/>
      <c r="E521" s="467"/>
    </row>
    <row r="522" ht="14.25" customHeight="1">
      <c r="A522" s="467"/>
      <c r="B522" s="467"/>
      <c r="C522" s="467"/>
      <c r="D522" s="467"/>
      <c r="E522" s="467"/>
    </row>
    <row r="523" ht="14.25" customHeight="1">
      <c r="A523" s="467"/>
      <c r="B523" s="467"/>
      <c r="C523" s="467"/>
      <c r="D523" s="467"/>
      <c r="E523" s="467"/>
    </row>
    <row r="524" ht="14.25" customHeight="1">
      <c r="A524" s="467"/>
      <c r="B524" s="467"/>
      <c r="C524" s="467"/>
      <c r="D524" s="467"/>
      <c r="E524" s="467"/>
    </row>
    <row r="525" ht="14.25" customHeight="1">
      <c r="A525" s="467"/>
      <c r="B525" s="467"/>
      <c r="C525" s="467"/>
      <c r="D525" s="467"/>
      <c r="E525" s="467"/>
    </row>
    <row r="526" ht="14.25" customHeight="1">
      <c r="A526" s="467"/>
      <c r="B526" s="467"/>
      <c r="C526" s="467"/>
      <c r="D526" s="467"/>
      <c r="E526" s="467"/>
    </row>
    <row r="527" ht="14.25" customHeight="1">
      <c r="A527" s="467"/>
      <c r="B527" s="467"/>
      <c r="C527" s="467"/>
      <c r="D527" s="467"/>
      <c r="E527" s="467"/>
    </row>
    <row r="528" ht="14.25" customHeight="1">
      <c r="A528" s="467"/>
      <c r="B528" s="467"/>
      <c r="C528" s="467"/>
      <c r="D528" s="467"/>
      <c r="E528" s="467"/>
    </row>
    <row r="529" ht="14.25" customHeight="1">
      <c r="A529" s="467"/>
      <c r="B529" s="467"/>
      <c r="C529" s="467"/>
      <c r="D529" s="467"/>
      <c r="E529" s="467"/>
    </row>
    <row r="530" ht="14.25" customHeight="1">
      <c r="A530" s="467"/>
      <c r="B530" s="467"/>
      <c r="C530" s="467"/>
      <c r="D530" s="467"/>
      <c r="E530" s="467"/>
    </row>
    <row r="531" ht="14.25" customHeight="1">
      <c r="A531" s="467"/>
      <c r="B531" s="467"/>
      <c r="C531" s="467"/>
      <c r="D531" s="467"/>
      <c r="E531" s="467"/>
    </row>
    <row r="532" ht="14.25" customHeight="1">
      <c r="A532" s="467"/>
      <c r="B532" s="467"/>
      <c r="C532" s="467"/>
      <c r="D532" s="467"/>
      <c r="E532" s="467"/>
    </row>
    <row r="533" ht="14.25" customHeight="1">
      <c r="A533" s="467"/>
      <c r="B533" s="467"/>
      <c r="C533" s="467"/>
      <c r="D533" s="467"/>
      <c r="E533" s="467"/>
    </row>
    <row r="534" ht="14.25" customHeight="1">
      <c r="A534" s="467"/>
      <c r="B534" s="467"/>
      <c r="C534" s="467"/>
      <c r="D534" s="467"/>
      <c r="E534" s="467"/>
    </row>
    <row r="535" ht="14.25" customHeight="1">
      <c r="A535" s="467"/>
      <c r="B535" s="467"/>
      <c r="C535" s="467"/>
      <c r="D535" s="467"/>
      <c r="E535" s="467"/>
    </row>
    <row r="536" ht="14.25" customHeight="1">
      <c r="A536" s="467"/>
      <c r="B536" s="467"/>
      <c r="C536" s="467"/>
      <c r="D536" s="467"/>
      <c r="E536" s="467"/>
    </row>
    <row r="537" ht="14.25" customHeight="1">
      <c r="A537" s="467"/>
      <c r="B537" s="467"/>
      <c r="C537" s="467"/>
      <c r="D537" s="467"/>
      <c r="E537" s="467"/>
    </row>
    <row r="538" ht="14.25" customHeight="1">
      <c r="A538" s="467"/>
      <c r="B538" s="467"/>
      <c r="C538" s="467"/>
      <c r="D538" s="467"/>
      <c r="E538" s="467"/>
    </row>
    <row r="539" ht="14.25" customHeight="1">
      <c r="A539" s="467"/>
      <c r="B539" s="467"/>
      <c r="C539" s="467"/>
      <c r="D539" s="467"/>
      <c r="E539" s="467"/>
    </row>
    <row r="540" ht="14.25" customHeight="1">
      <c r="A540" s="467"/>
      <c r="B540" s="467"/>
      <c r="C540" s="467"/>
      <c r="D540" s="467"/>
      <c r="E540" s="467"/>
    </row>
    <row r="541" ht="14.25" customHeight="1">
      <c r="A541" s="467"/>
      <c r="B541" s="467"/>
      <c r="C541" s="467"/>
      <c r="D541" s="467"/>
      <c r="E541" s="467"/>
    </row>
    <row r="542" ht="14.25" customHeight="1">
      <c r="A542" s="467"/>
      <c r="B542" s="467"/>
      <c r="C542" s="467"/>
      <c r="D542" s="467"/>
      <c r="E542" s="467"/>
    </row>
    <row r="543" ht="14.25" customHeight="1">
      <c r="A543" s="467"/>
      <c r="B543" s="467"/>
      <c r="C543" s="467"/>
      <c r="D543" s="467"/>
      <c r="E543" s="467"/>
    </row>
    <row r="544" ht="14.25" customHeight="1">
      <c r="A544" s="467"/>
      <c r="B544" s="467"/>
      <c r="C544" s="467"/>
      <c r="D544" s="467"/>
      <c r="E544" s="467"/>
    </row>
    <row r="545" ht="14.25" customHeight="1">
      <c r="A545" s="467"/>
      <c r="B545" s="467"/>
      <c r="C545" s="467"/>
      <c r="D545" s="467"/>
      <c r="E545" s="467"/>
    </row>
    <row r="546" ht="14.25" customHeight="1">
      <c r="A546" s="467"/>
      <c r="B546" s="467"/>
      <c r="C546" s="467"/>
      <c r="D546" s="467"/>
      <c r="E546" s="467"/>
    </row>
    <row r="547" ht="14.25" customHeight="1">
      <c r="A547" s="467"/>
      <c r="B547" s="467"/>
      <c r="C547" s="467"/>
      <c r="D547" s="467"/>
      <c r="E547" s="467"/>
    </row>
    <row r="548" ht="14.25" customHeight="1">
      <c r="A548" s="467"/>
      <c r="B548" s="467"/>
      <c r="C548" s="467"/>
      <c r="D548" s="467"/>
      <c r="E548" s="467"/>
    </row>
    <row r="549" ht="14.25" customHeight="1">
      <c r="A549" s="467"/>
      <c r="B549" s="467"/>
      <c r="C549" s="467"/>
      <c r="D549" s="467"/>
      <c r="E549" s="467"/>
    </row>
    <row r="550" ht="14.25" customHeight="1">
      <c r="A550" s="467"/>
      <c r="B550" s="467"/>
      <c r="C550" s="467"/>
      <c r="D550" s="467"/>
      <c r="E550" s="467"/>
    </row>
    <row r="551" ht="14.25" customHeight="1">
      <c r="A551" s="467"/>
      <c r="B551" s="467"/>
      <c r="C551" s="467"/>
      <c r="D551" s="467"/>
      <c r="E551" s="467"/>
    </row>
    <row r="552" ht="14.25" customHeight="1">
      <c r="A552" s="467"/>
      <c r="B552" s="467"/>
      <c r="C552" s="467"/>
      <c r="D552" s="467"/>
      <c r="E552" s="467"/>
    </row>
    <row r="553" ht="14.25" customHeight="1">
      <c r="A553" s="467"/>
      <c r="B553" s="467"/>
      <c r="C553" s="467"/>
      <c r="D553" s="467"/>
      <c r="E553" s="467"/>
    </row>
    <row r="554" ht="14.25" customHeight="1">
      <c r="A554" s="467"/>
      <c r="B554" s="467"/>
      <c r="C554" s="467"/>
      <c r="D554" s="467"/>
      <c r="E554" s="467"/>
    </row>
    <row r="555" ht="14.25" customHeight="1">
      <c r="A555" s="467"/>
      <c r="B555" s="467"/>
      <c r="C555" s="467"/>
      <c r="D555" s="467"/>
      <c r="E555" s="467"/>
    </row>
    <row r="556" ht="14.25" customHeight="1">
      <c r="A556" s="467"/>
      <c r="B556" s="467"/>
      <c r="C556" s="467"/>
      <c r="D556" s="467"/>
      <c r="E556" s="467"/>
    </row>
    <row r="557" ht="14.25" customHeight="1">
      <c r="A557" s="467"/>
      <c r="B557" s="467"/>
      <c r="C557" s="467"/>
      <c r="D557" s="467"/>
      <c r="E557" s="467"/>
    </row>
    <row r="558" ht="14.25" customHeight="1">
      <c r="A558" s="467"/>
      <c r="B558" s="467"/>
      <c r="C558" s="467"/>
      <c r="D558" s="467"/>
      <c r="E558" s="467"/>
    </row>
    <row r="559" ht="14.25" customHeight="1">
      <c r="A559" s="467"/>
      <c r="B559" s="467"/>
      <c r="C559" s="467"/>
      <c r="D559" s="467"/>
      <c r="E559" s="467"/>
    </row>
    <row r="560" ht="14.25" customHeight="1">
      <c r="A560" s="467"/>
      <c r="B560" s="467"/>
      <c r="C560" s="467"/>
      <c r="D560" s="467"/>
      <c r="E560" s="467"/>
    </row>
    <row r="561" ht="14.25" customHeight="1">
      <c r="A561" s="467"/>
      <c r="B561" s="467"/>
      <c r="C561" s="467"/>
      <c r="D561" s="467"/>
      <c r="E561" s="467"/>
    </row>
    <row r="562" ht="14.25" customHeight="1">
      <c r="A562" s="467"/>
      <c r="B562" s="467"/>
      <c r="C562" s="467"/>
      <c r="D562" s="467"/>
      <c r="E562" s="467"/>
    </row>
    <row r="563" ht="14.25" customHeight="1">
      <c r="A563" s="467"/>
      <c r="B563" s="467"/>
      <c r="C563" s="467"/>
      <c r="D563" s="467"/>
      <c r="E563" s="467"/>
    </row>
    <row r="564" ht="14.25" customHeight="1">
      <c r="A564" s="467"/>
      <c r="B564" s="467"/>
      <c r="C564" s="467"/>
      <c r="D564" s="467"/>
      <c r="E564" s="467"/>
    </row>
    <row r="565" ht="14.25" customHeight="1">
      <c r="A565" s="467"/>
      <c r="B565" s="467"/>
      <c r="C565" s="467"/>
      <c r="D565" s="467"/>
      <c r="E565" s="467"/>
    </row>
    <row r="566" ht="14.25" customHeight="1">
      <c r="A566" s="467"/>
      <c r="B566" s="467"/>
      <c r="C566" s="467"/>
      <c r="D566" s="467"/>
      <c r="E566" s="467"/>
    </row>
    <row r="567" ht="14.25" customHeight="1">
      <c r="A567" s="467"/>
      <c r="B567" s="467"/>
      <c r="C567" s="467"/>
      <c r="D567" s="467"/>
      <c r="E567" s="467"/>
    </row>
    <row r="568" ht="14.25" customHeight="1">
      <c r="A568" s="467"/>
      <c r="B568" s="467"/>
      <c r="C568" s="467"/>
      <c r="D568" s="467"/>
      <c r="E568" s="467"/>
    </row>
    <row r="569" ht="14.25" customHeight="1">
      <c r="A569" s="467"/>
      <c r="B569" s="467"/>
      <c r="C569" s="467"/>
      <c r="D569" s="467"/>
      <c r="E569" s="467"/>
    </row>
    <row r="570" ht="14.25" customHeight="1">
      <c r="A570" s="467"/>
      <c r="B570" s="467"/>
      <c r="C570" s="467"/>
      <c r="D570" s="467"/>
      <c r="E570" s="467"/>
    </row>
    <row r="571" ht="14.25" customHeight="1">
      <c r="A571" s="467"/>
      <c r="B571" s="467"/>
      <c r="C571" s="467"/>
      <c r="D571" s="467"/>
      <c r="E571" s="467"/>
    </row>
    <row r="572" ht="14.25" customHeight="1">
      <c r="A572" s="467"/>
      <c r="B572" s="467"/>
      <c r="C572" s="467"/>
      <c r="D572" s="467"/>
      <c r="E572" s="467"/>
    </row>
    <row r="573" ht="14.25" customHeight="1">
      <c r="A573" s="467"/>
      <c r="B573" s="467"/>
      <c r="C573" s="467"/>
      <c r="D573" s="467"/>
      <c r="E573" s="467"/>
    </row>
    <row r="574" ht="14.25" customHeight="1">
      <c r="A574" s="467"/>
      <c r="B574" s="467"/>
      <c r="C574" s="467"/>
      <c r="D574" s="467"/>
      <c r="E574" s="467"/>
    </row>
    <row r="575" ht="14.25" customHeight="1">
      <c r="A575" s="467"/>
      <c r="B575" s="467"/>
      <c r="C575" s="467"/>
      <c r="D575" s="467"/>
      <c r="E575" s="467"/>
    </row>
    <row r="576" ht="14.25" customHeight="1">
      <c r="A576" s="467"/>
      <c r="B576" s="467"/>
      <c r="C576" s="467"/>
      <c r="D576" s="467"/>
      <c r="E576" s="467"/>
    </row>
    <row r="577" ht="14.25" customHeight="1">
      <c r="A577" s="467"/>
      <c r="B577" s="467"/>
      <c r="C577" s="467"/>
      <c r="D577" s="467"/>
      <c r="E577" s="467"/>
    </row>
    <row r="578" ht="14.25" customHeight="1">
      <c r="A578" s="467"/>
      <c r="B578" s="467"/>
      <c r="C578" s="467"/>
      <c r="D578" s="467"/>
      <c r="E578" s="467"/>
    </row>
    <row r="579" ht="14.25" customHeight="1">
      <c r="A579" s="467"/>
      <c r="B579" s="467"/>
      <c r="C579" s="467"/>
      <c r="D579" s="467"/>
      <c r="E579" s="467"/>
    </row>
    <row r="580" ht="14.25" customHeight="1">
      <c r="A580" s="467"/>
      <c r="B580" s="467"/>
      <c r="C580" s="467"/>
      <c r="D580" s="467"/>
      <c r="E580" s="467"/>
    </row>
    <row r="581" ht="14.25" customHeight="1">
      <c r="A581" s="467"/>
      <c r="B581" s="467"/>
      <c r="C581" s="467"/>
      <c r="D581" s="467"/>
      <c r="E581" s="467"/>
    </row>
    <row r="582" ht="14.25" customHeight="1">
      <c r="A582" s="467"/>
      <c r="B582" s="467"/>
      <c r="C582" s="467"/>
      <c r="D582" s="467"/>
      <c r="E582" s="467"/>
    </row>
    <row r="583" ht="14.25" customHeight="1">
      <c r="A583" s="467"/>
      <c r="B583" s="467"/>
      <c r="C583" s="467"/>
      <c r="D583" s="467"/>
      <c r="E583" s="467"/>
    </row>
    <row r="584" ht="14.25" customHeight="1">
      <c r="A584" s="467"/>
      <c r="B584" s="467"/>
      <c r="C584" s="467"/>
      <c r="D584" s="467"/>
      <c r="E584" s="467"/>
    </row>
    <row r="585" ht="14.25" customHeight="1">
      <c r="A585" s="467"/>
      <c r="B585" s="467"/>
      <c r="C585" s="467"/>
      <c r="D585" s="467"/>
      <c r="E585" s="467"/>
    </row>
    <row r="586" ht="14.25" customHeight="1">
      <c r="A586" s="467"/>
      <c r="B586" s="467"/>
      <c r="C586" s="467"/>
      <c r="D586" s="467"/>
      <c r="E586" s="467"/>
    </row>
    <row r="587" ht="14.25" customHeight="1">
      <c r="A587" s="467"/>
      <c r="B587" s="467"/>
      <c r="C587" s="467"/>
      <c r="D587" s="467"/>
      <c r="E587" s="467"/>
    </row>
    <row r="588" ht="14.25" customHeight="1">
      <c r="A588" s="467"/>
      <c r="B588" s="467"/>
      <c r="C588" s="467"/>
      <c r="D588" s="467"/>
      <c r="E588" s="467"/>
    </row>
    <row r="589" ht="14.25" customHeight="1">
      <c r="A589" s="467"/>
      <c r="B589" s="467"/>
      <c r="C589" s="467"/>
      <c r="D589" s="467"/>
      <c r="E589" s="467"/>
    </row>
    <row r="590" ht="14.25" customHeight="1">
      <c r="A590" s="467"/>
      <c r="B590" s="467"/>
      <c r="C590" s="467"/>
      <c r="D590" s="467"/>
      <c r="E590" s="467"/>
    </row>
    <row r="591" ht="14.25" customHeight="1">
      <c r="A591" s="467"/>
      <c r="B591" s="467"/>
      <c r="C591" s="467"/>
      <c r="D591" s="467"/>
      <c r="E591" s="467"/>
    </row>
    <row r="592" ht="14.25" customHeight="1">
      <c r="A592" s="467"/>
      <c r="B592" s="467"/>
      <c r="C592" s="467"/>
      <c r="D592" s="467"/>
      <c r="E592" s="467"/>
    </row>
    <row r="593" ht="14.25" customHeight="1">
      <c r="A593" s="467"/>
      <c r="B593" s="467"/>
      <c r="C593" s="467"/>
      <c r="D593" s="467"/>
      <c r="E593" s="467"/>
    </row>
    <row r="594" ht="14.25" customHeight="1">
      <c r="A594" s="467"/>
      <c r="B594" s="467"/>
      <c r="C594" s="467"/>
      <c r="D594" s="467"/>
      <c r="E594" s="467"/>
    </row>
    <row r="595" ht="14.25" customHeight="1">
      <c r="A595" s="467"/>
      <c r="B595" s="467"/>
      <c r="C595" s="467"/>
      <c r="D595" s="467"/>
      <c r="E595" s="467"/>
    </row>
    <row r="596" ht="14.25" customHeight="1">
      <c r="A596" s="467"/>
      <c r="B596" s="467"/>
      <c r="C596" s="467"/>
      <c r="D596" s="467"/>
      <c r="E596" s="467"/>
    </row>
    <row r="597" ht="14.25" customHeight="1">
      <c r="A597" s="467"/>
      <c r="B597" s="467"/>
      <c r="C597" s="467"/>
      <c r="D597" s="467"/>
      <c r="E597" s="467"/>
    </row>
    <row r="598" ht="14.25" customHeight="1">
      <c r="A598" s="467"/>
      <c r="B598" s="467"/>
      <c r="C598" s="467"/>
      <c r="D598" s="467"/>
      <c r="E598" s="467"/>
    </row>
    <row r="599" ht="14.25" customHeight="1">
      <c r="A599" s="467"/>
      <c r="B599" s="467"/>
      <c r="C599" s="467"/>
      <c r="D599" s="467"/>
      <c r="E599" s="467"/>
    </row>
    <row r="600" ht="14.25" customHeight="1">
      <c r="A600" s="467"/>
      <c r="B600" s="467"/>
      <c r="C600" s="467"/>
      <c r="D600" s="467"/>
      <c r="E600" s="467"/>
    </row>
    <row r="601" ht="14.25" customHeight="1">
      <c r="A601" s="467"/>
      <c r="B601" s="467"/>
      <c r="C601" s="467"/>
      <c r="D601" s="467"/>
      <c r="E601" s="467"/>
    </row>
    <row r="602" ht="14.25" customHeight="1">
      <c r="A602" s="467"/>
      <c r="B602" s="467"/>
      <c r="C602" s="467"/>
      <c r="D602" s="467"/>
      <c r="E602" s="467"/>
    </row>
    <row r="603" ht="14.25" customHeight="1">
      <c r="A603" s="467"/>
      <c r="B603" s="467"/>
      <c r="C603" s="467"/>
      <c r="D603" s="467"/>
      <c r="E603" s="467"/>
    </row>
    <row r="604" ht="14.25" customHeight="1">
      <c r="A604" s="467"/>
      <c r="B604" s="467"/>
      <c r="C604" s="467"/>
      <c r="D604" s="467"/>
      <c r="E604" s="467"/>
    </row>
    <row r="605" ht="14.25" customHeight="1">
      <c r="A605" s="467"/>
      <c r="B605" s="467"/>
      <c r="C605" s="467"/>
      <c r="D605" s="467"/>
      <c r="E605" s="467"/>
    </row>
    <row r="606" ht="14.25" customHeight="1">
      <c r="A606" s="467"/>
      <c r="B606" s="467"/>
      <c r="C606" s="467"/>
      <c r="D606" s="467"/>
      <c r="E606" s="467"/>
    </row>
    <row r="607" ht="14.25" customHeight="1">
      <c r="A607" s="467"/>
      <c r="B607" s="467"/>
      <c r="C607" s="467"/>
      <c r="D607" s="467"/>
      <c r="E607" s="467"/>
    </row>
    <row r="608" ht="14.25" customHeight="1">
      <c r="A608" s="467"/>
      <c r="B608" s="467"/>
      <c r="C608" s="467"/>
      <c r="D608" s="467"/>
      <c r="E608" s="467"/>
    </row>
    <row r="609" ht="14.25" customHeight="1">
      <c r="A609" s="467"/>
      <c r="B609" s="467"/>
      <c r="C609" s="467"/>
      <c r="D609" s="467"/>
      <c r="E609" s="467"/>
    </row>
    <row r="610" ht="14.25" customHeight="1">
      <c r="A610" s="467"/>
      <c r="B610" s="467"/>
      <c r="C610" s="467"/>
      <c r="D610" s="467"/>
      <c r="E610" s="467"/>
    </row>
    <row r="611" ht="14.25" customHeight="1">
      <c r="A611" s="467"/>
      <c r="B611" s="467"/>
      <c r="C611" s="467"/>
      <c r="D611" s="467"/>
      <c r="E611" s="467"/>
    </row>
    <row r="612" ht="14.25" customHeight="1">
      <c r="A612" s="467"/>
      <c r="B612" s="467"/>
      <c r="C612" s="467"/>
      <c r="D612" s="467"/>
      <c r="E612" s="467"/>
    </row>
    <row r="613" ht="14.25" customHeight="1">
      <c r="A613" s="467"/>
      <c r="B613" s="467"/>
      <c r="C613" s="467"/>
      <c r="D613" s="467"/>
      <c r="E613" s="467"/>
    </row>
    <row r="614" ht="14.25" customHeight="1">
      <c r="A614" s="467"/>
      <c r="B614" s="467"/>
      <c r="C614" s="467"/>
      <c r="D614" s="467"/>
      <c r="E614" s="467"/>
    </row>
    <row r="615" ht="14.25" customHeight="1">
      <c r="A615" s="467"/>
      <c r="B615" s="467"/>
      <c r="C615" s="467"/>
      <c r="D615" s="467"/>
      <c r="E615" s="467"/>
    </row>
    <row r="616" ht="14.25" customHeight="1">
      <c r="A616" s="467"/>
      <c r="B616" s="467"/>
      <c r="C616" s="467"/>
      <c r="D616" s="467"/>
      <c r="E616" s="467"/>
    </row>
    <row r="617" ht="14.25" customHeight="1">
      <c r="A617" s="467"/>
      <c r="B617" s="467"/>
      <c r="C617" s="467"/>
      <c r="D617" s="467"/>
      <c r="E617" s="467"/>
    </row>
    <row r="618" ht="14.25" customHeight="1">
      <c r="A618" s="467"/>
      <c r="B618" s="467"/>
      <c r="C618" s="467"/>
      <c r="D618" s="467"/>
      <c r="E618" s="467"/>
    </row>
    <row r="619" ht="14.25" customHeight="1">
      <c r="A619" s="467"/>
      <c r="B619" s="467"/>
      <c r="C619" s="467"/>
      <c r="D619" s="467"/>
      <c r="E619" s="467"/>
    </row>
    <row r="620" ht="14.25" customHeight="1">
      <c r="A620" s="467"/>
      <c r="B620" s="467"/>
      <c r="C620" s="467"/>
      <c r="D620" s="467"/>
      <c r="E620" s="467"/>
    </row>
    <row r="621" ht="14.25" customHeight="1">
      <c r="A621" s="467"/>
      <c r="B621" s="467"/>
      <c r="C621" s="467"/>
      <c r="D621" s="467"/>
      <c r="E621" s="467"/>
    </row>
    <row r="622" ht="14.25" customHeight="1">
      <c r="A622" s="467"/>
      <c r="B622" s="467"/>
      <c r="C622" s="467"/>
      <c r="D622" s="467"/>
      <c r="E622" s="467"/>
    </row>
    <row r="623" ht="14.25" customHeight="1">
      <c r="A623" s="467"/>
      <c r="B623" s="467"/>
      <c r="C623" s="467"/>
      <c r="D623" s="467"/>
      <c r="E623" s="467"/>
    </row>
    <row r="624" ht="14.25" customHeight="1">
      <c r="A624" s="467"/>
      <c r="B624" s="467"/>
      <c r="C624" s="467"/>
      <c r="D624" s="467"/>
      <c r="E624" s="467"/>
    </row>
    <row r="625" ht="14.25" customHeight="1">
      <c r="A625" s="467"/>
      <c r="B625" s="467"/>
      <c r="C625" s="467"/>
      <c r="D625" s="467"/>
      <c r="E625" s="467"/>
    </row>
    <row r="626" ht="14.25" customHeight="1">
      <c r="A626" s="467"/>
      <c r="B626" s="467"/>
      <c r="C626" s="467"/>
      <c r="D626" s="467"/>
      <c r="E626" s="467"/>
    </row>
    <row r="627" ht="14.25" customHeight="1">
      <c r="A627" s="467"/>
      <c r="B627" s="467"/>
      <c r="C627" s="467"/>
      <c r="D627" s="467"/>
      <c r="E627" s="467"/>
    </row>
    <row r="628" ht="14.25" customHeight="1">
      <c r="A628" s="467"/>
      <c r="B628" s="467"/>
      <c r="C628" s="467"/>
      <c r="D628" s="467"/>
      <c r="E628" s="467"/>
    </row>
    <row r="629" ht="14.25" customHeight="1">
      <c r="A629" s="467"/>
      <c r="B629" s="467"/>
      <c r="C629" s="467"/>
      <c r="D629" s="467"/>
      <c r="E629" s="467"/>
    </row>
    <row r="630" ht="14.25" customHeight="1">
      <c r="A630" s="467"/>
      <c r="B630" s="467"/>
      <c r="C630" s="467"/>
      <c r="D630" s="467"/>
      <c r="E630" s="467"/>
    </row>
    <row r="631" ht="14.25" customHeight="1">
      <c r="A631" s="467"/>
      <c r="B631" s="467"/>
      <c r="C631" s="467"/>
      <c r="D631" s="467"/>
      <c r="E631" s="467"/>
    </row>
    <row r="632" ht="14.25" customHeight="1">
      <c r="A632" s="467"/>
      <c r="B632" s="467"/>
      <c r="C632" s="467"/>
      <c r="D632" s="467"/>
      <c r="E632" s="467"/>
    </row>
    <row r="633" ht="14.25" customHeight="1">
      <c r="A633" s="467"/>
      <c r="B633" s="467"/>
      <c r="C633" s="467"/>
      <c r="D633" s="467"/>
      <c r="E633" s="467"/>
    </row>
    <row r="634" ht="14.25" customHeight="1">
      <c r="A634" s="467"/>
      <c r="B634" s="467"/>
      <c r="C634" s="467"/>
      <c r="D634" s="467"/>
      <c r="E634" s="467"/>
    </row>
    <row r="635" ht="14.25" customHeight="1">
      <c r="A635" s="467"/>
      <c r="B635" s="467"/>
      <c r="C635" s="467"/>
      <c r="D635" s="467"/>
      <c r="E635" s="467"/>
    </row>
    <row r="636" ht="14.25" customHeight="1">
      <c r="A636" s="467"/>
      <c r="B636" s="467"/>
      <c r="C636" s="467"/>
      <c r="D636" s="467"/>
      <c r="E636" s="467"/>
    </row>
    <row r="637" ht="14.25" customHeight="1">
      <c r="A637" s="467"/>
      <c r="B637" s="467"/>
      <c r="C637" s="467"/>
      <c r="D637" s="467"/>
      <c r="E637" s="467"/>
    </row>
    <row r="638" ht="14.25" customHeight="1">
      <c r="A638" s="467"/>
      <c r="B638" s="467"/>
      <c r="C638" s="467"/>
      <c r="D638" s="467"/>
      <c r="E638" s="467"/>
    </row>
    <row r="639" ht="14.25" customHeight="1">
      <c r="A639" s="467"/>
      <c r="B639" s="467"/>
      <c r="C639" s="467"/>
      <c r="D639" s="467"/>
      <c r="E639" s="467"/>
    </row>
    <row r="640" ht="14.25" customHeight="1">
      <c r="A640" s="467"/>
      <c r="B640" s="467"/>
      <c r="C640" s="467"/>
      <c r="D640" s="467"/>
      <c r="E640" s="467"/>
    </row>
    <row r="641" ht="14.25" customHeight="1">
      <c r="A641" s="467"/>
      <c r="B641" s="467"/>
      <c r="C641" s="467"/>
      <c r="D641" s="467"/>
      <c r="E641" s="467"/>
    </row>
    <row r="642" ht="14.25" customHeight="1">
      <c r="A642" s="467"/>
      <c r="B642" s="467"/>
      <c r="C642" s="467"/>
      <c r="D642" s="467"/>
      <c r="E642" s="467"/>
    </row>
    <row r="643" ht="14.25" customHeight="1">
      <c r="A643" s="467"/>
      <c r="B643" s="467"/>
      <c r="C643" s="467"/>
      <c r="D643" s="467"/>
      <c r="E643" s="467"/>
    </row>
    <row r="644" ht="14.25" customHeight="1">
      <c r="A644" s="467"/>
      <c r="B644" s="467"/>
      <c r="C644" s="467"/>
      <c r="D644" s="467"/>
      <c r="E644" s="467"/>
    </row>
    <row r="645" ht="14.25" customHeight="1">
      <c r="A645" s="467"/>
      <c r="B645" s="467"/>
      <c r="C645" s="467"/>
      <c r="D645" s="467"/>
      <c r="E645" s="467"/>
    </row>
    <row r="646" ht="14.25" customHeight="1">
      <c r="A646" s="467"/>
      <c r="B646" s="467"/>
      <c r="C646" s="467"/>
      <c r="D646" s="467"/>
      <c r="E646" s="467"/>
    </row>
    <row r="647" ht="14.25" customHeight="1">
      <c r="A647" s="467"/>
      <c r="B647" s="467"/>
      <c r="C647" s="467"/>
      <c r="D647" s="467"/>
      <c r="E647" s="467"/>
    </row>
    <row r="648" ht="14.25" customHeight="1">
      <c r="A648" s="467"/>
      <c r="B648" s="467"/>
      <c r="C648" s="467"/>
      <c r="D648" s="467"/>
      <c r="E648" s="467"/>
    </row>
    <row r="649" ht="14.25" customHeight="1">
      <c r="A649" s="467"/>
      <c r="B649" s="467"/>
      <c r="C649" s="467"/>
      <c r="D649" s="467"/>
      <c r="E649" s="467"/>
    </row>
    <row r="650" ht="14.25" customHeight="1">
      <c r="A650" s="467"/>
      <c r="B650" s="467"/>
      <c r="C650" s="467"/>
      <c r="D650" s="467"/>
      <c r="E650" s="467"/>
    </row>
    <row r="651" ht="14.25" customHeight="1">
      <c r="A651" s="467"/>
      <c r="B651" s="467"/>
      <c r="C651" s="467"/>
      <c r="D651" s="467"/>
      <c r="E651" s="467"/>
    </row>
    <row r="652" ht="14.25" customHeight="1">
      <c r="A652" s="467"/>
      <c r="B652" s="467"/>
      <c r="C652" s="467"/>
      <c r="D652" s="467"/>
      <c r="E652" s="467"/>
    </row>
    <row r="653" ht="14.25" customHeight="1">
      <c r="A653" s="467"/>
      <c r="B653" s="467"/>
      <c r="C653" s="467"/>
      <c r="D653" s="467"/>
      <c r="E653" s="467"/>
    </row>
    <row r="654" ht="14.25" customHeight="1">
      <c r="A654" s="467"/>
      <c r="B654" s="467"/>
      <c r="C654" s="467"/>
      <c r="D654" s="467"/>
      <c r="E654" s="467"/>
    </row>
    <row r="655" ht="14.25" customHeight="1">
      <c r="A655" s="467"/>
      <c r="B655" s="467"/>
      <c r="C655" s="467"/>
      <c r="D655" s="467"/>
      <c r="E655" s="467"/>
    </row>
    <row r="656" ht="14.25" customHeight="1">
      <c r="A656" s="467"/>
      <c r="B656" s="467"/>
      <c r="C656" s="467"/>
      <c r="D656" s="467"/>
      <c r="E656" s="467"/>
    </row>
    <row r="657" ht="14.25" customHeight="1">
      <c r="A657" s="467"/>
      <c r="B657" s="467"/>
      <c r="C657" s="467"/>
      <c r="D657" s="467"/>
      <c r="E657" s="467"/>
    </row>
    <row r="658" ht="14.25" customHeight="1">
      <c r="A658" s="467"/>
      <c r="B658" s="467"/>
      <c r="C658" s="467"/>
      <c r="D658" s="467"/>
      <c r="E658" s="467"/>
    </row>
    <row r="659" ht="14.25" customHeight="1">
      <c r="A659" s="467"/>
      <c r="B659" s="467"/>
      <c r="C659" s="467"/>
      <c r="D659" s="467"/>
      <c r="E659" s="467"/>
    </row>
    <row r="660" ht="14.25" customHeight="1">
      <c r="A660" s="467"/>
      <c r="B660" s="467"/>
      <c r="C660" s="467"/>
      <c r="D660" s="467"/>
      <c r="E660" s="467"/>
    </row>
    <row r="661" ht="14.25" customHeight="1">
      <c r="A661" s="467"/>
      <c r="B661" s="467"/>
      <c r="C661" s="467"/>
      <c r="D661" s="467"/>
      <c r="E661" s="467"/>
    </row>
    <row r="662" ht="14.25" customHeight="1">
      <c r="A662" s="467"/>
      <c r="B662" s="467"/>
      <c r="C662" s="467"/>
      <c r="D662" s="467"/>
      <c r="E662" s="467"/>
    </row>
    <row r="663" ht="14.25" customHeight="1">
      <c r="A663" s="467"/>
      <c r="B663" s="467"/>
      <c r="C663" s="467"/>
      <c r="D663" s="467"/>
      <c r="E663" s="467"/>
    </row>
    <row r="664" ht="14.25" customHeight="1">
      <c r="A664" s="467"/>
      <c r="B664" s="467"/>
      <c r="C664" s="467"/>
      <c r="D664" s="467"/>
      <c r="E664" s="467"/>
    </row>
    <row r="665" ht="14.25" customHeight="1">
      <c r="A665" s="467"/>
      <c r="B665" s="467"/>
      <c r="C665" s="467"/>
      <c r="D665" s="467"/>
      <c r="E665" s="467"/>
    </row>
    <row r="666" ht="14.25" customHeight="1">
      <c r="A666" s="467"/>
      <c r="B666" s="467"/>
      <c r="C666" s="467"/>
      <c r="D666" s="467"/>
      <c r="E666" s="467"/>
    </row>
    <row r="667" ht="14.25" customHeight="1">
      <c r="A667" s="467"/>
      <c r="B667" s="467"/>
      <c r="C667" s="467"/>
      <c r="D667" s="467"/>
      <c r="E667" s="467"/>
    </row>
    <row r="668" ht="14.25" customHeight="1">
      <c r="A668" s="467"/>
      <c r="B668" s="467"/>
      <c r="C668" s="467"/>
      <c r="D668" s="467"/>
      <c r="E668" s="467"/>
    </row>
    <row r="669" ht="14.25" customHeight="1">
      <c r="A669" s="467"/>
      <c r="B669" s="467"/>
      <c r="C669" s="467"/>
      <c r="D669" s="467"/>
      <c r="E669" s="467"/>
    </row>
    <row r="670" ht="14.25" customHeight="1">
      <c r="A670" s="467"/>
      <c r="B670" s="467"/>
      <c r="C670" s="467"/>
      <c r="D670" s="467"/>
      <c r="E670" s="467"/>
    </row>
    <row r="671" ht="14.25" customHeight="1">
      <c r="A671" s="467"/>
      <c r="B671" s="467"/>
      <c r="C671" s="467"/>
      <c r="D671" s="467"/>
      <c r="E671" s="467"/>
    </row>
    <row r="672" ht="14.25" customHeight="1">
      <c r="A672" s="467"/>
      <c r="B672" s="467"/>
      <c r="C672" s="467"/>
      <c r="D672" s="467"/>
      <c r="E672" s="467"/>
    </row>
    <row r="673" ht="14.25" customHeight="1">
      <c r="A673" s="467"/>
      <c r="B673" s="467"/>
      <c r="C673" s="467"/>
      <c r="D673" s="467"/>
      <c r="E673" s="467"/>
    </row>
    <row r="674" ht="14.25" customHeight="1">
      <c r="A674" s="467"/>
      <c r="B674" s="467"/>
      <c r="C674" s="467"/>
      <c r="D674" s="467"/>
      <c r="E674" s="467"/>
    </row>
    <row r="675" ht="14.25" customHeight="1">
      <c r="A675" s="467"/>
      <c r="B675" s="467"/>
      <c r="C675" s="467"/>
      <c r="D675" s="467"/>
      <c r="E675" s="467"/>
    </row>
    <row r="676" ht="14.25" customHeight="1">
      <c r="A676" s="467"/>
      <c r="B676" s="467"/>
      <c r="C676" s="467"/>
      <c r="D676" s="467"/>
      <c r="E676" s="467"/>
    </row>
    <row r="677" ht="14.25" customHeight="1">
      <c r="A677" s="467"/>
      <c r="B677" s="467"/>
      <c r="C677" s="467"/>
      <c r="D677" s="467"/>
      <c r="E677" s="467"/>
    </row>
    <row r="678" ht="14.25" customHeight="1">
      <c r="A678" s="467"/>
      <c r="B678" s="467"/>
      <c r="C678" s="467"/>
      <c r="D678" s="467"/>
      <c r="E678" s="467"/>
    </row>
    <row r="679" ht="14.25" customHeight="1">
      <c r="A679" s="467"/>
      <c r="B679" s="467"/>
      <c r="C679" s="467"/>
      <c r="D679" s="467"/>
      <c r="E679" s="467"/>
    </row>
    <row r="680" ht="14.25" customHeight="1">
      <c r="A680" s="467"/>
      <c r="B680" s="467"/>
      <c r="C680" s="467"/>
      <c r="D680" s="467"/>
      <c r="E680" s="467"/>
    </row>
    <row r="681" ht="14.25" customHeight="1">
      <c r="A681" s="467"/>
      <c r="B681" s="467"/>
      <c r="C681" s="467"/>
      <c r="D681" s="467"/>
      <c r="E681" s="467"/>
    </row>
    <row r="682" ht="14.25" customHeight="1">
      <c r="A682" s="467"/>
      <c r="B682" s="467"/>
      <c r="C682" s="467"/>
      <c r="D682" s="467"/>
      <c r="E682" s="467"/>
    </row>
    <row r="683" ht="14.25" customHeight="1">
      <c r="A683" s="467"/>
      <c r="B683" s="467"/>
      <c r="C683" s="467"/>
      <c r="D683" s="467"/>
      <c r="E683" s="467"/>
    </row>
    <row r="684" ht="14.25" customHeight="1">
      <c r="A684" s="467"/>
      <c r="B684" s="467"/>
      <c r="C684" s="467"/>
      <c r="D684" s="467"/>
      <c r="E684" s="467"/>
    </row>
    <row r="685" ht="14.25" customHeight="1">
      <c r="A685" s="467"/>
      <c r="B685" s="467"/>
      <c r="C685" s="467"/>
      <c r="D685" s="467"/>
      <c r="E685" s="467"/>
    </row>
    <row r="686" ht="14.25" customHeight="1">
      <c r="A686" s="467"/>
      <c r="B686" s="467"/>
      <c r="C686" s="467"/>
      <c r="D686" s="467"/>
      <c r="E686" s="467"/>
    </row>
    <row r="687" ht="14.25" customHeight="1">
      <c r="A687" s="467"/>
      <c r="B687" s="467"/>
      <c r="C687" s="467"/>
      <c r="D687" s="467"/>
      <c r="E687" s="467"/>
    </row>
    <row r="688" ht="14.25" customHeight="1">
      <c r="A688" s="467"/>
      <c r="B688" s="467"/>
      <c r="C688" s="467"/>
      <c r="D688" s="467"/>
      <c r="E688" s="467"/>
    </row>
    <row r="689" ht="14.25" customHeight="1">
      <c r="A689" s="467"/>
      <c r="B689" s="467"/>
      <c r="C689" s="467"/>
      <c r="D689" s="467"/>
      <c r="E689" s="467"/>
    </row>
    <row r="690" ht="14.25" customHeight="1">
      <c r="A690" s="467"/>
      <c r="B690" s="467"/>
      <c r="C690" s="467"/>
      <c r="D690" s="467"/>
      <c r="E690" s="467"/>
    </row>
    <row r="691" ht="14.25" customHeight="1">
      <c r="A691" s="467"/>
      <c r="B691" s="467"/>
      <c r="C691" s="467"/>
      <c r="D691" s="467"/>
      <c r="E691" s="467"/>
    </row>
    <row r="692" ht="14.25" customHeight="1">
      <c r="A692" s="467"/>
      <c r="B692" s="467"/>
      <c r="C692" s="467"/>
      <c r="D692" s="467"/>
      <c r="E692" s="467"/>
    </row>
    <row r="693" ht="14.25" customHeight="1">
      <c r="A693" s="467"/>
      <c r="B693" s="467"/>
      <c r="C693" s="467"/>
      <c r="D693" s="467"/>
      <c r="E693" s="467"/>
    </row>
    <row r="694" ht="14.25" customHeight="1">
      <c r="A694" s="467"/>
      <c r="B694" s="467"/>
      <c r="C694" s="467"/>
      <c r="D694" s="467"/>
      <c r="E694" s="467"/>
    </row>
    <row r="695" ht="14.25" customHeight="1">
      <c r="A695" s="467"/>
      <c r="B695" s="467"/>
      <c r="C695" s="467"/>
      <c r="D695" s="467"/>
      <c r="E695" s="467"/>
    </row>
    <row r="696" ht="14.25" customHeight="1">
      <c r="A696" s="467"/>
      <c r="B696" s="467"/>
      <c r="C696" s="467"/>
      <c r="D696" s="467"/>
      <c r="E696" s="467"/>
    </row>
    <row r="697" ht="14.25" customHeight="1">
      <c r="A697" s="467"/>
      <c r="B697" s="467"/>
      <c r="C697" s="467"/>
      <c r="D697" s="467"/>
      <c r="E697" s="467"/>
    </row>
    <row r="698" ht="14.25" customHeight="1">
      <c r="A698" s="467"/>
      <c r="B698" s="467"/>
      <c r="C698" s="467"/>
      <c r="D698" s="467"/>
      <c r="E698" s="467"/>
    </row>
    <row r="699" ht="14.25" customHeight="1">
      <c r="A699" s="467"/>
      <c r="B699" s="467"/>
      <c r="C699" s="467"/>
      <c r="D699" s="467"/>
      <c r="E699" s="467"/>
    </row>
    <row r="700" ht="14.25" customHeight="1">
      <c r="A700" s="467"/>
      <c r="B700" s="467"/>
      <c r="C700" s="467"/>
      <c r="D700" s="467"/>
      <c r="E700" s="467"/>
    </row>
    <row r="701" ht="14.25" customHeight="1">
      <c r="A701" s="467"/>
      <c r="B701" s="467"/>
      <c r="C701" s="467"/>
      <c r="D701" s="467"/>
      <c r="E701" s="467"/>
    </row>
    <row r="702" ht="14.25" customHeight="1">
      <c r="A702" s="467"/>
      <c r="B702" s="467"/>
      <c r="C702" s="467"/>
      <c r="D702" s="467"/>
      <c r="E702" s="467"/>
    </row>
    <row r="703" ht="14.25" customHeight="1">
      <c r="A703" s="467"/>
      <c r="B703" s="467"/>
      <c r="C703" s="467"/>
      <c r="D703" s="467"/>
      <c r="E703" s="467"/>
    </row>
    <row r="704" ht="14.25" customHeight="1">
      <c r="A704" s="467"/>
      <c r="B704" s="467"/>
      <c r="C704" s="467"/>
      <c r="D704" s="467"/>
      <c r="E704" s="467"/>
    </row>
    <row r="705" ht="14.25" customHeight="1">
      <c r="A705" s="467"/>
      <c r="B705" s="467"/>
      <c r="C705" s="467"/>
      <c r="D705" s="467"/>
      <c r="E705" s="467"/>
    </row>
    <row r="706" ht="14.25" customHeight="1">
      <c r="A706" s="467"/>
      <c r="B706" s="467"/>
      <c r="C706" s="467"/>
      <c r="D706" s="467"/>
      <c r="E706" s="467"/>
    </row>
    <row r="707" ht="14.25" customHeight="1">
      <c r="A707" s="467"/>
      <c r="B707" s="467"/>
      <c r="C707" s="467"/>
      <c r="D707" s="467"/>
      <c r="E707" s="467"/>
    </row>
    <row r="708" ht="14.25" customHeight="1">
      <c r="A708" s="467"/>
      <c r="B708" s="467"/>
      <c r="C708" s="467"/>
      <c r="D708" s="467"/>
      <c r="E708" s="467"/>
    </row>
    <row r="709" ht="14.25" customHeight="1">
      <c r="A709" s="467"/>
      <c r="B709" s="467"/>
      <c r="C709" s="467"/>
      <c r="D709" s="467"/>
      <c r="E709" s="467"/>
    </row>
    <row r="710" ht="14.25" customHeight="1">
      <c r="A710" s="467"/>
      <c r="B710" s="467"/>
      <c r="C710" s="467"/>
      <c r="D710" s="467"/>
      <c r="E710" s="467"/>
    </row>
    <row r="711" ht="14.25" customHeight="1">
      <c r="A711" s="467"/>
      <c r="B711" s="467"/>
      <c r="C711" s="467"/>
      <c r="D711" s="467"/>
      <c r="E711" s="467"/>
    </row>
    <row r="712" ht="14.25" customHeight="1">
      <c r="A712" s="467"/>
      <c r="B712" s="467"/>
      <c r="C712" s="467"/>
      <c r="D712" s="467"/>
      <c r="E712" s="467"/>
    </row>
    <row r="713" ht="14.25" customHeight="1">
      <c r="A713" s="467"/>
      <c r="B713" s="467"/>
      <c r="C713" s="467"/>
      <c r="D713" s="467"/>
      <c r="E713" s="467"/>
    </row>
    <row r="714" ht="14.25" customHeight="1">
      <c r="A714" s="467"/>
      <c r="B714" s="467"/>
      <c r="C714" s="467"/>
      <c r="D714" s="467"/>
      <c r="E714" s="467"/>
    </row>
    <row r="715" ht="14.25" customHeight="1">
      <c r="A715" s="467"/>
      <c r="B715" s="467"/>
      <c r="C715" s="467"/>
      <c r="D715" s="467"/>
      <c r="E715" s="467"/>
    </row>
    <row r="716" ht="14.25" customHeight="1">
      <c r="A716" s="467"/>
      <c r="B716" s="467"/>
      <c r="C716" s="467"/>
      <c r="D716" s="467"/>
      <c r="E716" s="467"/>
    </row>
    <row r="717" ht="14.25" customHeight="1">
      <c r="A717" s="467"/>
      <c r="B717" s="467"/>
      <c r="C717" s="467"/>
      <c r="D717" s="467"/>
      <c r="E717" s="467"/>
    </row>
    <row r="718" ht="14.25" customHeight="1">
      <c r="A718" s="467"/>
      <c r="B718" s="467"/>
      <c r="C718" s="467"/>
      <c r="D718" s="467"/>
      <c r="E718" s="467"/>
    </row>
    <row r="719" ht="14.25" customHeight="1">
      <c r="A719" s="467"/>
      <c r="B719" s="467"/>
      <c r="C719" s="467"/>
      <c r="D719" s="467"/>
      <c r="E719" s="467"/>
    </row>
    <row r="720" ht="14.25" customHeight="1">
      <c r="A720" s="467"/>
      <c r="B720" s="467"/>
      <c r="C720" s="467"/>
      <c r="D720" s="467"/>
      <c r="E720" s="467"/>
    </row>
    <row r="721" ht="14.25" customHeight="1">
      <c r="A721" s="467"/>
      <c r="B721" s="467"/>
      <c r="C721" s="467"/>
      <c r="D721" s="467"/>
      <c r="E721" s="467"/>
    </row>
    <row r="722" ht="14.25" customHeight="1">
      <c r="A722" s="467"/>
      <c r="B722" s="467"/>
      <c r="C722" s="467"/>
      <c r="D722" s="467"/>
      <c r="E722" s="467"/>
    </row>
    <row r="723" ht="14.25" customHeight="1">
      <c r="A723" s="467"/>
      <c r="B723" s="467"/>
      <c r="C723" s="467"/>
      <c r="D723" s="467"/>
      <c r="E723" s="467"/>
    </row>
    <row r="724" ht="14.25" customHeight="1">
      <c r="A724" s="467"/>
      <c r="B724" s="467"/>
      <c r="C724" s="467"/>
      <c r="D724" s="467"/>
      <c r="E724" s="467"/>
    </row>
    <row r="725" ht="14.25" customHeight="1">
      <c r="A725" s="467"/>
      <c r="B725" s="467"/>
      <c r="C725" s="467"/>
      <c r="D725" s="467"/>
      <c r="E725" s="467"/>
    </row>
    <row r="726" ht="14.25" customHeight="1">
      <c r="A726" s="467"/>
      <c r="B726" s="467"/>
      <c r="C726" s="467"/>
      <c r="D726" s="467"/>
      <c r="E726" s="467"/>
    </row>
    <row r="727" ht="14.25" customHeight="1">
      <c r="A727" s="467"/>
      <c r="B727" s="467"/>
      <c r="C727" s="467"/>
      <c r="D727" s="467"/>
      <c r="E727" s="467"/>
    </row>
    <row r="728" ht="14.25" customHeight="1">
      <c r="A728" s="467"/>
      <c r="B728" s="467"/>
      <c r="C728" s="467"/>
      <c r="D728" s="467"/>
      <c r="E728" s="467"/>
    </row>
    <row r="729" ht="14.25" customHeight="1">
      <c r="A729" s="467"/>
      <c r="B729" s="467"/>
      <c r="C729" s="467"/>
      <c r="D729" s="467"/>
      <c r="E729" s="467"/>
    </row>
    <row r="730" ht="14.25" customHeight="1">
      <c r="A730" s="467"/>
      <c r="B730" s="467"/>
      <c r="C730" s="467"/>
      <c r="D730" s="467"/>
      <c r="E730" s="467"/>
    </row>
    <row r="731" ht="14.25" customHeight="1">
      <c r="A731" s="467"/>
      <c r="B731" s="467"/>
      <c r="C731" s="467"/>
      <c r="D731" s="467"/>
      <c r="E731" s="467"/>
    </row>
    <row r="732" ht="14.25" customHeight="1">
      <c r="A732" s="467"/>
      <c r="B732" s="467"/>
      <c r="C732" s="467"/>
      <c r="D732" s="467"/>
      <c r="E732" s="467"/>
    </row>
    <row r="733" ht="14.25" customHeight="1">
      <c r="A733" s="467"/>
      <c r="B733" s="467"/>
      <c r="C733" s="467"/>
      <c r="D733" s="467"/>
      <c r="E733" s="467"/>
    </row>
    <row r="734" ht="14.25" customHeight="1">
      <c r="A734" s="467"/>
      <c r="B734" s="467"/>
      <c r="C734" s="467"/>
      <c r="D734" s="467"/>
      <c r="E734" s="467"/>
    </row>
    <row r="735" ht="14.25" customHeight="1">
      <c r="A735" s="467"/>
      <c r="B735" s="467"/>
      <c r="C735" s="467"/>
      <c r="D735" s="467"/>
      <c r="E735" s="467"/>
    </row>
    <row r="736" ht="14.25" customHeight="1">
      <c r="A736" s="467"/>
      <c r="B736" s="467"/>
      <c r="C736" s="467"/>
      <c r="D736" s="467"/>
      <c r="E736" s="467"/>
    </row>
    <row r="737" ht="14.25" customHeight="1">
      <c r="A737" s="467"/>
      <c r="B737" s="467"/>
      <c r="C737" s="467"/>
      <c r="D737" s="467"/>
      <c r="E737" s="467"/>
    </row>
    <row r="738" ht="14.25" customHeight="1">
      <c r="A738" s="467"/>
      <c r="B738" s="467"/>
      <c r="C738" s="467"/>
      <c r="D738" s="467"/>
      <c r="E738" s="467"/>
    </row>
    <row r="739" ht="14.25" customHeight="1">
      <c r="A739" s="467"/>
      <c r="B739" s="467"/>
      <c r="C739" s="467"/>
      <c r="D739" s="467"/>
      <c r="E739" s="467"/>
    </row>
    <row r="740" ht="14.25" customHeight="1">
      <c r="A740" s="467"/>
      <c r="B740" s="467"/>
      <c r="C740" s="467"/>
      <c r="D740" s="467"/>
      <c r="E740" s="467"/>
    </row>
    <row r="741" ht="14.25" customHeight="1">
      <c r="A741" s="467"/>
      <c r="B741" s="467"/>
      <c r="C741" s="467"/>
      <c r="D741" s="467"/>
      <c r="E741" s="467"/>
    </row>
    <row r="742" ht="14.25" customHeight="1">
      <c r="A742" s="467"/>
      <c r="B742" s="467"/>
      <c r="C742" s="467"/>
      <c r="D742" s="467"/>
      <c r="E742" s="467"/>
    </row>
    <row r="743" ht="14.25" customHeight="1">
      <c r="A743" s="467"/>
      <c r="B743" s="467"/>
      <c r="C743" s="467"/>
      <c r="D743" s="467"/>
      <c r="E743" s="467"/>
    </row>
    <row r="744" ht="14.25" customHeight="1">
      <c r="A744" s="467"/>
      <c r="B744" s="467"/>
      <c r="C744" s="467"/>
      <c r="D744" s="467"/>
      <c r="E744" s="467"/>
    </row>
    <row r="745" ht="14.25" customHeight="1">
      <c r="A745" s="467"/>
      <c r="B745" s="467"/>
      <c r="C745" s="467"/>
      <c r="D745" s="467"/>
      <c r="E745" s="467"/>
    </row>
    <row r="746" ht="14.25" customHeight="1">
      <c r="A746" s="467"/>
      <c r="B746" s="467"/>
      <c r="C746" s="467"/>
      <c r="D746" s="467"/>
      <c r="E746" s="467"/>
    </row>
    <row r="747" ht="14.25" customHeight="1">
      <c r="A747" s="467"/>
      <c r="B747" s="467"/>
      <c r="C747" s="467"/>
      <c r="D747" s="467"/>
      <c r="E747" s="467"/>
    </row>
    <row r="748" ht="14.25" customHeight="1">
      <c r="A748" s="467"/>
      <c r="B748" s="467"/>
      <c r="C748" s="467"/>
      <c r="D748" s="467"/>
      <c r="E748" s="467"/>
    </row>
    <row r="749" ht="14.25" customHeight="1">
      <c r="A749" s="467"/>
      <c r="B749" s="467"/>
      <c r="C749" s="467"/>
      <c r="D749" s="467"/>
      <c r="E749" s="467"/>
    </row>
    <row r="750" ht="14.25" customHeight="1">
      <c r="A750" s="467"/>
      <c r="B750" s="467"/>
      <c r="C750" s="467"/>
      <c r="D750" s="467"/>
      <c r="E750" s="467"/>
    </row>
    <row r="751" ht="14.25" customHeight="1">
      <c r="A751" s="467"/>
      <c r="B751" s="467"/>
      <c r="C751" s="467"/>
      <c r="D751" s="467"/>
      <c r="E751" s="467"/>
    </row>
    <row r="752" ht="14.25" customHeight="1">
      <c r="A752" s="467"/>
      <c r="B752" s="467"/>
      <c r="C752" s="467"/>
      <c r="D752" s="467"/>
      <c r="E752" s="467"/>
    </row>
    <row r="753" ht="14.25" customHeight="1">
      <c r="A753" s="467"/>
      <c r="B753" s="467"/>
      <c r="C753" s="467"/>
      <c r="D753" s="467"/>
      <c r="E753" s="467"/>
    </row>
    <row r="754" ht="14.25" customHeight="1">
      <c r="A754" s="467"/>
      <c r="B754" s="467"/>
      <c r="C754" s="467"/>
      <c r="D754" s="467"/>
      <c r="E754" s="467"/>
    </row>
    <row r="755" ht="14.25" customHeight="1">
      <c r="A755" s="467"/>
      <c r="B755" s="467"/>
      <c r="C755" s="467"/>
      <c r="D755" s="467"/>
      <c r="E755" s="467"/>
    </row>
    <row r="756" ht="14.25" customHeight="1">
      <c r="A756" s="467"/>
      <c r="B756" s="467"/>
      <c r="C756" s="467"/>
      <c r="D756" s="467"/>
      <c r="E756" s="467"/>
    </row>
    <row r="757" ht="14.25" customHeight="1">
      <c r="A757" s="467"/>
      <c r="B757" s="467"/>
      <c r="C757" s="467"/>
      <c r="D757" s="467"/>
      <c r="E757" s="467"/>
    </row>
    <row r="758" ht="14.25" customHeight="1">
      <c r="A758" s="467"/>
      <c r="B758" s="467"/>
      <c r="C758" s="467"/>
      <c r="D758" s="467"/>
      <c r="E758" s="467"/>
    </row>
    <row r="759" ht="14.25" customHeight="1">
      <c r="A759" s="467"/>
      <c r="B759" s="467"/>
      <c r="C759" s="467"/>
      <c r="D759" s="467"/>
      <c r="E759" s="467"/>
    </row>
    <row r="760" ht="14.25" customHeight="1">
      <c r="A760" s="467"/>
      <c r="B760" s="467"/>
      <c r="C760" s="467"/>
      <c r="D760" s="467"/>
      <c r="E760" s="467"/>
    </row>
    <row r="761" ht="14.25" customHeight="1">
      <c r="A761" s="467"/>
      <c r="B761" s="467"/>
      <c r="C761" s="467"/>
      <c r="D761" s="467"/>
      <c r="E761" s="467"/>
    </row>
    <row r="762" ht="14.25" customHeight="1">
      <c r="A762" s="467"/>
      <c r="B762" s="467"/>
      <c r="C762" s="467"/>
      <c r="D762" s="467"/>
      <c r="E762" s="467"/>
    </row>
    <row r="763" ht="14.25" customHeight="1">
      <c r="A763" s="467"/>
      <c r="B763" s="467"/>
      <c r="C763" s="467"/>
      <c r="D763" s="467"/>
      <c r="E763" s="467"/>
    </row>
    <row r="764" ht="14.25" customHeight="1">
      <c r="A764" s="467"/>
      <c r="B764" s="467"/>
      <c r="C764" s="467"/>
      <c r="D764" s="467"/>
      <c r="E764" s="467"/>
    </row>
    <row r="765" ht="14.25" customHeight="1">
      <c r="A765" s="467"/>
      <c r="B765" s="467"/>
      <c r="C765" s="467"/>
      <c r="D765" s="467"/>
      <c r="E765" s="467"/>
    </row>
    <row r="766" ht="14.25" customHeight="1">
      <c r="A766" s="467"/>
      <c r="B766" s="467"/>
      <c r="C766" s="467"/>
      <c r="D766" s="467"/>
      <c r="E766" s="467"/>
    </row>
    <row r="767" ht="14.25" customHeight="1">
      <c r="A767" s="467"/>
      <c r="B767" s="467"/>
      <c r="C767" s="467"/>
      <c r="D767" s="467"/>
      <c r="E767" s="467"/>
    </row>
    <row r="768" ht="14.25" customHeight="1">
      <c r="A768" s="467"/>
      <c r="B768" s="467"/>
      <c r="C768" s="467"/>
      <c r="D768" s="467"/>
      <c r="E768" s="467"/>
    </row>
    <row r="769" ht="14.25" customHeight="1">
      <c r="A769" s="467"/>
      <c r="B769" s="467"/>
      <c r="C769" s="467"/>
      <c r="D769" s="467"/>
      <c r="E769" s="467"/>
    </row>
    <row r="770" ht="14.25" customHeight="1">
      <c r="A770" s="467"/>
      <c r="B770" s="467"/>
      <c r="C770" s="467"/>
      <c r="D770" s="467"/>
      <c r="E770" s="467"/>
    </row>
    <row r="771" ht="14.25" customHeight="1">
      <c r="A771" s="467"/>
      <c r="B771" s="467"/>
      <c r="C771" s="467"/>
      <c r="D771" s="467"/>
      <c r="E771" s="467"/>
    </row>
    <row r="772" ht="14.25" customHeight="1">
      <c r="A772" s="467"/>
      <c r="B772" s="467"/>
      <c r="C772" s="467"/>
      <c r="D772" s="467"/>
      <c r="E772" s="467"/>
    </row>
    <row r="773" ht="14.25" customHeight="1">
      <c r="A773" s="467"/>
      <c r="B773" s="467"/>
      <c r="C773" s="467"/>
      <c r="D773" s="467"/>
      <c r="E773" s="467"/>
    </row>
    <row r="774" ht="14.25" customHeight="1">
      <c r="A774" s="467"/>
      <c r="B774" s="467"/>
      <c r="C774" s="467"/>
      <c r="D774" s="467"/>
      <c r="E774" s="467"/>
    </row>
    <row r="775" ht="14.25" customHeight="1">
      <c r="A775" s="467"/>
      <c r="B775" s="467"/>
      <c r="C775" s="467"/>
      <c r="D775" s="467"/>
      <c r="E775" s="467"/>
    </row>
    <row r="776" ht="14.25" customHeight="1">
      <c r="A776" s="467"/>
      <c r="B776" s="467"/>
      <c r="C776" s="467"/>
      <c r="D776" s="467"/>
      <c r="E776" s="467"/>
    </row>
    <row r="777" ht="14.25" customHeight="1">
      <c r="A777" s="467"/>
      <c r="B777" s="467"/>
      <c r="C777" s="467"/>
      <c r="D777" s="467"/>
      <c r="E777" s="467"/>
    </row>
    <row r="778" ht="14.25" customHeight="1">
      <c r="A778" s="467"/>
      <c r="B778" s="467"/>
      <c r="C778" s="467"/>
      <c r="D778" s="467"/>
      <c r="E778" s="467"/>
    </row>
    <row r="779" ht="14.25" customHeight="1">
      <c r="A779" s="467"/>
      <c r="B779" s="467"/>
      <c r="C779" s="467"/>
      <c r="D779" s="467"/>
      <c r="E779" s="467"/>
    </row>
    <row r="780" ht="14.25" customHeight="1">
      <c r="A780" s="467"/>
      <c r="B780" s="467"/>
      <c r="C780" s="467"/>
      <c r="D780" s="467"/>
      <c r="E780" s="467"/>
    </row>
    <row r="781" ht="14.25" customHeight="1">
      <c r="A781" s="467"/>
      <c r="B781" s="467"/>
      <c r="C781" s="467"/>
      <c r="D781" s="467"/>
      <c r="E781" s="467"/>
    </row>
    <row r="782" ht="14.25" customHeight="1">
      <c r="A782" s="467"/>
      <c r="B782" s="467"/>
      <c r="C782" s="467"/>
      <c r="D782" s="467"/>
      <c r="E782" s="467"/>
    </row>
    <row r="783" ht="14.25" customHeight="1">
      <c r="A783" s="467"/>
      <c r="B783" s="467"/>
      <c r="C783" s="467"/>
      <c r="D783" s="467"/>
      <c r="E783" s="467"/>
    </row>
    <row r="784" ht="14.25" customHeight="1">
      <c r="A784" s="467"/>
      <c r="B784" s="467"/>
      <c r="C784" s="467"/>
      <c r="D784" s="467"/>
      <c r="E784" s="467"/>
    </row>
    <row r="785" ht="14.25" customHeight="1">
      <c r="A785" s="467"/>
      <c r="B785" s="467"/>
      <c r="C785" s="467"/>
      <c r="D785" s="467"/>
      <c r="E785" s="467"/>
    </row>
    <row r="786" ht="14.25" customHeight="1">
      <c r="A786" s="467"/>
      <c r="B786" s="467"/>
      <c r="C786" s="467"/>
      <c r="D786" s="467"/>
      <c r="E786" s="467"/>
    </row>
    <row r="787" ht="14.25" customHeight="1">
      <c r="A787" s="467"/>
      <c r="B787" s="467"/>
      <c r="C787" s="467"/>
      <c r="D787" s="467"/>
      <c r="E787" s="467"/>
    </row>
    <row r="788" ht="14.25" customHeight="1">
      <c r="A788" s="467"/>
      <c r="B788" s="467"/>
      <c r="C788" s="467"/>
      <c r="D788" s="467"/>
      <c r="E788" s="467"/>
    </row>
    <row r="789" ht="14.25" customHeight="1">
      <c r="A789" s="467"/>
      <c r="B789" s="467"/>
      <c r="C789" s="467"/>
      <c r="D789" s="467"/>
      <c r="E789" s="467"/>
    </row>
    <row r="790" ht="14.25" customHeight="1">
      <c r="A790" s="467"/>
      <c r="B790" s="467"/>
      <c r="C790" s="467"/>
      <c r="D790" s="467"/>
      <c r="E790" s="467"/>
    </row>
    <row r="791" ht="14.25" customHeight="1">
      <c r="A791" s="467"/>
      <c r="B791" s="467"/>
      <c r="C791" s="467"/>
      <c r="D791" s="467"/>
      <c r="E791" s="467"/>
    </row>
    <row r="792" ht="14.25" customHeight="1">
      <c r="A792" s="467"/>
      <c r="B792" s="467"/>
      <c r="C792" s="467"/>
      <c r="D792" s="467"/>
      <c r="E792" s="467"/>
    </row>
    <row r="793" ht="14.25" customHeight="1">
      <c r="A793" s="467"/>
      <c r="B793" s="467"/>
      <c r="C793" s="467"/>
      <c r="D793" s="467"/>
      <c r="E793" s="467"/>
    </row>
    <row r="794" ht="14.25" customHeight="1">
      <c r="A794" s="467"/>
      <c r="B794" s="467"/>
      <c r="C794" s="467"/>
      <c r="D794" s="467"/>
      <c r="E794" s="467"/>
    </row>
    <row r="795" ht="14.25" customHeight="1">
      <c r="A795" s="467"/>
      <c r="B795" s="467"/>
      <c r="C795" s="467"/>
      <c r="D795" s="467"/>
      <c r="E795" s="467"/>
    </row>
    <row r="796" ht="14.25" customHeight="1">
      <c r="A796" s="467"/>
      <c r="B796" s="467"/>
      <c r="C796" s="467"/>
      <c r="D796" s="467"/>
      <c r="E796" s="467"/>
    </row>
    <row r="797" ht="14.25" customHeight="1">
      <c r="A797" s="467"/>
      <c r="B797" s="467"/>
      <c r="C797" s="467"/>
      <c r="D797" s="467"/>
      <c r="E797" s="467"/>
    </row>
    <row r="798" ht="14.25" customHeight="1">
      <c r="A798" s="467"/>
      <c r="B798" s="467"/>
      <c r="C798" s="467"/>
      <c r="D798" s="467"/>
      <c r="E798" s="467"/>
    </row>
    <row r="799" ht="14.25" customHeight="1">
      <c r="A799" s="467"/>
      <c r="B799" s="467"/>
      <c r="C799" s="467"/>
      <c r="D799" s="467"/>
      <c r="E799" s="467"/>
    </row>
    <row r="800" ht="14.25" customHeight="1">
      <c r="A800" s="467"/>
      <c r="B800" s="467"/>
      <c r="C800" s="467"/>
      <c r="D800" s="467"/>
      <c r="E800" s="467"/>
    </row>
    <row r="801" ht="14.25" customHeight="1">
      <c r="A801" s="467"/>
      <c r="B801" s="467"/>
      <c r="C801" s="467"/>
      <c r="D801" s="467"/>
      <c r="E801" s="467"/>
    </row>
    <row r="802" ht="14.25" customHeight="1">
      <c r="A802" s="467"/>
      <c r="B802" s="467"/>
      <c r="C802" s="467"/>
      <c r="D802" s="467"/>
      <c r="E802" s="467"/>
    </row>
    <row r="803" ht="14.25" customHeight="1">
      <c r="A803" s="467"/>
      <c r="B803" s="467"/>
      <c r="C803" s="467"/>
      <c r="D803" s="467"/>
      <c r="E803" s="467"/>
    </row>
    <row r="804" ht="14.25" customHeight="1">
      <c r="A804" s="467"/>
      <c r="B804" s="467"/>
      <c r="C804" s="467"/>
      <c r="D804" s="467"/>
      <c r="E804" s="467"/>
    </row>
    <row r="805" ht="14.25" customHeight="1">
      <c r="A805" s="467"/>
      <c r="B805" s="467"/>
      <c r="C805" s="467"/>
      <c r="D805" s="467"/>
      <c r="E805" s="467"/>
    </row>
    <row r="806" ht="14.25" customHeight="1">
      <c r="A806" s="467"/>
      <c r="B806" s="467"/>
      <c r="C806" s="467"/>
      <c r="D806" s="467"/>
      <c r="E806" s="467"/>
    </row>
    <row r="807" ht="14.25" customHeight="1">
      <c r="A807" s="467"/>
      <c r="B807" s="467"/>
      <c r="C807" s="467"/>
      <c r="D807" s="467"/>
      <c r="E807" s="467"/>
    </row>
    <row r="808" ht="14.25" customHeight="1">
      <c r="A808" s="467"/>
      <c r="B808" s="467"/>
      <c r="C808" s="467"/>
      <c r="D808" s="467"/>
      <c r="E808" s="467"/>
    </row>
    <row r="809" ht="14.25" customHeight="1">
      <c r="A809" s="467"/>
      <c r="B809" s="467"/>
      <c r="C809" s="467"/>
      <c r="D809" s="467"/>
      <c r="E809" s="467"/>
    </row>
    <row r="810" ht="14.25" customHeight="1">
      <c r="A810" s="467"/>
      <c r="B810" s="467"/>
      <c r="C810" s="467"/>
      <c r="D810" s="467"/>
      <c r="E810" s="467"/>
    </row>
    <row r="811" ht="14.25" customHeight="1">
      <c r="A811" s="467"/>
      <c r="B811" s="467"/>
      <c r="C811" s="467"/>
      <c r="D811" s="467"/>
      <c r="E811" s="467"/>
    </row>
    <row r="812" ht="14.25" customHeight="1">
      <c r="A812" s="467"/>
      <c r="B812" s="467"/>
      <c r="C812" s="467"/>
      <c r="D812" s="467"/>
      <c r="E812" s="467"/>
    </row>
    <row r="813" ht="14.25" customHeight="1">
      <c r="A813" s="467"/>
      <c r="B813" s="467"/>
      <c r="C813" s="467"/>
      <c r="D813" s="467"/>
      <c r="E813" s="467"/>
    </row>
    <row r="814" ht="14.25" customHeight="1">
      <c r="A814" s="467"/>
      <c r="B814" s="467"/>
      <c r="C814" s="467"/>
      <c r="D814" s="467"/>
      <c r="E814" s="467"/>
    </row>
    <row r="815" ht="14.25" customHeight="1">
      <c r="A815" s="467"/>
      <c r="B815" s="467"/>
      <c r="C815" s="467"/>
      <c r="D815" s="467"/>
      <c r="E815" s="467"/>
    </row>
    <row r="816" ht="14.25" customHeight="1">
      <c r="A816" s="467"/>
      <c r="B816" s="467"/>
      <c r="C816" s="467"/>
      <c r="D816" s="467"/>
      <c r="E816" s="467"/>
    </row>
    <row r="817" ht="14.25" customHeight="1">
      <c r="A817" s="467"/>
      <c r="B817" s="467"/>
      <c r="C817" s="467"/>
      <c r="D817" s="467"/>
      <c r="E817" s="467"/>
    </row>
    <row r="818" ht="14.25" customHeight="1">
      <c r="A818" s="467"/>
      <c r="B818" s="467"/>
      <c r="C818" s="467"/>
      <c r="D818" s="467"/>
      <c r="E818" s="467"/>
    </row>
    <row r="819" ht="14.25" customHeight="1">
      <c r="A819" s="467"/>
      <c r="B819" s="467"/>
      <c r="C819" s="467"/>
      <c r="D819" s="467"/>
      <c r="E819" s="467"/>
    </row>
    <row r="820" ht="14.25" customHeight="1">
      <c r="A820" s="467"/>
      <c r="B820" s="467"/>
      <c r="C820" s="467"/>
      <c r="D820" s="467"/>
      <c r="E820" s="467"/>
    </row>
    <row r="821" ht="14.25" customHeight="1">
      <c r="A821" s="467"/>
      <c r="B821" s="467"/>
      <c r="C821" s="467"/>
      <c r="D821" s="467"/>
      <c r="E821" s="467"/>
    </row>
    <row r="822" ht="14.25" customHeight="1">
      <c r="A822" s="467"/>
      <c r="B822" s="467"/>
      <c r="C822" s="467"/>
      <c r="D822" s="467"/>
      <c r="E822" s="467"/>
    </row>
    <row r="823" ht="14.25" customHeight="1">
      <c r="A823" s="467"/>
      <c r="B823" s="467"/>
      <c r="C823" s="467"/>
      <c r="D823" s="467"/>
      <c r="E823" s="467"/>
    </row>
    <row r="824" ht="14.25" customHeight="1">
      <c r="A824" s="467"/>
      <c r="B824" s="467"/>
      <c r="C824" s="467"/>
      <c r="D824" s="467"/>
      <c r="E824" s="467"/>
    </row>
    <row r="825" ht="14.25" customHeight="1">
      <c r="A825" s="467"/>
      <c r="B825" s="467"/>
      <c r="C825" s="467"/>
      <c r="D825" s="467"/>
      <c r="E825" s="467"/>
    </row>
    <row r="826" ht="14.25" customHeight="1">
      <c r="A826" s="467"/>
      <c r="B826" s="467"/>
      <c r="C826" s="467"/>
      <c r="D826" s="467"/>
      <c r="E826" s="467"/>
    </row>
    <row r="827" ht="14.25" customHeight="1">
      <c r="A827" s="467"/>
      <c r="B827" s="467"/>
      <c r="C827" s="467"/>
      <c r="D827" s="467"/>
      <c r="E827" s="467"/>
    </row>
    <row r="828" ht="14.25" customHeight="1">
      <c r="A828" s="467"/>
      <c r="B828" s="467"/>
      <c r="C828" s="467"/>
      <c r="D828" s="467"/>
      <c r="E828" s="467"/>
    </row>
    <row r="829" ht="14.25" customHeight="1">
      <c r="A829" s="467"/>
      <c r="B829" s="467"/>
      <c r="C829" s="467"/>
      <c r="D829" s="467"/>
      <c r="E829" s="467"/>
    </row>
    <row r="830" ht="14.25" customHeight="1">
      <c r="A830" s="467"/>
      <c r="B830" s="467"/>
      <c r="C830" s="467"/>
      <c r="D830" s="467"/>
      <c r="E830" s="467"/>
    </row>
    <row r="831" ht="14.25" customHeight="1">
      <c r="A831" s="467"/>
      <c r="B831" s="467"/>
      <c r="C831" s="467"/>
      <c r="D831" s="467"/>
      <c r="E831" s="467"/>
    </row>
    <row r="832" ht="14.25" customHeight="1">
      <c r="A832" s="467"/>
      <c r="B832" s="467"/>
      <c r="C832" s="467"/>
      <c r="D832" s="467"/>
      <c r="E832" s="467"/>
    </row>
    <row r="833" ht="14.25" customHeight="1">
      <c r="A833" s="467"/>
      <c r="B833" s="467"/>
      <c r="C833" s="467"/>
      <c r="D833" s="467"/>
      <c r="E833" s="467"/>
    </row>
    <row r="834" ht="14.25" customHeight="1">
      <c r="A834" s="467"/>
      <c r="B834" s="467"/>
      <c r="C834" s="467"/>
      <c r="D834" s="467"/>
      <c r="E834" s="467"/>
    </row>
    <row r="835" ht="14.25" customHeight="1">
      <c r="A835" s="467"/>
      <c r="B835" s="467"/>
      <c r="C835" s="467"/>
      <c r="D835" s="467"/>
      <c r="E835" s="467"/>
    </row>
    <row r="836" ht="14.25" customHeight="1">
      <c r="A836" s="467"/>
      <c r="B836" s="467"/>
      <c r="C836" s="467"/>
      <c r="D836" s="467"/>
      <c r="E836" s="467"/>
    </row>
    <row r="837" ht="14.25" customHeight="1">
      <c r="A837" s="467"/>
      <c r="B837" s="467"/>
      <c r="C837" s="467"/>
      <c r="D837" s="467"/>
      <c r="E837" s="467"/>
    </row>
    <row r="838" ht="14.25" customHeight="1">
      <c r="A838" s="467"/>
      <c r="B838" s="467"/>
      <c r="C838" s="467"/>
      <c r="D838" s="467"/>
      <c r="E838" s="467"/>
    </row>
    <row r="839" ht="14.25" customHeight="1">
      <c r="A839" s="467"/>
      <c r="B839" s="467"/>
      <c r="C839" s="467"/>
      <c r="D839" s="467"/>
      <c r="E839" s="467"/>
    </row>
    <row r="840" ht="14.25" customHeight="1">
      <c r="A840" s="467"/>
      <c r="B840" s="467"/>
      <c r="C840" s="467"/>
      <c r="D840" s="467"/>
      <c r="E840" s="467"/>
    </row>
    <row r="841" ht="14.25" customHeight="1">
      <c r="A841" s="467"/>
      <c r="B841" s="467"/>
      <c r="C841" s="467"/>
      <c r="D841" s="467"/>
      <c r="E841" s="467"/>
    </row>
    <row r="842" ht="14.25" customHeight="1">
      <c r="A842" s="467"/>
      <c r="B842" s="467"/>
      <c r="C842" s="467"/>
      <c r="D842" s="467"/>
      <c r="E842" s="467"/>
    </row>
    <row r="843" ht="14.25" customHeight="1">
      <c r="A843" s="467"/>
      <c r="B843" s="467"/>
      <c r="C843" s="467"/>
      <c r="D843" s="467"/>
      <c r="E843" s="467"/>
    </row>
    <row r="844" ht="14.25" customHeight="1">
      <c r="A844" s="467"/>
      <c r="B844" s="467"/>
      <c r="C844" s="467"/>
      <c r="D844" s="467"/>
      <c r="E844" s="467"/>
    </row>
    <row r="845" ht="14.25" customHeight="1">
      <c r="A845" s="467"/>
      <c r="B845" s="467"/>
      <c r="C845" s="467"/>
      <c r="D845" s="467"/>
      <c r="E845" s="467"/>
    </row>
    <row r="846" ht="14.25" customHeight="1">
      <c r="A846" s="467"/>
      <c r="B846" s="467"/>
      <c r="C846" s="467"/>
      <c r="D846" s="467"/>
      <c r="E846" s="467"/>
    </row>
    <row r="847" ht="14.25" customHeight="1">
      <c r="A847" s="467"/>
      <c r="B847" s="467"/>
      <c r="C847" s="467"/>
      <c r="D847" s="467"/>
      <c r="E847" s="467"/>
    </row>
    <row r="848" ht="14.25" customHeight="1">
      <c r="A848" s="467"/>
      <c r="B848" s="467"/>
      <c r="C848" s="467"/>
      <c r="D848" s="467"/>
      <c r="E848" s="467"/>
    </row>
    <row r="849" ht="14.25" customHeight="1">
      <c r="A849" s="467"/>
      <c r="B849" s="467"/>
      <c r="C849" s="467"/>
      <c r="D849" s="467"/>
      <c r="E849" s="467"/>
    </row>
    <row r="850" ht="14.25" customHeight="1">
      <c r="A850" s="467"/>
      <c r="B850" s="467"/>
      <c r="C850" s="467"/>
      <c r="D850" s="467"/>
      <c r="E850" s="467"/>
    </row>
    <row r="851" ht="14.25" customHeight="1">
      <c r="A851" s="467"/>
      <c r="B851" s="467"/>
      <c r="C851" s="467"/>
      <c r="D851" s="467"/>
      <c r="E851" s="467"/>
    </row>
    <row r="852" ht="14.25" customHeight="1">
      <c r="A852" s="467"/>
      <c r="B852" s="467"/>
      <c r="C852" s="467"/>
      <c r="D852" s="467"/>
      <c r="E852" s="467"/>
    </row>
    <row r="853" ht="14.25" customHeight="1">
      <c r="A853" s="467"/>
      <c r="B853" s="467"/>
      <c r="C853" s="467"/>
      <c r="D853" s="467"/>
      <c r="E853" s="467"/>
    </row>
    <row r="854" ht="14.25" customHeight="1">
      <c r="A854" s="467"/>
      <c r="B854" s="467"/>
      <c r="C854" s="467"/>
      <c r="D854" s="467"/>
      <c r="E854" s="467"/>
    </row>
    <row r="855" ht="14.25" customHeight="1">
      <c r="A855" s="467"/>
      <c r="B855" s="467"/>
      <c r="C855" s="467"/>
      <c r="D855" s="467"/>
      <c r="E855" s="467"/>
    </row>
    <row r="856" ht="14.25" customHeight="1">
      <c r="A856" s="467"/>
      <c r="B856" s="467"/>
      <c r="C856" s="467"/>
      <c r="D856" s="467"/>
      <c r="E856" s="467"/>
    </row>
    <row r="857" ht="14.25" customHeight="1">
      <c r="A857" s="467"/>
      <c r="B857" s="467"/>
      <c r="C857" s="467"/>
      <c r="D857" s="467"/>
      <c r="E857" s="467"/>
    </row>
    <row r="858" ht="14.25" customHeight="1">
      <c r="A858" s="467"/>
      <c r="B858" s="467"/>
      <c r="C858" s="467"/>
      <c r="D858" s="467"/>
      <c r="E858" s="467"/>
    </row>
    <row r="859" ht="14.25" customHeight="1">
      <c r="A859" s="467"/>
      <c r="B859" s="467"/>
      <c r="C859" s="467"/>
      <c r="D859" s="467"/>
      <c r="E859" s="467"/>
    </row>
    <row r="860" ht="14.25" customHeight="1">
      <c r="A860" s="467"/>
      <c r="B860" s="467"/>
      <c r="C860" s="467"/>
      <c r="D860" s="467"/>
      <c r="E860" s="467"/>
    </row>
    <row r="861" ht="14.25" customHeight="1">
      <c r="A861" s="467"/>
      <c r="B861" s="467"/>
      <c r="C861" s="467"/>
      <c r="D861" s="467"/>
      <c r="E861" s="467"/>
    </row>
    <row r="862" ht="14.25" customHeight="1">
      <c r="A862" s="467"/>
      <c r="B862" s="467"/>
      <c r="C862" s="467"/>
      <c r="D862" s="467"/>
      <c r="E862" s="467"/>
    </row>
    <row r="863" ht="14.25" customHeight="1">
      <c r="A863" s="467"/>
      <c r="B863" s="467"/>
      <c r="C863" s="467"/>
      <c r="D863" s="467"/>
      <c r="E863" s="467"/>
    </row>
    <row r="864" ht="14.25" customHeight="1">
      <c r="A864" s="467"/>
      <c r="B864" s="467"/>
      <c r="C864" s="467"/>
      <c r="D864" s="467"/>
      <c r="E864" s="467"/>
    </row>
    <row r="865" ht="14.25" customHeight="1">
      <c r="A865" s="467"/>
      <c r="B865" s="467"/>
      <c r="C865" s="467"/>
      <c r="D865" s="467"/>
      <c r="E865" s="467"/>
    </row>
    <row r="866" ht="14.25" customHeight="1">
      <c r="A866" s="467"/>
      <c r="B866" s="467"/>
      <c r="C866" s="467"/>
      <c r="D866" s="467"/>
      <c r="E866" s="467"/>
    </row>
    <row r="867" ht="14.25" customHeight="1">
      <c r="A867" s="467"/>
      <c r="B867" s="467"/>
      <c r="C867" s="467"/>
      <c r="D867" s="467"/>
      <c r="E867" s="467"/>
    </row>
    <row r="868" ht="14.25" customHeight="1">
      <c r="A868" s="467"/>
      <c r="B868" s="467"/>
      <c r="C868" s="467"/>
      <c r="D868" s="467"/>
      <c r="E868" s="467"/>
    </row>
    <row r="869" ht="14.25" customHeight="1">
      <c r="A869" s="467"/>
      <c r="B869" s="467"/>
      <c r="C869" s="467"/>
      <c r="D869" s="467"/>
      <c r="E869" s="467"/>
    </row>
    <row r="870" ht="14.25" customHeight="1">
      <c r="A870" s="467"/>
      <c r="B870" s="467"/>
      <c r="C870" s="467"/>
      <c r="D870" s="467"/>
      <c r="E870" s="467"/>
    </row>
    <row r="871" ht="14.25" customHeight="1">
      <c r="A871" s="467"/>
      <c r="B871" s="467"/>
      <c r="C871" s="467"/>
      <c r="D871" s="467"/>
      <c r="E871" s="467"/>
    </row>
    <row r="872" ht="14.25" customHeight="1">
      <c r="A872" s="467"/>
      <c r="B872" s="467"/>
      <c r="C872" s="467"/>
      <c r="D872" s="467"/>
      <c r="E872" s="467"/>
    </row>
    <row r="873" ht="14.25" customHeight="1">
      <c r="A873" s="467"/>
      <c r="B873" s="467"/>
      <c r="C873" s="467"/>
      <c r="D873" s="467"/>
      <c r="E873" s="467"/>
    </row>
    <row r="874" ht="14.25" customHeight="1">
      <c r="A874" s="467"/>
      <c r="B874" s="467"/>
      <c r="C874" s="467"/>
      <c r="D874" s="467"/>
      <c r="E874" s="467"/>
    </row>
    <row r="875" ht="14.25" customHeight="1">
      <c r="A875" s="467"/>
      <c r="B875" s="467"/>
      <c r="C875" s="467"/>
      <c r="D875" s="467"/>
      <c r="E875" s="467"/>
    </row>
    <row r="876" ht="14.25" customHeight="1">
      <c r="A876" s="467"/>
      <c r="B876" s="467"/>
      <c r="C876" s="467"/>
      <c r="D876" s="467"/>
      <c r="E876" s="467"/>
    </row>
    <row r="877" ht="14.25" customHeight="1">
      <c r="A877" s="467"/>
      <c r="B877" s="467"/>
      <c r="C877" s="467"/>
      <c r="D877" s="467"/>
      <c r="E877" s="467"/>
    </row>
    <row r="878" ht="14.25" customHeight="1">
      <c r="A878" s="467"/>
      <c r="B878" s="467"/>
      <c r="C878" s="467"/>
      <c r="D878" s="467"/>
      <c r="E878" s="467"/>
    </row>
    <row r="879" ht="14.25" customHeight="1">
      <c r="A879" s="467"/>
      <c r="B879" s="467"/>
      <c r="C879" s="467"/>
      <c r="D879" s="467"/>
      <c r="E879" s="467"/>
    </row>
    <row r="880" ht="14.25" customHeight="1">
      <c r="A880" s="467"/>
      <c r="B880" s="467"/>
      <c r="C880" s="467"/>
      <c r="D880" s="467"/>
      <c r="E880" s="467"/>
    </row>
    <row r="881" ht="14.25" customHeight="1">
      <c r="A881" s="467"/>
      <c r="B881" s="467"/>
      <c r="C881" s="467"/>
      <c r="D881" s="467"/>
      <c r="E881" s="467"/>
    </row>
    <row r="882" ht="14.25" customHeight="1">
      <c r="A882" s="467"/>
      <c r="B882" s="467"/>
      <c r="C882" s="467"/>
      <c r="D882" s="467"/>
      <c r="E882" s="467"/>
    </row>
    <row r="883" ht="14.25" customHeight="1">
      <c r="A883" s="467"/>
      <c r="B883" s="467"/>
      <c r="C883" s="467"/>
      <c r="D883" s="467"/>
      <c r="E883" s="467"/>
    </row>
    <row r="884" ht="14.25" customHeight="1">
      <c r="A884" s="467"/>
      <c r="B884" s="467"/>
      <c r="C884" s="467"/>
      <c r="D884" s="467"/>
      <c r="E884" s="467"/>
    </row>
    <row r="885" ht="14.25" customHeight="1">
      <c r="A885" s="467"/>
      <c r="B885" s="467"/>
      <c r="C885" s="467"/>
      <c r="D885" s="467"/>
      <c r="E885" s="467"/>
    </row>
    <row r="886" ht="14.25" customHeight="1">
      <c r="A886" s="467"/>
      <c r="B886" s="467"/>
      <c r="C886" s="467"/>
      <c r="D886" s="467"/>
      <c r="E886" s="467"/>
    </row>
    <row r="887" ht="14.25" customHeight="1">
      <c r="A887" s="467"/>
      <c r="B887" s="467"/>
      <c r="C887" s="467"/>
      <c r="D887" s="467"/>
      <c r="E887" s="467"/>
    </row>
    <row r="888" ht="14.25" customHeight="1">
      <c r="A888" s="467"/>
      <c r="B888" s="467"/>
      <c r="C888" s="467"/>
      <c r="D888" s="467"/>
      <c r="E888" s="467"/>
    </row>
    <row r="889" ht="14.25" customHeight="1">
      <c r="A889" s="467"/>
      <c r="B889" s="467"/>
      <c r="C889" s="467"/>
      <c r="D889" s="467"/>
      <c r="E889" s="467"/>
    </row>
    <row r="890" ht="14.25" customHeight="1">
      <c r="A890" s="467"/>
      <c r="B890" s="467"/>
      <c r="C890" s="467"/>
      <c r="D890" s="467"/>
      <c r="E890" s="467"/>
    </row>
    <row r="891" ht="14.25" customHeight="1">
      <c r="A891" s="467"/>
      <c r="B891" s="467"/>
      <c r="C891" s="467"/>
      <c r="D891" s="467"/>
      <c r="E891" s="467"/>
    </row>
    <row r="892" ht="14.25" customHeight="1">
      <c r="A892" s="467"/>
      <c r="B892" s="467"/>
      <c r="C892" s="467"/>
      <c r="D892" s="467"/>
      <c r="E892" s="467"/>
    </row>
    <row r="893" ht="14.25" customHeight="1">
      <c r="A893" s="467"/>
      <c r="B893" s="467"/>
      <c r="C893" s="467"/>
      <c r="D893" s="467"/>
      <c r="E893" s="467"/>
    </row>
    <row r="894" ht="14.25" customHeight="1">
      <c r="A894" s="467"/>
      <c r="B894" s="467"/>
      <c r="C894" s="467"/>
      <c r="D894" s="467"/>
      <c r="E894" s="467"/>
    </row>
    <row r="895" ht="14.25" customHeight="1">
      <c r="A895" s="467"/>
      <c r="B895" s="467"/>
      <c r="C895" s="467"/>
      <c r="D895" s="467"/>
      <c r="E895" s="467"/>
    </row>
    <row r="896" ht="14.25" customHeight="1">
      <c r="A896" s="467"/>
      <c r="B896" s="467"/>
      <c r="C896" s="467"/>
      <c r="D896" s="467"/>
      <c r="E896" s="467"/>
    </row>
    <row r="897" ht="14.25" customHeight="1">
      <c r="A897" s="467"/>
      <c r="B897" s="467"/>
      <c r="C897" s="467"/>
      <c r="D897" s="467"/>
      <c r="E897" s="467"/>
    </row>
    <row r="898" ht="14.25" customHeight="1">
      <c r="A898" s="467"/>
      <c r="B898" s="467"/>
      <c r="C898" s="467"/>
      <c r="D898" s="467"/>
      <c r="E898" s="467"/>
    </row>
    <row r="899" ht="14.25" customHeight="1">
      <c r="A899" s="467"/>
      <c r="B899" s="467"/>
      <c r="C899" s="467"/>
      <c r="D899" s="467"/>
      <c r="E899" s="467"/>
    </row>
    <row r="900" ht="14.25" customHeight="1">
      <c r="A900" s="467"/>
      <c r="B900" s="467"/>
      <c r="C900" s="467"/>
      <c r="D900" s="467"/>
      <c r="E900" s="467"/>
    </row>
    <row r="901" ht="14.25" customHeight="1">
      <c r="A901" s="467"/>
      <c r="B901" s="467"/>
      <c r="C901" s="467"/>
      <c r="D901" s="467"/>
      <c r="E901" s="467"/>
    </row>
    <row r="902" ht="14.25" customHeight="1">
      <c r="A902" s="467"/>
      <c r="B902" s="467"/>
      <c r="C902" s="467"/>
      <c r="D902" s="467"/>
      <c r="E902" s="467"/>
    </row>
    <row r="903" ht="14.25" customHeight="1">
      <c r="A903" s="467"/>
      <c r="B903" s="467"/>
      <c r="C903" s="467"/>
      <c r="D903" s="467"/>
      <c r="E903" s="467"/>
    </row>
    <row r="904" ht="14.25" customHeight="1">
      <c r="A904" s="467"/>
      <c r="B904" s="467"/>
      <c r="C904" s="467"/>
      <c r="D904" s="467"/>
      <c r="E904" s="467"/>
    </row>
    <row r="905" ht="14.25" customHeight="1">
      <c r="A905" s="467"/>
      <c r="B905" s="467"/>
      <c r="C905" s="467"/>
      <c r="D905" s="467"/>
      <c r="E905" s="467"/>
    </row>
    <row r="906" ht="14.25" customHeight="1">
      <c r="A906" s="467"/>
      <c r="B906" s="467"/>
      <c r="C906" s="467"/>
      <c r="D906" s="467"/>
      <c r="E906" s="467"/>
    </row>
    <row r="907" ht="14.25" customHeight="1">
      <c r="A907" s="467"/>
      <c r="B907" s="467"/>
      <c r="C907" s="467"/>
      <c r="D907" s="467"/>
      <c r="E907" s="467"/>
    </row>
    <row r="908" ht="14.25" customHeight="1">
      <c r="A908" s="467"/>
      <c r="B908" s="467"/>
      <c r="C908" s="467"/>
      <c r="D908" s="467"/>
      <c r="E908" s="467"/>
    </row>
    <row r="909" ht="14.25" customHeight="1">
      <c r="A909" s="467"/>
      <c r="B909" s="467"/>
      <c r="C909" s="467"/>
      <c r="D909" s="467"/>
      <c r="E909" s="467"/>
    </row>
    <row r="910" ht="14.25" customHeight="1">
      <c r="A910" s="467"/>
      <c r="B910" s="467"/>
      <c r="C910" s="467"/>
      <c r="D910" s="467"/>
      <c r="E910" s="467"/>
    </row>
    <row r="911" ht="14.25" customHeight="1">
      <c r="A911" s="467"/>
      <c r="B911" s="467"/>
      <c r="C911" s="467"/>
      <c r="D911" s="467"/>
      <c r="E911" s="467"/>
    </row>
    <row r="912" ht="14.25" customHeight="1">
      <c r="A912" s="467"/>
      <c r="B912" s="467"/>
      <c r="C912" s="467"/>
      <c r="D912" s="467"/>
      <c r="E912" s="467"/>
    </row>
    <row r="913" ht="14.25" customHeight="1">
      <c r="A913" s="467"/>
      <c r="B913" s="467"/>
      <c r="C913" s="467"/>
      <c r="D913" s="467"/>
      <c r="E913" s="467"/>
    </row>
    <row r="914" ht="14.25" customHeight="1">
      <c r="A914" s="467"/>
      <c r="B914" s="467"/>
      <c r="C914" s="467"/>
      <c r="D914" s="467"/>
      <c r="E914" s="467"/>
    </row>
    <row r="915" ht="14.25" customHeight="1">
      <c r="A915" s="467"/>
      <c r="B915" s="467"/>
      <c r="C915" s="467"/>
      <c r="D915" s="467"/>
      <c r="E915" s="467"/>
    </row>
    <row r="916" ht="14.25" customHeight="1">
      <c r="A916" s="467"/>
      <c r="B916" s="467"/>
      <c r="C916" s="467"/>
      <c r="D916" s="467"/>
      <c r="E916" s="467"/>
    </row>
    <row r="917" ht="14.25" customHeight="1">
      <c r="A917" s="467"/>
      <c r="B917" s="467"/>
      <c r="C917" s="467"/>
      <c r="D917" s="467"/>
      <c r="E917" s="467"/>
    </row>
    <row r="918" ht="14.25" customHeight="1">
      <c r="A918" s="467"/>
      <c r="B918" s="467"/>
      <c r="C918" s="467"/>
      <c r="D918" s="467"/>
      <c r="E918" s="467"/>
    </row>
    <row r="919" ht="14.25" customHeight="1">
      <c r="A919" s="467"/>
      <c r="B919" s="467"/>
      <c r="C919" s="467"/>
      <c r="D919" s="467"/>
      <c r="E919" s="467"/>
    </row>
    <row r="920" ht="14.25" customHeight="1">
      <c r="A920" s="467"/>
      <c r="B920" s="467"/>
      <c r="C920" s="467"/>
      <c r="D920" s="467"/>
      <c r="E920" s="467"/>
    </row>
    <row r="921" ht="14.25" customHeight="1">
      <c r="A921" s="467"/>
      <c r="B921" s="467"/>
      <c r="C921" s="467"/>
      <c r="D921" s="467"/>
      <c r="E921" s="467"/>
    </row>
    <row r="922" ht="14.25" customHeight="1">
      <c r="A922" s="467"/>
      <c r="B922" s="467"/>
      <c r="C922" s="467"/>
      <c r="D922" s="467"/>
      <c r="E922" s="467"/>
    </row>
    <row r="923" ht="14.25" customHeight="1">
      <c r="A923" s="467"/>
      <c r="B923" s="467"/>
      <c r="C923" s="467"/>
      <c r="D923" s="467"/>
      <c r="E923" s="467"/>
    </row>
    <row r="924" ht="14.25" customHeight="1">
      <c r="A924" s="467"/>
      <c r="B924" s="467"/>
      <c r="C924" s="467"/>
      <c r="D924" s="467"/>
      <c r="E924" s="467"/>
    </row>
    <row r="925" ht="14.25" customHeight="1">
      <c r="A925" s="467"/>
      <c r="B925" s="467"/>
      <c r="C925" s="467"/>
      <c r="D925" s="467"/>
      <c r="E925" s="467"/>
    </row>
    <row r="926" ht="14.25" customHeight="1">
      <c r="A926" s="467"/>
      <c r="B926" s="467"/>
      <c r="C926" s="467"/>
      <c r="D926" s="467"/>
      <c r="E926" s="467"/>
    </row>
    <row r="927" ht="14.25" customHeight="1">
      <c r="A927" s="467"/>
      <c r="B927" s="467"/>
      <c r="C927" s="467"/>
      <c r="D927" s="467"/>
      <c r="E927" s="467"/>
    </row>
    <row r="928" ht="14.25" customHeight="1">
      <c r="A928" s="467"/>
      <c r="B928" s="467"/>
      <c r="C928" s="467"/>
      <c r="D928" s="467"/>
      <c r="E928" s="467"/>
    </row>
    <row r="929" ht="14.25" customHeight="1">
      <c r="A929" s="467"/>
      <c r="B929" s="467"/>
      <c r="C929" s="467"/>
      <c r="D929" s="467"/>
      <c r="E929" s="467"/>
    </row>
    <row r="930" ht="14.25" customHeight="1">
      <c r="A930" s="467"/>
      <c r="B930" s="467"/>
      <c r="C930" s="467"/>
      <c r="D930" s="467"/>
      <c r="E930" s="467"/>
    </row>
    <row r="931" ht="14.25" customHeight="1">
      <c r="A931" s="467"/>
      <c r="B931" s="467"/>
      <c r="C931" s="467"/>
      <c r="D931" s="467"/>
      <c r="E931" s="467"/>
    </row>
    <row r="932" ht="14.25" customHeight="1">
      <c r="A932" s="467"/>
      <c r="B932" s="467"/>
      <c r="C932" s="467"/>
      <c r="D932" s="467"/>
      <c r="E932" s="467"/>
    </row>
    <row r="933" ht="14.25" customHeight="1">
      <c r="A933" s="467"/>
      <c r="B933" s="467"/>
      <c r="C933" s="467"/>
      <c r="D933" s="467"/>
      <c r="E933" s="467"/>
    </row>
    <row r="934" ht="14.25" customHeight="1">
      <c r="A934" s="467"/>
      <c r="B934" s="467"/>
      <c r="C934" s="467"/>
      <c r="D934" s="467"/>
      <c r="E934" s="467"/>
    </row>
    <row r="935" ht="14.25" customHeight="1">
      <c r="A935" s="467"/>
      <c r="B935" s="467"/>
      <c r="C935" s="467"/>
      <c r="D935" s="467"/>
      <c r="E935" s="467"/>
    </row>
    <row r="936" ht="14.25" customHeight="1">
      <c r="A936" s="467"/>
      <c r="B936" s="467"/>
      <c r="C936" s="467"/>
      <c r="D936" s="467"/>
      <c r="E936" s="467"/>
    </row>
    <row r="937" ht="14.25" customHeight="1">
      <c r="A937" s="467"/>
      <c r="B937" s="467"/>
      <c r="C937" s="467"/>
      <c r="D937" s="467"/>
      <c r="E937" s="467"/>
    </row>
    <row r="938" ht="14.25" customHeight="1">
      <c r="A938" s="467"/>
      <c r="B938" s="467"/>
      <c r="C938" s="467"/>
      <c r="D938" s="467"/>
      <c r="E938" s="467"/>
    </row>
    <row r="939" ht="14.25" customHeight="1">
      <c r="A939" s="467"/>
      <c r="B939" s="467"/>
      <c r="C939" s="467"/>
      <c r="D939" s="467"/>
      <c r="E939" s="467"/>
    </row>
    <row r="940" ht="14.25" customHeight="1">
      <c r="A940" s="467"/>
      <c r="B940" s="467"/>
      <c r="C940" s="467"/>
      <c r="D940" s="467"/>
      <c r="E940" s="467"/>
    </row>
    <row r="941" ht="14.25" customHeight="1">
      <c r="A941" s="467"/>
      <c r="B941" s="467"/>
      <c r="C941" s="467"/>
      <c r="D941" s="467"/>
      <c r="E941" s="467"/>
    </row>
    <row r="942" ht="14.25" customHeight="1">
      <c r="A942" s="467"/>
      <c r="B942" s="467"/>
      <c r="C942" s="467"/>
      <c r="D942" s="467"/>
      <c r="E942" s="467"/>
    </row>
    <row r="943" ht="14.25" customHeight="1">
      <c r="A943" s="467"/>
      <c r="B943" s="467"/>
      <c r="C943" s="467"/>
      <c r="D943" s="467"/>
      <c r="E943" s="467"/>
    </row>
    <row r="944" ht="14.25" customHeight="1">
      <c r="A944" s="467"/>
      <c r="B944" s="467"/>
      <c r="C944" s="467"/>
      <c r="D944" s="467"/>
      <c r="E944" s="467"/>
    </row>
    <row r="945" ht="14.25" customHeight="1">
      <c r="A945" s="467"/>
      <c r="B945" s="467"/>
      <c r="C945" s="467"/>
      <c r="D945" s="467"/>
      <c r="E945" s="467"/>
    </row>
    <row r="946" ht="14.25" customHeight="1">
      <c r="A946" s="467"/>
      <c r="B946" s="467"/>
      <c r="C946" s="467"/>
      <c r="D946" s="467"/>
      <c r="E946" s="467"/>
    </row>
    <row r="947" ht="14.25" customHeight="1">
      <c r="A947" s="467"/>
      <c r="B947" s="467"/>
      <c r="C947" s="467"/>
      <c r="D947" s="467"/>
      <c r="E947" s="467"/>
    </row>
    <row r="948" ht="14.25" customHeight="1">
      <c r="A948" s="467"/>
      <c r="B948" s="467"/>
      <c r="C948" s="467"/>
      <c r="D948" s="467"/>
      <c r="E948" s="467"/>
    </row>
    <row r="949" ht="14.25" customHeight="1">
      <c r="A949" s="467"/>
      <c r="B949" s="467"/>
      <c r="C949" s="467"/>
      <c r="D949" s="467"/>
      <c r="E949" s="467"/>
    </row>
    <row r="950" ht="14.25" customHeight="1">
      <c r="A950" s="467"/>
      <c r="B950" s="467"/>
      <c r="C950" s="467"/>
      <c r="D950" s="467"/>
      <c r="E950" s="467"/>
    </row>
    <row r="951" ht="14.25" customHeight="1">
      <c r="A951" s="467"/>
      <c r="B951" s="467"/>
      <c r="C951" s="467"/>
      <c r="D951" s="467"/>
      <c r="E951" s="467"/>
    </row>
    <row r="952" ht="14.25" customHeight="1">
      <c r="A952" s="467"/>
      <c r="B952" s="467"/>
      <c r="C952" s="467"/>
      <c r="D952" s="467"/>
      <c r="E952" s="467"/>
    </row>
    <row r="953" ht="14.25" customHeight="1">
      <c r="A953" s="467"/>
      <c r="B953" s="467"/>
      <c r="C953" s="467"/>
      <c r="D953" s="467"/>
      <c r="E953" s="467"/>
    </row>
    <row r="954" ht="14.25" customHeight="1">
      <c r="A954" s="467"/>
      <c r="B954" s="467"/>
      <c r="C954" s="467"/>
      <c r="D954" s="467"/>
      <c r="E954" s="467"/>
    </row>
    <row r="955" ht="14.25" customHeight="1">
      <c r="A955" s="467"/>
      <c r="B955" s="467"/>
      <c r="C955" s="467"/>
      <c r="D955" s="467"/>
      <c r="E955" s="467"/>
    </row>
    <row r="956" ht="14.25" customHeight="1">
      <c r="A956" s="467"/>
      <c r="B956" s="467"/>
      <c r="C956" s="467"/>
      <c r="D956" s="467"/>
      <c r="E956" s="467"/>
    </row>
    <row r="957" ht="14.25" customHeight="1">
      <c r="A957" s="467"/>
      <c r="B957" s="467"/>
      <c r="C957" s="467"/>
      <c r="D957" s="467"/>
      <c r="E957" s="467"/>
    </row>
    <row r="958" ht="14.25" customHeight="1">
      <c r="A958" s="467"/>
      <c r="B958" s="467"/>
      <c r="C958" s="467"/>
      <c r="D958" s="467"/>
      <c r="E958" s="467"/>
    </row>
    <row r="959" ht="14.25" customHeight="1">
      <c r="A959" s="467"/>
      <c r="B959" s="467"/>
      <c r="C959" s="467"/>
      <c r="D959" s="467"/>
      <c r="E959" s="467"/>
    </row>
    <row r="960" ht="14.25" customHeight="1">
      <c r="A960" s="467"/>
      <c r="B960" s="467"/>
      <c r="C960" s="467"/>
      <c r="D960" s="467"/>
      <c r="E960" s="467"/>
    </row>
    <row r="961" ht="14.25" customHeight="1">
      <c r="A961" s="467"/>
      <c r="B961" s="467"/>
      <c r="C961" s="467"/>
      <c r="D961" s="467"/>
      <c r="E961" s="467"/>
    </row>
    <row r="962" ht="14.25" customHeight="1">
      <c r="A962" s="467"/>
      <c r="B962" s="467"/>
      <c r="C962" s="467"/>
      <c r="D962" s="467"/>
      <c r="E962" s="467"/>
    </row>
    <row r="963" ht="14.25" customHeight="1">
      <c r="A963" s="467"/>
      <c r="B963" s="467"/>
      <c r="C963" s="467"/>
      <c r="D963" s="467"/>
      <c r="E963" s="467"/>
    </row>
    <row r="964" ht="14.25" customHeight="1">
      <c r="A964" s="467"/>
      <c r="B964" s="467"/>
      <c r="C964" s="467"/>
      <c r="D964" s="467"/>
      <c r="E964" s="467"/>
    </row>
    <row r="965" ht="14.25" customHeight="1">
      <c r="A965" s="467"/>
      <c r="B965" s="467"/>
      <c r="C965" s="467"/>
      <c r="D965" s="467"/>
      <c r="E965" s="467"/>
    </row>
    <row r="966" ht="14.25" customHeight="1">
      <c r="A966" s="467"/>
      <c r="B966" s="467"/>
      <c r="C966" s="467"/>
      <c r="D966" s="467"/>
      <c r="E966" s="467"/>
    </row>
    <row r="967" ht="14.25" customHeight="1">
      <c r="A967" s="467"/>
      <c r="B967" s="467"/>
      <c r="C967" s="467"/>
      <c r="D967" s="467"/>
      <c r="E967" s="467"/>
    </row>
    <row r="968" ht="14.25" customHeight="1">
      <c r="A968" s="467"/>
      <c r="B968" s="467"/>
      <c r="C968" s="467"/>
      <c r="D968" s="467"/>
      <c r="E968" s="467"/>
    </row>
    <row r="969" ht="14.25" customHeight="1">
      <c r="A969" s="467"/>
      <c r="B969" s="467"/>
      <c r="C969" s="467"/>
      <c r="D969" s="467"/>
      <c r="E969" s="467"/>
    </row>
    <row r="970" ht="14.25" customHeight="1">
      <c r="A970" s="467"/>
      <c r="B970" s="467"/>
      <c r="C970" s="467"/>
      <c r="D970" s="467"/>
      <c r="E970" s="467"/>
    </row>
    <row r="971" ht="14.25" customHeight="1">
      <c r="A971" s="467"/>
      <c r="B971" s="467"/>
      <c r="C971" s="467"/>
      <c r="D971" s="467"/>
      <c r="E971" s="467"/>
    </row>
    <row r="972" ht="14.25" customHeight="1">
      <c r="A972" s="467"/>
      <c r="B972" s="467"/>
      <c r="C972" s="467"/>
      <c r="D972" s="467"/>
      <c r="E972" s="467"/>
    </row>
    <row r="973" ht="14.25" customHeight="1">
      <c r="A973" s="467"/>
      <c r="B973" s="467"/>
      <c r="C973" s="467"/>
      <c r="D973" s="467"/>
      <c r="E973" s="467"/>
    </row>
    <row r="974" ht="14.25" customHeight="1">
      <c r="A974" s="467"/>
      <c r="B974" s="467"/>
      <c r="C974" s="467"/>
      <c r="D974" s="467"/>
      <c r="E974" s="467"/>
    </row>
    <row r="975" ht="14.25" customHeight="1">
      <c r="A975" s="467"/>
      <c r="B975" s="467"/>
      <c r="C975" s="467"/>
      <c r="D975" s="467"/>
      <c r="E975" s="467"/>
    </row>
    <row r="976" ht="14.25" customHeight="1">
      <c r="A976" s="467"/>
      <c r="B976" s="467"/>
      <c r="C976" s="467"/>
      <c r="D976" s="467"/>
      <c r="E976" s="467"/>
    </row>
    <row r="977" ht="14.25" customHeight="1">
      <c r="A977" s="467"/>
      <c r="B977" s="467"/>
      <c r="C977" s="467"/>
      <c r="D977" s="467"/>
      <c r="E977" s="467"/>
    </row>
    <row r="978" ht="14.25" customHeight="1">
      <c r="A978" s="467"/>
      <c r="B978" s="467"/>
      <c r="C978" s="467"/>
      <c r="D978" s="467"/>
      <c r="E978" s="467"/>
    </row>
    <row r="979" ht="14.25" customHeight="1">
      <c r="A979" s="467"/>
      <c r="B979" s="467"/>
      <c r="C979" s="467"/>
      <c r="D979" s="467"/>
      <c r="E979" s="467"/>
    </row>
    <row r="980" ht="14.25" customHeight="1">
      <c r="A980" s="467"/>
      <c r="B980" s="467"/>
      <c r="C980" s="467"/>
      <c r="D980" s="467"/>
      <c r="E980" s="467"/>
    </row>
    <row r="981" ht="14.25" customHeight="1">
      <c r="A981" s="467"/>
      <c r="B981" s="467"/>
      <c r="C981" s="467"/>
      <c r="D981" s="467"/>
      <c r="E981" s="467"/>
    </row>
    <row r="982" ht="14.25" customHeight="1">
      <c r="A982" s="467"/>
      <c r="B982" s="467"/>
      <c r="C982" s="467"/>
      <c r="D982" s="467"/>
      <c r="E982" s="467"/>
    </row>
    <row r="983" ht="14.25" customHeight="1">
      <c r="A983" s="467"/>
      <c r="B983" s="467"/>
      <c r="C983" s="467"/>
      <c r="D983" s="467"/>
      <c r="E983" s="467"/>
    </row>
    <row r="984" ht="14.25" customHeight="1">
      <c r="A984" s="467"/>
      <c r="B984" s="467"/>
      <c r="C984" s="467"/>
      <c r="D984" s="467"/>
      <c r="E984" s="467"/>
    </row>
    <row r="985" ht="14.25" customHeight="1">
      <c r="A985" s="467"/>
      <c r="B985" s="467"/>
      <c r="C985" s="467"/>
      <c r="D985" s="467"/>
      <c r="E985" s="467"/>
    </row>
    <row r="986" ht="14.25" customHeight="1">
      <c r="A986" s="467"/>
      <c r="B986" s="467"/>
      <c r="C986" s="467"/>
      <c r="D986" s="467"/>
      <c r="E986" s="467"/>
    </row>
    <row r="987" ht="14.25" customHeight="1">
      <c r="A987" s="467"/>
      <c r="B987" s="467"/>
      <c r="C987" s="467"/>
      <c r="D987" s="467"/>
      <c r="E987" s="467"/>
    </row>
    <row r="988" ht="14.25" customHeight="1">
      <c r="A988" s="467"/>
      <c r="B988" s="467"/>
      <c r="C988" s="467"/>
      <c r="D988" s="467"/>
      <c r="E988" s="467"/>
    </row>
    <row r="989" ht="14.25" customHeight="1">
      <c r="A989" s="467"/>
      <c r="B989" s="467"/>
      <c r="C989" s="467"/>
      <c r="D989" s="467"/>
      <c r="E989" s="467"/>
    </row>
    <row r="990" ht="14.25" customHeight="1">
      <c r="A990" s="467"/>
      <c r="B990" s="467"/>
      <c r="C990" s="467"/>
      <c r="D990" s="467"/>
      <c r="E990" s="467"/>
    </row>
    <row r="991" ht="14.25" customHeight="1">
      <c r="A991" s="467"/>
      <c r="B991" s="467"/>
      <c r="C991" s="467"/>
      <c r="D991" s="467"/>
      <c r="E991" s="467"/>
    </row>
    <row r="992" ht="14.25" customHeight="1">
      <c r="A992" s="467"/>
      <c r="B992" s="467"/>
      <c r="C992" s="467"/>
      <c r="D992" s="467"/>
      <c r="E992" s="467"/>
    </row>
    <row r="993" ht="14.25" customHeight="1">
      <c r="A993" s="467"/>
      <c r="B993" s="467"/>
      <c r="C993" s="467"/>
      <c r="D993" s="467"/>
      <c r="E993" s="467"/>
    </row>
    <row r="994" ht="14.25" customHeight="1">
      <c r="A994" s="467"/>
      <c r="B994" s="467"/>
      <c r="C994" s="467"/>
      <c r="D994" s="467"/>
      <c r="E994" s="467"/>
    </row>
    <row r="995" ht="14.25" customHeight="1">
      <c r="A995" s="467"/>
      <c r="B995" s="467"/>
      <c r="C995" s="467"/>
      <c r="D995" s="467"/>
      <c r="E995" s="467"/>
    </row>
    <row r="996" ht="14.25" customHeight="1">
      <c r="A996" s="467"/>
      <c r="B996" s="467"/>
      <c r="C996" s="467"/>
      <c r="D996" s="467"/>
      <c r="E996" s="467"/>
    </row>
    <row r="997" ht="14.25" customHeight="1">
      <c r="A997" s="467"/>
      <c r="B997" s="467"/>
      <c r="C997" s="467"/>
      <c r="D997" s="467"/>
      <c r="E997" s="467"/>
    </row>
    <row r="998" ht="14.25" customHeight="1">
      <c r="A998" s="467"/>
      <c r="B998" s="467"/>
      <c r="C998" s="467"/>
      <c r="D998" s="467"/>
      <c r="E998" s="467"/>
    </row>
    <row r="999" ht="14.25" customHeight="1">
      <c r="A999" s="467"/>
      <c r="B999" s="467"/>
      <c r="C999" s="467"/>
      <c r="D999" s="467"/>
      <c r="E999" s="467"/>
    </row>
    <row r="1000" ht="14.25" customHeight="1">
      <c r="A1000" s="467"/>
      <c r="B1000" s="467"/>
      <c r="C1000" s="467"/>
      <c r="D1000" s="467"/>
      <c r="E1000" s="467"/>
    </row>
  </sheetData>
  <mergeCells count="1">
    <mergeCell ref="B1:E1"/>
  </mergeCells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6.57"/>
    <col customWidth="1" min="2" max="2" width="8.71"/>
    <col customWidth="1" min="3" max="3" width="32.14"/>
    <col customWidth="1" min="4" max="4" width="15.71"/>
    <col customWidth="1" min="5" max="5" width="17.43"/>
    <col customWidth="1" min="6" max="8" width="13.71"/>
    <col customWidth="1" min="9" max="9" width="19.0"/>
    <col customWidth="1" min="10" max="10" width="18.0"/>
    <col customWidth="1" min="11" max="11" width="19.0"/>
    <col customWidth="1" min="12" max="26" width="8.71"/>
  </cols>
  <sheetData>
    <row r="1" ht="14.25" customHeight="1">
      <c r="A1" s="679"/>
      <c r="B1" s="679"/>
      <c r="C1" s="679"/>
      <c r="D1" s="680">
        <v>-2.3928E7</v>
      </c>
      <c r="E1" s="680">
        <v>1.414706E9</v>
      </c>
      <c r="F1" s="680">
        <v>-2.92769625014E9</v>
      </c>
      <c r="G1" s="680"/>
      <c r="H1" s="680"/>
      <c r="I1" s="680">
        <v>2.20407026462E11</v>
      </c>
      <c r="J1" s="680">
        <v>-8.665383598137722E9</v>
      </c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  <c r="Z1" s="679"/>
    </row>
    <row r="2" ht="51.75" customHeight="1">
      <c r="B2" s="681"/>
      <c r="C2" s="682"/>
      <c r="D2" s="683" t="s">
        <v>776</v>
      </c>
      <c r="E2" s="158"/>
      <c r="F2" s="158"/>
      <c r="G2" s="158"/>
      <c r="H2" s="158"/>
      <c r="I2" s="158"/>
      <c r="J2" s="684"/>
      <c r="K2" s="685"/>
    </row>
    <row r="3" ht="14.25" customHeight="1">
      <c r="B3" s="686" t="s">
        <v>0</v>
      </c>
      <c r="C3" s="682"/>
      <c r="D3" s="69"/>
      <c r="E3" s="682"/>
      <c r="F3" s="682"/>
      <c r="G3" s="682"/>
      <c r="H3" s="682"/>
      <c r="I3" s="682"/>
      <c r="J3" s="684"/>
      <c r="K3" s="687" t="s">
        <v>632</v>
      </c>
    </row>
    <row r="4" ht="14.25" customHeight="1">
      <c r="B4" s="688" t="s">
        <v>109</v>
      </c>
      <c r="C4" s="689" t="s">
        <v>777</v>
      </c>
      <c r="D4" s="689">
        <v>1.0</v>
      </c>
      <c r="E4" s="689">
        <v>2.0</v>
      </c>
      <c r="F4" s="689">
        <v>3.0</v>
      </c>
      <c r="G4" s="689">
        <v>4.0</v>
      </c>
      <c r="H4" s="689">
        <v>5.0</v>
      </c>
      <c r="I4" s="689">
        <v>6.0</v>
      </c>
      <c r="J4" s="689">
        <v>7.0</v>
      </c>
      <c r="K4" s="689">
        <v>8.0</v>
      </c>
    </row>
    <row r="5" ht="14.25" customHeight="1">
      <c r="B5" s="185"/>
      <c r="C5" s="690" t="s">
        <v>778</v>
      </c>
      <c r="D5" s="690" t="s">
        <v>779</v>
      </c>
      <c r="E5" s="690" t="s">
        <v>721</v>
      </c>
      <c r="F5" s="690" t="s">
        <v>48</v>
      </c>
      <c r="G5" s="690" t="s">
        <v>724</v>
      </c>
      <c r="H5" s="690" t="s">
        <v>726</v>
      </c>
      <c r="I5" s="690" t="s">
        <v>50</v>
      </c>
      <c r="J5" s="690" t="s">
        <v>51</v>
      </c>
      <c r="K5" s="690" t="s">
        <v>538</v>
      </c>
    </row>
    <row r="6" ht="14.25" customHeight="1">
      <c r="B6" s="691">
        <v>1.0</v>
      </c>
      <c r="C6" s="692" t="s">
        <v>780</v>
      </c>
      <c r="D6" s="693">
        <v>2.8590335E10</v>
      </c>
      <c r="E6" s="693">
        <v>1.414706E9</v>
      </c>
      <c r="F6" s="693">
        <v>-0.14000000059604645</v>
      </c>
      <c r="G6" s="694">
        <v>0.0</v>
      </c>
      <c r="H6" s="693">
        <v>0.0</v>
      </c>
      <c r="I6" s="693">
        <v>2.20420825541E11</v>
      </c>
      <c r="J6" s="693">
        <v>1.3585722436422777E9</v>
      </c>
      <c r="K6" s="693">
        <v>2.4895502678450226E11</v>
      </c>
    </row>
    <row r="7" ht="14.25" customHeight="1">
      <c r="B7" s="691">
        <v>2.0</v>
      </c>
      <c r="C7" s="695" t="s">
        <v>781</v>
      </c>
      <c r="D7" s="694"/>
      <c r="E7" s="694"/>
      <c r="F7" s="694"/>
      <c r="G7" s="694"/>
      <c r="H7" s="694"/>
      <c r="I7" s="694"/>
      <c r="J7" s="694">
        <v>2.551109773E7</v>
      </c>
      <c r="K7" s="693">
        <v>2.551109773E7</v>
      </c>
    </row>
    <row r="8" ht="23.25" customHeight="1">
      <c r="B8" s="691">
        <v>3.0</v>
      </c>
      <c r="C8" s="692" t="s">
        <v>782</v>
      </c>
      <c r="D8" s="693">
        <v>2.8590335E10</v>
      </c>
      <c r="E8" s="693">
        <v>1.414706E9</v>
      </c>
      <c r="F8" s="693">
        <v>-0.14000000059604645</v>
      </c>
      <c r="G8" s="693">
        <v>0.0</v>
      </c>
      <c r="H8" s="693">
        <v>0.0</v>
      </c>
      <c r="I8" s="693">
        <v>2.20420825541E11</v>
      </c>
      <c r="J8" s="693">
        <v>1.3330611459122777E9</v>
      </c>
      <c r="K8" s="693">
        <v>2.4892951568677228E11</v>
      </c>
    </row>
    <row r="9" ht="23.25" customHeight="1">
      <c r="B9" s="691">
        <v>4.0</v>
      </c>
      <c r="C9" s="695" t="s">
        <v>88</v>
      </c>
      <c r="D9" s="694"/>
      <c r="E9" s="696"/>
      <c r="F9" s="694"/>
      <c r="G9" s="697"/>
      <c r="H9" s="694"/>
      <c r="I9" s="694"/>
      <c r="J9" s="694">
        <v>1.3347881200800047E9</v>
      </c>
      <c r="K9" s="693">
        <v>1.3347881200800047E9</v>
      </c>
    </row>
    <row r="10" ht="23.25" customHeight="1">
      <c r="B10" s="691">
        <v>5.0</v>
      </c>
      <c r="C10" s="695" t="s">
        <v>769</v>
      </c>
      <c r="D10" s="694"/>
      <c r="E10" s="694"/>
      <c r="F10" s="694"/>
      <c r="G10" s="694"/>
      <c r="H10" s="694"/>
      <c r="I10" s="694"/>
      <c r="J10" s="694">
        <v>8.66538359814E9</v>
      </c>
      <c r="K10" s="693">
        <v>8.66538359814E9</v>
      </c>
    </row>
    <row r="11" ht="23.25" customHeight="1">
      <c r="B11" s="691">
        <v>6.0</v>
      </c>
      <c r="C11" s="695" t="s">
        <v>783</v>
      </c>
      <c r="D11" s="694">
        <v>2.3928E7</v>
      </c>
      <c r="E11" s="698">
        <v>-1.414706E9</v>
      </c>
      <c r="F11" s="697">
        <v>2.92769625E9</v>
      </c>
      <c r="G11" s="694"/>
      <c r="H11" s="694"/>
      <c r="I11" s="694"/>
      <c r="J11" s="694">
        <v>0.0</v>
      </c>
      <c r="K11" s="693">
        <v>4.36633025E9</v>
      </c>
    </row>
    <row r="12" ht="23.25" customHeight="1">
      <c r="B12" s="691">
        <v>7.0</v>
      </c>
      <c r="C12" s="695" t="s">
        <v>784</v>
      </c>
      <c r="D12" s="694"/>
      <c r="E12" s="694"/>
      <c r="F12" s="694"/>
      <c r="G12" s="694"/>
      <c r="H12" s="694"/>
      <c r="I12" s="694"/>
      <c r="J12" s="694"/>
      <c r="K12" s="693">
        <v>0.0</v>
      </c>
    </row>
    <row r="13" ht="23.25" customHeight="1">
      <c r="B13" s="691">
        <v>8.0</v>
      </c>
      <c r="C13" s="695" t="s">
        <v>785</v>
      </c>
      <c r="D13" s="694"/>
      <c r="E13" s="694"/>
      <c r="F13" s="694"/>
      <c r="G13" s="694"/>
      <c r="H13" s="694"/>
      <c r="I13" s="694"/>
      <c r="J13" s="694"/>
      <c r="K13" s="693">
        <v>0.0</v>
      </c>
    </row>
    <row r="14" ht="23.25" customHeight="1">
      <c r="B14" s="691">
        <v>9.0</v>
      </c>
      <c r="C14" s="692" t="s">
        <v>786</v>
      </c>
      <c r="D14" s="693">
        <v>2.8614263E10</v>
      </c>
      <c r="E14" s="693">
        <v>0.0</v>
      </c>
      <c r="F14" s="693">
        <v>2.92769624986E9</v>
      </c>
      <c r="G14" s="693">
        <v>0.0</v>
      </c>
      <c r="H14" s="693">
        <v>0.0</v>
      </c>
      <c r="I14" s="693">
        <v>2.20420825541E11</v>
      </c>
      <c r="J14" s="693">
        <v>1.1333232864132282E10</v>
      </c>
      <c r="K14" s="693">
        <v>2.6329601765499228E11</v>
      </c>
    </row>
    <row r="15" ht="14.25" customHeight="1">
      <c r="B15" s="325"/>
      <c r="C15" s="338"/>
      <c r="D15" s="321"/>
      <c r="E15" s="321"/>
      <c r="F15" s="321"/>
      <c r="G15" s="321"/>
      <c r="H15" s="321"/>
      <c r="I15" s="699"/>
      <c r="J15" s="428"/>
      <c r="K15" s="321"/>
    </row>
    <row r="16" ht="14.25" customHeight="1">
      <c r="B16" s="325"/>
      <c r="C16" s="321"/>
      <c r="D16" s="321"/>
      <c r="E16" s="321" t="s">
        <v>731</v>
      </c>
      <c r="F16" s="321"/>
      <c r="G16" s="321"/>
      <c r="H16" s="700" t="s">
        <v>732</v>
      </c>
      <c r="I16" s="321"/>
      <c r="J16" s="428"/>
      <c r="K16" s="321"/>
    </row>
    <row r="17" ht="14.25" customHeight="1">
      <c r="B17" s="325"/>
      <c r="C17" s="321"/>
      <c r="D17" s="321"/>
      <c r="E17" s="321"/>
      <c r="F17" s="321"/>
      <c r="G17" s="321"/>
      <c r="H17" s="325"/>
      <c r="I17" s="321"/>
      <c r="J17" s="321"/>
      <c r="K17" s="321"/>
    </row>
    <row r="18" ht="25.5" customHeight="1">
      <c r="B18" s="325"/>
      <c r="C18" s="321"/>
      <c r="D18" s="321"/>
      <c r="E18" s="321" t="s">
        <v>734</v>
      </c>
      <c r="F18" s="321"/>
      <c r="G18" s="321"/>
      <c r="H18" s="700" t="s">
        <v>735</v>
      </c>
      <c r="I18" s="321"/>
      <c r="J18" s="321"/>
      <c r="K18" s="321"/>
    </row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</sheetData>
  <mergeCells count="2">
    <mergeCell ref="D2:I2"/>
    <mergeCell ref="B4:B5"/>
  </mergeCells>
  <printOptions/>
  <pageMargins bottom="0.75" footer="0.0" header="0.0" left="0.7" right="0.48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3.29"/>
    <col customWidth="1" min="2" max="2" width="15.86"/>
    <col customWidth="1" min="3" max="3" width="53.0"/>
    <col customWidth="1" min="4" max="5" width="24.57"/>
    <col customWidth="1" min="6" max="26" width="9.14"/>
  </cols>
  <sheetData>
    <row r="1" ht="13.5" customHeight="1">
      <c r="A1" s="508"/>
      <c r="B1" s="701"/>
      <c r="C1" s="702" t="s">
        <v>787</v>
      </c>
      <c r="D1" s="158"/>
      <c r="E1" s="15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</row>
    <row r="2" ht="13.5" customHeight="1">
      <c r="A2" s="508"/>
      <c r="B2" s="701"/>
      <c r="C2" s="703"/>
      <c r="D2" s="703"/>
      <c r="E2" s="703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</row>
    <row r="3" ht="13.5" customHeight="1">
      <c r="A3" s="508"/>
      <c r="B3" s="701"/>
      <c r="C3" s="681"/>
      <c r="D3" s="703"/>
      <c r="E3" s="703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</row>
    <row r="4" ht="13.5" customHeight="1">
      <c r="A4" s="508"/>
      <c r="B4" s="704" t="str">
        <f>+'СТ-1'!B2</f>
        <v>Ард Санхүүгийн Нэгдэл ХК</v>
      </c>
      <c r="C4" s="703"/>
      <c r="D4" s="703"/>
      <c r="E4" s="687" t="s">
        <v>632</v>
      </c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</row>
    <row r="5" ht="13.5" customHeight="1">
      <c r="A5" s="508"/>
      <c r="B5" s="691"/>
      <c r="C5" s="705" t="s">
        <v>778</v>
      </c>
      <c r="D5" s="705" t="s">
        <v>788</v>
      </c>
      <c r="E5" s="705" t="s">
        <v>789</v>
      </c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</row>
    <row r="6" ht="13.5" customHeight="1">
      <c r="A6" s="508"/>
      <c r="B6" s="706">
        <v>1.0</v>
      </c>
      <c r="C6" s="692" t="s">
        <v>790</v>
      </c>
      <c r="D6" s="707"/>
      <c r="E6" s="707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</row>
    <row r="7" ht="13.5" customHeight="1">
      <c r="A7" s="508"/>
      <c r="B7" s="706">
        <v>1.1</v>
      </c>
      <c r="C7" s="695" t="s">
        <v>791</v>
      </c>
      <c r="D7" s="708">
        <v>2.398871022E8</v>
      </c>
      <c r="E7" s="708" t="str">
        <f>SUM(E8:E13)</f>
        <v>#ERROR!</v>
      </c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</row>
    <row r="8" ht="13.5" customHeight="1">
      <c r="A8" s="508"/>
      <c r="B8" s="691" t="s">
        <v>637</v>
      </c>
      <c r="C8" s="709" t="s">
        <v>792</v>
      </c>
      <c r="D8" s="710"/>
      <c r="E8" s="711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</row>
    <row r="9" ht="13.5" customHeight="1">
      <c r="A9" s="508"/>
      <c r="B9" s="691" t="s">
        <v>639</v>
      </c>
      <c r="C9" s="709" t="s">
        <v>793</v>
      </c>
      <c r="D9" s="712"/>
      <c r="E9" s="7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</row>
    <row r="10" ht="13.5" customHeight="1">
      <c r="A10" s="508"/>
      <c r="B10" s="691" t="s">
        <v>641</v>
      </c>
      <c r="C10" s="695" t="s">
        <v>794</v>
      </c>
      <c r="D10" s="712"/>
      <c r="E10" s="7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</row>
    <row r="11" ht="13.5" customHeight="1">
      <c r="A11" s="508"/>
      <c r="B11" s="691" t="s">
        <v>643</v>
      </c>
      <c r="C11" s="709" t="s">
        <v>795</v>
      </c>
      <c r="D11" s="712"/>
      <c r="E11" s="708"/>
      <c r="F11" s="508"/>
      <c r="G11" s="508"/>
      <c r="H11" s="508"/>
      <c r="I11" s="508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</row>
    <row r="12" ht="13.5" customHeight="1">
      <c r="A12" s="508"/>
      <c r="B12" s="691" t="s">
        <v>645</v>
      </c>
      <c r="C12" s="709" t="s">
        <v>796</v>
      </c>
      <c r="D12" s="712"/>
      <c r="E12" s="7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  <c r="Q12" s="508"/>
      <c r="R12" s="508"/>
      <c r="S12" s="508"/>
      <c r="T12" s="508"/>
      <c r="U12" s="508"/>
      <c r="V12" s="508"/>
      <c r="W12" s="508"/>
      <c r="X12" s="508"/>
      <c r="Y12" s="508"/>
      <c r="Z12" s="508"/>
    </row>
    <row r="13" ht="13.5" customHeight="1">
      <c r="A13" s="508"/>
      <c r="B13" s="691" t="s">
        <v>647</v>
      </c>
      <c r="C13" s="709" t="s">
        <v>797</v>
      </c>
      <c r="D13" s="712">
        <v>2.398871022E8</v>
      </c>
      <c r="E13" s="711" t="str">
        <f>+[8]Sheet1!$C$10</f>
        <v>#ERROR!</v>
      </c>
      <c r="F13" s="508"/>
      <c r="G13" s="508"/>
      <c r="H13" s="508"/>
      <c r="I13" s="508"/>
      <c r="J13" s="508"/>
      <c r="K13" s="508"/>
      <c r="L13" s="508"/>
      <c r="M13" s="508"/>
      <c r="N13" s="508"/>
      <c r="O13" s="508"/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</row>
    <row r="14" ht="13.5" customHeight="1">
      <c r="A14" s="508"/>
      <c r="B14" s="691">
        <v>1.2</v>
      </c>
      <c r="C14" s="692" t="s">
        <v>798</v>
      </c>
      <c r="D14" s="708">
        <v>1.631910123128802E9</v>
      </c>
      <c r="E14" s="708">
        <f>SUM(E15:E23)</f>
        <v>0</v>
      </c>
      <c r="F14" s="508"/>
      <c r="G14" s="508"/>
      <c r="H14" s="508"/>
      <c r="I14" s="508"/>
      <c r="J14" s="508"/>
      <c r="K14" s="508"/>
      <c r="L14" s="508"/>
      <c r="M14" s="508"/>
      <c r="N14" s="508"/>
      <c r="O14" s="508"/>
      <c r="P14" s="508"/>
      <c r="Q14" s="508"/>
      <c r="R14" s="508"/>
      <c r="S14" s="508"/>
      <c r="T14" s="508"/>
      <c r="U14" s="508"/>
      <c r="V14" s="508"/>
      <c r="W14" s="508"/>
      <c r="X14" s="508"/>
      <c r="Y14" s="508"/>
      <c r="Z14" s="508"/>
    </row>
    <row r="15" ht="13.5" customHeight="1">
      <c r="A15" s="508"/>
      <c r="B15" s="691" t="s">
        <v>658</v>
      </c>
      <c r="C15" s="709" t="s">
        <v>799</v>
      </c>
      <c r="D15" s="712">
        <v>2.244506485E8</v>
      </c>
      <c r="E15" s="713" t="str">
        <f>+CF!C11</f>
        <v>Буцаан авсан албан татвар</v>
      </c>
      <c r="F15" s="508"/>
      <c r="G15" s="508"/>
      <c r="H15" s="508"/>
      <c r="I15" s="508"/>
      <c r="J15" s="508"/>
      <c r="K15" s="508"/>
      <c r="L15" s="508"/>
      <c r="M15" s="508"/>
      <c r="N15" s="508"/>
      <c r="O15" s="508"/>
      <c r="P15" s="508"/>
      <c r="Q15" s="508"/>
      <c r="R15" s="508"/>
      <c r="S15" s="508"/>
      <c r="T15" s="508"/>
      <c r="U15" s="508"/>
      <c r="V15" s="508"/>
      <c r="W15" s="508"/>
      <c r="X15" s="508"/>
      <c r="Y15" s="508"/>
      <c r="Z15" s="508"/>
    </row>
    <row r="16" ht="13.5" customHeight="1">
      <c r="A16" s="508"/>
      <c r="B16" s="691" t="s">
        <v>659</v>
      </c>
      <c r="C16" s="709" t="s">
        <v>800</v>
      </c>
      <c r="D16" s="712">
        <v>5.005567619E7</v>
      </c>
      <c r="E16" s="713" t="str">
        <f>+CF!C12</f>
        <v>Татаас, санхүүжилтийн орлого</v>
      </c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508"/>
    </row>
    <row r="17" ht="13.5" customHeight="1">
      <c r="A17" s="508"/>
      <c r="B17" s="691" t="s">
        <v>660</v>
      </c>
      <c r="C17" s="709" t="s">
        <v>801</v>
      </c>
      <c r="D17" s="712">
        <v>1385489.0</v>
      </c>
      <c r="E17" s="713" t="str">
        <f>+CF!C13</f>
        <v>Бусад мөнгөн орлого</v>
      </c>
      <c r="F17" s="508"/>
      <c r="G17" s="508"/>
      <c r="H17" s="508"/>
      <c r="I17" s="508"/>
      <c r="J17" s="508"/>
      <c r="K17" s="508"/>
      <c r="L17" s="508"/>
      <c r="M17" s="508"/>
      <c r="N17" s="508"/>
      <c r="O17" s="508"/>
      <c r="P17" s="508"/>
      <c r="Q17" s="508"/>
      <c r="R17" s="508"/>
      <c r="S17" s="508"/>
      <c r="T17" s="508"/>
      <c r="U17" s="508"/>
      <c r="V17" s="508"/>
      <c r="W17" s="508"/>
      <c r="X17" s="508"/>
      <c r="Y17" s="508"/>
      <c r="Z17" s="508"/>
    </row>
    <row r="18" ht="13.5" customHeight="1">
      <c r="A18" s="508"/>
      <c r="B18" s="691" t="s">
        <v>662</v>
      </c>
      <c r="C18" s="709" t="s">
        <v>802</v>
      </c>
      <c r="D18" s="712">
        <v>1.9135763963E8</v>
      </c>
      <c r="E18" s="713" t="str">
        <f>+CF!C14</f>
        <v>Мөнгөн зарлагын дүн</v>
      </c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508"/>
    </row>
    <row r="19" ht="13.5" customHeight="1">
      <c r="A19" s="508"/>
      <c r="B19" s="691" t="s">
        <v>664</v>
      </c>
      <c r="C19" s="709" t="s">
        <v>803</v>
      </c>
      <c r="D19" s="712">
        <v>1.7264751E7</v>
      </c>
      <c r="E19" s="713" t="str">
        <f>+CF!C15</f>
        <v>Ажиллагчдад төлсөн</v>
      </c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508"/>
    </row>
    <row r="20" ht="13.5" customHeight="1">
      <c r="A20" s="508"/>
      <c r="B20" s="691" t="s">
        <v>666</v>
      </c>
      <c r="C20" s="709" t="s">
        <v>804</v>
      </c>
      <c r="D20" s="712">
        <v>3.5435350183E8</v>
      </c>
      <c r="E20" s="713" t="str">
        <f>+CF!C16</f>
        <v>Нийгмийн даатгалын байгууллагад төлсөн</v>
      </c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508"/>
    </row>
    <row r="21" ht="13.5" customHeight="1">
      <c r="A21" s="508"/>
      <c r="B21" s="691" t="s">
        <v>668</v>
      </c>
      <c r="C21" s="709" t="s">
        <v>805</v>
      </c>
      <c r="D21" s="712">
        <v>1.1404857448E8</v>
      </c>
      <c r="E21" s="713" t="str">
        <f>+CF!C17</f>
        <v>Бараа материал худалдан авахад төлсөн</v>
      </c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</row>
    <row r="22" ht="13.5" customHeight="1">
      <c r="A22" s="508"/>
      <c r="B22" s="691" t="s">
        <v>670</v>
      </c>
      <c r="C22" s="709" t="s">
        <v>806</v>
      </c>
      <c r="D22" s="712">
        <v>0.0</v>
      </c>
      <c r="E22" s="713" t="str">
        <f>+CF!C18</f>
        <v>Ашиглалтын зардалд төлсөн</v>
      </c>
      <c r="F22" s="508"/>
      <c r="G22" s="508"/>
      <c r="H22" s="508"/>
      <c r="I22" s="508"/>
      <c r="J22" s="508"/>
      <c r="K22" s="508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  <c r="Z22" s="508"/>
    </row>
    <row r="23" ht="13.5" customHeight="1">
      <c r="A23" s="508"/>
      <c r="B23" s="691" t="s">
        <v>672</v>
      </c>
      <c r="C23" s="709" t="s">
        <v>807</v>
      </c>
      <c r="D23" s="712">
        <v>6.789938424988021E8</v>
      </c>
      <c r="E23" s="713" t="str">
        <f>+CF!C19</f>
        <v>Түлш шатахуун, тээврийн хөлс, сэлбэг хэрэгсэлд төлсөн</v>
      </c>
      <c r="F23" s="508"/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  <c r="Z23" s="508"/>
    </row>
    <row r="24" ht="13.5" customHeight="1">
      <c r="A24" s="508"/>
      <c r="B24" s="690">
        <v>1.3</v>
      </c>
      <c r="C24" s="692" t="s">
        <v>808</v>
      </c>
      <c r="D24" s="708">
        <v>-1.392023020928802E9</v>
      </c>
      <c r="E24" s="708" t="str">
        <f>+E7-E14</f>
        <v>#ERROR!</v>
      </c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508"/>
    </row>
    <row r="25" ht="13.5" customHeight="1">
      <c r="A25" s="508"/>
      <c r="B25" s="706">
        <v>2.0</v>
      </c>
      <c r="C25" s="707" t="s">
        <v>809</v>
      </c>
      <c r="D25" s="714"/>
      <c r="E25" s="7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</row>
    <row r="26" ht="13.5" customHeight="1">
      <c r="A26" s="508"/>
      <c r="B26" s="691">
        <v>2.1</v>
      </c>
      <c r="C26" s="692" t="s">
        <v>810</v>
      </c>
      <c r="D26" s="708">
        <v>2.43680177995E9</v>
      </c>
      <c r="E26" s="708">
        <f>SUM(E27:E33)</f>
        <v>0</v>
      </c>
      <c r="F26" s="508"/>
      <c r="G26" s="508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508"/>
    </row>
    <row r="27" ht="13.5" customHeight="1">
      <c r="A27" s="508"/>
      <c r="B27" s="691" t="s">
        <v>676</v>
      </c>
      <c r="C27" s="709" t="s">
        <v>811</v>
      </c>
      <c r="D27" s="712">
        <v>1.455747E8</v>
      </c>
      <c r="E27" s="711" t="str">
        <f>+CF!C23</f>
        <v>Бусад мөнгөн зарлага</v>
      </c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</row>
    <row r="28" ht="13.5" customHeight="1">
      <c r="A28" s="508"/>
      <c r="B28" s="691" t="s">
        <v>699</v>
      </c>
      <c r="C28" s="709" t="s">
        <v>812</v>
      </c>
      <c r="D28" s="712">
        <v>0.0</v>
      </c>
      <c r="E28" s="711" t="str">
        <f>+CF!C24</f>
        <v>Үндсэн үйл ажиллагааны цэвэр мөнгөн гүйлгээний дүн</v>
      </c>
      <c r="F28" s="508"/>
      <c r="G28" s="508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508"/>
    </row>
    <row r="29" ht="13.5" customHeight="1">
      <c r="A29" s="508"/>
      <c r="B29" s="691" t="s">
        <v>813</v>
      </c>
      <c r="C29" s="709" t="s">
        <v>814</v>
      </c>
      <c r="D29" s="712">
        <v>4.0E7</v>
      </c>
      <c r="E29" s="711" t="str">
        <f>+CF!C25</f>
        <v>ХӨРӨНГӨ ОРУУЛЛАЛТЫН МӨНГӨН ГҮЙЛГЭЭ</v>
      </c>
      <c r="F29" s="508"/>
      <c r="G29" s="508"/>
      <c r="H29" s="508"/>
      <c r="I29" s="508"/>
      <c r="J29" s="508"/>
      <c r="K29" s="508"/>
      <c r="L29" s="508"/>
      <c r="M29" s="508"/>
      <c r="N29" s="508"/>
      <c r="O29" s="508"/>
      <c r="P29" s="508"/>
      <c r="Q29" s="508"/>
      <c r="R29" s="508"/>
      <c r="S29" s="508"/>
      <c r="T29" s="508"/>
      <c r="U29" s="508"/>
      <c r="V29" s="508"/>
      <c r="W29" s="508"/>
      <c r="X29" s="508"/>
      <c r="Y29" s="508"/>
      <c r="Z29" s="508"/>
    </row>
    <row r="30" ht="13.5" customHeight="1">
      <c r="A30" s="508"/>
      <c r="B30" s="691" t="s">
        <v>815</v>
      </c>
      <c r="C30" s="709" t="s">
        <v>816</v>
      </c>
      <c r="D30" s="712">
        <v>0.0</v>
      </c>
      <c r="E30" s="711" t="str">
        <f>+CF!C26</f>
        <v>Мөнгөн орлогын дүн</v>
      </c>
      <c r="F30" s="508"/>
      <c r="G30" s="508"/>
      <c r="H30" s="508"/>
      <c r="I30" s="508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  <c r="Z30" s="508"/>
    </row>
    <row r="31" ht="13.5" customHeight="1">
      <c r="A31" s="508"/>
      <c r="B31" s="691" t="s">
        <v>817</v>
      </c>
      <c r="C31" s="709" t="s">
        <v>818</v>
      </c>
      <c r="D31" s="712">
        <v>2.02560386267E9</v>
      </c>
      <c r="E31" s="711" t="str">
        <f>+CF!C27</f>
        <v>Үндсэн хөрөнгө борлуулсны орлого</v>
      </c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</row>
    <row r="32" ht="13.5" customHeight="1">
      <c r="A32" s="508"/>
      <c r="B32" s="691" t="s">
        <v>819</v>
      </c>
      <c r="C32" s="709" t="s">
        <v>820</v>
      </c>
      <c r="D32" s="712">
        <v>5.193735608E7</v>
      </c>
      <c r="E32" s="711" t="str">
        <f>+CF!C28</f>
        <v>Биет бус хөрөнгө борлуулсны орлого</v>
      </c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</row>
    <row r="33" ht="14.25" customHeight="1">
      <c r="A33" s="508"/>
      <c r="B33" s="691" t="s">
        <v>821</v>
      </c>
      <c r="C33" s="709" t="s">
        <v>822</v>
      </c>
      <c r="D33" s="712">
        <v>1.736858612E8</v>
      </c>
      <c r="E33" s="711" t="str">
        <f>+CF!C29</f>
        <v>Хөрөнгө оруулалт борлуулсны орлого</v>
      </c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</row>
    <row r="34" ht="13.5" customHeight="1">
      <c r="A34" s="508"/>
      <c r="B34" s="691" t="s">
        <v>823</v>
      </c>
      <c r="C34" s="709"/>
      <c r="D34" s="712"/>
      <c r="E34" s="711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508"/>
    </row>
    <row r="35" ht="13.5" customHeight="1">
      <c r="A35" s="508"/>
      <c r="B35" s="691">
        <v>2.2</v>
      </c>
      <c r="C35" s="692" t="s">
        <v>798</v>
      </c>
      <c r="D35" s="708">
        <v>3.07443938634E9</v>
      </c>
      <c r="E35" s="708">
        <f>SUM(E36:E41)</f>
        <v>0</v>
      </c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</row>
    <row r="36" ht="13.5" customHeight="1">
      <c r="A36" s="508"/>
      <c r="B36" s="691" t="s">
        <v>824</v>
      </c>
      <c r="C36" s="709" t="s">
        <v>825</v>
      </c>
      <c r="D36" s="712">
        <v>3.4375975E7</v>
      </c>
      <c r="E36" s="711" t="str">
        <f>+CF!C32</f>
        <v>Хүлээн авсан хүүний орлого</v>
      </c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  <c r="Z36" s="508"/>
    </row>
    <row r="37" ht="13.5" customHeight="1">
      <c r="A37" s="508"/>
      <c r="B37" s="691" t="s">
        <v>826</v>
      </c>
      <c r="C37" s="709" t="s">
        <v>827</v>
      </c>
      <c r="D37" s="712">
        <v>6689655.9</v>
      </c>
      <c r="E37" s="711" t="str">
        <f>+CF!C33</f>
        <v>Хүлээн авсан ногдол ашиг</v>
      </c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  <c r="Z37" s="508"/>
    </row>
    <row r="38" ht="13.5" customHeight="1">
      <c r="A38" s="508"/>
      <c r="B38" s="691" t="s">
        <v>828</v>
      </c>
      <c r="C38" s="709" t="s">
        <v>829</v>
      </c>
      <c r="D38" s="712">
        <v>4.0990587173E8</v>
      </c>
      <c r="E38" s="711" t="str">
        <f>+CF!C34</f>
        <v/>
      </c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  <c r="Z38" s="508"/>
    </row>
    <row r="39" ht="13.5" customHeight="1">
      <c r="A39" s="508"/>
      <c r="B39" s="691" t="s">
        <v>830</v>
      </c>
      <c r="C39" s="709" t="s">
        <v>831</v>
      </c>
      <c r="D39" s="712">
        <v>0.0</v>
      </c>
      <c r="E39" s="711" t="str">
        <f>+CF!C35</f>
        <v>Мөнгөн зарлагын дүн</v>
      </c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  <c r="Z39" s="508"/>
    </row>
    <row r="40" ht="14.25" customHeight="1">
      <c r="A40" s="508"/>
      <c r="B40" s="691" t="s">
        <v>832</v>
      </c>
      <c r="C40" s="709" t="s">
        <v>833</v>
      </c>
      <c r="D40" s="712">
        <v>2.62346788371E9</v>
      </c>
      <c r="E40" s="711" t="str">
        <f>+CF!C36</f>
        <v>Үндсэн хөрөнгө олж эзэмшихэд төлсөн</v>
      </c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</row>
    <row r="41" ht="13.5" customHeight="1">
      <c r="A41" s="508"/>
      <c r="B41" s="715" t="s">
        <v>834</v>
      </c>
      <c r="C41" s="709"/>
      <c r="D41" s="712"/>
      <c r="E41" s="711" t="str">
        <f>+CF!C37</f>
        <v>Биет бус хөрөнгө олж эзэмшихэд төлсөн</v>
      </c>
      <c r="F41" s="508"/>
      <c r="G41" s="508"/>
      <c r="H41" s="508"/>
      <c r="I41" s="508"/>
      <c r="J41" s="508"/>
      <c r="K41" s="508"/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08"/>
      <c r="Y41" s="508"/>
      <c r="Z41" s="508"/>
    </row>
    <row r="42" ht="16.5" customHeight="1">
      <c r="A42" s="508"/>
      <c r="B42" s="691">
        <v>2.3</v>
      </c>
      <c r="C42" s="692" t="s">
        <v>835</v>
      </c>
      <c r="D42" s="708">
        <v>-6.376376063900003E8</v>
      </c>
      <c r="E42" s="708">
        <f>+E26-E35</f>
        <v>0</v>
      </c>
      <c r="F42" s="508"/>
      <c r="G42" s="508"/>
      <c r="H42" s="508"/>
      <c r="I42" s="508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  <c r="Z42" s="508"/>
    </row>
    <row r="43" ht="13.5" customHeight="1">
      <c r="A43" s="508"/>
      <c r="B43" s="706">
        <v>3.0</v>
      </c>
      <c r="C43" s="707" t="s">
        <v>836</v>
      </c>
      <c r="D43" s="714"/>
      <c r="E43" s="708"/>
      <c r="F43" s="508"/>
      <c r="G43" s="508"/>
      <c r="H43" s="508"/>
      <c r="I43" s="508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</row>
    <row r="44" ht="13.5" customHeight="1">
      <c r="A44" s="508"/>
      <c r="B44" s="691">
        <v>3.1</v>
      </c>
      <c r="C44" s="692" t="s">
        <v>810</v>
      </c>
      <c r="D44" s="708">
        <v>4.36407904882E9</v>
      </c>
      <c r="E44" s="708">
        <f>SUM(E45:E48)</f>
        <v>0</v>
      </c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</row>
    <row r="45" ht="14.25" customHeight="1">
      <c r="A45" s="508"/>
      <c r="B45" s="691" t="s">
        <v>837</v>
      </c>
      <c r="C45" s="709" t="s">
        <v>838</v>
      </c>
      <c r="D45" s="712">
        <v>4.36407904882E9</v>
      </c>
      <c r="E45" s="711" t="str">
        <f>+CF!C41</f>
        <v/>
      </c>
      <c r="F45" s="508"/>
      <c r="G45" s="508"/>
      <c r="H45" s="508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508"/>
      <c r="V45" s="508"/>
      <c r="W45" s="508"/>
      <c r="X45" s="508"/>
      <c r="Y45" s="508"/>
      <c r="Z45" s="508"/>
    </row>
    <row r="46" ht="14.25" customHeight="1">
      <c r="A46" s="508"/>
      <c r="B46" s="691" t="s">
        <v>839</v>
      </c>
      <c r="C46" s="709" t="s">
        <v>840</v>
      </c>
      <c r="D46" s="712"/>
      <c r="E46" s="711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508"/>
      <c r="Q46" s="508"/>
      <c r="R46" s="508"/>
      <c r="S46" s="508"/>
      <c r="T46" s="508"/>
      <c r="U46" s="508"/>
      <c r="V46" s="508"/>
      <c r="W46" s="508"/>
      <c r="X46" s="508"/>
      <c r="Y46" s="508"/>
      <c r="Z46" s="508"/>
    </row>
    <row r="47" ht="13.5" customHeight="1">
      <c r="A47" s="508"/>
      <c r="B47" s="691" t="s">
        <v>841</v>
      </c>
      <c r="C47" s="709" t="s">
        <v>842</v>
      </c>
      <c r="D47" s="712"/>
      <c r="E47" s="708"/>
      <c r="F47" s="508"/>
      <c r="G47" s="508"/>
      <c r="H47" s="508"/>
      <c r="I47" s="508"/>
      <c r="J47" s="508"/>
      <c r="K47" s="508"/>
      <c r="L47" s="508"/>
      <c r="M47" s="508"/>
      <c r="N47" s="508"/>
      <c r="O47" s="508"/>
      <c r="P47" s="508"/>
      <c r="Q47" s="508"/>
      <c r="R47" s="508"/>
      <c r="S47" s="508"/>
      <c r="T47" s="508"/>
      <c r="U47" s="508"/>
      <c r="V47" s="508"/>
      <c r="W47" s="508"/>
      <c r="X47" s="508"/>
      <c r="Y47" s="508"/>
      <c r="Z47" s="508"/>
    </row>
    <row r="48" ht="13.5" customHeight="1">
      <c r="A48" s="508"/>
      <c r="B48" s="691" t="s">
        <v>843</v>
      </c>
      <c r="C48" s="709"/>
      <c r="D48" s="712"/>
      <c r="E48" s="7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8"/>
      <c r="T48" s="508"/>
      <c r="U48" s="508"/>
      <c r="V48" s="508"/>
      <c r="W48" s="508"/>
      <c r="X48" s="508"/>
      <c r="Y48" s="508"/>
      <c r="Z48" s="508"/>
    </row>
    <row r="49" ht="13.5" customHeight="1">
      <c r="A49" s="508"/>
      <c r="B49" s="691">
        <v>3.2</v>
      </c>
      <c r="C49" s="692" t="s">
        <v>798</v>
      </c>
      <c r="D49" s="708">
        <v>1.81154438066E9</v>
      </c>
      <c r="E49" s="708">
        <f>SUM(E50:E53)</f>
        <v>0</v>
      </c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8"/>
      <c r="T49" s="508"/>
      <c r="U49" s="508"/>
      <c r="V49" s="508"/>
      <c r="W49" s="508"/>
      <c r="X49" s="508"/>
      <c r="Y49" s="508"/>
      <c r="Z49" s="508"/>
    </row>
    <row r="50" ht="13.5" customHeight="1">
      <c r="A50" s="508"/>
      <c r="B50" s="691" t="s">
        <v>844</v>
      </c>
      <c r="C50" s="709" t="s">
        <v>845</v>
      </c>
      <c r="D50" s="712">
        <v>1.81154438066E9</v>
      </c>
      <c r="E50" s="711" t="str">
        <f>+CF!C46</f>
        <v>Хувьцаа болон өмчийн бусад үнэт цаас гаргаснаас хүлээн авсан</v>
      </c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8"/>
      <c r="T50" s="508"/>
      <c r="U50" s="508"/>
      <c r="V50" s="508"/>
      <c r="W50" s="508"/>
      <c r="X50" s="508"/>
      <c r="Y50" s="508"/>
      <c r="Z50" s="508"/>
    </row>
    <row r="51" ht="13.5" customHeight="1">
      <c r="A51" s="508"/>
      <c r="B51" s="691" t="s">
        <v>846</v>
      </c>
      <c r="C51" s="709" t="s">
        <v>847</v>
      </c>
      <c r="D51" s="712"/>
      <c r="E51" s="7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508"/>
      <c r="Y51" s="508"/>
      <c r="Z51" s="508"/>
    </row>
    <row r="52" ht="13.5" customHeight="1">
      <c r="A52" s="508"/>
      <c r="B52" s="691" t="s">
        <v>848</v>
      </c>
      <c r="C52" s="709" t="s">
        <v>849</v>
      </c>
      <c r="D52" s="712"/>
      <c r="E52" s="711"/>
      <c r="F52" s="508"/>
      <c r="G52" s="508"/>
      <c r="H52" s="508"/>
      <c r="I52" s="508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  <c r="U52" s="508"/>
      <c r="V52" s="508"/>
      <c r="W52" s="508"/>
      <c r="X52" s="508"/>
      <c r="Y52" s="508"/>
      <c r="Z52" s="508"/>
    </row>
    <row r="53" ht="13.5" customHeight="1">
      <c r="A53" s="508"/>
      <c r="B53" s="691" t="s">
        <v>850</v>
      </c>
      <c r="C53" s="709" t="s">
        <v>851</v>
      </c>
      <c r="D53" s="712"/>
      <c r="E53" s="7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</row>
    <row r="54" ht="13.5" customHeight="1">
      <c r="A54" s="716"/>
      <c r="B54" s="690">
        <v>3.3</v>
      </c>
      <c r="C54" s="707" t="s">
        <v>852</v>
      </c>
      <c r="D54" s="717">
        <v>2.55253466816E9</v>
      </c>
      <c r="E54" s="717">
        <f>+E44-E49</f>
        <v>0</v>
      </c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/>
      <c r="V54" s="716"/>
      <c r="W54" s="716"/>
      <c r="X54" s="716"/>
      <c r="Y54" s="716"/>
      <c r="Z54" s="716"/>
    </row>
    <row r="55" ht="13.5" customHeight="1">
      <c r="A55" s="508"/>
      <c r="B55" s="690">
        <v>4.0</v>
      </c>
      <c r="C55" s="718" t="s">
        <v>853</v>
      </c>
      <c r="D55" s="719"/>
      <c r="E55" s="708"/>
      <c r="F55" s="508"/>
      <c r="G55" s="508"/>
      <c r="H55" s="508"/>
      <c r="I55" s="508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08"/>
      <c r="U55" s="508"/>
      <c r="V55" s="508"/>
      <c r="W55" s="508"/>
      <c r="X55" s="508"/>
      <c r="Y55" s="508"/>
      <c r="Z55" s="508"/>
    </row>
    <row r="56" ht="13.5" customHeight="1">
      <c r="A56" s="508"/>
      <c r="B56" s="690">
        <v>4.1</v>
      </c>
      <c r="C56" s="720" t="s">
        <v>854</v>
      </c>
      <c r="D56" s="708">
        <v>5.228740408411975E8</v>
      </c>
      <c r="E56" s="708" t="str">
        <f>+E24+E42+E54-E55</f>
        <v>#ERROR!</v>
      </c>
      <c r="F56" s="508"/>
      <c r="G56" s="508"/>
      <c r="H56" s="508"/>
      <c r="I56" s="508"/>
      <c r="J56" s="508"/>
      <c r="K56" s="508"/>
      <c r="L56" s="508"/>
      <c r="M56" s="508"/>
      <c r="N56" s="508"/>
      <c r="O56" s="508"/>
      <c r="P56" s="508"/>
      <c r="Q56" s="508"/>
      <c r="R56" s="508"/>
      <c r="S56" s="508"/>
      <c r="T56" s="508"/>
      <c r="U56" s="508"/>
      <c r="V56" s="508"/>
      <c r="W56" s="508"/>
      <c r="X56" s="508"/>
      <c r="Y56" s="508"/>
      <c r="Z56" s="508"/>
    </row>
    <row r="57" ht="13.5" customHeight="1">
      <c r="A57" s="508"/>
      <c r="B57" s="690">
        <v>5.0</v>
      </c>
      <c r="C57" s="720" t="s">
        <v>855</v>
      </c>
      <c r="D57" s="719">
        <v>1.661923145688026E8</v>
      </c>
      <c r="E57" s="719">
        <f>D58</f>
        <v>689066355.4</v>
      </c>
      <c r="F57" s="508"/>
      <c r="G57" s="508"/>
      <c r="H57" s="508"/>
      <c r="I57" s="508"/>
      <c r="J57" s="508"/>
      <c r="K57" s="508"/>
      <c r="L57" s="508"/>
      <c r="M57" s="508"/>
      <c r="N57" s="508"/>
      <c r="O57" s="508"/>
      <c r="P57" s="508"/>
      <c r="Q57" s="508"/>
      <c r="R57" s="508"/>
      <c r="S57" s="508"/>
      <c r="T57" s="508"/>
      <c r="U57" s="508"/>
      <c r="V57" s="508"/>
      <c r="W57" s="508"/>
      <c r="X57" s="508"/>
      <c r="Y57" s="508"/>
      <c r="Z57" s="508"/>
    </row>
    <row r="58" ht="13.5" customHeight="1">
      <c r="A58" s="508"/>
      <c r="B58" s="690">
        <v>6.0</v>
      </c>
      <c r="C58" s="720" t="s">
        <v>856</v>
      </c>
      <c r="D58" s="719">
        <v>6.890663554100001E8</v>
      </c>
      <c r="E58" s="719">
        <f>+'СТ-1'!E6</f>
        <v>319785057.7</v>
      </c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</row>
    <row r="59" ht="13.5" customHeight="1">
      <c r="A59" s="508"/>
      <c r="B59" s="721"/>
      <c r="C59" s="722"/>
      <c r="D59" s="723"/>
      <c r="E59" s="724">
        <f>+E58-'СТ-1'!E6</f>
        <v>0</v>
      </c>
      <c r="F59" s="508"/>
      <c r="G59" s="508"/>
      <c r="H59" s="508"/>
      <c r="I59" s="508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508"/>
      <c r="W59" s="508"/>
      <c r="X59" s="508"/>
      <c r="Y59" s="508"/>
      <c r="Z59" s="508"/>
    </row>
    <row r="60" ht="13.5" customHeight="1">
      <c r="A60" s="508"/>
      <c r="B60" s="721"/>
      <c r="C60" s="722"/>
      <c r="D60" s="724"/>
      <c r="E60" s="724" t="str">
        <f>+E58-E57-E56</f>
        <v>#ERROR!</v>
      </c>
      <c r="F60" s="508"/>
      <c r="G60" s="508"/>
      <c r="H60" s="508"/>
      <c r="I60" s="508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</row>
    <row r="61" ht="13.5" customHeight="1">
      <c r="A61" s="508"/>
      <c r="B61" s="721"/>
      <c r="C61" s="682" t="s">
        <v>857</v>
      </c>
      <c r="D61" s="700" t="s">
        <v>732</v>
      </c>
      <c r="E61" s="725">
        <v>8.625570738000001E7</v>
      </c>
      <c r="F61" s="508"/>
      <c r="G61" s="508"/>
      <c r="H61" s="508"/>
      <c r="I61" s="508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  <c r="Z61" s="508"/>
    </row>
    <row r="62" ht="13.5" customHeight="1">
      <c r="A62" s="508"/>
      <c r="B62" s="721"/>
      <c r="C62" s="682"/>
      <c r="D62" s="325"/>
      <c r="E62" s="726"/>
      <c r="F62" s="508"/>
      <c r="G62" s="508"/>
      <c r="H62" s="508"/>
      <c r="I62" s="508"/>
      <c r="J62" s="508"/>
      <c r="K62" s="508"/>
      <c r="L62" s="508"/>
      <c r="M62" s="508"/>
      <c r="N62" s="508"/>
      <c r="O62" s="508"/>
      <c r="P62" s="508"/>
      <c r="Q62" s="508"/>
      <c r="R62" s="508"/>
      <c r="S62" s="508"/>
      <c r="T62" s="508"/>
      <c r="U62" s="508"/>
      <c r="V62" s="508"/>
      <c r="W62" s="508"/>
      <c r="X62" s="508"/>
      <c r="Y62" s="508"/>
      <c r="Z62" s="508"/>
    </row>
    <row r="63" ht="13.5" customHeight="1">
      <c r="A63" s="508"/>
      <c r="B63" s="701"/>
      <c r="C63" s="682" t="s">
        <v>858</v>
      </c>
      <c r="D63" s="700" t="s">
        <v>735</v>
      </c>
      <c r="E63" s="726"/>
      <c r="F63" s="508"/>
      <c r="G63" s="508"/>
      <c r="H63" s="508"/>
      <c r="I63" s="508"/>
      <c r="J63" s="508"/>
      <c r="K63" s="508"/>
      <c r="L63" s="508"/>
      <c r="M63" s="508"/>
      <c r="N63" s="508"/>
      <c r="O63" s="508"/>
      <c r="P63" s="508"/>
      <c r="Q63" s="508"/>
      <c r="R63" s="508"/>
      <c r="S63" s="508"/>
      <c r="T63" s="508"/>
      <c r="U63" s="508"/>
      <c r="V63" s="508"/>
      <c r="W63" s="508"/>
      <c r="X63" s="508"/>
      <c r="Y63" s="508"/>
      <c r="Z63" s="508"/>
    </row>
    <row r="64" ht="13.5" customHeight="1">
      <c r="A64" s="508"/>
      <c r="B64" s="508"/>
      <c r="C64" s="508"/>
      <c r="D64" s="508"/>
      <c r="E64" s="508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508"/>
      <c r="T64" s="508"/>
      <c r="U64" s="508"/>
      <c r="V64" s="508"/>
      <c r="W64" s="508"/>
      <c r="X64" s="508"/>
      <c r="Y64" s="508"/>
      <c r="Z64" s="508"/>
    </row>
    <row r="65" ht="13.5" customHeight="1">
      <c r="A65" s="508"/>
      <c r="B65" s="508"/>
      <c r="C65" s="508"/>
      <c r="D65" s="508"/>
      <c r="E65" s="508"/>
      <c r="F65" s="508"/>
      <c r="G65" s="508"/>
      <c r="H65" s="508"/>
      <c r="I65" s="508"/>
      <c r="J65" s="508"/>
      <c r="K65" s="508"/>
      <c r="L65" s="508"/>
      <c r="M65" s="508"/>
      <c r="N65" s="508"/>
      <c r="O65" s="508"/>
      <c r="P65" s="508"/>
      <c r="Q65" s="508"/>
      <c r="R65" s="508"/>
      <c r="S65" s="508"/>
      <c r="T65" s="508"/>
      <c r="U65" s="508"/>
      <c r="V65" s="508"/>
      <c r="W65" s="508"/>
      <c r="X65" s="508"/>
      <c r="Y65" s="508"/>
      <c r="Z65" s="508"/>
    </row>
    <row r="66" ht="13.5" customHeight="1">
      <c r="A66" s="508"/>
      <c r="B66" s="508"/>
      <c r="C66" s="508"/>
      <c r="D66" s="508"/>
      <c r="E66" s="508"/>
      <c r="F66" s="508"/>
      <c r="G66" s="508"/>
      <c r="H66" s="508"/>
      <c r="I66" s="508"/>
      <c r="J66" s="508"/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  <c r="Z66" s="508"/>
    </row>
    <row r="67" ht="13.5" customHeight="1">
      <c r="A67" s="508"/>
      <c r="B67" s="508"/>
      <c r="C67" s="508"/>
      <c r="D67" s="508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  <c r="Z67" s="508"/>
    </row>
    <row r="68" ht="13.5" customHeight="1">
      <c r="A68" s="508"/>
      <c r="B68" s="508"/>
      <c r="C68" s="508"/>
      <c r="D68" s="508"/>
      <c r="E68" s="508"/>
      <c r="F68" s="508"/>
      <c r="G68" s="508"/>
      <c r="H68" s="508"/>
      <c r="I68" s="508"/>
      <c r="J68" s="508"/>
      <c r="K68" s="508"/>
      <c r="L68" s="508"/>
      <c r="M68" s="508"/>
      <c r="N68" s="508"/>
      <c r="O68" s="508"/>
      <c r="P68" s="508"/>
      <c r="Q68" s="508"/>
      <c r="R68" s="508"/>
      <c r="S68" s="508"/>
      <c r="T68" s="508"/>
      <c r="U68" s="508"/>
      <c r="V68" s="508"/>
      <c r="W68" s="508"/>
      <c r="X68" s="508"/>
      <c r="Y68" s="508"/>
      <c r="Z68" s="508"/>
    </row>
    <row r="69" ht="13.5" customHeight="1">
      <c r="A69" s="508"/>
      <c r="B69" s="508"/>
      <c r="C69" s="508"/>
      <c r="D69" s="508"/>
      <c r="E69" s="508"/>
      <c r="F69" s="508"/>
      <c r="G69" s="508"/>
      <c r="H69" s="508"/>
      <c r="I69" s="508"/>
      <c r="J69" s="508"/>
      <c r="K69" s="508"/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  <c r="Y69" s="508"/>
      <c r="Z69" s="508"/>
    </row>
    <row r="70" ht="13.5" customHeight="1">
      <c r="A70" s="508"/>
      <c r="B70" s="508"/>
      <c r="C70" s="508"/>
      <c r="D70" s="508"/>
      <c r="E70" s="508"/>
      <c r="F70" s="508"/>
      <c r="G70" s="508"/>
      <c r="H70" s="508"/>
      <c r="I70" s="508"/>
      <c r="J70" s="508"/>
      <c r="K70" s="508"/>
      <c r="L70" s="508"/>
      <c r="M70" s="508"/>
      <c r="N70" s="508"/>
      <c r="O70" s="508"/>
      <c r="P70" s="508"/>
      <c r="Q70" s="508"/>
      <c r="R70" s="508"/>
      <c r="S70" s="508"/>
      <c r="T70" s="508"/>
      <c r="U70" s="508"/>
      <c r="V70" s="508"/>
      <c r="W70" s="508"/>
      <c r="X70" s="508"/>
      <c r="Y70" s="508"/>
      <c r="Z70" s="508"/>
    </row>
    <row r="71" ht="13.5" customHeight="1">
      <c r="A71" s="508"/>
      <c r="B71" s="508"/>
      <c r="C71" s="508"/>
      <c r="D71" s="508"/>
      <c r="E71" s="508"/>
      <c r="F71" s="508"/>
      <c r="G71" s="508"/>
      <c r="H71" s="508"/>
      <c r="I71" s="508"/>
      <c r="J71" s="508"/>
      <c r="K71" s="508"/>
      <c r="L71" s="508"/>
      <c r="M71" s="508"/>
      <c r="N71" s="508"/>
      <c r="O71" s="508"/>
      <c r="P71" s="508"/>
      <c r="Q71" s="508"/>
      <c r="R71" s="508"/>
      <c r="S71" s="508"/>
      <c r="T71" s="508"/>
      <c r="U71" s="508"/>
      <c r="V71" s="508"/>
      <c r="W71" s="508"/>
      <c r="X71" s="508"/>
      <c r="Y71" s="508"/>
      <c r="Z71" s="508"/>
    </row>
    <row r="72" ht="13.5" customHeight="1">
      <c r="A72" s="508"/>
      <c r="B72" s="508"/>
      <c r="C72" s="508"/>
      <c r="D72" s="508"/>
      <c r="E72" s="508"/>
      <c r="F72" s="508"/>
      <c r="G72" s="508"/>
      <c r="H72" s="508"/>
      <c r="I72" s="508"/>
      <c r="J72" s="508"/>
      <c r="K72" s="508"/>
      <c r="L72" s="508"/>
      <c r="M72" s="508"/>
      <c r="N72" s="508"/>
      <c r="O72" s="508"/>
      <c r="P72" s="508"/>
      <c r="Q72" s="508"/>
      <c r="R72" s="508"/>
      <c r="S72" s="508"/>
      <c r="T72" s="508"/>
      <c r="U72" s="508"/>
      <c r="V72" s="508"/>
      <c r="W72" s="508"/>
      <c r="X72" s="508"/>
      <c r="Y72" s="508"/>
      <c r="Z72" s="508"/>
    </row>
    <row r="73" ht="13.5" customHeight="1">
      <c r="A73" s="508"/>
      <c r="B73" s="508"/>
      <c r="C73" s="508"/>
      <c r="D73" s="508"/>
      <c r="E73" s="508"/>
      <c r="F73" s="508"/>
      <c r="G73" s="508"/>
      <c r="H73" s="508"/>
      <c r="I73" s="508"/>
      <c r="J73" s="508"/>
      <c r="K73" s="508"/>
      <c r="L73" s="508"/>
      <c r="M73" s="508"/>
      <c r="N73" s="508"/>
      <c r="O73" s="508"/>
      <c r="P73" s="508"/>
      <c r="Q73" s="508"/>
      <c r="R73" s="508"/>
      <c r="S73" s="508"/>
      <c r="T73" s="508"/>
      <c r="U73" s="508"/>
      <c r="V73" s="508"/>
      <c r="W73" s="508"/>
      <c r="X73" s="508"/>
      <c r="Y73" s="508"/>
      <c r="Z73" s="508"/>
    </row>
    <row r="74" ht="13.5" customHeight="1">
      <c r="A74" s="508"/>
      <c r="B74" s="508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</row>
    <row r="75" ht="13.5" customHeight="1">
      <c r="A75" s="508"/>
      <c r="B75" s="508"/>
      <c r="C75" s="508"/>
      <c r="D75" s="508"/>
      <c r="E75" s="508"/>
      <c r="F75" s="508"/>
      <c r="G75" s="508"/>
      <c r="H75" s="508"/>
      <c r="I75" s="508"/>
      <c r="J75" s="508"/>
      <c r="K75" s="508"/>
      <c r="L75" s="508"/>
      <c r="M75" s="508"/>
      <c r="N75" s="508"/>
      <c r="O75" s="508"/>
      <c r="P75" s="508"/>
      <c r="Q75" s="508"/>
      <c r="R75" s="508"/>
      <c r="S75" s="508"/>
      <c r="T75" s="508"/>
      <c r="U75" s="508"/>
      <c r="V75" s="508"/>
      <c r="W75" s="508"/>
      <c r="X75" s="508"/>
      <c r="Y75" s="508"/>
      <c r="Z75" s="508"/>
    </row>
    <row r="76" ht="13.5" customHeight="1">
      <c r="A76" s="508"/>
      <c r="B76" s="508"/>
      <c r="C76" s="508"/>
      <c r="D76" s="508"/>
      <c r="E76" s="508"/>
      <c r="F76" s="508"/>
      <c r="G76" s="508"/>
      <c r="H76" s="508"/>
      <c r="I76" s="508"/>
      <c r="J76" s="508"/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</row>
    <row r="77" ht="13.5" customHeight="1">
      <c r="A77" s="508"/>
      <c r="B77" s="508"/>
      <c r="C77" s="508"/>
      <c r="D77" s="508"/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</row>
    <row r="78" ht="13.5" customHeight="1">
      <c r="A78" s="508"/>
      <c r="B78" s="508"/>
      <c r="C78" s="508"/>
      <c r="D78" s="50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</row>
    <row r="79" ht="13.5" customHeight="1">
      <c r="A79" s="508"/>
      <c r="B79" s="508"/>
      <c r="C79" s="508"/>
      <c r="D79" s="508"/>
      <c r="E79" s="508"/>
      <c r="F79" s="508"/>
      <c r="G79" s="508"/>
      <c r="H79" s="508"/>
      <c r="I79" s="508"/>
      <c r="J79" s="508"/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  <c r="Z79" s="508"/>
    </row>
    <row r="80" ht="13.5" customHeight="1">
      <c r="A80" s="508"/>
      <c r="B80" s="508"/>
      <c r="C80" s="508"/>
      <c r="D80" s="508"/>
      <c r="E80" s="508"/>
      <c r="F80" s="508"/>
      <c r="G80" s="508"/>
      <c r="H80" s="508"/>
      <c r="I80" s="508"/>
      <c r="J80" s="508"/>
      <c r="K80" s="508"/>
      <c r="L80" s="508"/>
      <c r="M80" s="508"/>
      <c r="N80" s="508"/>
      <c r="O80" s="508"/>
      <c r="P80" s="508"/>
      <c r="Q80" s="508"/>
      <c r="R80" s="508"/>
      <c r="S80" s="508"/>
      <c r="T80" s="508"/>
      <c r="U80" s="508"/>
      <c r="V80" s="508"/>
      <c r="W80" s="508"/>
      <c r="X80" s="508"/>
      <c r="Y80" s="508"/>
      <c r="Z80" s="508"/>
    </row>
    <row r="81" ht="13.5" customHeight="1">
      <c r="A81" s="508"/>
      <c r="B81" s="508"/>
      <c r="C81" s="508"/>
      <c r="D81" s="508"/>
      <c r="E81" s="508"/>
      <c r="F81" s="508"/>
      <c r="G81" s="508"/>
      <c r="H81" s="508"/>
      <c r="I81" s="508"/>
      <c r="J81" s="508"/>
      <c r="K81" s="508"/>
      <c r="L81" s="508"/>
      <c r="M81" s="508"/>
      <c r="N81" s="508"/>
      <c r="O81" s="508"/>
      <c r="P81" s="508"/>
      <c r="Q81" s="508"/>
      <c r="R81" s="508"/>
      <c r="S81" s="508"/>
      <c r="T81" s="508"/>
      <c r="U81" s="508"/>
      <c r="V81" s="508"/>
      <c r="W81" s="508"/>
      <c r="X81" s="508"/>
      <c r="Y81" s="508"/>
      <c r="Z81" s="508"/>
    </row>
    <row r="82" ht="13.5" customHeight="1">
      <c r="A82" s="508"/>
      <c r="B82" s="508"/>
      <c r="C82" s="508"/>
      <c r="D82" s="50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</row>
    <row r="83" ht="13.5" customHeight="1">
      <c r="A83" s="508"/>
      <c r="B83" s="508"/>
      <c r="C83" s="508"/>
      <c r="D83" s="508"/>
      <c r="E83" s="508"/>
      <c r="F83" s="508"/>
      <c r="G83" s="508"/>
      <c r="H83" s="508"/>
      <c r="I83" s="508"/>
      <c r="J83" s="508"/>
      <c r="K83" s="508"/>
      <c r="L83" s="508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  <c r="Z83" s="508"/>
    </row>
    <row r="84" ht="13.5" customHeight="1">
      <c r="A84" s="508"/>
      <c r="B84" s="508"/>
      <c r="C84" s="508"/>
      <c r="D84" s="508"/>
      <c r="E84" s="508"/>
      <c r="F84" s="508"/>
      <c r="G84" s="508"/>
      <c r="H84" s="508"/>
      <c r="I84" s="508"/>
      <c r="J84" s="508"/>
      <c r="K84" s="508"/>
      <c r="L84" s="508"/>
      <c r="M84" s="508"/>
      <c r="N84" s="508"/>
      <c r="O84" s="508"/>
      <c r="P84" s="508"/>
      <c r="Q84" s="508"/>
      <c r="R84" s="508"/>
      <c r="S84" s="508"/>
      <c r="T84" s="508"/>
      <c r="U84" s="508"/>
      <c r="V84" s="508"/>
      <c r="W84" s="508"/>
      <c r="X84" s="508"/>
      <c r="Y84" s="508"/>
      <c r="Z84" s="508"/>
    </row>
    <row r="85" ht="13.5" customHeight="1">
      <c r="A85" s="508"/>
      <c r="B85" s="508"/>
      <c r="C85" s="508"/>
      <c r="D85" s="508"/>
      <c r="E85" s="508"/>
      <c r="F85" s="508"/>
      <c r="G85" s="508"/>
      <c r="H85" s="508"/>
      <c r="I85" s="508"/>
      <c r="J85" s="508"/>
      <c r="K85" s="508"/>
      <c r="L85" s="508"/>
      <c r="M85" s="508"/>
      <c r="N85" s="508"/>
      <c r="O85" s="508"/>
      <c r="P85" s="508"/>
      <c r="Q85" s="508"/>
      <c r="R85" s="508"/>
      <c r="S85" s="508"/>
      <c r="T85" s="508"/>
      <c r="U85" s="508"/>
      <c r="V85" s="508"/>
      <c r="W85" s="508"/>
      <c r="X85" s="508"/>
      <c r="Y85" s="508"/>
      <c r="Z85" s="508"/>
    </row>
    <row r="86" ht="13.5" customHeight="1">
      <c r="A86" s="508"/>
      <c r="B86" s="508"/>
      <c r="C86" s="508"/>
      <c r="D86" s="508"/>
      <c r="E86" s="508"/>
      <c r="F86" s="508"/>
      <c r="G86" s="508"/>
      <c r="H86" s="508"/>
      <c r="I86" s="508"/>
      <c r="J86" s="508"/>
      <c r="K86" s="508"/>
      <c r="L86" s="508"/>
      <c r="M86" s="508"/>
      <c r="N86" s="508"/>
      <c r="O86" s="508"/>
      <c r="P86" s="508"/>
      <c r="Q86" s="508"/>
      <c r="R86" s="508"/>
      <c r="S86" s="508"/>
      <c r="T86" s="508"/>
      <c r="U86" s="508"/>
      <c r="V86" s="508"/>
      <c r="W86" s="508"/>
      <c r="X86" s="508"/>
      <c r="Y86" s="508"/>
      <c r="Z86" s="508"/>
    </row>
    <row r="87" ht="13.5" customHeight="1">
      <c r="A87" s="508"/>
      <c r="B87" s="508"/>
      <c r="C87" s="508"/>
      <c r="D87" s="508"/>
      <c r="E87" s="508"/>
      <c r="F87" s="508"/>
      <c r="G87" s="508"/>
      <c r="H87" s="508"/>
      <c r="I87" s="508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</row>
    <row r="88" ht="13.5" customHeight="1">
      <c r="A88" s="508"/>
      <c r="B88" s="508"/>
      <c r="C88" s="508"/>
      <c r="D88" s="508"/>
      <c r="E88" s="508"/>
      <c r="F88" s="508"/>
      <c r="G88" s="508"/>
      <c r="H88" s="508"/>
      <c r="I88" s="508"/>
      <c r="J88" s="508"/>
      <c r="K88" s="508"/>
      <c r="L88" s="508"/>
      <c r="M88" s="508"/>
      <c r="N88" s="508"/>
      <c r="O88" s="508"/>
      <c r="P88" s="508"/>
      <c r="Q88" s="508"/>
      <c r="R88" s="508"/>
      <c r="S88" s="508"/>
      <c r="T88" s="508"/>
      <c r="U88" s="508"/>
      <c r="V88" s="508"/>
      <c r="W88" s="508"/>
      <c r="X88" s="508"/>
      <c r="Y88" s="508"/>
      <c r="Z88" s="508"/>
    </row>
    <row r="89" ht="13.5" customHeight="1">
      <c r="A89" s="508"/>
      <c r="B89" s="508"/>
      <c r="C89" s="508"/>
      <c r="D89" s="508"/>
      <c r="E89" s="508"/>
      <c r="F89" s="508"/>
      <c r="G89" s="508"/>
      <c r="H89" s="508"/>
      <c r="I89" s="508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508"/>
      <c r="Y89" s="508"/>
      <c r="Z89" s="508"/>
    </row>
    <row r="90" ht="13.5" customHeight="1">
      <c r="A90" s="508"/>
      <c r="B90" s="508"/>
      <c r="C90" s="508"/>
      <c r="D90" s="508"/>
      <c r="E90" s="508"/>
      <c r="F90" s="508"/>
      <c r="G90" s="508"/>
      <c r="H90" s="508"/>
      <c r="I90" s="508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  <c r="Z90" s="508"/>
    </row>
    <row r="91" ht="13.5" customHeight="1">
      <c r="A91" s="508"/>
      <c r="B91" s="508"/>
      <c r="C91" s="508"/>
      <c r="D91" s="508"/>
      <c r="E91" s="508"/>
      <c r="F91" s="508"/>
      <c r="G91" s="508"/>
      <c r="H91" s="508"/>
      <c r="I91" s="508"/>
      <c r="J91" s="508"/>
      <c r="K91" s="508"/>
      <c r="L91" s="508"/>
      <c r="M91" s="508"/>
      <c r="N91" s="508"/>
      <c r="O91" s="508"/>
      <c r="P91" s="508"/>
      <c r="Q91" s="508"/>
      <c r="R91" s="508"/>
      <c r="S91" s="508"/>
      <c r="T91" s="508"/>
      <c r="U91" s="508"/>
      <c r="V91" s="508"/>
      <c r="W91" s="508"/>
      <c r="X91" s="508"/>
      <c r="Y91" s="508"/>
      <c r="Z91" s="508"/>
    </row>
    <row r="92" ht="13.5" customHeight="1">
      <c r="A92" s="508"/>
      <c r="B92" s="508"/>
      <c r="C92" s="508"/>
      <c r="D92" s="50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508"/>
      <c r="Y92" s="508"/>
      <c r="Z92" s="508"/>
    </row>
    <row r="93" ht="13.5" customHeight="1">
      <c r="A93" s="508"/>
      <c r="B93" s="508"/>
      <c r="C93" s="508"/>
      <c r="D93" s="508"/>
      <c r="E93" s="508"/>
      <c r="F93" s="508"/>
      <c r="G93" s="508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</row>
    <row r="94" ht="13.5" customHeight="1">
      <c r="A94" s="508"/>
      <c r="B94" s="508"/>
      <c r="C94" s="508"/>
      <c r="D94" s="508"/>
      <c r="E94" s="508"/>
      <c r="F94" s="508"/>
      <c r="G94" s="508"/>
      <c r="H94" s="508"/>
      <c r="I94" s="508"/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  <c r="Z94" s="508"/>
    </row>
    <row r="95" ht="13.5" customHeight="1">
      <c r="A95" s="508"/>
      <c r="B95" s="508"/>
      <c r="C95" s="508"/>
      <c r="D95" s="50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</row>
    <row r="96" ht="13.5" customHeight="1">
      <c r="A96" s="508"/>
      <c r="B96" s="508"/>
      <c r="C96" s="508"/>
      <c r="D96" s="508"/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</row>
    <row r="97" ht="13.5" customHeight="1">
      <c r="A97" s="508"/>
      <c r="B97" s="508"/>
      <c r="C97" s="508"/>
      <c r="D97" s="508"/>
      <c r="E97" s="508"/>
      <c r="F97" s="508"/>
      <c r="G97" s="508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</row>
    <row r="98" ht="13.5" customHeight="1">
      <c r="A98" s="508"/>
      <c r="B98" s="508"/>
      <c r="C98" s="508"/>
      <c r="D98" s="508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</row>
    <row r="99" ht="13.5" customHeight="1">
      <c r="A99" s="508"/>
      <c r="B99" s="508"/>
      <c r="C99" s="508"/>
      <c r="D99" s="508"/>
      <c r="E99" s="508"/>
      <c r="F99" s="508"/>
      <c r="G99" s="508"/>
      <c r="H99" s="508"/>
      <c r="I99" s="508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</row>
    <row r="100" ht="13.5" customHeight="1">
      <c r="A100" s="508"/>
      <c r="B100" s="508"/>
      <c r="C100" s="508"/>
      <c r="D100" s="508"/>
      <c r="E100" s="508"/>
      <c r="F100" s="508"/>
      <c r="G100" s="508"/>
      <c r="H100" s="508"/>
      <c r="I100" s="508"/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  <c r="Z100" s="508"/>
    </row>
    <row r="101" ht="13.5" customHeight="1">
      <c r="A101" s="508"/>
      <c r="B101" s="508"/>
      <c r="C101" s="508"/>
      <c r="D101" s="508"/>
      <c r="E101" s="508"/>
      <c r="F101" s="508"/>
      <c r="G101" s="508"/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  <c r="Z101" s="508"/>
    </row>
    <row r="102" ht="13.5" customHeight="1">
      <c r="A102" s="508"/>
      <c r="B102" s="508"/>
      <c r="C102" s="508"/>
      <c r="D102" s="508"/>
      <c r="E102" s="508"/>
      <c r="F102" s="508"/>
      <c r="G102" s="508"/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508"/>
      <c r="Y102" s="508"/>
      <c r="Z102" s="508"/>
    </row>
    <row r="103" ht="13.5" customHeight="1">
      <c r="A103" s="508"/>
      <c r="B103" s="508"/>
      <c r="C103" s="508"/>
      <c r="D103" s="508"/>
      <c r="E103" s="508"/>
      <c r="F103" s="508"/>
      <c r="G103" s="508"/>
      <c r="H103" s="508"/>
      <c r="I103" s="508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</row>
    <row r="104" ht="13.5" customHeight="1">
      <c r="A104" s="508"/>
      <c r="B104" s="508"/>
      <c r="C104" s="508"/>
      <c r="D104" s="508"/>
      <c r="E104" s="508"/>
      <c r="F104" s="508"/>
      <c r="G104" s="508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</row>
    <row r="105" ht="13.5" customHeight="1">
      <c r="A105" s="508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</row>
    <row r="106" ht="13.5" customHeight="1">
      <c r="A106" s="508"/>
      <c r="B106" s="508"/>
      <c r="C106" s="508"/>
      <c r="D106" s="508"/>
      <c r="E106" s="508"/>
      <c r="F106" s="508"/>
      <c r="G106" s="508"/>
      <c r="H106" s="508"/>
      <c r="I106" s="508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508"/>
      <c r="Y106" s="508"/>
      <c r="Z106" s="508"/>
    </row>
    <row r="107" ht="13.5" customHeight="1">
      <c r="A107" s="508"/>
      <c r="B107" s="508"/>
      <c r="C107" s="508"/>
      <c r="D107" s="508"/>
      <c r="E107" s="508"/>
      <c r="F107" s="508"/>
      <c r="G107" s="508"/>
      <c r="H107" s="508"/>
      <c r="I107" s="508"/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  <c r="Z107" s="508"/>
    </row>
    <row r="108" ht="13.5" customHeight="1">
      <c r="A108" s="508"/>
      <c r="B108" s="508"/>
      <c r="C108" s="508"/>
      <c r="D108" s="508"/>
      <c r="E108" s="508"/>
      <c r="F108" s="508"/>
      <c r="G108" s="508"/>
      <c r="H108" s="508"/>
      <c r="I108" s="508"/>
      <c r="J108" s="508"/>
      <c r="K108" s="508"/>
      <c r="L108" s="508"/>
      <c r="M108" s="508"/>
      <c r="N108" s="508"/>
      <c r="O108" s="508"/>
      <c r="P108" s="508"/>
      <c r="Q108" s="508"/>
      <c r="R108" s="508"/>
      <c r="S108" s="508"/>
      <c r="T108" s="508"/>
      <c r="U108" s="508"/>
      <c r="V108" s="508"/>
      <c r="W108" s="508"/>
      <c r="X108" s="508"/>
      <c r="Y108" s="508"/>
      <c r="Z108" s="508"/>
    </row>
    <row r="109" ht="13.5" customHeight="1">
      <c r="A109" s="508"/>
      <c r="B109" s="508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</row>
    <row r="110" ht="13.5" customHeight="1">
      <c r="A110" s="508"/>
      <c r="B110" s="508"/>
      <c r="C110" s="508"/>
      <c r="D110" s="508"/>
      <c r="E110" s="508"/>
      <c r="F110" s="508"/>
      <c r="G110" s="508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</row>
    <row r="111" ht="13.5" customHeight="1">
      <c r="A111" s="508"/>
      <c r="B111" s="508"/>
      <c r="C111" s="508"/>
      <c r="D111" s="508"/>
      <c r="E111" s="508"/>
      <c r="F111" s="508"/>
      <c r="G111" s="508"/>
      <c r="H111" s="508"/>
      <c r="I111" s="508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  <c r="Z111" s="508"/>
    </row>
    <row r="112" ht="13.5" customHeight="1">
      <c r="A112" s="508"/>
      <c r="B112" s="508"/>
      <c r="C112" s="508"/>
      <c r="D112" s="508"/>
      <c r="E112" s="508"/>
      <c r="F112" s="508"/>
      <c r="G112" s="508"/>
      <c r="H112" s="508"/>
      <c r="I112" s="508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508"/>
      <c r="Y112" s="508"/>
      <c r="Z112" s="508"/>
    </row>
    <row r="113" ht="13.5" customHeight="1">
      <c r="A113" s="508"/>
      <c r="B113" s="508"/>
      <c r="C113" s="508"/>
      <c r="D113" s="508"/>
      <c r="E113" s="508"/>
      <c r="F113" s="508"/>
      <c r="G113" s="508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  <c r="Z113" s="508"/>
    </row>
    <row r="114" ht="13.5" customHeight="1">
      <c r="A114" s="508"/>
      <c r="B114" s="508"/>
      <c r="C114" s="508"/>
      <c r="D114" s="508"/>
      <c r="E114" s="508"/>
      <c r="F114" s="508"/>
      <c r="G114" s="508"/>
      <c r="H114" s="508"/>
      <c r="I114" s="508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</row>
    <row r="115" ht="13.5" customHeight="1">
      <c r="A115" s="508"/>
      <c r="B115" s="508"/>
      <c r="C115" s="508"/>
      <c r="D115" s="508"/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</row>
    <row r="116" ht="13.5" customHeight="1">
      <c r="A116" s="508"/>
      <c r="B116" s="508"/>
      <c r="C116" s="508"/>
      <c r="D116" s="508"/>
      <c r="E116" s="508"/>
      <c r="F116" s="508"/>
      <c r="G116" s="508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  <c r="Z116" s="508"/>
    </row>
    <row r="117" ht="13.5" customHeight="1">
      <c r="A117" s="508"/>
      <c r="B117" s="508"/>
      <c r="C117" s="508"/>
      <c r="D117" s="508"/>
      <c r="E117" s="508"/>
      <c r="F117" s="508"/>
      <c r="G117" s="508"/>
      <c r="H117" s="508"/>
      <c r="I117" s="508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  <c r="Z117" s="508"/>
    </row>
    <row r="118" ht="13.5" customHeight="1">
      <c r="A118" s="508"/>
      <c r="B118" s="508"/>
      <c r="C118" s="508"/>
      <c r="D118" s="508"/>
      <c r="E118" s="508"/>
      <c r="F118" s="508"/>
      <c r="G118" s="508"/>
      <c r="H118" s="508"/>
      <c r="I118" s="508"/>
      <c r="J118" s="508"/>
      <c r="K118" s="508"/>
      <c r="L118" s="508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508"/>
      <c r="Y118" s="508"/>
      <c r="Z118" s="508"/>
    </row>
    <row r="119" ht="13.5" customHeight="1">
      <c r="A119" s="508"/>
      <c r="B119" s="508"/>
      <c r="C119" s="508"/>
      <c r="D119" s="508"/>
      <c r="E119" s="508"/>
      <c r="F119" s="508"/>
      <c r="G119" s="508"/>
      <c r="H119" s="508"/>
      <c r="I119" s="508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508"/>
      <c r="Y119" s="508"/>
      <c r="Z119" s="508"/>
    </row>
    <row r="120" ht="13.5" customHeight="1">
      <c r="A120" s="508"/>
      <c r="B120" s="508"/>
      <c r="C120" s="508"/>
      <c r="D120" s="508"/>
      <c r="E120" s="508"/>
      <c r="F120" s="508"/>
      <c r="G120" s="508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</row>
    <row r="121" ht="13.5" customHeight="1">
      <c r="A121" s="508"/>
      <c r="B121" s="508"/>
      <c r="C121" s="508"/>
      <c r="D121" s="508"/>
      <c r="E121" s="508"/>
      <c r="F121" s="508"/>
      <c r="G121" s="508"/>
      <c r="H121" s="508"/>
      <c r="I121" s="508"/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  <c r="Z121" s="508"/>
    </row>
    <row r="122" ht="13.5" customHeight="1">
      <c r="A122" s="508"/>
      <c r="B122" s="508"/>
      <c r="C122" s="508"/>
      <c r="D122" s="508"/>
      <c r="E122" s="508"/>
      <c r="F122" s="508"/>
      <c r="G122" s="508"/>
      <c r="H122" s="508"/>
      <c r="I122" s="508"/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  <c r="Z122" s="508"/>
    </row>
    <row r="123" ht="13.5" customHeight="1">
      <c r="A123" s="508"/>
      <c r="B123" s="508"/>
      <c r="C123" s="508"/>
      <c r="D123" s="508"/>
      <c r="E123" s="508"/>
      <c r="F123" s="508"/>
      <c r="G123" s="508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  <c r="Z123" s="508"/>
    </row>
    <row r="124" ht="13.5" customHeight="1">
      <c r="A124" s="508"/>
      <c r="B124" s="508"/>
      <c r="C124" s="508"/>
      <c r="D124" s="50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508"/>
      <c r="Y124" s="508"/>
      <c r="Z124" s="508"/>
    </row>
    <row r="125" ht="13.5" customHeight="1">
      <c r="A125" s="508"/>
      <c r="B125" s="508"/>
      <c r="C125" s="508"/>
      <c r="D125" s="508"/>
      <c r="E125" s="508"/>
      <c r="F125" s="508"/>
      <c r="G125" s="508"/>
      <c r="H125" s="508"/>
      <c r="I125" s="508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  <c r="Z125" s="508"/>
    </row>
    <row r="126" ht="13.5" customHeight="1">
      <c r="A126" s="508"/>
      <c r="B126" s="508"/>
      <c r="C126" s="508"/>
      <c r="D126" s="508"/>
      <c r="E126" s="508"/>
      <c r="F126" s="508"/>
      <c r="G126" s="508"/>
      <c r="H126" s="508"/>
      <c r="I126" s="508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508"/>
      <c r="Y126" s="508"/>
      <c r="Z126" s="508"/>
    </row>
    <row r="127" ht="13.5" customHeight="1">
      <c r="A127" s="508"/>
      <c r="B127" s="508"/>
      <c r="C127" s="508"/>
      <c r="D127" s="508"/>
      <c r="E127" s="508"/>
      <c r="F127" s="508"/>
      <c r="G127" s="508"/>
      <c r="H127" s="508"/>
      <c r="I127" s="508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508"/>
      <c r="Y127" s="508"/>
      <c r="Z127" s="508"/>
    </row>
    <row r="128" ht="13.5" customHeight="1">
      <c r="A128" s="508"/>
      <c r="B128" s="508"/>
      <c r="C128" s="508"/>
      <c r="D128" s="508"/>
      <c r="E128" s="508"/>
      <c r="F128" s="508"/>
      <c r="G128" s="508"/>
      <c r="H128" s="508"/>
      <c r="I128" s="508"/>
      <c r="J128" s="508"/>
      <c r="K128" s="508"/>
      <c r="L128" s="508"/>
      <c r="M128" s="508"/>
      <c r="N128" s="508"/>
      <c r="O128" s="508"/>
      <c r="P128" s="508"/>
      <c r="Q128" s="508"/>
      <c r="R128" s="508"/>
      <c r="S128" s="508"/>
      <c r="T128" s="508"/>
      <c r="U128" s="508"/>
      <c r="V128" s="508"/>
      <c r="W128" s="508"/>
      <c r="X128" s="508"/>
      <c r="Y128" s="508"/>
      <c r="Z128" s="508"/>
    </row>
    <row r="129" ht="13.5" customHeight="1">
      <c r="A129" s="508"/>
      <c r="B129" s="508"/>
      <c r="C129" s="508"/>
      <c r="D129" s="508"/>
      <c r="E129" s="508"/>
      <c r="F129" s="508"/>
      <c r="G129" s="508"/>
      <c r="H129" s="508"/>
      <c r="I129" s="508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508"/>
      <c r="Y129" s="508"/>
      <c r="Z129" s="508"/>
    </row>
    <row r="130" ht="13.5" customHeight="1">
      <c r="A130" s="508"/>
      <c r="B130" s="508"/>
      <c r="C130" s="508"/>
      <c r="D130" s="508"/>
      <c r="E130" s="508"/>
      <c r="F130" s="508"/>
      <c r="G130" s="508"/>
      <c r="H130" s="508"/>
      <c r="I130" s="508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508"/>
      <c r="Y130" s="508"/>
      <c r="Z130" s="508"/>
    </row>
    <row r="131" ht="13.5" customHeight="1">
      <c r="A131" s="508"/>
      <c r="B131" s="508"/>
      <c r="C131" s="508"/>
      <c r="D131" s="508"/>
      <c r="E131" s="508"/>
      <c r="F131" s="508"/>
      <c r="G131" s="508"/>
      <c r="H131" s="508"/>
      <c r="I131" s="508"/>
      <c r="J131" s="508"/>
      <c r="K131" s="508"/>
      <c r="L131" s="508"/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508"/>
      <c r="Y131" s="508"/>
      <c r="Z131" s="508"/>
    </row>
    <row r="132" ht="13.5" customHeight="1">
      <c r="A132" s="508"/>
      <c r="B132" s="508"/>
      <c r="C132" s="508"/>
      <c r="D132" s="508"/>
      <c r="E132" s="508"/>
      <c r="F132" s="508"/>
      <c r="G132" s="508"/>
      <c r="H132" s="508"/>
      <c r="I132" s="508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</row>
    <row r="133" ht="13.5" customHeight="1">
      <c r="A133" s="508"/>
      <c r="B133" s="508"/>
      <c r="C133" s="508"/>
      <c r="D133" s="508"/>
      <c r="E133" s="508"/>
      <c r="F133" s="508"/>
      <c r="G133" s="508"/>
      <c r="H133" s="508"/>
      <c r="I133" s="508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508"/>
      <c r="Y133" s="508"/>
      <c r="Z133" s="508"/>
    </row>
    <row r="134" ht="13.5" customHeight="1">
      <c r="A134" s="508"/>
      <c r="B134" s="508"/>
      <c r="C134" s="508"/>
      <c r="D134" s="508"/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</row>
    <row r="135" ht="13.5" customHeight="1">
      <c r="A135" s="508"/>
      <c r="B135" s="508"/>
      <c r="C135" s="508"/>
      <c r="D135" s="508"/>
      <c r="E135" s="508"/>
      <c r="F135" s="508"/>
      <c r="G135" s="508"/>
      <c r="H135" s="508"/>
      <c r="I135" s="508"/>
      <c r="J135" s="508"/>
      <c r="K135" s="508"/>
      <c r="L135" s="508"/>
      <c r="M135" s="508"/>
      <c r="N135" s="508"/>
      <c r="O135" s="508"/>
      <c r="P135" s="508"/>
      <c r="Q135" s="508"/>
      <c r="R135" s="508"/>
      <c r="S135" s="508"/>
      <c r="T135" s="508"/>
      <c r="U135" s="508"/>
      <c r="V135" s="508"/>
      <c r="W135" s="508"/>
      <c r="X135" s="508"/>
      <c r="Y135" s="508"/>
      <c r="Z135" s="508"/>
    </row>
    <row r="136" ht="13.5" customHeight="1">
      <c r="A136" s="508"/>
      <c r="B136" s="508"/>
      <c r="C136" s="508"/>
      <c r="D136" s="508"/>
      <c r="E136" s="508"/>
      <c r="F136" s="508"/>
      <c r="G136" s="508"/>
      <c r="H136" s="508"/>
      <c r="I136" s="508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508"/>
      <c r="Y136" s="508"/>
      <c r="Z136" s="508"/>
    </row>
    <row r="137" ht="13.5" customHeight="1">
      <c r="A137" s="508"/>
      <c r="B137" s="508"/>
      <c r="C137" s="508"/>
      <c r="D137" s="508"/>
      <c r="E137" s="508"/>
      <c r="F137" s="508"/>
      <c r="G137" s="508"/>
      <c r="H137" s="508"/>
      <c r="I137" s="508"/>
      <c r="J137" s="508"/>
      <c r="K137" s="508"/>
      <c r="L137" s="508"/>
      <c r="M137" s="508"/>
      <c r="N137" s="508"/>
      <c r="O137" s="508"/>
      <c r="P137" s="508"/>
      <c r="Q137" s="508"/>
      <c r="R137" s="508"/>
      <c r="S137" s="508"/>
      <c r="T137" s="508"/>
      <c r="U137" s="508"/>
      <c r="V137" s="508"/>
      <c r="W137" s="508"/>
      <c r="X137" s="508"/>
      <c r="Y137" s="508"/>
      <c r="Z137" s="508"/>
    </row>
    <row r="138" ht="13.5" customHeight="1">
      <c r="A138" s="508"/>
      <c r="B138" s="508"/>
      <c r="C138" s="508"/>
      <c r="D138" s="508"/>
      <c r="E138" s="508"/>
      <c r="F138" s="508"/>
      <c r="G138" s="508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  <c r="Z138" s="508"/>
    </row>
    <row r="139" ht="13.5" customHeight="1">
      <c r="A139" s="508"/>
      <c r="B139" s="508"/>
      <c r="C139" s="508"/>
      <c r="D139" s="508"/>
      <c r="E139" s="508"/>
      <c r="F139" s="508"/>
      <c r="G139" s="508"/>
      <c r="H139" s="508"/>
      <c r="I139" s="508"/>
      <c r="J139" s="508"/>
      <c r="K139" s="508"/>
      <c r="L139" s="508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Y139" s="508"/>
      <c r="Z139" s="508"/>
    </row>
    <row r="140" ht="13.5" customHeight="1">
      <c r="A140" s="508"/>
      <c r="B140" s="508"/>
      <c r="C140" s="508"/>
      <c r="D140" s="508"/>
      <c r="E140" s="508"/>
      <c r="F140" s="508"/>
      <c r="G140" s="508"/>
      <c r="H140" s="508"/>
      <c r="I140" s="508"/>
      <c r="J140" s="508"/>
      <c r="K140" s="508"/>
      <c r="L140" s="508"/>
      <c r="M140" s="508"/>
      <c r="N140" s="508"/>
      <c r="O140" s="508"/>
      <c r="P140" s="508"/>
      <c r="Q140" s="508"/>
      <c r="R140" s="508"/>
      <c r="S140" s="508"/>
      <c r="T140" s="508"/>
      <c r="U140" s="508"/>
      <c r="V140" s="508"/>
      <c r="W140" s="508"/>
      <c r="X140" s="508"/>
      <c r="Y140" s="508"/>
      <c r="Z140" s="508"/>
    </row>
    <row r="141" ht="13.5" customHeight="1">
      <c r="A141" s="508"/>
      <c r="B141" s="508"/>
      <c r="C141" s="508"/>
      <c r="D141" s="508"/>
      <c r="E141" s="508"/>
      <c r="F141" s="508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  <c r="Z141" s="508"/>
    </row>
    <row r="142" ht="13.5" customHeight="1">
      <c r="A142" s="508"/>
      <c r="B142" s="508"/>
      <c r="C142" s="508"/>
      <c r="D142" s="508"/>
      <c r="E142" s="508"/>
      <c r="F142" s="508"/>
      <c r="G142" s="508"/>
      <c r="H142" s="508"/>
      <c r="I142" s="508"/>
      <c r="J142" s="508"/>
      <c r="K142" s="508"/>
      <c r="L142" s="508"/>
      <c r="M142" s="508"/>
      <c r="N142" s="508"/>
      <c r="O142" s="508"/>
      <c r="P142" s="508"/>
      <c r="Q142" s="508"/>
      <c r="R142" s="508"/>
      <c r="S142" s="508"/>
      <c r="T142" s="508"/>
      <c r="U142" s="508"/>
      <c r="V142" s="508"/>
      <c r="W142" s="508"/>
      <c r="X142" s="508"/>
      <c r="Y142" s="508"/>
      <c r="Z142" s="508"/>
    </row>
    <row r="143" ht="13.5" customHeight="1">
      <c r="A143" s="508"/>
      <c r="B143" s="508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508"/>
      <c r="R143" s="508"/>
      <c r="S143" s="508"/>
      <c r="T143" s="508"/>
      <c r="U143" s="508"/>
      <c r="V143" s="508"/>
      <c r="W143" s="508"/>
      <c r="X143" s="508"/>
      <c r="Y143" s="508"/>
      <c r="Z143" s="508"/>
    </row>
    <row r="144" ht="13.5" customHeight="1">
      <c r="A144" s="508"/>
      <c r="B144" s="508"/>
      <c r="C144" s="508"/>
      <c r="D144" s="508"/>
      <c r="E144" s="508"/>
      <c r="F144" s="508"/>
      <c r="G144" s="508"/>
      <c r="H144" s="508"/>
      <c r="I144" s="508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508"/>
      <c r="Y144" s="508"/>
      <c r="Z144" s="508"/>
    </row>
    <row r="145" ht="13.5" customHeight="1">
      <c r="A145" s="508"/>
      <c r="B145" s="508"/>
      <c r="C145" s="508"/>
      <c r="D145" s="508"/>
      <c r="E145" s="508"/>
      <c r="F145" s="508"/>
      <c r="G145" s="508"/>
      <c r="H145" s="508"/>
      <c r="I145" s="508"/>
      <c r="J145" s="508"/>
      <c r="K145" s="508"/>
      <c r="L145" s="508"/>
      <c r="M145" s="508"/>
      <c r="N145" s="508"/>
      <c r="O145" s="508"/>
      <c r="P145" s="508"/>
      <c r="Q145" s="508"/>
      <c r="R145" s="508"/>
      <c r="S145" s="508"/>
      <c r="T145" s="508"/>
      <c r="U145" s="508"/>
      <c r="V145" s="508"/>
      <c r="W145" s="508"/>
      <c r="X145" s="508"/>
      <c r="Y145" s="508"/>
      <c r="Z145" s="508"/>
    </row>
    <row r="146" ht="13.5" customHeight="1">
      <c r="A146" s="508"/>
      <c r="B146" s="508"/>
      <c r="C146" s="508"/>
      <c r="D146" s="508"/>
      <c r="E146" s="508"/>
      <c r="F146" s="508"/>
      <c r="G146" s="508"/>
      <c r="H146" s="508"/>
      <c r="I146" s="508"/>
      <c r="J146" s="508"/>
      <c r="K146" s="508"/>
      <c r="L146" s="508"/>
      <c r="M146" s="508"/>
      <c r="N146" s="508"/>
      <c r="O146" s="508"/>
      <c r="P146" s="508"/>
      <c r="Q146" s="508"/>
      <c r="R146" s="508"/>
      <c r="S146" s="508"/>
      <c r="T146" s="508"/>
      <c r="U146" s="508"/>
      <c r="V146" s="508"/>
      <c r="W146" s="508"/>
      <c r="X146" s="508"/>
      <c r="Y146" s="508"/>
      <c r="Z146" s="508"/>
    </row>
    <row r="147" ht="13.5" customHeight="1">
      <c r="A147" s="508"/>
      <c r="B147" s="508"/>
      <c r="C147" s="508"/>
      <c r="D147" s="508"/>
      <c r="E147" s="508"/>
      <c r="F147" s="508"/>
      <c r="G147" s="508"/>
      <c r="H147" s="508"/>
      <c r="I147" s="508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508"/>
      <c r="Y147" s="508"/>
      <c r="Z147" s="508"/>
    </row>
    <row r="148" ht="13.5" customHeight="1">
      <c r="A148" s="508"/>
      <c r="B148" s="508"/>
      <c r="C148" s="508"/>
      <c r="D148" s="508"/>
      <c r="E148" s="508"/>
      <c r="F148" s="508"/>
      <c r="G148" s="508"/>
      <c r="H148" s="508"/>
      <c r="I148" s="508"/>
      <c r="J148" s="508"/>
      <c r="K148" s="508"/>
      <c r="L148" s="508"/>
      <c r="M148" s="508"/>
      <c r="N148" s="508"/>
      <c r="O148" s="508"/>
      <c r="P148" s="508"/>
      <c r="Q148" s="508"/>
      <c r="R148" s="508"/>
      <c r="S148" s="508"/>
      <c r="T148" s="508"/>
      <c r="U148" s="508"/>
      <c r="V148" s="508"/>
      <c r="W148" s="508"/>
      <c r="X148" s="508"/>
      <c r="Y148" s="508"/>
      <c r="Z148" s="508"/>
    </row>
    <row r="149" ht="13.5" customHeight="1">
      <c r="A149" s="508"/>
      <c r="B149" s="508"/>
      <c r="C149" s="508"/>
      <c r="D149" s="508"/>
      <c r="E149" s="508"/>
      <c r="F149" s="508"/>
      <c r="G149" s="508"/>
      <c r="H149" s="508"/>
      <c r="I149" s="508"/>
      <c r="J149" s="508"/>
      <c r="K149" s="508"/>
      <c r="L149" s="508"/>
      <c r="M149" s="508"/>
      <c r="N149" s="508"/>
      <c r="O149" s="508"/>
      <c r="P149" s="508"/>
      <c r="Q149" s="508"/>
      <c r="R149" s="508"/>
      <c r="S149" s="508"/>
      <c r="T149" s="508"/>
      <c r="U149" s="508"/>
      <c r="V149" s="508"/>
      <c r="W149" s="508"/>
      <c r="X149" s="508"/>
      <c r="Y149" s="508"/>
      <c r="Z149" s="508"/>
    </row>
    <row r="150" ht="13.5" customHeight="1">
      <c r="A150" s="508"/>
      <c r="B150" s="508"/>
      <c r="C150" s="508"/>
      <c r="D150" s="508"/>
      <c r="E150" s="508"/>
      <c r="F150" s="508"/>
      <c r="G150" s="508"/>
      <c r="H150" s="508"/>
      <c r="I150" s="508"/>
      <c r="J150" s="508"/>
      <c r="K150" s="508"/>
      <c r="L150" s="508"/>
      <c r="M150" s="508"/>
      <c r="N150" s="508"/>
      <c r="O150" s="508"/>
      <c r="P150" s="508"/>
      <c r="Q150" s="508"/>
      <c r="R150" s="508"/>
      <c r="S150" s="508"/>
      <c r="T150" s="508"/>
      <c r="U150" s="508"/>
      <c r="V150" s="508"/>
      <c r="W150" s="508"/>
      <c r="X150" s="508"/>
      <c r="Y150" s="508"/>
      <c r="Z150" s="508"/>
    </row>
    <row r="151" ht="13.5" customHeight="1">
      <c r="A151" s="508"/>
      <c r="B151" s="508"/>
      <c r="C151" s="508"/>
      <c r="D151" s="508"/>
      <c r="E151" s="508"/>
      <c r="F151" s="508"/>
      <c r="G151" s="508"/>
      <c r="H151" s="508"/>
      <c r="I151" s="508"/>
      <c r="J151" s="508"/>
      <c r="K151" s="508"/>
      <c r="L151" s="508"/>
      <c r="M151" s="508"/>
      <c r="N151" s="508"/>
      <c r="O151" s="508"/>
      <c r="P151" s="508"/>
      <c r="Q151" s="508"/>
      <c r="R151" s="508"/>
      <c r="S151" s="508"/>
      <c r="T151" s="508"/>
      <c r="U151" s="508"/>
      <c r="V151" s="508"/>
      <c r="W151" s="508"/>
      <c r="X151" s="508"/>
      <c r="Y151" s="508"/>
      <c r="Z151" s="508"/>
    </row>
    <row r="152" ht="13.5" customHeight="1">
      <c r="A152" s="508"/>
      <c r="B152" s="508"/>
      <c r="C152" s="508"/>
      <c r="D152" s="508"/>
      <c r="E152" s="508"/>
      <c r="F152" s="508"/>
      <c r="G152" s="508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508"/>
      <c r="S152" s="508"/>
      <c r="T152" s="508"/>
      <c r="U152" s="508"/>
      <c r="V152" s="508"/>
      <c r="W152" s="508"/>
      <c r="X152" s="508"/>
      <c r="Y152" s="508"/>
      <c r="Z152" s="508"/>
    </row>
    <row r="153" ht="13.5" customHeight="1">
      <c r="A153" s="508"/>
      <c r="B153" s="508"/>
      <c r="C153" s="508"/>
      <c r="D153" s="508"/>
      <c r="E153" s="508"/>
      <c r="F153" s="508"/>
      <c r="G153" s="508"/>
      <c r="H153" s="508"/>
      <c r="I153" s="508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508"/>
      <c r="Y153" s="508"/>
      <c r="Z153" s="508"/>
    </row>
    <row r="154" ht="13.5" customHeight="1">
      <c r="A154" s="508"/>
      <c r="B154" s="508"/>
      <c r="C154" s="508"/>
      <c r="D154" s="508"/>
      <c r="E154" s="508"/>
      <c r="F154" s="508"/>
      <c r="G154" s="508"/>
      <c r="H154" s="508"/>
      <c r="I154" s="508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508"/>
      <c r="Y154" s="508"/>
      <c r="Z154" s="508"/>
    </row>
    <row r="155" ht="13.5" customHeight="1">
      <c r="A155" s="508"/>
      <c r="B155" s="508"/>
      <c r="C155" s="508"/>
      <c r="D155" s="508"/>
      <c r="E155" s="508"/>
      <c r="F155" s="508"/>
      <c r="G155" s="508"/>
      <c r="H155" s="508"/>
      <c r="I155" s="508"/>
      <c r="J155" s="508"/>
      <c r="K155" s="508"/>
      <c r="L155" s="508"/>
      <c r="M155" s="508"/>
      <c r="N155" s="508"/>
      <c r="O155" s="508"/>
      <c r="P155" s="508"/>
      <c r="Q155" s="508"/>
      <c r="R155" s="508"/>
      <c r="S155" s="508"/>
      <c r="T155" s="508"/>
      <c r="U155" s="508"/>
      <c r="V155" s="508"/>
      <c r="W155" s="508"/>
      <c r="X155" s="508"/>
      <c r="Y155" s="508"/>
      <c r="Z155" s="508"/>
    </row>
    <row r="156" ht="13.5" customHeight="1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508"/>
      <c r="R156" s="508"/>
      <c r="S156" s="508"/>
      <c r="T156" s="508"/>
      <c r="U156" s="508"/>
      <c r="V156" s="508"/>
      <c r="W156" s="508"/>
      <c r="X156" s="508"/>
      <c r="Y156" s="508"/>
      <c r="Z156" s="508"/>
    </row>
    <row r="157" ht="13.5" customHeight="1">
      <c r="A157" s="508"/>
      <c r="B157" s="508"/>
      <c r="C157" s="508"/>
      <c r="D157" s="508"/>
      <c r="E157" s="508"/>
      <c r="F157" s="508"/>
      <c r="G157" s="508"/>
      <c r="H157" s="508"/>
      <c r="I157" s="508"/>
      <c r="J157" s="508"/>
      <c r="K157" s="508"/>
      <c r="L157" s="508"/>
      <c r="M157" s="508"/>
      <c r="N157" s="508"/>
      <c r="O157" s="508"/>
      <c r="P157" s="508"/>
      <c r="Q157" s="508"/>
      <c r="R157" s="508"/>
      <c r="S157" s="508"/>
      <c r="T157" s="508"/>
      <c r="U157" s="508"/>
      <c r="V157" s="508"/>
      <c r="W157" s="508"/>
      <c r="X157" s="508"/>
      <c r="Y157" s="508"/>
      <c r="Z157" s="508"/>
    </row>
    <row r="158" ht="13.5" customHeight="1">
      <c r="A158" s="508"/>
      <c r="B158" s="508"/>
      <c r="C158" s="508"/>
      <c r="D158" s="508"/>
      <c r="E158" s="508"/>
      <c r="F158" s="508"/>
      <c r="G158" s="508"/>
      <c r="H158" s="508"/>
      <c r="I158" s="508"/>
      <c r="J158" s="508"/>
      <c r="K158" s="508"/>
      <c r="L158" s="508"/>
      <c r="M158" s="508"/>
      <c r="N158" s="508"/>
      <c r="O158" s="508"/>
      <c r="P158" s="508"/>
      <c r="Q158" s="508"/>
      <c r="R158" s="508"/>
      <c r="S158" s="508"/>
      <c r="T158" s="508"/>
      <c r="U158" s="508"/>
      <c r="V158" s="508"/>
      <c r="W158" s="508"/>
      <c r="X158" s="508"/>
      <c r="Y158" s="508"/>
      <c r="Z158" s="508"/>
    </row>
    <row r="159" ht="13.5" customHeight="1">
      <c r="A159" s="508"/>
      <c r="B159" s="508"/>
      <c r="C159" s="508"/>
      <c r="D159" s="508"/>
      <c r="E159" s="508"/>
      <c r="F159" s="508"/>
      <c r="G159" s="508"/>
      <c r="H159" s="508"/>
      <c r="I159" s="508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508"/>
      <c r="Y159" s="508"/>
      <c r="Z159" s="508"/>
    </row>
    <row r="160" ht="13.5" customHeight="1">
      <c r="A160" s="508"/>
      <c r="B160" s="508"/>
      <c r="C160" s="508"/>
      <c r="D160" s="508"/>
      <c r="E160" s="508"/>
      <c r="F160" s="508"/>
      <c r="G160" s="508"/>
      <c r="H160" s="508"/>
      <c r="I160" s="508"/>
      <c r="J160" s="508"/>
      <c r="K160" s="508"/>
      <c r="L160" s="508"/>
      <c r="M160" s="508"/>
      <c r="N160" s="508"/>
      <c r="O160" s="508"/>
      <c r="P160" s="508"/>
      <c r="Q160" s="508"/>
      <c r="R160" s="508"/>
      <c r="S160" s="508"/>
      <c r="T160" s="508"/>
      <c r="U160" s="508"/>
      <c r="V160" s="508"/>
      <c r="W160" s="508"/>
      <c r="X160" s="508"/>
      <c r="Y160" s="508"/>
      <c r="Z160" s="508"/>
    </row>
    <row r="161" ht="13.5" customHeight="1">
      <c r="A161" s="508"/>
      <c r="B161" s="508"/>
      <c r="C161" s="508"/>
      <c r="D161" s="508"/>
      <c r="E161" s="508"/>
      <c r="F161" s="508"/>
      <c r="G161" s="508"/>
      <c r="H161" s="508"/>
      <c r="I161" s="508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508"/>
      <c r="Y161" s="508"/>
      <c r="Z161" s="508"/>
    </row>
    <row r="162" ht="13.5" customHeight="1">
      <c r="A162" s="508"/>
      <c r="B162" s="508"/>
      <c r="C162" s="508"/>
      <c r="D162" s="508"/>
      <c r="E162" s="508"/>
      <c r="F162" s="508"/>
      <c r="G162" s="508"/>
      <c r="H162" s="508"/>
      <c r="I162" s="508"/>
      <c r="J162" s="508"/>
      <c r="K162" s="508"/>
      <c r="L162" s="508"/>
      <c r="M162" s="508"/>
      <c r="N162" s="508"/>
      <c r="O162" s="508"/>
      <c r="P162" s="508"/>
      <c r="Q162" s="508"/>
      <c r="R162" s="508"/>
      <c r="S162" s="508"/>
      <c r="T162" s="508"/>
      <c r="U162" s="508"/>
      <c r="V162" s="508"/>
      <c r="W162" s="508"/>
      <c r="X162" s="508"/>
      <c r="Y162" s="508"/>
      <c r="Z162" s="508"/>
    </row>
    <row r="163" ht="13.5" customHeight="1">
      <c r="A163" s="508"/>
      <c r="B163" s="508"/>
      <c r="C163" s="508"/>
      <c r="D163" s="508"/>
      <c r="E163" s="508"/>
      <c r="F163" s="508"/>
      <c r="G163" s="508"/>
      <c r="H163" s="508"/>
      <c r="I163" s="508"/>
      <c r="J163" s="508"/>
      <c r="K163" s="508"/>
      <c r="L163" s="508"/>
      <c r="M163" s="508"/>
      <c r="N163" s="508"/>
      <c r="O163" s="508"/>
      <c r="P163" s="508"/>
      <c r="Q163" s="508"/>
      <c r="R163" s="508"/>
      <c r="S163" s="508"/>
      <c r="T163" s="508"/>
      <c r="U163" s="508"/>
      <c r="V163" s="508"/>
      <c r="W163" s="508"/>
      <c r="X163" s="508"/>
      <c r="Y163" s="508"/>
      <c r="Z163" s="508"/>
    </row>
    <row r="164" ht="13.5" customHeight="1">
      <c r="A164" s="508"/>
      <c r="B164" s="508"/>
      <c r="C164" s="508"/>
      <c r="D164" s="508"/>
      <c r="E164" s="508"/>
      <c r="F164" s="508"/>
      <c r="G164" s="508"/>
      <c r="H164" s="508"/>
      <c r="I164" s="508"/>
      <c r="J164" s="508"/>
      <c r="K164" s="508"/>
      <c r="L164" s="508"/>
      <c r="M164" s="508"/>
      <c r="N164" s="508"/>
      <c r="O164" s="508"/>
      <c r="P164" s="508"/>
      <c r="Q164" s="508"/>
      <c r="R164" s="508"/>
      <c r="S164" s="508"/>
      <c r="T164" s="508"/>
      <c r="U164" s="508"/>
      <c r="V164" s="508"/>
      <c r="W164" s="508"/>
      <c r="X164" s="508"/>
      <c r="Y164" s="508"/>
      <c r="Z164" s="508"/>
    </row>
    <row r="165" ht="13.5" customHeight="1">
      <c r="A165" s="508"/>
      <c r="B165" s="508"/>
      <c r="C165" s="508"/>
      <c r="D165" s="508"/>
      <c r="E165" s="508"/>
      <c r="F165" s="508"/>
      <c r="G165" s="508"/>
      <c r="H165" s="508"/>
      <c r="I165" s="508"/>
      <c r="J165" s="508"/>
      <c r="K165" s="508"/>
      <c r="L165" s="508"/>
      <c r="M165" s="508"/>
      <c r="N165" s="508"/>
      <c r="O165" s="508"/>
      <c r="P165" s="508"/>
      <c r="Q165" s="508"/>
      <c r="R165" s="508"/>
      <c r="S165" s="508"/>
      <c r="T165" s="508"/>
      <c r="U165" s="508"/>
      <c r="V165" s="508"/>
      <c r="W165" s="508"/>
      <c r="X165" s="508"/>
      <c r="Y165" s="508"/>
      <c r="Z165" s="508"/>
    </row>
    <row r="166" ht="13.5" customHeight="1">
      <c r="A166" s="508"/>
      <c r="B166" s="508"/>
      <c r="C166" s="508"/>
      <c r="D166" s="508"/>
      <c r="E166" s="508"/>
      <c r="F166" s="508"/>
      <c r="G166" s="508"/>
      <c r="H166" s="508"/>
      <c r="I166" s="508"/>
      <c r="J166" s="508"/>
      <c r="K166" s="508"/>
      <c r="L166" s="508"/>
      <c r="M166" s="508"/>
      <c r="N166" s="508"/>
      <c r="O166" s="508"/>
      <c r="P166" s="508"/>
      <c r="Q166" s="508"/>
      <c r="R166" s="508"/>
      <c r="S166" s="508"/>
      <c r="T166" s="508"/>
      <c r="U166" s="508"/>
      <c r="V166" s="508"/>
      <c r="W166" s="508"/>
      <c r="X166" s="508"/>
      <c r="Y166" s="508"/>
      <c r="Z166" s="508"/>
    </row>
    <row r="167" ht="13.5" customHeight="1">
      <c r="A167" s="508"/>
      <c r="B167" s="508"/>
      <c r="C167" s="508"/>
      <c r="D167" s="508"/>
      <c r="E167" s="508"/>
      <c r="F167" s="508"/>
      <c r="G167" s="508"/>
      <c r="H167" s="508"/>
      <c r="I167" s="508"/>
      <c r="J167" s="508"/>
      <c r="K167" s="508"/>
      <c r="L167" s="508"/>
      <c r="M167" s="508"/>
      <c r="N167" s="508"/>
      <c r="O167" s="508"/>
      <c r="P167" s="508"/>
      <c r="Q167" s="508"/>
      <c r="R167" s="508"/>
      <c r="S167" s="508"/>
      <c r="T167" s="508"/>
      <c r="U167" s="508"/>
      <c r="V167" s="508"/>
      <c r="W167" s="508"/>
      <c r="X167" s="508"/>
      <c r="Y167" s="508"/>
      <c r="Z167" s="508"/>
    </row>
    <row r="168" ht="13.5" customHeight="1">
      <c r="A168" s="508"/>
      <c r="B168" s="508"/>
      <c r="C168" s="508"/>
      <c r="D168" s="508"/>
      <c r="E168" s="508"/>
      <c r="F168" s="508"/>
      <c r="G168" s="508"/>
      <c r="H168" s="508"/>
      <c r="I168" s="508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508"/>
      <c r="Y168" s="508"/>
      <c r="Z168" s="508"/>
    </row>
    <row r="169" ht="13.5" customHeight="1">
      <c r="A169" s="508"/>
      <c r="B169" s="508"/>
      <c r="C169" s="508"/>
      <c r="D169" s="508"/>
      <c r="E169" s="508"/>
      <c r="F169" s="508"/>
      <c r="G169" s="508"/>
      <c r="H169" s="508"/>
      <c r="I169" s="508"/>
      <c r="J169" s="508"/>
      <c r="K169" s="508"/>
      <c r="L169" s="508"/>
      <c r="M169" s="508"/>
      <c r="N169" s="508"/>
      <c r="O169" s="508"/>
      <c r="P169" s="508"/>
      <c r="Q169" s="508"/>
      <c r="R169" s="508"/>
      <c r="S169" s="508"/>
      <c r="T169" s="508"/>
      <c r="U169" s="508"/>
      <c r="V169" s="508"/>
      <c r="W169" s="508"/>
      <c r="X169" s="508"/>
      <c r="Y169" s="508"/>
      <c r="Z169" s="508"/>
    </row>
    <row r="170" ht="13.5" customHeight="1">
      <c r="A170" s="508"/>
      <c r="B170" s="508"/>
      <c r="C170" s="508"/>
      <c r="D170" s="508"/>
      <c r="E170" s="508"/>
      <c r="F170" s="508"/>
      <c r="G170" s="508"/>
      <c r="H170" s="508"/>
      <c r="I170" s="508"/>
      <c r="J170" s="508"/>
      <c r="K170" s="508"/>
      <c r="L170" s="508"/>
      <c r="M170" s="508"/>
      <c r="N170" s="508"/>
      <c r="O170" s="508"/>
      <c r="P170" s="508"/>
      <c r="Q170" s="508"/>
      <c r="R170" s="508"/>
      <c r="S170" s="508"/>
      <c r="T170" s="508"/>
      <c r="U170" s="508"/>
      <c r="V170" s="508"/>
      <c r="W170" s="508"/>
      <c r="X170" s="508"/>
      <c r="Y170" s="508"/>
      <c r="Z170" s="508"/>
    </row>
    <row r="171" ht="13.5" customHeight="1">
      <c r="A171" s="508"/>
      <c r="B171" s="508"/>
      <c r="C171" s="508"/>
      <c r="D171" s="508"/>
      <c r="E171" s="508"/>
      <c r="F171" s="508"/>
      <c r="G171" s="508"/>
      <c r="H171" s="508"/>
      <c r="I171" s="508"/>
      <c r="J171" s="508"/>
      <c r="K171" s="508"/>
      <c r="L171" s="508"/>
      <c r="M171" s="508"/>
      <c r="N171" s="508"/>
      <c r="O171" s="508"/>
      <c r="P171" s="508"/>
      <c r="Q171" s="508"/>
      <c r="R171" s="508"/>
      <c r="S171" s="508"/>
      <c r="T171" s="508"/>
      <c r="U171" s="508"/>
      <c r="V171" s="508"/>
      <c r="W171" s="508"/>
      <c r="X171" s="508"/>
      <c r="Y171" s="508"/>
      <c r="Z171" s="508"/>
    </row>
    <row r="172" ht="13.5" customHeight="1">
      <c r="A172" s="508"/>
      <c r="B172" s="508"/>
      <c r="C172" s="508"/>
      <c r="D172" s="508"/>
      <c r="E172" s="508"/>
      <c r="F172" s="508"/>
      <c r="G172" s="508"/>
      <c r="H172" s="508"/>
      <c r="I172" s="508"/>
      <c r="J172" s="508"/>
      <c r="K172" s="508"/>
      <c r="L172" s="508"/>
      <c r="M172" s="508"/>
      <c r="N172" s="508"/>
      <c r="O172" s="508"/>
      <c r="P172" s="508"/>
      <c r="Q172" s="508"/>
      <c r="R172" s="508"/>
      <c r="S172" s="508"/>
      <c r="T172" s="508"/>
      <c r="U172" s="508"/>
      <c r="V172" s="508"/>
      <c r="W172" s="508"/>
      <c r="X172" s="508"/>
      <c r="Y172" s="508"/>
      <c r="Z172" s="508"/>
    </row>
    <row r="173" ht="13.5" customHeight="1">
      <c r="A173" s="508"/>
      <c r="B173" s="508"/>
      <c r="C173" s="508"/>
      <c r="D173" s="508"/>
      <c r="E173" s="508"/>
      <c r="F173" s="508"/>
      <c r="G173" s="508"/>
      <c r="H173" s="508"/>
      <c r="I173" s="508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  <c r="W173" s="508"/>
      <c r="X173" s="508"/>
      <c r="Y173" s="508"/>
      <c r="Z173" s="508"/>
    </row>
    <row r="174" ht="13.5" customHeight="1">
      <c r="A174" s="508"/>
      <c r="B174" s="508"/>
      <c r="C174" s="508"/>
      <c r="D174" s="508"/>
      <c r="E174" s="508"/>
      <c r="F174" s="508"/>
      <c r="G174" s="508"/>
      <c r="H174" s="508"/>
      <c r="I174" s="508"/>
      <c r="J174" s="508"/>
      <c r="K174" s="508"/>
      <c r="L174" s="508"/>
      <c r="M174" s="508"/>
      <c r="N174" s="508"/>
      <c r="O174" s="508"/>
      <c r="P174" s="508"/>
      <c r="Q174" s="508"/>
      <c r="R174" s="508"/>
      <c r="S174" s="508"/>
      <c r="T174" s="508"/>
      <c r="U174" s="508"/>
      <c r="V174" s="508"/>
      <c r="W174" s="508"/>
      <c r="X174" s="508"/>
      <c r="Y174" s="508"/>
      <c r="Z174" s="508"/>
    </row>
    <row r="175" ht="13.5" customHeight="1">
      <c r="A175" s="508"/>
      <c r="B175" s="508"/>
      <c r="C175" s="508"/>
      <c r="D175" s="508"/>
      <c r="E175" s="508"/>
      <c r="F175" s="508"/>
      <c r="G175" s="508"/>
      <c r="H175" s="508"/>
      <c r="I175" s="508"/>
      <c r="J175" s="508"/>
      <c r="K175" s="508"/>
      <c r="L175" s="508"/>
      <c r="M175" s="508"/>
      <c r="N175" s="508"/>
      <c r="O175" s="508"/>
      <c r="P175" s="508"/>
      <c r="Q175" s="508"/>
      <c r="R175" s="508"/>
      <c r="S175" s="508"/>
      <c r="T175" s="508"/>
      <c r="U175" s="508"/>
      <c r="V175" s="508"/>
      <c r="W175" s="508"/>
      <c r="X175" s="508"/>
      <c r="Y175" s="508"/>
      <c r="Z175" s="508"/>
    </row>
    <row r="176" ht="13.5" customHeight="1">
      <c r="A176" s="508"/>
      <c r="B176" s="508"/>
      <c r="C176" s="508"/>
      <c r="D176" s="508"/>
      <c r="E176" s="508"/>
      <c r="F176" s="508"/>
      <c r="G176" s="508"/>
      <c r="H176" s="508"/>
      <c r="I176" s="508"/>
      <c r="J176" s="508"/>
      <c r="K176" s="508"/>
      <c r="L176" s="508"/>
      <c r="M176" s="508"/>
      <c r="N176" s="508"/>
      <c r="O176" s="508"/>
      <c r="P176" s="508"/>
      <c r="Q176" s="508"/>
      <c r="R176" s="508"/>
      <c r="S176" s="508"/>
      <c r="T176" s="508"/>
      <c r="U176" s="508"/>
      <c r="V176" s="508"/>
      <c r="W176" s="508"/>
      <c r="X176" s="508"/>
      <c r="Y176" s="508"/>
      <c r="Z176" s="508"/>
    </row>
    <row r="177" ht="13.5" customHeight="1">
      <c r="A177" s="508"/>
      <c r="B177" s="508"/>
      <c r="C177" s="508"/>
      <c r="D177" s="508"/>
      <c r="E177" s="508"/>
      <c r="F177" s="508"/>
      <c r="G177" s="508"/>
      <c r="H177" s="508"/>
      <c r="I177" s="508"/>
      <c r="J177" s="508"/>
      <c r="K177" s="508"/>
      <c r="L177" s="508"/>
      <c r="M177" s="508"/>
      <c r="N177" s="508"/>
      <c r="O177" s="508"/>
      <c r="P177" s="508"/>
      <c r="Q177" s="508"/>
      <c r="R177" s="508"/>
      <c r="S177" s="508"/>
      <c r="T177" s="508"/>
      <c r="U177" s="508"/>
      <c r="V177" s="508"/>
      <c r="W177" s="508"/>
      <c r="X177" s="508"/>
      <c r="Y177" s="508"/>
      <c r="Z177" s="508"/>
    </row>
    <row r="178" ht="13.5" customHeight="1">
      <c r="A178" s="508"/>
      <c r="B178" s="508"/>
      <c r="C178" s="508"/>
      <c r="D178" s="508"/>
      <c r="E178" s="508"/>
      <c r="F178" s="508"/>
      <c r="G178" s="508"/>
      <c r="H178" s="508"/>
      <c r="I178" s="508"/>
      <c r="J178" s="508"/>
      <c r="K178" s="508"/>
      <c r="L178" s="508"/>
      <c r="M178" s="508"/>
      <c r="N178" s="508"/>
      <c r="O178" s="508"/>
      <c r="P178" s="508"/>
      <c r="Q178" s="508"/>
      <c r="R178" s="508"/>
      <c r="S178" s="508"/>
      <c r="T178" s="508"/>
      <c r="U178" s="508"/>
      <c r="V178" s="508"/>
      <c r="W178" s="508"/>
      <c r="X178" s="508"/>
      <c r="Y178" s="508"/>
      <c r="Z178" s="508"/>
    </row>
    <row r="179" ht="13.5" customHeight="1">
      <c r="A179" s="508"/>
      <c r="B179" s="508"/>
      <c r="C179" s="508"/>
      <c r="D179" s="508"/>
      <c r="E179" s="508"/>
      <c r="F179" s="508"/>
      <c r="G179" s="508"/>
      <c r="H179" s="508"/>
      <c r="I179" s="508"/>
      <c r="J179" s="508"/>
      <c r="K179" s="508"/>
      <c r="L179" s="508"/>
      <c r="M179" s="508"/>
      <c r="N179" s="508"/>
      <c r="O179" s="508"/>
      <c r="P179" s="508"/>
      <c r="Q179" s="508"/>
      <c r="R179" s="508"/>
      <c r="S179" s="508"/>
      <c r="T179" s="508"/>
      <c r="U179" s="508"/>
      <c r="V179" s="508"/>
      <c r="W179" s="508"/>
      <c r="X179" s="508"/>
      <c r="Y179" s="508"/>
      <c r="Z179" s="508"/>
    </row>
    <row r="180" ht="13.5" customHeight="1">
      <c r="A180" s="508"/>
      <c r="B180" s="508"/>
      <c r="C180" s="508"/>
      <c r="D180" s="508"/>
      <c r="E180" s="508"/>
      <c r="F180" s="508"/>
      <c r="G180" s="508"/>
      <c r="H180" s="508"/>
      <c r="I180" s="508"/>
      <c r="J180" s="508"/>
      <c r="K180" s="508"/>
      <c r="L180" s="508"/>
      <c r="M180" s="508"/>
      <c r="N180" s="508"/>
      <c r="O180" s="508"/>
      <c r="P180" s="508"/>
      <c r="Q180" s="508"/>
      <c r="R180" s="508"/>
      <c r="S180" s="508"/>
      <c r="T180" s="508"/>
      <c r="U180" s="508"/>
      <c r="V180" s="508"/>
      <c r="W180" s="508"/>
      <c r="X180" s="508"/>
      <c r="Y180" s="508"/>
      <c r="Z180" s="508"/>
    </row>
    <row r="181" ht="13.5" customHeight="1">
      <c r="A181" s="508"/>
      <c r="B181" s="508"/>
      <c r="C181" s="508"/>
      <c r="D181" s="508"/>
      <c r="E181" s="508"/>
      <c r="F181" s="508"/>
      <c r="G181" s="508"/>
      <c r="H181" s="508"/>
      <c r="I181" s="508"/>
      <c r="J181" s="508"/>
      <c r="K181" s="508"/>
      <c r="L181" s="508"/>
      <c r="M181" s="508"/>
      <c r="N181" s="508"/>
      <c r="O181" s="508"/>
      <c r="P181" s="508"/>
      <c r="Q181" s="508"/>
      <c r="R181" s="508"/>
      <c r="S181" s="508"/>
      <c r="T181" s="508"/>
      <c r="U181" s="508"/>
      <c r="V181" s="508"/>
      <c r="W181" s="508"/>
      <c r="X181" s="508"/>
      <c r="Y181" s="508"/>
      <c r="Z181" s="508"/>
    </row>
    <row r="182" ht="13.5" customHeight="1">
      <c r="A182" s="508"/>
      <c r="B182" s="508"/>
      <c r="C182" s="508"/>
      <c r="D182" s="508"/>
      <c r="E182" s="508"/>
      <c r="F182" s="508"/>
      <c r="G182" s="508"/>
      <c r="H182" s="508"/>
      <c r="I182" s="508"/>
      <c r="J182" s="508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508"/>
    </row>
    <row r="183" ht="13.5" customHeight="1">
      <c r="A183" s="508"/>
      <c r="B183" s="508"/>
      <c r="C183" s="508"/>
      <c r="D183" s="508"/>
      <c r="E183" s="508"/>
      <c r="F183" s="508"/>
      <c r="G183" s="508"/>
      <c r="H183" s="508"/>
      <c r="I183" s="508"/>
      <c r="J183" s="508"/>
      <c r="K183" s="508"/>
      <c r="L183" s="508"/>
      <c r="M183" s="508"/>
      <c r="N183" s="508"/>
      <c r="O183" s="508"/>
      <c r="P183" s="508"/>
      <c r="Q183" s="508"/>
      <c r="R183" s="508"/>
      <c r="S183" s="508"/>
      <c r="T183" s="508"/>
      <c r="U183" s="508"/>
      <c r="V183" s="508"/>
      <c r="W183" s="508"/>
      <c r="X183" s="508"/>
      <c r="Y183" s="508"/>
      <c r="Z183" s="508"/>
    </row>
    <row r="184" ht="13.5" customHeight="1">
      <c r="A184" s="508"/>
      <c r="B184" s="508"/>
      <c r="C184" s="508"/>
      <c r="D184" s="508"/>
      <c r="E184" s="508"/>
      <c r="F184" s="508"/>
      <c r="G184" s="508"/>
      <c r="H184" s="508"/>
      <c r="I184" s="508"/>
      <c r="J184" s="508"/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  <c r="U184" s="508"/>
      <c r="V184" s="508"/>
      <c r="W184" s="508"/>
      <c r="X184" s="508"/>
      <c r="Y184" s="508"/>
      <c r="Z184" s="508"/>
    </row>
    <row r="185" ht="13.5" customHeight="1">
      <c r="A185" s="508"/>
      <c r="B185" s="508"/>
      <c r="C185" s="508"/>
      <c r="D185" s="508"/>
      <c r="E185" s="508"/>
      <c r="F185" s="508"/>
      <c r="G185" s="508"/>
      <c r="H185" s="508"/>
      <c r="I185" s="508"/>
      <c r="J185" s="508"/>
      <c r="K185" s="508"/>
      <c r="L185" s="508"/>
      <c r="M185" s="508"/>
      <c r="N185" s="508"/>
      <c r="O185" s="508"/>
      <c r="P185" s="508"/>
      <c r="Q185" s="508"/>
      <c r="R185" s="508"/>
      <c r="S185" s="508"/>
      <c r="T185" s="508"/>
      <c r="U185" s="508"/>
      <c r="V185" s="508"/>
      <c r="W185" s="508"/>
      <c r="X185" s="508"/>
      <c r="Y185" s="508"/>
      <c r="Z185" s="508"/>
    </row>
    <row r="186" ht="13.5" customHeight="1">
      <c r="A186" s="508"/>
      <c r="B186" s="508"/>
      <c r="C186" s="508"/>
      <c r="D186" s="508"/>
      <c r="E186" s="508"/>
      <c r="F186" s="508"/>
      <c r="G186" s="508"/>
      <c r="H186" s="508"/>
      <c r="I186" s="508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508"/>
      <c r="Y186" s="508"/>
      <c r="Z186" s="508"/>
    </row>
    <row r="187" ht="13.5" customHeight="1">
      <c r="A187" s="508"/>
      <c r="B187" s="508"/>
      <c r="C187" s="508"/>
      <c r="D187" s="508"/>
      <c r="E187" s="508"/>
      <c r="F187" s="508"/>
      <c r="G187" s="508"/>
      <c r="H187" s="508"/>
      <c r="I187" s="508"/>
      <c r="J187" s="508"/>
      <c r="K187" s="508"/>
      <c r="L187" s="508"/>
      <c r="M187" s="508"/>
      <c r="N187" s="508"/>
      <c r="O187" s="508"/>
      <c r="P187" s="508"/>
      <c r="Q187" s="508"/>
      <c r="R187" s="508"/>
      <c r="S187" s="508"/>
      <c r="T187" s="508"/>
      <c r="U187" s="508"/>
      <c r="V187" s="508"/>
      <c r="W187" s="508"/>
      <c r="X187" s="508"/>
      <c r="Y187" s="508"/>
      <c r="Z187" s="508"/>
    </row>
    <row r="188" ht="13.5" customHeight="1">
      <c r="A188" s="508"/>
      <c r="B188" s="508"/>
      <c r="C188" s="508"/>
      <c r="D188" s="508"/>
      <c r="E188" s="508"/>
      <c r="F188" s="508"/>
      <c r="G188" s="508"/>
      <c r="H188" s="508"/>
      <c r="I188" s="508"/>
      <c r="J188" s="508"/>
      <c r="K188" s="508"/>
      <c r="L188" s="508"/>
      <c r="M188" s="508"/>
      <c r="N188" s="508"/>
      <c r="O188" s="508"/>
      <c r="P188" s="508"/>
      <c r="Q188" s="508"/>
      <c r="R188" s="508"/>
      <c r="S188" s="508"/>
      <c r="T188" s="508"/>
      <c r="U188" s="508"/>
      <c r="V188" s="508"/>
      <c r="W188" s="508"/>
      <c r="X188" s="508"/>
      <c r="Y188" s="508"/>
      <c r="Z188" s="508"/>
    </row>
    <row r="189" ht="13.5" customHeight="1">
      <c r="A189" s="508"/>
      <c r="B189" s="508"/>
      <c r="C189" s="508"/>
      <c r="D189" s="508"/>
      <c r="E189" s="508"/>
      <c r="F189" s="508"/>
      <c r="G189" s="508"/>
      <c r="H189" s="508"/>
      <c r="I189" s="508"/>
      <c r="J189" s="508"/>
      <c r="K189" s="508"/>
      <c r="L189" s="508"/>
      <c r="M189" s="508"/>
      <c r="N189" s="508"/>
      <c r="O189" s="508"/>
      <c r="P189" s="508"/>
      <c r="Q189" s="508"/>
      <c r="R189" s="508"/>
      <c r="S189" s="508"/>
      <c r="T189" s="508"/>
      <c r="U189" s="508"/>
      <c r="V189" s="508"/>
      <c r="W189" s="508"/>
      <c r="X189" s="508"/>
      <c r="Y189" s="508"/>
      <c r="Z189" s="508"/>
    </row>
    <row r="190" ht="13.5" customHeight="1">
      <c r="A190" s="508"/>
      <c r="B190" s="508"/>
      <c r="C190" s="508"/>
      <c r="D190" s="508"/>
      <c r="E190" s="508"/>
      <c r="F190" s="508"/>
      <c r="G190" s="508"/>
      <c r="H190" s="508"/>
      <c r="I190" s="508"/>
      <c r="J190" s="508"/>
      <c r="K190" s="508"/>
      <c r="L190" s="508"/>
      <c r="M190" s="508"/>
      <c r="N190" s="508"/>
      <c r="O190" s="508"/>
      <c r="P190" s="508"/>
      <c r="Q190" s="508"/>
      <c r="R190" s="508"/>
      <c r="S190" s="508"/>
      <c r="T190" s="508"/>
      <c r="U190" s="508"/>
      <c r="V190" s="508"/>
      <c r="W190" s="508"/>
      <c r="X190" s="508"/>
      <c r="Y190" s="508"/>
      <c r="Z190" s="508"/>
    </row>
    <row r="191" ht="13.5" customHeight="1">
      <c r="A191" s="508"/>
      <c r="B191" s="508"/>
      <c r="C191" s="508"/>
      <c r="D191" s="508"/>
      <c r="E191" s="508"/>
      <c r="F191" s="508"/>
      <c r="G191" s="508"/>
      <c r="H191" s="508"/>
      <c r="I191" s="508"/>
      <c r="J191" s="508"/>
      <c r="K191" s="508"/>
      <c r="L191" s="508"/>
      <c r="M191" s="508"/>
      <c r="N191" s="508"/>
      <c r="O191" s="508"/>
      <c r="P191" s="508"/>
      <c r="Q191" s="508"/>
      <c r="R191" s="508"/>
      <c r="S191" s="508"/>
      <c r="T191" s="508"/>
      <c r="U191" s="508"/>
      <c r="V191" s="508"/>
      <c r="W191" s="508"/>
      <c r="X191" s="508"/>
      <c r="Y191" s="508"/>
      <c r="Z191" s="508"/>
    </row>
    <row r="192" ht="13.5" customHeight="1">
      <c r="A192" s="508"/>
      <c r="B192" s="508"/>
      <c r="C192" s="508"/>
      <c r="D192" s="508"/>
      <c r="E192" s="508"/>
      <c r="F192" s="508"/>
      <c r="G192" s="508"/>
      <c r="H192" s="508"/>
      <c r="I192" s="508"/>
      <c r="J192" s="508"/>
      <c r="K192" s="508"/>
      <c r="L192" s="508"/>
      <c r="M192" s="508"/>
      <c r="N192" s="508"/>
      <c r="O192" s="508"/>
      <c r="P192" s="508"/>
      <c r="Q192" s="508"/>
      <c r="R192" s="508"/>
      <c r="S192" s="508"/>
      <c r="T192" s="508"/>
      <c r="U192" s="508"/>
      <c r="V192" s="508"/>
      <c r="W192" s="508"/>
      <c r="X192" s="508"/>
      <c r="Y192" s="508"/>
      <c r="Z192" s="508"/>
    </row>
    <row r="193" ht="13.5" customHeight="1">
      <c r="A193" s="508"/>
      <c r="B193" s="508"/>
      <c r="C193" s="508"/>
      <c r="D193" s="508"/>
      <c r="E193" s="508"/>
      <c r="F193" s="508"/>
      <c r="G193" s="508"/>
      <c r="H193" s="508"/>
      <c r="I193" s="508"/>
      <c r="J193" s="508"/>
      <c r="K193" s="508"/>
      <c r="L193" s="508"/>
      <c r="M193" s="508"/>
      <c r="N193" s="508"/>
      <c r="O193" s="508"/>
      <c r="P193" s="508"/>
      <c r="Q193" s="508"/>
      <c r="R193" s="508"/>
      <c r="S193" s="508"/>
      <c r="T193" s="508"/>
      <c r="U193" s="508"/>
      <c r="V193" s="508"/>
      <c r="W193" s="508"/>
      <c r="X193" s="508"/>
      <c r="Y193" s="508"/>
      <c r="Z193" s="508"/>
    </row>
    <row r="194" ht="13.5" customHeight="1">
      <c r="A194" s="508"/>
      <c r="B194" s="508"/>
      <c r="C194" s="508"/>
      <c r="D194" s="508"/>
      <c r="E194" s="508"/>
      <c r="F194" s="508"/>
      <c r="G194" s="508"/>
      <c r="H194" s="508"/>
      <c r="I194" s="508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508"/>
      <c r="Y194" s="508"/>
      <c r="Z194" s="508"/>
    </row>
    <row r="195" ht="13.5" customHeight="1">
      <c r="A195" s="508"/>
      <c r="B195" s="508"/>
      <c r="C195" s="508"/>
      <c r="D195" s="508"/>
      <c r="E195" s="508"/>
      <c r="F195" s="508"/>
      <c r="G195" s="508"/>
      <c r="H195" s="508"/>
      <c r="I195" s="508"/>
      <c r="J195" s="508"/>
      <c r="K195" s="508"/>
      <c r="L195" s="508"/>
      <c r="M195" s="508"/>
      <c r="N195" s="508"/>
      <c r="O195" s="508"/>
      <c r="P195" s="508"/>
      <c r="Q195" s="508"/>
      <c r="R195" s="508"/>
      <c r="S195" s="508"/>
      <c r="T195" s="508"/>
      <c r="U195" s="508"/>
      <c r="V195" s="508"/>
      <c r="W195" s="508"/>
      <c r="X195" s="508"/>
      <c r="Y195" s="508"/>
      <c r="Z195" s="508"/>
    </row>
    <row r="196" ht="13.5" customHeight="1">
      <c r="A196" s="508"/>
      <c r="B196" s="508"/>
      <c r="C196" s="508"/>
      <c r="D196" s="508"/>
      <c r="E196" s="508"/>
      <c r="F196" s="508"/>
      <c r="G196" s="508"/>
      <c r="H196" s="508"/>
      <c r="I196" s="508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508"/>
      <c r="Y196" s="508"/>
      <c r="Z196" s="508"/>
    </row>
    <row r="197" ht="13.5" customHeight="1">
      <c r="A197" s="508"/>
      <c r="B197" s="508"/>
      <c r="C197" s="508"/>
      <c r="D197" s="508"/>
      <c r="E197" s="508"/>
      <c r="F197" s="508"/>
      <c r="G197" s="508"/>
      <c r="H197" s="508"/>
      <c r="I197" s="508"/>
      <c r="J197" s="508"/>
      <c r="K197" s="508"/>
      <c r="L197" s="508"/>
      <c r="M197" s="508"/>
      <c r="N197" s="508"/>
      <c r="O197" s="508"/>
      <c r="P197" s="508"/>
      <c r="Q197" s="508"/>
      <c r="R197" s="508"/>
      <c r="S197" s="508"/>
      <c r="T197" s="508"/>
      <c r="U197" s="508"/>
      <c r="V197" s="508"/>
      <c r="W197" s="508"/>
      <c r="X197" s="508"/>
      <c r="Y197" s="508"/>
      <c r="Z197" s="508"/>
    </row>
    <row r="198" ht="13.5" customHeight="1">
      <c r="A198" s="508"/>
      <c r="B198" s="508"/>
      <c r="C198" s="508"/>
      <c r="D198" s="508"/>
      <c r="E198" s="508"/>
      <c r="F198" s="508"/>
      <c r="G198" s="508"/>
      <c r="H198" s="508"/>
      <c r="I198" s="508"/>
      <c r="J198" s="508"/>
      <c r="K198" s="508"/>
      <c r="L198" s="508"/>
      <c r="M198" s="508"/>
      <c r="N198" s="508"/>
      <c r="O198" s="508"/>
      <c r="P198" s="508"/>
      <c r="Q198" s="508"/>
      <c r="R198" s="508"/>
      <c r="S198" s="508"/>
      <c r="T198" s="508"/>
      <c r="U198" s="508"/>
      <c r="V198" s="508"/>
      <c r="W198" s="508"/>
      <c r="X198" s="508"/>
      <c r="Y198" s="508"/>
      <c r="Z198" s="508"/>
    </row>
    <row r="199" ht="13.5" customHeight="1">
      <c r="A199" s="508"/>
      <c r="B199" s="508"/>
      <c r="C199" s="508"/>
      <c r="D199" s="508"/>
      <c r="E199" s="508"/>
      <c r="F199" s="508"/>
      <c r="G199" s="508"/>
      <c r="H199" s="508"/>
      <c r="I199" s="508"/>
      <c r="J199" s="508"/>
      <c r="K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508"/>
      <c r="V199" s="508"/>
      <c r="W199" s="508"/>
      <c r="X199" s="508"/>
      <c r="Y199" s="508"/>
      <c r="Z199" s="508"/>
    </row>
    <row r="200" ht="13.5" customHeight="1">
      <c r="A200" s="508"/>
      <c r="B200" s="508"/>
      <c r="C200" s="508"/>
      <c r="D200" s="508"/>
      <c r="E200" s="508"/>
      <c r="F200" s="508"/>
      <c r="G200" s="508"/>
      <c r="H200" s="508"/>
      <c r="I200" s="508"/>
      <c r="J200" s="508"/>
      <c r="K200" s="508"/>
      <c r="L200" s="508"/>
      <c r="M200" s="508"/>
      <c r="N200" s="508"/>
      <c r="O200" s="508"/>
      <c r="P200" s="508"/>
      <c r="Q200" s="508"/>
      <c r="R200" s="508"/>
      <c r="S200" s="508"/>
      <c r="T200" s="508"/>
      <c r="U200" s="508"/>
      <c r="V200" s="508"/>
      <c r="W200" s="508"/>
      <c r="X200" s="508"/>
      <c r="Y200" s="508"/>
      <c r="Z200" s="508"/>
    </row>
    <row r="201" ht="13.5" customHeight="1">
      <c r="A201" s="508"/>
      <c r="B201" s="508"/>
      <c r="C201" s="508"/>
      <c r="D201" s="508"/>
      <c r="E201" s="508"/>
      <c r="F201" s="508"/>
      <c r="G201" s="508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508"/>
      <c r="Y201" s="508"/>
      <c r="Z201" s="508"/>
    </row>
    <row r="202" ht="13.5" customHeight="1">
      <c r="A202" s="508"/>
      <c r="B202" s="508"/>
      <c r="C202" s="508"/>
      <c r="D202" s="508"/>
      <c r="E202" s="508"/>
      <c r="F202" s="508"/>
      <c r="G202" s="508"/>
      <c r="H202" s="508"/>
      <c r="I202" s="508"/>
      <c r="J202" s="508"/>
      <c r="K202" s="508"/>
      <c r="L202" s="508"/>
      <c r="M202" s="508"/>
      <c r="N202" s="508"/>
      <c r="O202" s="508"/>
      <c r="P202" s="508"/>
      <c r="Q202" s="508"/>
      <c r="R202" s="508"/>
      <c r="S202" s="508"/>
      <c r="T202" s="508"/>
      <c r="U202" s="508"/>
      <c r="V202" s="508"/>
      <c r="W202" s="508"/>
      <c r="X202" s="508"/>
      <c r="Y202" s="508"/>
      <c r="Z202" s="508"/>
    </row>
    <row r="203" ht="13.5" customHeight="1">
      <c r="A203" s="508"/>
      <c r="B203" s="508"/>
      <c r="C203" s="508"/>
      <c r="D203" s="508"/>
      <c r="E203" s="508"/>
      <c r="F203" s="508"/>
      <c r="G203" s="508"/>
      <c r="H203" s="508"/>
      <c r="I203" s="508"/>
      <c r="J203" s="508"/>
      <c r="K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8"/>
      <c r="V203" s="508"/>
      <c r="W203" s="508"/>
      <c r="X203" s="508"/>
      <c r="Y203" s="508"/>
      <c r="Z203" s="508"/>
    </row>
    <row r="204" ht="13.5" customHeight="1">
      <c r="A204" s="508"/>
      <c r="B204" s="508"/>
      <c r="C204" s="508"/>
      <c r="D204" s="508"/>
      <c r="E204" s="508"/>
      <c r="F204" s="508"/>
      <c r="G204" s="508"/>
      <c r="H204" s="508"/>
      <c r="I204" s="508"/>
      <c r="J204" s="508"/>
      <c r="K204" s="508"/>
      <c r="L204" s="508"/>
      <c r="M204" s="508"/>
      <c r="N204" s="508"/>
      <c r="O204" s="508"/>
      <c r="P204" s="508"/>
      <c r="Q204" s="508"/>
      <c r="R204" s="508"/>
      <c r="S204" s="508"/>
      <c r="T204" s="508"/>
      <c r="U204" s="508"/>
      <c r="V204" s="508"/>
      <c r="W204" s="508"/>
      <c r="X204" s="508"/>
      <c r="Y204" s="508"/>
      <c r="Z204" s="508"/>
    </row>
    <row r="205" ht="13.5" customHeight="1">
      <c r="A205" s="508"/>
      <c r="B205" s="508"/>
      <c r="C205" s="508"/>
      <c r="D205" s="508"/>
      <c r="E205" s="508"/>
      <c r="F205" s="508"/>
      <c r="G205" s="508"/>
      <c r="H205" s="508"/>
      <c r="I205" s="508"/>
      <c r="J205" s="508"/>
      <c r="K205" s="508"/>
      <c r="L205" s="508"/>
      <c r="M205" s="508"/>
      <c r="N205" s="508"/>
      <c r="O205" s="508"/>
      <c r="P205" s="508"/>
      <c r="Q205" s="508"/>
      <c r="R205" s="508"/>
      <c r="S205" s="508"/>
      <c r="T205" s="508"/>
      <c r="U205" s="508"/>
      <c r="V205" s="508"/>
      <c r="W205" s="508"/>
      <c r="X205" s="508"/>
      <c r="Y205" s="508"/>
      <c r="Z205" s="508"/>
    </row>
    <row r="206" ht="13.5" customHeight="1">
      <c r="A206" s="508"/>
      <c r="B206" s="508"/>
      <c r="C206" s="508"/>
      <c r="D206" s="508"/>
      <c r="E206" s="508"/>
      <c r="F206" s="508"/>
      <c r="G206" s="508"/>
      <c r="H206" s="508"/>
      <c r="I206" s="508"/>
      <c r="J206" s="508"/>
      <c r="K206" s="508"/>
      <c r="L206" s="508"/>
      <c r="M206" s="508"/>
      <c r="N206" s="508"/>
      <c r="O206" s="508"/>
      <c r="P206" s="508"/>
      <c r="Q206" s="508"/>
      <c r="R206" s="508"/>
      <c r="S206" s="508"/>
      <c r="T206" s="508"/>
      <c r="U206" s="508"/>
      <c r="V206" s="508"/>
      <c r="W206" s="508"/>
      <c r="X206" s="508"/>
      <c r="Y206" s="508"/>
      <c r="Z206" s="508"/>
    </row>
    <row r="207" ht="13.5" customHeight="1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</row>
    <row r="208" ht="13.5" customHeight="1">
      <c r="A208" s="508"/>
      <c r="B208" s="508"/>
      <c r="C208" s="508"/>
      <c r="D208" s="508"/>
      <c r="E208" s="508"/>
      <c r="F208" s="508"/>
      <c r="G208" s="508"/>
      <c r="H208" s="508"/>
      <c r="I208" s="508"/>
      <c r="J208" s="508"/>
      <c r="K208" s="508"/>
      <c r="L208" s="508"/>
      <c r="M208" s="508"/>
      <c r="N208" s="508"/>
      <c r="O208" s="508"/>
      <c r="P208" s="508"/>
      <c r="Q208" s="508"/>
      <c r="R208" s="508"/>
      <c r="S208" s="508"/>
      <c r="T208" s="508"/>
      <c r="U208" s="508"/>
      <c r="V208" s="508"/>
      <c r="W208" s="508"/>
      <c r="X208" s="508"/>
      <c r="Y208" s="508"/>
      <c r="Z208" s="508"/>
    </row>
    <row r="209" ht="13.5" customHeight="1">
      <c r="A209" s="508"/>
      <c r="B209" s="508"/>
      <c r="C209" s="508"/>
      <c r="D209" s="508"/>
      <c r="E209" s="508"/>
      <c r="F209" s="508"/>
      <c r="G209" s="508"/>
      <c r="H209" s="508"/>
      <c r="I209" s="508"/>
      <c r="J209" s="508"/>
      <c r="K209" s="508"/>
      <c r="L209" s="508"/>
      <c r="M209" s="508"/>
      <c r="N209" s="508"/>
      <c r="O209" s="508"/>
      <c r="P209" s="508"/>
      <c r="Q209" s="508"/>
      <c r="R209" s="508"/>
      <c r="S209" s="508"/>
      <c r="T209" s="508"/>
      <c r="U209" s="508"/>
      <c r="V209" s="508"/>
      <c r="W209" s="508"/>
      <c r="X209" s="508"/>
      <c r="Y209" s="508"/>
      <c r="Z209" s="508"/>
    </row>
    <row r="210" ht="13.5" customHeight="1">
      <c r="A210" s="508"/>
      <c r="B210" s="508"/>
      <c r="C210" s="508"/>
      <c r="D210" s="508"/>
      <c r="E210" s="508"/>
      <c r="F210" s="508"/>
      <c r="G210" s="508"/>
      <c r="H210" s="508"/>
      <c r="I210" s="508"/>
      <c r="J210" s="508"/>
      <c r="K210" s="508"/>
      <c r="L210" s="508"/>
      <c r="M210" s="508"/>
      <c r="N210" s="508"/>
      <c r="O210" s="508"/>
      <c r="P210" s="508"/>
      <c r="Q210" s="508"/>
      <c r="R210" s="508"/>
      <c r="S210" s="508"/>
      <c r="T210" s="508"/>
      <c r="U210" s="508"/>
      <c r="V210" s="508"/>
      <c r="W210" s="508"/>
      <c r="X210" s="508"/>
      <c r="Y210" s="508"/>
      <c r="Z210" s="508"/>
    </row>
    <row r="211" ht="13.5" customHeight="1">
      <c r="A211" s="508"/>
      <c r="B211" s="508"/>
      <c r="C211" s="508"/>
      <c r="D211" s="508"/>
      <c r="E211" s="508"/>
      <c r="F211" s="508"/>
      <c r="G211" s="508"/>
      <c r="H211" s="508"/>
      <c r="I211" s="508"/>
      <c r="J211" s="508"/>
      <c r="K211" s="508"/>
      <c r="L211" s="508"/>
      <c r="M211" s="508"/>
      <c r="N211" s="508"/>
      <c r="O211" s="508"/>
      <c r="P211" s="508"/>
      <c r="Q211" s="508"/>
      <c r="R211" s="508"/>
      <c r="S211" s="508"/>
      <c r="T211" s="508"/>
      <c r="U211" s="508"/>
      <c r="V211" s="508"/>
      <c r="W211" s="508"/>
      <c r="X211" s="508"/>
      <c r="Y211" s="508"/>
      <c r="Z211" s="508"/>
    </row>
    <row r="212" ht="13.5" customHeight="1">
      <c r="A212" s="508"/>
      <c r="B212" s="508"/>
      <c r="C212" s="508"/>
      <c r="D212" s="508"/>
      <c r="E212" s="508"/>
      <c r="F212" s="508"/>
      <c r="G212" s="508"/>
      <c r="H212" s="508"/>
      <c r="I212" s="508"/>
      <c r="J212" s="508"/>
      <c r="K212" s="508"/>
      <c r="L212" s="508"/>
      <c r="M212" s="508"/>
      <c r="N212" s="508"/>
      <c r="O212" s="508"/>
      <c r="P212" s="508"/>
      <c r="Q212" s="508"/>
      <c r="R212" s="508"/>
      <c r="S212" s="508"/>
      <c r="T212" s="508"/>
      <c r="U212" s="508"/>
      <c r="V212" s="508"/>
      <c r="W212" s="508"/>
      <c r="X212" s="508"/>
      <c r="Y212" s="508"/>
      <c r="Z212" s="508"/>
    </row>
    <row r="213" ht="13.5" customHeight="1">
      <c r="A213" s="508"/>
      <c r="B213" s="508"/>
      <c r="C213" s="508"/>
      <c r="D213" s="508"/>
      <c r="E213" s="508"/>
      <c r="F213" s="508"/>
      <c r="G213" s="508"/>
      <c r="H213" s="508"/>
      <c r="I213" s="508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508"/>
      <c r="Y213" s="508"/>
      <c r="Z213" s="508"/>
    </row>
    <row r="214" ht="13.5" customHeight="1">
      <c r="A214" s="508"/>
      <c r="B214" s="508"/>
      <c r="C214" s="508"/>
      <c r="D214" s="508"/>
      <c r="E214" s="508"/>
      <c r="F214" s="508"/>
      <c r="G214" s="508"/>
      <c r="H214" s="508"/>
      <c r="I214" s="508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508"/>
      <c r="Y214" s="508"/>
      <c r="Z214" s="508"/>
    </row>
    <row r="215" ht="13.5" customHeight="1">
      <c r="A215" s="508"/>
      <c r="B215" s="508"/>
      <c r="C215" s="508"/>
      <c r="D215" s="508"/>
      <c r="E215" s="508"/>
      <c r="F215" s="508"/>
      <c r="G215" s="508"/>
      <c r="H215" s="508"/>
      <c r="I215" s="508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508"/>
      <c r="Y215" s="508"/>
      <c r="Z215" s="508"/>
    </row>
    <row r="216" ht="13.5" customHeight="1">
      <c r="A216" s="508"/>
      <c r="B216" s="508"/>
      <c r="C216" s="508"/>
      <c r="D216" s="508"/>
      <c r="E216" s="508"/>
      <c r="F216" s="508"/>
      <c r="G216" s="508"/>
      <c r="H216" s="508"/>
      <c r="I216" s="508"/>
      <c r="J216" s="508"/>
      <c r="K216" s="508"/>
      <c r="L216" s="508"/>
      <c r="M216" s="508"/>
      <c r="N216" s="508"/>
      <c r="O216" s="508"/>
      <c r="P216" s="508"/>
      <c r="Q216" s="508"/>
      <c r="R216" s="508"/>
      <c r="S216" s="508"/>
      <c r="T216" s="508"/>
      <c r="U216" s="508"/>
      <c r="V216" s="508"/>
      <c r="W216" s="508"/>
      <c r="X216" s="508"/>
      <c r="Y216" s="508"/>
      <c r="Z216" s="508"/>
    </row>
    <row r="217" ht="13.5" customHeight="1">
      <c r="A217" s="508"/>
      <c r="B217" s="508"/>
      <c r="C217" s="508"/>
      <c r="D217" s="508"/>
      <c r="E217" s="508"/>
      <c r="F217" s="508"/>
      <c r="G217" s="508"/>
      <c r="H217" s="508"/>
      <c r="I217" s="508"/>
      <c r="J217" s="508"/>
      <c r="K217" s="508"/>
      <c r="L217" s="508"/>
      <c r="M217" s="508"/>
      <c r="N217" s="508"/>
      <c r="O217" s="508"/>
      <c r="P217" s="508"/>
      <c r="Q217" s="508"/>
      <c r="R217" s="508"/>
      <c r="S217" s="508"/>
      <c r="T217" s="508"/>
      <c r="U217" s="508"/>
      <c r="V217" s="508"/>
      <c r="W217" s="508"/>
      <c r="X217" s="508"/>
      <c r="Y217" s="508"/>
      <c r="Z217" s="508"/>
    </row>
    <row r="218" ht="13.5" customHeight="1">
      <c r="A218" s="508"/>
      <c r="B218" s="508"/>
      <c r="C218" s="508"/>
      <c r="D218" s="508"/>
      <c r="E218" s="508"/>
      <c r="F218" s="508"/>
      <c r="G218" s="508"/>
      <c r="H218" s="508"/>
      <c r="I218" s="508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508"/>
      <c r="W218" s="508"/>
      <c r="X218" s="508"/>
      <c r="Y218" s="508"/>
      <c r="Z218" s="508"/>
    </row>
    <row r="219" ht="13.5" customHeight="1">
      <c r="A219" s="508"/>
      <c r="B219" s="508"/>
      <c r="C219" s="508"/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508"/>
      <c r="Y219" s="508"/>
      <c r="Z219" s="508"/>
    </row>
    <row r="220" ht="13.5" customHeight="1">
      <c r="A220" s="508"/>
      <c r="B220" s="508"/>
      <c r="C220" s="508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508"/>
      <c r="Y220" s="508"/>
      <c r="Z220" s="508"/>
    </row>
    <row r="221" ht="13.5" customHeight="1">
      <c r="A221" s="508"/>
      <c r="B221" s="508"/>
      <c r="C221" s="508"/>
      <c r="D221" s="508"/>
      <c r="E221" s="508"/>
      <c r="F221" s="508"/>
      <c r="G221" s="508"/>
      <c r="H221" s="508"/>
      <c r="I221" s="508"/>
      <c r="J221" s="508"/>
      <c r="K221" s="508"/>
      <c r="L221" s="508"/>
      <c r="M221" s="508"/>
      <c r="N221" s="508"/>
      <c r="O221" s="508"/>
      <c r="P221" s="508"/>
      <c r="Q221" s="508"/>
      <c r="R221" s="508"/>
      <c r="S221" s="508"/>
      <c r="T221" s="508"/>
      <c r="U221" s="508"/>
      <c r="V221" s="508"/>
      <c r="W221" s="508"/>
      <c r="X221" s="508"/>
      <c r="Y221" s="508"/>
      <c r="Z221" s="508"/>
    </row>
    <row r="222" ht="13.5" customHeight="1">
      <c r="A222" s="508"/>
      <c r="B222" s="508"/>
      <c r="C222" s="508"/>
      <c r="D222" s="508"/>
      <c r="E222" s="508"/>
      <c r="F222" s="508"/>
      <c r="G222" s="508"/>
      <c r="H222" s="508"/>
      <c r="I222" s="508"/>
      <c r="J222" s="508"/>
      <c r="K222" s="508"/>
      <c r="L222" s="508"/>
      <c r="M222" s="508"/>
      <c r="N222" s="508"/>
      <c r="O222" s="508"/>
      <c r="P222" s="508"/>
      <c r="Q222" s="508"/>
      <c r="R222" s="508"/>
      <c r="S222" s="508"/>
      <c r="T222" s="508"/>
      <c r="U222" s="508"/>
      <c r="V222" s="508"/>
      <c r="W222" s="508"/>
      <c r="X222" s="508"/>
      <c r="Y222" s="508"/>
      <c r="Z222" s="508"/>
    </row>
    <row r="223" ht="13.5" customHeight="1">
      <c r="A223" s="508"/>
      <c r="B223" s="508"/>
      <c r="C223" s="508"/>
      <c r="D223" s="508"/>
      <c r="E223" s="508"/>
      <c r="F223" s="508"/>
      <c r="G223" s="508"/>
      <c r="H223" s="508"/>
      <c r="I223" s="508"/>
      <c r="J223" s="508"/>
      <c r="K223" s="508"/>
      <c r="L223" s="508"/>
      <c r="M223" s="508"/>
      <c r="N223" s="508"/>
      <c r="O223" s="508"/>
      <c r="P223" s="508"/>
      <c r="Q223" s="508"/>
      <c r="R223" s="508"/>
      <c r="S223" s="508"/>
      <c r="T223" s="508"/>
      <c r="U223" s="508"/>
      <c r="V223" s="508"/>
      <c r="W223" s="508"/>
      <c r="X223" s="508"/>
      <c r="Y223" s="508"/>
      <c r="Z223" s="508"/>
    </row>
    <row r="224" ht="13.5" customHeight="1">
      <c r="A224" s="508"/>
      <c r="B224" s="508"/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8"/>
      <c r="Z224" s="508"/>
    </row>
    <row r="225" ht="13.5" customHeight="1">
      <c r="A225" s="508"/>
      <c r="B225" s="508"/>
      <c r="C225" s="508"/>
      <c r="D225" s="508"/>
      <c r="E225" s="508"/>
      <c r="F225" s="508"/>
      <c r="G225" s="508"/>
      <c r="H225" s="508"/>
      <c r="I225" s="508"/>
      <c r="J225" s="508"/>
      <c r="K225" s="508"/>
      <c r="L225" s="508"/>
      <c r="M225" s="508"/>
      <c r="N225" s="508"/>
      <c r="O225" s="508"/>
      <c r="P225" s="508"/>
      <c r="Q225" s="508"/>
      <c r="R225" s="508"/>
      <c r="S225" s="508"/>
      <c r="T225" s="508"/>
      <c r="U225" s="508"/>
      <c r="V225" s="508"/>
      <c r="W225" s="508"/>
      <c r="X225" s="508"/>
      <c r="Y225" s="508"/>
      <c r="Z225" s="508"/>
    </row>
    <row r="226" ht="13.5" customHeight="1">
      <c r="A226" s="508"/>
      <c r="B226" s="508"/>
      <c r="C226" s="508"/>
      <c r="D226" s="508"/>
      <c r="E226" s="508"/>
      <c r="F226" s="508"/>
      <c r="G226" s="508"/>
      <c r="H226" s="508"/>
      <c r="I226" s="508"/>
      <c r="J226" s="508"/>
      <c r="K226" s="508"/>
      <c r="L226" s="508"/>
      <c r="M226" s="508"/>
      <c r="N226" s="508"/>
      <c r="O226" s="508"/>
      <c r="P226" s="508"/>
      <c r="Q226" s="508"/>
      <c r="R226" s="508"/>
      <c r="S226" s="508"/>
      <c r="T226" s="508"/>
      <c r="U226" s="508"/>
      <c r="V226" s="508"/>
      <c r="W226" s="508"/>
      <c r="X226" s="508"/>
      <c r="Y226" s="508"/>
      <c r="Z226" s="508"/>
    </row>
    <row r="227" ht="13.5" customHeight="1">
      <c r="A227" s="508"/>
      <c r="B227" s="508"/>
      <c r="C227" s="508"/>
      <c r="D227" s="508"/>
      <c r="E227" s="508"/>
      <c r="F227" s="508"/>
      <c r="G227" s="508"/>
      <c r="H227" s="508"/>
      <c r="I227" s="508"/>
      <c r="J227" s="508"/>
      <c r="K227" s="508"/>
      <c r="L227" s="508"/>
      <c r="M227" s="508"/>
      <c r="N227" s="508"/>
      <c r="O227" s="508"/>
      <c r="P227" s="508"/>
      <c r="Q227" s="508"/>
      <c r="R227" s="508"/>
      <c r="S227" s="508"/>
      <c r="T227" s="508"/>
      <c r="U227" s="508"/>
      <c r="V227" s="508"/>
      <c r="W227" s="508"/>
      <c r="X227" s="508"/>
      <c r="Y227" s="508"/>
      <c r="Z227" s="508"/>
    </row>
    <row r="228" ht="13.5" customHeight="1">
      <c r="A228" s="508"/>
      <c r="B228" s="508"/>
      <c r="C228" s="508"/>
      <c r="D228" s="508"/>
      <c r="E228" s="508"/>
      <c r="F228" s="508"/>
      <c r="G228" s="508"/>
      <c r="H228" s="508"/>
      <c r="I228" s="508"/>
      <c r="J228" s="508"/>
      <c r="K228" s="508"/>
      <c r="L228" s="508"/>
      <c r="M228" s="508"/>
      <c r="N228" s="508"/>
      <c r="O228" s="508"/>
      <c r="P228" s="508"/>
      <c r="Q228" s="508"/>
      <c r="R228" s="508"/>
      <c r="S228" s="508"/>
      <c r="T228" s="508"/>
      <c r="U228" s="508"/>
      <c r="V228" s="508"/>
      <c r="W228" s="508"/>
      <c r="X228" s="508"/>
      <c r="Y228" s="508"/>
      <c r="Z228" s="508"/>
    </row>
    <row r="229" ht="13.5" customHeight="1">
      <c r="A229" s="508"/>
      <c r="B229" s="508"/>
      <c r="C229" s="508"/>
      <c r="D229" s="508"/>
      <c r="E229" s="508"/>
      <c r="F229" s="508"/>
      <c r="G229" s="508"/>
      <c r="H229" s="508"/>
      <c r="I229" s="508"/>
      <c r="J229" s="508"/>
      <c r="K229" s="508"/>
      <c r="L229" s="508"/>
      <c r="M229" s="508"/>
      <c r="N229" s="508"/>
      <c r="O229" s="508"/>
      <c r="P229" s="508"/>
      <c r="Q229" s="508"/>
      <c r="R229" s="508"/>
      <c r="S229" s="508"/>
      <c r="T229" s="508"/>
      <c r="U229" s="508"/>
      <c r="V229" s="508"/>
      <c r="W229" s="508"/>
      <c r="X229" s="508"/>
      <c r="Y229" s="508"/>
      <c r="Z229" s="508"/>
    </row>
    <row r="230" ht="13.5" customHeight="1">
      <c r="A230" s="508"/>
      <c r="B230" s="508"/>
      <c r="C230" s="508"/>
      <c r="D230" s="508"/>
      <c r="E230" s="508"/>
      <c r="F230" s="508"/>
      <c r="G230" s="508"/>
      <c r="H230" s="508"/>
      <c r="I230" s="508"/>
      <c r="J230" s="508"/>
      <c r="K230" s="508"/>
      <c r="L230" s="508"/>
      <c r="M230" s="508"/>
      <c r="N230" s="508"/>
      <c r="O230" s="508"/>
      <c r="P230" s="508"/>
      <c r="Q230" s="508"/>
      <c r="R230" s="508"/>
      <c r="S230" s="508"/>
      <c r="T230" s="508"/>
      <c r="U230" s="508"/>
      <c r="V230" s="508"/>
      <c r="W230" s="508"/>
      <c r="X230" s="508"/>
      <c r="Y230" s="508"/>
      <c r="Z230" s="508"/>
    </row>
    <row r="231" ht="13.5" customHeight="1">
      <c r="A231" s="508"/>
      <c r="B231" s="508"/>
      <c r="C231" s="508"/>
      <c r="D231" s="508"/>
      <c r="E231" s="508"/>
      <c r="F231" s="508"/>
      <c r="G231" s="508"/>
      <c r="H231" s="508"/>
      <c r="I231" s="508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  <c r="Z231" s="508"/>
    </row>
    <row r="232" ht="13.5" customHeight="1">
      <c r="A232" s="508"/>
      <c r="B232" s="508"/>
      <c r="C232" s="508"/>
      <c r="D232" s="508"/>
      <c r="E232" s="508"/>
      <c r="F232" s="508"/>
      <c r="G232" s="508"/>
      <c r="H232" s="508"/>
      <c r="I232" s="508"/>
      <c r="J232" s="508"/>
      <c r="K232" s="508"/>
      <c r="L232" s="508"/>
      <c r="M232" s="508"/>
      <c r="N232" s="508"/>
      <c r="O232" s="508"/>
      <c r="P232" s="508"/>
      <c r="Q232" s="508"/>
      <c r="R232" s="508"/>
      <c r="S232" s="508"/>
      <c r="T232" s="508"/>
      <c r="U232" s="508"/>
      <c r="V232" s="508"/>
      <c r="W232" s="508"/>
      <c r="X232" s="508"/>
      <c r="Y232" s="508"/>
      <c r="Z232" s="508"/>
    </row>
    <row r="233" ht="13.5" customHeight="1">
      <c r="A233" s="508"/>
      <c r="B233" s="508"/>
      <c r="C233" s="508"/>
      <c r="D233" s="508"/>
      <c r="E233" s="508"/>
      <c r="F233" s="508"/>
      <c r="G233" s="508"/>
      <c r="H233" s="508"/>
      <c r="I233" s="508"/>
      <c r="J233" s="508"/>
      <c r="K233" s="508"/>
      <c r="L233" s="508"/>
      <c r="M233" s="508"/>
      <c r="N233" s="508"/>
      <c r="O233" s="508"/>
      <c r="P233" s="508"/>
      <c r="Q233" s="508"/>
      <c r="R233" s="508"/>
      <c r="S233" s="508"/>
      <c r="T233" s="508"/>
      <c r="U233" s="508"/>
      <c r="V233" s="508"/>
      <c r="W233" s="508"/>
      <c r="X233" s="508"/>
      <c r="Y233" s="508"/>
      <c r="Z233" s="508"/>
    </row>
    <row r="234" ht="13.5" customHeight="1">
      <c r="A234" s="508"/>
      <c r="B234" s="508"/>
      <c r="C234" s="508"/>
      <c r="D234" s="508"/>
      <c r="E234" s="508"/>
      <c r="F234" s="508"/>
      <c r="G234" s="508"/>
      <c r="H234" s="508"/>
      <c r="I234" s="508"/>
      <c r="J234" s="508"/>
      <c r="K234" s="508"/>
      <c r="L234" s="508"/>
      <c r="M234" s="508"/>
      <c r="N234" s="508"/>
      <c r="O234" s="508"/>
      <c r="P234" s="508"/>
      <c r="Q234" s="508"/>
      <c r="R234" s="508"/>
      <c r="S234" s="508"/>
      <c r="T234" s="508"/>
      <c r="U234" s="508"/>
      <c r="V234" s="508"/>
      <c r="W234" s="508"/>
      <c r="X234" s="508"/>
      <c r="Y234" s="508"/>
      <c r="Z234" s="508"/>
    </row>
    <row r="235" ht="13.5" customHeight="1">
      <c r="A235" s="508"/>
      <c r="B235" s="508"/>
      <c r="C235" s="508"/>
      <c r="D235" s="508"/>
      <c r="E235" s="508"/>
      <c r="F235" s="508"/>
      <c r="G235" s="508"/>
      <c r="H235" s="508"/>
      <c r="I235" s="508"/>
      <c r="J235" s="508"/>
      <c r="K235" s="508"/>
      <c r="L235" s="508"/>
      <c r="M235" s="508"/>
      <c r="N235" s="508"/>
      <c r="O235" s="508"/>
      <c r="P235" s="508"/>
      <c r="Q235" s="508"/>
      <c r="R235" s="508"/>
      <c r="S235" s="508"/>
      <c r="T235" s="508"/>
      <c r="U235" s="508"/>
      <c r="V235" s="508"/>
      <c r="W235" s="508"/>
      <c r="X235" s="508"/>
      <c r="Y235" s="508"/>
      <c r="Z235" s="508"/>
    </row>
    <row r="236" ht="13.5" customHeight="1">
      <c r="A236" s="508"/>
      <c r="B236" s="508"/>
      <c r="C236" s="508"/>
      <c r="D236" s="508"/>
      <c r="E236" s="508"/>
      <c r="F236" s="508"/>
      <c r="G236" s="508"/>
      <c r="H236" s="508"/>
      <c r="I236" s="508"/>
      <c r="J236" s="508"/>
      <c r="K236" s="508"/>
      <c r="L236" s="508"/>
      <c r="M236" s="508"/>
      <c r="N236" s="508"/>
      <c r="O236" s="508"/>
      <c r="P236" s="508"/>
      <c r="Q236" s="508"/>
      <c r="R236" s="508"/>
      <c r="S236" s="508"/>
      <c r="T236" s="508"/>
      <c r="U236" s="508"/>
      <c r="V236" s="508"/>
      <c r="W236" s="508"/>
      <c r="X236" s="508"/>
      <c r="Y236" s="508"/>
      <c r="Z236" s="508"/>
    </row>
    <row r="237" ht="13.5" customHeight="1">
      <c r="A237" s="508"/>
      <c r="B237" s="508"/>
      <c r="C237" s="508"/>
      <c r="D237" s="508"/>
      <c r="E237" s="508"/>
      <c r="F237" s="508"/>
      <c r="G237" s="508"/>
      <c r="H237" s="508"/>
      <c r="I237" s="508"/>
      <c r="J237" s="508"/>
      <c r="K237" s="508"/>
      <c r="L237" s="508"/>
      <c r="M237" s="508"/>
      <c r="N237" s="508"/>
      <c r="O237" s="508"/>
      <c r="P237" s="508"/>
      <c r="Q237" s="508"/>
      <c r="R237" s="508"/>
      <c r="S237" s="508"/>
      <c r="T237" s="508"/>
      <c r="U237" s="508"/>
      <c r="V237" s="508"/>
      <c r="W237" s="508"/>
      <c r="X237" s="508"/>
      <c r="Y237" s="508"/>
      <c r="Z237" s="508"/>
    </row>
    <row r="238" ht="13.5" customHeight="1">
      <c r="A238" s="508"/>
      <c r="B238" s="508"/>
      <c r="C238" s="508"/>
      <c r="D238" s="508"/>
      <c r="E238" s="508"/>
      <c r="F238" s="508"/>
      <c r="G238" s="508"/>
      <c r="H238" s="508"/>
      <c r="I238" s="508"/>
      <c r="J238" s="508"/>
      <c r="K238" s="508"/>
      <c r="L238" s="508"/>
      <c r="M238" s="508"/>
      <c r="N238" s="508"/>
      <c r="O238" s="508"/>
      <c r="P238" s="508"/>
      <c r="Q238" s="508"/>
      <c r="R238" s="508"/>
      <c r="S238" s="508"/>
      <c r="T238" s="508"/>
      <c r="U238" s="508"/>
      <c r="V238" s="508"/>
      <c r="W238" s="508"/>
      <c r="X238" s="508"/>
      <c r="Y238" s="508"/>
      <c r="Z238" s="508"/>
    </row>
    <row r="239" ht="13.5" customHeight="1">
      <c r="A239" s="508"/>
      <c r="B239" s="508"/>
      <c r="C239" s="508"/>
      <c r="D239" s="508"/>
      <c r="E239" s="508"/>
      <c r="F239" s="508"/>
      <c r="G239" s="508"/>
      <c r="H239" s="508"/>
      <c r="I239" s="508"/>
      <c r="J239" s="508"/>
      <c r="K239" s="508"/>
      <c r="L239" s="508"/>
      <c r="M239" s="508"/>
      <c r="N239" s="508"/>
      <c r="O239" s="508"/>
      <c r="P239" s="508"/>
      <c r="Q239" s="508"/>
      <c r="R239" s="508"/>
      <c r="S239" s="508"/>
      <c r="T239" s="508"/>
      <c r="U239" s="508"/>
      <c r="V239" s="508"/>
      <c r="W239" s="508"/>
      <c r="X239" s="508"/>
      <c r="Y239" s="508"/>
      <c r="Z239" s="508"/>
    </row>
    <row r="240" ht="13.5" customHeight="1">
      <c r="A240" s="508"/>
      <c r="B240" s="508"/>
      <c r="C240" s="508"/>
      <c r="D240" s="508"/>
      <c r="E240" s="508"/>
      <c r="F240" s="508"/>
      <c r="G240" s="508"/>
      <c r="H240" s="508"/>
      <c r="I240" s="508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508"/>
      <c r="Y240" s="508"/>
      <c r="Z240" s="508"/>
    </row>
    <row r="241" ht="13.5" customHeight="1">
      <c r="A241" s="508"/>
      <c r="B241" s="508"/>
      <c r="C241" s="508"/>
      <c r="D241" s="508"/>
      <c r="E241" s="508"/>
      <c r="F241" s="508"/>
      <c r="G241" s="508"/>
      <c r="H241" s="508"/>
      <c r="I241" s="508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508"/>
      <c r="Y241" s="508"/>
      <c r="Z241" s="508"/>
    </row>
    <row r="242" ht="13.5" customHeight="1">
      <c r="A242" s="508"/>
      <c r="B242" s="508"/>
      <c r="C242" s="508"/>
      <c r="D242" s="508"/>
      <c r="E242" s="508"/>
      <c r="F242" s="508"/>
      <c r="G242" s="508"/>
      <c r="H242" s="508"/>
      <c r="I242" s="508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508"/>
      <c r="Y242" s="508"/>
      <c r="Z242" s="508"/>
    </row>
    <row r="243" ht="13.5" customHeight="1">
      <c r="A243" s="508"/>
      <c r="B243" s="508"/>
      <c r="C243" s="508"/>
      <c r="D243" s="508"/>
      <c r="E243" s="508"/>
      <c r="F243" s="508"/>
      <c r="G243" s="508"/>
      <c r="H243" s="508"/>
      <c r="I243" s="508"/>
      <c r="J243" s="508"/>
      <c r="K243" s="508"/>
      <c r="L243" s="508"/>
      <c r="M243" s="508"/>
      <c r="N243" s="508"/>
      <c r="O243" s="508"/>
      <c r="P243" s="508"/>
      <c r="Q243" s="508"/>
      <c r="R243" s="508"/>
      <c r="S243" s="508"/>
      <c r="T243" s="508"/>
      <c r="U243" s="508"/>
      <c r="V243" s="508"/>
      <c r="W243" s="508"/>
      <c r="X243" s="508"/>
      <c r="Y243" s="508"/>
      <c r="Z243" s="508"/>
    </row>
    <row r="244" ht="13.5" customHeight="1">
      <c r="A244" s="508"/>
      <c r="B244" s="508"/>
      <c r="C244" s="508"/>
      <c r="D244" s="508"/>
      <c r="E244" s="508"/>
      <c r="F244" s="508"/>
      <c r="G244" s="508"/>
      <c r="H244" s="508"/>
      <c r="I244" s="508"/>
      <c r="J244" s="508"/>
      <c r="K244" s="508"/>
      <c r="L244" s="508"/>
      <c r="M244" s="508"/>
      <c r="N244" s="508"/>
      <c r="O244" s="508"/>
      <c r="P244" s="508"/>
      <c r="Q244" s="508"/>
      <c r="R244" s="508"/>
      <c r="S244" s="508"/>
      <c r="T244" s="508"/>
      <c r="U244" s="508"/>
      <c r="V244" s="508"/>
      <c r="W244" s="508"/>
      <c r="X244" s="508"/>
      <c r="Y244" s="508"/>
      <c r="Z244" s="508"/>
    </row>
    <row r="245" ht="13.5" customHeight="1">
      <c r="A245" s="508"/>
      <c r="B245" s="508"/>
      <c r="C245" s="508"/>
      <c r="D245" s="508"/>
      <c r="E245" s="508"/>
      <c r="F245" s="508"/>
      <c r="G245" s="508"/>
      <c r="H245" s="508"/>
      <c r="I245" s="508"/>
      <c r="J245" s="508"/>
      <c r="K245" s="508"/>
      <c r="L245" s="508"/>
      <c r="M245" s="508"/>
      <c r="N245" s="508"/>
      <c r="O245" s="508"/>
      <c r="P245" s="508"/>
      <c r="Q245" s="508"/>
      <c r="R245" s="508"/>
      <c r="S245" s="508"/>
      <c r="T245" s="508"/>
      <c r="U245" s="508"/>
      <c r="V245" s="508"/>
      <c r="W245" s="508"/>
      <c r="X245" s="508"/>
      <c r="Y245" s="508"/>
      <c r="Z245" s="508"/>
    </row>
    <row r="246" ht="13.5" customHeight="1">
      <c r="A246" s="508"/>
      <c r="B246" s="508"/>
      <c r="C246" s="508"/>
      <c r="D246" s="508"/>
      <c r="E246" s="508"/>
      <c r="F246" s="508"/>
      <c r="G246" s="508"/>
      <c r="H246" s="508"/>
      <c r="I246" s="508"/>
      <c r="J246" s="508"/>
      <c r="K246" s="508"/>
      <c r="L246" s="508"/>
      <c r="M246" s="508"/>
      <c r="N246" s="508"/>
      <c r="O246" s="508"/>
      <c r="P246" s="508"/>
      <c r="Q246" s="508"/>
      <c r="R246" s="508"/>
      <c r="S246" s="508"/>
      <c r="T246" s="508"/>
      <c r="U246" s="508"/>
      <c r="V246" s="508"/>
      <c r="W246" s="508"/>
      <c r="X246" s="508"/>
      <c r="Y246" s="508"/>
      <c r="Z246" s="508"/>
    </row>
    <row r="247" ht="13.5" customHeight="1">
      <c r="A247" s="508"/>
      <c r="B247" s="508"/>
      <c r="C247" s="508"/>
      <c r="D247" s="508"/>
      <c r="E247" s="508"/>
      <c r="F247" s="508"/>
      <c r="G247" s="508"/>
      <c r="H247" s="508"/>
      <c r="I247" s="508"/>
      <c r="J247" s="508"/>
      <c r="K247" s="508"/>
      <c r="L247" s="508"/>
      <c r="M247" s="508"/>
      <c r="N247" s="508"/>
      <c r="O247" s="508"/>
      <c r="P247" s="508"/>
      <c r="Q247" s="508"/>
      <c r="R247" s="508"/>
      <c r="S247" s="508"/>
      <c r="T247" s="508"/>
      <c r="U247" s="508"/>
      <c r="V247" s="508"/>
      <c r="W247" s="508"/>
      <c r="X247" s="508"/>
      <c r="Y247" s="508"/>
      <c r="Z247" s="508"/>
    </row>
    <row r="248" ht="13.5" customHeight="1">
      <c r="A248" s="508"/>
      <c r="B248" s="508"/>
      <c r="C248" s="508"/>
      <c r="D248" s="508"/>
      <c r="E248" s="508"/>
      <c r="F248" s="508"/>
      <c r="G248" s="508"/>
      <c r="H248" s="508"/>
      <c r="I248" s="508"/>
      <c r="J248" s="508"/>
      <c r="K248" s="508"/>
      <c r="L248" s="508"/>
      <c r="M248" s="508"/>
      <c r="N248" s="508"/>
      <c r="O248" s="508"/>
      <c r="P248" s="508"/>
      <c r="Q248" s="508"/>
      <c r="R248" s="508"/>
      <c r="S248" s="508"/>
      <c r="T248" s="508"/>
      <c r="U248" s="508"/>
      <c r="V248" s="508"/>
      <c r="W248" s="508"/>
      <c r="X248" s="508"/>
      <c r="Y248" s="508"/>
      <c r="Z248" s="508"/>
    </row>
    <row r="249" ht="13.5" customHeight="1">
      <c r="A249" s="508"/>
      <c r="B249" s="508"/>
      <c r="C249" s="508"/>
      <c r="D249" s="508"/>
      <c r="E249" s="508"/>
      <c r="F249" s="508"/>
      <c r="G249" s="508"/>
      <c r="H249" s="508"/>
      <c r="I249" s="508"/>
      <c r="J249" s="508"/>
      <c r="K249" s="508"/>
      <c r="L249" s="508"/>
      <c r="M249" s="508"/>
      <c r="N249" s="508"/>
      <c r="O249" s="508"/>
      <c r="P249" s="508"/>
      <c r="Q249" s="508"/>
      <c r="R249" s="508"/>
      <c r="S249" s="508"/>
      <c r="T249" s="508"/>
      <c r="U249" s="508"/>
      <c r="V249" s="508"/>
      <c r="W249" s="508"/>
      <c r="X249" s="508"/>
      <c r="Y249" s="508"/>
      <c r="Z249" s="508"/>
    </row>
    <row r="250" ht="13.5" customHeight="1">
      <c r="A250" s="508"/>
      <c r="B250" s="508"/>
      <c r="C250" s="508"/>
      <c r="D250" s="508"/>
      <c r="E250" s="508"/>
      <c r="F250" s="508"/>
      <c r="G250" s="508"/>
      <c r="H250" s="508"/>
      <c r="I250" s="508"/>
      <c r="J250" s="508"/>
      <c r="K250" s="508"/>
      <c r="L250" s="508"/>
      <c r="M250" s="508"/>
      <c r="N250" s="508"/>
      <c r="O250" s="508"/>
      <c r="P250" s="508"/>
      <c r="Q250" s="508"/>
      <c r="R250" s="508"/>
      <c r="S250" s="508"/>
      <c r="T250" s="508"/>
      <c r="U250" s="508"/>
      <c r="V250" s="508"/>
      <c r="W250" s="508"/>
      <c r="X250" s="508"/>
      <c r="Y250" s="508"/>
      <c r="Z250" s="508"/>
    </row>
    <row r="251" ht="13.5" customHeight="1">
      <c r="A251" s="508"/>
      <c r="B251" s="508"/>
      <c r="C251" s="508"/>
      <c r="D251" s="508"/>
      <c r="E251" s="508"/>
      <c r="F251" s="508"/>
      <c r="G251" s="508"/>
      <c r="H251" s="508"/>
      <c r="I251" s="508"/>
      <c r="J251" s="508"/>
      <c r="K251" s="508"/>
      <c r="L251" s="508"/>
      <c r="M251" s="508"/>
      <c r="N251" s="508"/>
      <c r="O251" s="508"/>
      <c r="P251" s="508"/>
      <c r="Q251" s="508"/>
      <c r="R251" s="508"/>
      <c r="S251" s="508"/>
      <c r="T251" s="508"/>
      <c r="U251" s="508"/>
      <c r="V251" s="508"/>
      <c r="W251" s="508"/>
      <c r="X251" s="508"/>
      <c r="Y251" s="508"/>
      <c r="Z251" s="508"/>
    </row>
    <row r="252" ht="13.5" customHeight="1">
      <c r="A252" s="508"/>
      <c r="B252" s="508"/>
      <c r="C252" s="508"/>
      <c r="D252" s="508"/>
      <c r="E252" s="508"/>
      <c r="F252" s="508"/>
      <c r="G252" s="508"/>
      <c r="H252" s="508"/>
      <c r="I252" s="508"/>
      <c r="J252" s="508"/>
      <c r="K252" s="508"/>
      <c r="L252" s="508"/>
      <c r="M252" s="508"/>
      <c r="N252" s="508"/>
      <c r="O252" s="508"/>
      <c r="P252" s="508"/>
      <c r="Q252" s="508"/>
      <c r="R252" s="508"/>
      <c r="S252" s="508"/>
      <c r="T252" s="508"/>
      <c r="U252" s="508"/>
      <c r="V252" s="508"/>
      <c r="W252" s="508"/>
      <c r="X252" s="508"/>
      <c r="Y252" s="508"/>
      <c r="Z252" s="508"/>
    </row>
    <row r="253" ht="13.5" customHeight="1">
      <c r="A253" s="508"/>
      <c r="B253" s="508"/>
      <c r="C253" s="508"/>
      <c r="D253" s="508"/>
      <c r="E253" s="508"/>
      <c r="F253" s="508"/>
      <c r="G253" s="508"/>
      <c r="H253" s="508"/>
      <c r="I253" s="508"/>
      <c r="J253" s="508"/>
      <c r="K253" s="508"/>
      <c r="L253" s="508"/>
      <c r="M253" s="508"/>
      <c r="N253" s="508"/>
      <c r="O253" s="508"/>
      <c r="P253" s="508"/>
      <c r="Q253" s="508"/>
      <c r="R253" s="508"/>
      <c r="S253" s="508"/>
      <c r="T253" s="508"/>
      <c r="U253" s="508"/>
      <c r="V253" s="508"/>
      <c r="W253" s="508"/>
      <c r="X253" s="508"/>
      <c r="Y253" s="508"/>
      <c r="Z253" s="508"/>
    </row>
    <row r="254" ht="13.5" customHeight="1">
      <c r="A254" s="508"/>
      <c r="B254" s="508"/>
      <c r="C254" s="508"/>
      <c r="D254" s="508"/>
      <c r="E254" s="508"/>
      <c r="F254" s="508"/>
      <c r="G254" s="508"/>
      <c r="H254" s="508"/>
      <c r="I254" s="508"/>
      <c r="J254" s="508"/>
      <c r="K254" s="508"/>
      <c r="L254" s="508"/>
      <c r="M254" s="508"/>
      <c r="N254" s="508"/>
      <c r="O254" s="508"/>
      <c r="P254" s="508"/>
      <c r="Q254" s="508"/>
      <c r="R254" s="508"/>
      <c r="S254" s="508"/>
      <c r="T254" s="508"/>
      <c r="U254" s="508"/>
      <c r="V254" s="508"/>
      <c r="W254" s="508"/>
      <c r="X254" s="508"/>
      <c r="Y254" s="508"/>
      <c r="Z254" s="508"/>
    </row>
    <row r="255" ht="13.5" customHeight="1">
      <c r="A255" s="508"/>
      <c r="B255" s="508"/>
      <c r="C255" s="508"/>
      <c r="D255" s="508"/>
      <c r="E255" s="508"/>
      <c r="F255" s="508"/>
      <c r="G255" s="508"/>
      <c r="H255" s="508"/>
      <c r="I255" s="508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508"/>
      <c r="Y255" s="508"/>
      <c r="Z255" s="508"/>
    </row>
    <row r="256" ht="13.5" customHeight="1">
      <c r="A256" s="508"/>
      <c r="B256" s="508"/>
      <c r="C256" s="508"/>
      <c r="D256" s="508"/>
      <c r="E256" s="508"/>
      <c r="F256" s="508"/>
      <c r="G256" s="508"/>
      <c r="H256" s="508"/>
      <c r="I256" s="508"/>
      <c r="J256" s="508"/>
      <c r="K256" s="508"/>
      <c r="L256" s="508"/>
      <c r="M256" s="508"/>
      <c r="N256" s="508"/>
      <c r="O256" s="508"/>
      <c r="P256" s="508"/>
      <c r="Q256" s="508"/>
      <c r="R256" s="508"/>
      <c r="S256" s="508"/>
      <c r="T256" s="508"/>
      <c r="U256" s="508"/>
      <c r="V256" s="508"/>
      <c r="W256" s="508"/>
      <c r="X256" s="508"/>
      <c r="Y256" s="508"/>
      <c r="Z256" s="508"/>
    </row>
    <row r="257" ht="13.5" customHeight="1">
      <c r="A257" s="508"/>
      <c r="B257" s="508"/>
      <c r="C257" s="508"/>
      <c r="D257" s="508"/>
      <c r="E257" s="508"/>
      <c r="F257" s="508"/>
      <c r="G257" s="508"/>
      <c r="H257" s="508"/>
      <c r="I257" s="508"/>
      <c r="J257" s="508"/>
      <c r="K257" s="508"/>
      <c r="L257" s="508"/>
      <c r="M257" s="508"/>
      <c r="N257" s="508"/>
      <c r="O257" s="508"/>
      <c r="P257" s="508"/>
      <c r="Q257" s="508"/>
      <c r="R257" s="508"/>
      <c r="S257" s="508"/>
      <c r="T257" s="508"/>
      <c r="U257" s="508"/>
      <c r="V257" s="508"/>
      <c r="W257" s="508"/>
      <c r="X257" s="508"/>
      <c r="Y257" s="508"/>
      <c r="Z257" s="508"/>
    </row>
    <row r="258" ht="13.5" customHeight="1">
      <c r="A258" s="508"/>
      <c r="B258" s="508"/>
      <c r="C258" s="508"/>
      <c r="D258" s="508"/>
      <c r="E258" s="508"/>
      <c r="F258" s="508"/>
      <c r="G258" s="508"/>
      <c r="H258" s="508"/>
      <c r="I258" s="508"/>
      <c r="J258" s="508"/>
      <c r="K258" s="508"/>
      <c r="L258" s="508"/>
      <c r="M258" s="508"/>
      <c r="N258" s="508"/>
      <c r="O258" s="508"/>
      <c r="P258" s="508"/>
      <c r="Q258" s="508"/>
      <c r="R258" s="508"/>
      <c r="S258" s="508"/>
      <c r="T258" s="508"/>
      <c r="U258" s="508"/>
      <c r="V258" s="508"/>
      <c r="W258" s="508"/>
      <c r="X258" s="508"/>
      <c r="Y258" s="508"/>
      <c r="Z258" s="508"/>
    </row>
    <row r="259" ht="13.5" customHeight="1">
      <c r="A259" s="508"/>
      <c r="B259" s="508"/>
      <c r="C259" s="508"/>
      <c r="D259" s="508"/>
      <c r="E259" s="508"/>
      <c r="F259" s="508"/>
      <c r="G259" s="508"/>
      <c r="H259" s="508"/>
      <c r="I259" s="508"/>
      <c r="J259" s="508"/>
      <c r="K259" s="508"/>
      <c r="L259" s="508"/>
      <c r="M259" s="508"/>
      <c r="N259" s="508"/>
      <c r="O259" s="508"/>
      <c r="P259" s="508"/>
      <c r="Q259" s="508"/>
      <c r="R259" s="508"/>
      <c r="S259" s="508"/>
      <c r="T259" s="508"/>
      <c r="U259" s="508"/>
      <c r="V259" s="508"/>
      <c r="W259" s="508"/>
      <c r="X259" s="508"/>
      <c r="Y259" s="508"/>
      <c r="Z259" s="508"/>
    </row>
    <row r="260" ht="13.5" customHeight="1">
      <c r="A260" s="508"/>
      <c r="B260" s="508"/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8"/>
      <c r="Z260" s="508"/>
    </row>
    <row r="261" ht="13.5" customHeight="1">
      <c r="A261" s="508"/>
      <c r="B261" s="508"/>
      <c r="C261" s="508"/>
      <c r="D261" s="508"/>
      <c r="E261" s="508"/>
      <c r="F261" s="508"/>
      <c r="G261" s="508"/>
      <c r="H261" s="508"/>
      <c r="I261" s="508"/>
      <c r="J261" s="508"/>
      <c r="K261" s="508"/>
      <c r="L261" s="508"/>
      <c r="M261" s="508"/>
      <c r="N261" s="508"/>
      <c r="O261" s="508"/>
      <c r="P261" s="508"/>
      <c r="Q261" s="508"/>
      <c r="R261" s="508"/>
      <c r="S261" s="508"/>
      <c r="T261" s="508"/>
      <c r="U261" s="508"/>
      <c r="V261" s="508"/>
      <c r="W261" s="508"/>
      <c r="X261" s="508"/>
      <c r="Y261" s="508"/>
      <c r="Z261" s="508"/>
    </row>
    <row r="262" ht="13.5" customHeight="1">
      <c r="A262" s="508"/>
      <c r="B262" s="508"/>
      <c r="C262" s="508"/>
      <c r="D262" s="508"/>
      <c r="E262" s="508"/>
      <c r="F262" s="508"/>
      <c r="G262" s="508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508"/>
      <c r="Y262" s="508"/>
      <c r="Z262" s="508"/>
    </row>
    <row r="263" ht="13.5" customHeight="1">
      <c r="A263" s="508"/>
      <c r="B263" s="508"/>
      <c r="C263" s="508"/>
      <c r="D263" s="508"/>
      <c r="E263" s="508"/>
      <c r="F263" s="508"/>
      <c r="G263" s="508"/>
      <c r="H263" s="508"/>
      <c r="I263" s="508"/>
      <c r="J263" s="508"/>
      <c r="K263" s="508"/>
      <c r="L263" s="508"/>
      <c r="M263" s="508"/>
      <c r="N263" s="508"/>
      <c r="O263" s="508"/>
      <c r="P263" s="508"/>
      <c r="Q263" s="508"/>
      <c r="R263" s="508"/>
      <c r="S263" s="508"/>
      <c r="T263" s="508"/>
      <c r="U263" s="508"/>
      <c r="V263" s="508"/>
      <c r="W263" s="508"/>
      <c r="X263" s="508"/>
      <c r="Y263" s="508"/>
      <c r="Z263" s="508"/>
    </row>
    <row r="264" ht="13.5" customHeight="1">
      <c r="A264" s="508"/>
      <c r="B264" s="508"/>
      <c r="C264" s="508"/>
      <c r="D264" s="508"/>
      <c r="E264" s="508"/>
      <c r="F264" s="508"/>
      <c r="G264" s="508"/>
      <c r="H264" s="508"/>
      <c r="I264" s="508"/>
      <c r="J264" s="508"/>
      <c r="K264" s="508"/>
      <c r="L264" s="508"/>
      <c r="M264" s="508"/>
      <c r="N264" s="508"/>
      <c r="O264" s="508"/>
      <c r="P264" s="508"/>
      <c r="Q264" s="508"/>
      <c r="R264" s="508"/>
      <c r="S264" s="508"/>
      <c r="T264" s="508"/>
      <c r="U264" s="508"/>
      <c r="V264" s="508"/>
      <c r="W264" s="508"/>
      <c r="X264" s="508"/>
      <c r="Y264" s="508"/>
      <c r="Z264" s="508"/>
    </row>
    <row r="265" ht="13.5" customHeight="1">
      <c r="A265" s="508"/>
      <c r="B265" s="508"/>
      <c r="C265" s="508"/>
      <c r="D265" s="508"/>
      <c r="E265" s="508"/>
      <c r="F265" s="508"/>
      <c r="G265" s="508"/>
      <c r="H265" s="508"/>
      <c r="I265" s="508"/>
      <c r="J265" s="508"/>
      <c r="K265" s="508"/>
      <c r="L265" s="508"/>
      <c r="M265" s="508"/>
      <c r="N265" s="508"/>
      <c r="O265" s="508"/>
      <c r="P265" s="508"/>
      <c r="Q265" s="508"/>
      <c r="R265" s="508"/>
      <c r="S265" s="508"/>
      <c r="T265" s="508"/>
      <c r="U265" s="508"/>
      <c r="V265" s="508"/>
      <c r="W265" s="508"/>
      <c r="X265" s="508"/>
      <c r="Y265" s="508"/>
      <c r="Z265" s="508"/>
    </row>
    <row r="266" ht="13.5" customHeight="1">
      <c r="A266" s="508"/>
      <c r="B266" s="508"/>
      <c r="C266" s="508"/>
      <c r="D266" s="508"/>
      <c r="E266" s="508"/>
      <c r="F266" s="508"/>
      <c r="G266" s="508"/>
      <c r="H266" s="508"/>
      <c r="I266" s="508"/>
      <c r="J266" s="508"/>
      <c r="K266" s="508"/>
      <c r="L266" s="508"/>
      <c r="M266" s="508"/>
      <c r="N266" s="508"/>
      <c r="O266" s="508"/>
      <c r="P266" s="508"/>
      <c r="Q266" s="508"/>
      <c r="R266" s="508"/>
      <c r="S266" s="508"/>
      <c r="T266" s="508"/>
      <c r="U266" s="508"/>
      <c r="V266" s="508"/>
      <c r="W266" s="508"/>
      <c r="X266" s="508"/>
      <c r="Y266" s="508"/>
      <c r="Z266" s="508"/>
    </row>
    <row r="267" ht="13.5" customHeight="1">
      <c r="A267" s="508"/>
      <c r="B267" s="508"/>
      <c r="C267" s="508"/>
      <c r="D267" s="508"/>
      <c r="E267" s="508"/>
      <c r="F267" s="508"/>
      <c r="G267" s="508"/>
      <c r="H267" s="508"/>
      <c r="I267" s="508"/>
      <c r="J267" s="508"/>
      <c r="K267" s="508"/>
      <c r="L267" s="508"/>
      <c r="M267" s="508"/>
      <c r="N267" s="508"/>
      <c r="O267" s="508"/>
      <c r="P267" s="508"/>
      <c r="Q267" s="508"/>
      <c r="R267" s="508"/>
      <c r="S267" s="508"/>
      <c r="T267" s="508"/>
      <c r="U267" s="508"/>
      <c r="V267" s="508"/>
      <c r="W267" s="508"/>
      <c r="X267" s="508"/>
      <c r="Y267" s="508"/>
      <c r="Z267" s="508"/>
    </row>
    <row r="268" ht="13.5" customHeight="1">
      <c r="A268" s="508"/>
      <c r="B268" s="508"/>
      <c r="C268" s="508"/>
      <c r="D268" s="508"/>
      <c r="E268" s="508"/>
      <c r="F268" s="508"/>
      <c r="G268" s="508"/>
      <c r="H268" s="508"/>
      <c r="I268" s="508"/>
      <c r="J268" s="508"/>
      <c r="K268" s="508"/>
      <c r="L268" s="508"/>
      <c r="M268" s="508"/>
      <c r="N268" s="508"/>
      <c r="O268" s="508"/>
      <c r="P268" s="508"/>
      <c r="Q268" s="508"/>
      <c r="R268" s="508"/>
      <c r="S268" s="508"/>
      <c r="T268" s="508"/>
      <c r="U268" s="508"/>
      <c r="V268" s="508"/>
      <c r="W268" s="508"/>
      <c r="X268" s="508"/>
      <c r="Y268" s="508"/>
      <c r="Z268" s="508"/>
    </row>
    <row r="269" ht="13.5" customHeight="1">
      <c r="A269" s="508"/>
      <c r="B269" s="508"/>
      <c r="C269" s="508"/>
      <c r="D269" s="508"/>
      <c r="E269" s="508"/>
      <c r="F269" s="508"/>
      <c r="G269" s="508"/>
      <c r="H269" s="508"/>
      <c r="I269" s="508"/>
      <c r="J269" s="508"/>
      <c r="K269" s="508"/>
      <c r="L269" s="508"/>
      <c r="M269" s="508"/>
      <c r="N269" s="508"/>
      <c r="O269" s="508"/>
      <c r="P269" s="508"/>
      <c r="Q269" s="508"/>
      <c r="R269" s="508"/>
      <c r="S269" s="508"/>
      <c r="T269" s="508"/>
      <c r="U269" s="508"/>
      <c r="V269" s="508"/>
      <c r="W269" s="508"/>
      <c r="X269" s="508"/>
      <c r="Y269" s="508"/>
      <c r="Z269" s="508"/>
    </row>
    <row r="270" ht="13.5" customHeight="1">
      <c r="A270" s="508"/>
      <c r="B270" s="508"/>
      <c r="C270" s="508"/>
      <c r="D270" s="508"/>
      <c r="E270" s="508"/>
      <c r="F270" s="508"/>
      <c r="G270" s="508"/>
      <c r="H270" s="508"/>
      <c r="I270" s="508"/>
      <c r="J270" s="508"/>
      <c r="K270" s="508"/>
      <c r="L270" s="508"/>
      <c r="M270" s="508"/>
      <c r="N270" s="508"/>
      <c r="O270" s="508"/>
      <c r="P270" s="508"/>
      <c r="Q270" s="508"/>
      <c r="R270" s="508"/>
      <c r="S270" s="508"/>
      <c r="T270" s="508"/>
      <c r="U270" s="508"/>
      <c r="V270" s="508"/>
      <c r="W270" s="508"/>
      <c r="X270" s="508"/>
      <c r="Y270" s="508"/>
      <c r="Z270" s="508"/>
    </row>
    <row r="271" ht="13.5" customHeight="1">
      <c r="A271" s="508"/>
      <c r="B271" s="508"/>
      <c r="C271" s="508"/>
      <c r="D271" s="508"/>
      <c r="E271" s="508"/>
      <c r="F271" s="508"/>
      <c r="G271" s="508"/>
      <c r="H271" s="508"/>
      <c r="I271" s="508"/>
      <c r="J271" s="508"/>
      <c r="K271" s="508"/>
      <c r="L271" s="508"/>
      <c r="M271" s="508"/>
      <c r="N271" s="508"/>
      <c r="O271" s="508"/>
      <c r="P271" s="508"/>
      <c r="Q271" s="508"/>
      <c r="R271" s="508"/>
      <c r="S271" s="508"/>
      <c r="T271" s="508"/>
      <c r="U271" s="508"/>
      <c r="V271" s="508"/>
      <c r="W271" s="508"/>
      <c r="X271" s="508"/>
      <c r="Y271" s="508"/>
      <c r="Z271" s="508"/>
    </row>
    <row r="272" ht="13.5" customHeight="1">
      <c r="A272" s="508"/>
      <c r="B272" s="508"/>
      <c r="C272" s="508"/>
      <c r="D272" s="508"/>
      <c r="E272" s="508"/>
      <c r="F272" s="508"/>
      <c r="G272" s="508"/>
      <c r="H272" s="508"/>
      <c r="I272" s="508"/>
      <c r="J272" s="508"/>
      <c r="K272" s="508"/>
      <c r="L272" s="508"/>
      <c r="M272" s="508"/>
      <c r="N272" s="508"/>
      <c r="O272" s="508"/>
      <c r="P272" s="508"/>
      <c r="Q272" s="508"/>
      <c r="R272" s="508"/>
      <c r="S272" s="508"/>
      <c r="T272" s="508"/>
      <c r="U272" s="508"/>
      <c r="V272" s="508"/>
      <c r="W272" s="508"/>
      <c r="X272" s="508"/>
      <c r="Y272" s="508"/>
      <c r="Z272" s="508"/>
    </row>
    <row r="273" ht="13.5" customHeight="1">
      <c r="A273" s="508"/>
      <c r="B273" s="508"/>
      <c r="C273" s="508"/>
      <c r="D273" s="508"/>
      <c r="E273" s="508"/>
      <c r="F273" s="508"/>
      <c r="G273" s="508"/>
      <c r="H273" s="508"/>
      <c r="I273" s="508"/>
      <c r="J273" s="508"/>
      <c r="K273" s="508"/>
      <c r="L273" s="508"/>
      <c r="M273" s="508"/>
      <c r="N273" s="508"/>
      <c r="O273" s="508"/>
      <c r="P273" s="508"/>
      <c r="Q273" s="508"/>
      <c r="R273" s="508"/>
      <c r="S273" s="508"/>
      <c r="T273" s="508"/>
      <c r="U273" s="508"/>
      <c r="V273" s="508"/>
      <c r="W273" s="508"/>
      <c r="X273" s="508"/>
      <c r="Y273" s="508"/>
      <c r="Z273" s="508"/>
    </row>
    <row r="274" ht="13.5" customHeight="1">
      <c r="A274" s="508"/>
      <c r="B274" s="508"/>
      <c r="C274" s="508"/>
      <c r="D274" s="508"/>
      <c r="E274" s="508"/>
      <c r="F274" s="508"/>
      <c r="G274" s="508"/>
      <c r="H274" s="508"/>
      <c r="I274" s="508"/>
      <c r="J274" s="508"/>
      <c r="K274" s="508"/>
      <c r="L274" s="508"/>
      <c r="M274" s="508"/>
      <c r="N274" s="508"/>
      <c r="O274" s="508"/>
      <c r="P274" s="508"/>
      <c r="Q274" s="508"/>
      <c r="R274" s="508"/>
      <c r="S274" s="508"/>
      <c r="T274" s="508"/>
      <c r="U274" s="508"/>
      <c r="V274" s="508"/>
      <c r="W274" s="508"/>
      <c r="X274" s="508"/>
      <c r="Y274" s="508"/>
      <c r="Z274" s="508"/>
    </row>
    <row r="275" ht="13.5" customHeight="1">
      <c r="A275" s="508"/>
      <c r="B275" s="508"/>
      <c r="C275" s="508"/>
      <c r="D275" s="508"/>
      <c r="E275" s="508"/>
      <c r="F275" s="508"/>
      <c r="G275" s="508"/>
      <c r="H275" s="508"/>
      <c r="I275" s="508"/>
      <c r="J275" s="508"/>
      <c r="K275" s="508"/>
      <c r="L275" s="508"/>
      <c r="M275" s="508"/>
      <c r="N275" s="508"/>
      <c r="O275" s="508"/>
      <c r="P275" s="508"/>
      <c r="Q275" s="508"/>
      <c r="R275" s="508"/>
      <c r="S275" s="508"/>
      <c r="T275" s="508"/>
      <c r="U275" s="508"/>
      <c r="V275" s="508"/>
      <c r="W275" s="508"/>
      <c r="X275" s="508"/>
      <c r="Y275" s="508"/>
      <c r="Z275" s="508"/>
    </row>
    <row r="276" ht="13.5" customHeight="1">
      <c r="A276" s="508"/>
      <c r="B276" s="508"/>
      <c r="C276" s="508"/>
      <c r="D276" s="508"/>
      <c r="E276" s="508"/>
      <c r="F276" s="508"/>
      <c r="G276" s="508"/>
      <c r="H276" s="508"/>
      <c r="I276" s="508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  <c r="Z276" s="508"/>
    </row>
    <row r="277" ht="13.5" customHeight="1">
      <c r="A277" s="508"/>
      <c r="B277" s="508"/>
      <c r="C277" s="508"/>
      <c r="D277" s="508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</row>
    <row r="278" ht="13.5" customHeight="1">
      <c r="A278" s="508"/>
      <c r="B278" s="508"/>
      <c r="C278" s="508"/>
      <c r="D278" s="508"/>
      <c r="E278" s="508"/>
      <c r="F278" s="508"/>
      <c r="G278" s="508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</row>
    <row r="279" ht="13.5" customHeight="1">
      <c r="A279" s="508"/>
      <c r="B279" s="508"/>
      <c r="C279" s="508"/>
      <c r="D279" s="508"/>
      <c r="E279" s="508"/>
      <c r="F279" s="508"/>
      <c r="G279" s="508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  <c r="Z279" s="508"/>
    </row>
    <row r="280" ht="13.5" customHeight="1">
      <c r="A280" s="508"/>
      <c r="B280" s="508"/>
      <c r="C280" s="508"/>
      <c r="D280" s="508"/>
      <c r="E280" s="508"/>
      <c r="F280" s="508"/>
      <c r="G280" s="508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  <c r="Z280" s="508"/>
    </row>
    <row r="281" ht="13.5" customHeight="1">
      <c r="A281" s="508"/>
      <c r="B281" s="508"/>
      <c r="C281" s="508"/>
      <c r="D281" s="508"/>
      <c r="E281" s="508"/>
      <c r="F281" s="508"/>
      <c r="G281" s="508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</row>
    <row r="282" ht="13.5" customHeight="1">
      <c r="A282" s="508"/>
      <c r="B282" s="508"/>
      <c r="C282" s="508"/>
      <c r="D282" s="508"/>
      <c r="E282" s="508"/>
      <c r="F282" s="508"/>
      <c r="G282" s="508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</row>
    <row r="283" ht="13.5" customHeight="1">
      <c r="A283" s="508"/>
      <c r="B283" s="508"/>
      <c r="C283" s="508"/>
      <c r="D283" s="508"/>
      <c r="E283" s="508"/>
      <c r="F283" s="508"/>
      <c r="G283" s="508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</row>
    <row r="284" ht="13.5" customHeight="1">
      <c r="A284" s="508"/>
      <c r="B284" s="508"/>
      <c r="C284" s="508"/>
      <c r="D284" s="508"/>
      <c r="E284" s="508"/>
      <c r="F284" s="508"/>
      <c r="G284" s="508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</row>
    <row r="285" ht="13.5" customHeight="1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</row>
    <row r="286" ht="13.5" customHeight="1">
      <c r="A286" s="508"/>
      <c r="B286" s="508"/>
      <c r="C286" s="508"/>
      <c r="D286" s="508"/>
      <c r="E286" s="508"/>
      <c r="F286" s="508"/>
      <c r="G286" s="508"/>
      <c r="H286" s="508"/>
      <c r="I286" s="508"/>
      <c r="J286" s="508"/>
      <c r="K286" s="508"/>
      <c r="L286" s="508"/>
      <c r="M286" s="508"/>
      <c r="N286" s="508"/>
      <c r="O286" s="508"/>
      <c r="P286" s="508"/>
      <c r="Q286" s="508"/>
      <c r="R286" s="508"/>
      <c r="S286" s="508"/>
      <c r="T286" s="508"/>
      <c r="U286" s="508"/>
      <c r="V286" s="508"/>
      <c r="W286" s="508"/>
      <c r="X286" s="508"/>
      <c r="Y286" s="508"/>
      <c r="Z286" s="508"/>
    </row>
    <row r="287" ht="13.5" customHeight="1">
      <c r="A287" s="508"/>
      <c r="B287" s="508"/>
      <c r="C287" s="508"/>
      <c r="D287" s="508"/>
      <c r="E287" s="508"/>
      <c r="F287" s="508"/>
      <c r="G287" s="508"/>
      <c r="H287" s="508"/>
      <c r="I287" s="508"/>
      <c r="J287" s="508"/>
      <c r="K287" s="508"/>
      <c r="L287" s="508"/>
      <c r="M287" s="508"/>
      <c r="N287" s="508"/>
      <c r="O287" s="508"/>
      <c r="P287" s="508"/>
      <c r="Q287" s="508"/>
      <c r="R287" s="508"/>
      <c r="S287" s="508"/>
      <c r="T287" s="508"/>
      <c r="U287" s="508"/>
      <c r="V287" s="508"/>
      <c r="W287" s="508"/>
      <c r="X287" s="508"/>
      <c r="Y287" s="508"/>
      <c r="Z287" s="508"/>
    </row>
    <row r="288" ht="13.5" customHeight="1">
      <c r="A288" s="508"/>
      <c r="B288" s="508"/>
      <c r="C288" s="508"/>
      <c r="D288" s="508"/>
      <c r="E288" s="508"/>
      <c r="F288" s="508"/>
      <c r="G288" s="508"/>
      <c r="H288" s="508"/>
      <c r="I288" s="508"/>
      <c r="J288" s="508"/>
      <c r="K288" s="508"/>
      <c r="L288" s="508"/>
      <c r="M288" s="508"/>
      <c r="N288" s="508"/>
      <c r="O288" s="508"/>
      <c r="P288" s="508"/>
      <c r="Q288" s="508"/>
      <c r="R288" s="508"/>
      <c r="S288" s="508"/>
      <c r="T288" s="508"/>
      <c r="U288" s="508"/>
      <c r="V288" s="508"/>
      <c r="W288" s="508"/>
      <c r="X288" s="508"/>
      <c r="Y288" s="508"/>
      <c r="Z288" s="508"/>
    </row>
    <row r="289" ht="13.5" customHeight="1">
      <c r="A289" s="508"/>
      <c r="B289" s="508"/>
      <c r="C289" s="508"/>
      <c r="D289" s="508"/>
      <c r="E289" s="508"/>
      <c r="F289" s="508"/>
      <c r="G289" s="508"/>
      <c r="H289" s="508"/>
      <c r="I289" s="508"/>
      <c r="J289" s="508"/>
      <c r="K289" s="508"/>
      <c r="L289" s="508"/>
      <c r="M289" s="508"/>
      <c r="N289" s="508"/>
      <c r="O289" s="508"/>
      <c r="P289" s="508"/>
      <c r="Q289" s="508"/>
      <c r="R289" s="508"/>
      <c r="S289" s="508"/>
      <c r="T289" s="508"/>
      <c r="U289" s="508"/>
      <c r="V289" s="508"/>
      <c r="W289" s="508"/>
      <c r="X289" s="508"/>
      <c r="Y289" s="508"/>
      <c r="Z289" s="508"/>
    </row>
    <row r="290" ht="13.5" customHeight="1">
      <c r="A290" s="508"/>
      <c r="B290" s="508"/>
      <c r="C290" s="508"/>
      <c r="D290" s="508"/>
      <c r="E290" s="508"/>
      <c r="F290" s="508"/>
      <c r="G290" s="508"/>
      <c r="H290" s="508"/>
      <c r="I290" s="508"/>
      <c r="J290" s="508"/>
      <c r="K290" s="508"/>
      <c r="L290" s="508"/>
      <c r="M290" s="508"/>
      <c r="N290" s="508"/>
      <c r="O290" s="508"/>
      <c r="P290" s="508"/>
      <c r="Q290" s="508"/>
      <c r="R290" s="508"/>
      <c r="S290" s="508"/>
      <c r="T290" s="508"/>
      <c r="U290" s="508"/>
      <c r="V290" s="508"/>
      <c r="W290" s="508"/>
      <c r="X290" s="508"/>
      <c r="Y290" s="508"/>
      <c r="Z290" s="508"/>
    </row>
    <row r="291" ht="13.5" customHeight="1">
      <c r="A291" s="508"/>
      <c r="B291" s="508"/>
      <c r="C291" s="508"/>
      <c r="D291" s="508"/>
      <c r="E291" s="508"/>
      <c r="F291" s="508"/>
      <c r="G291" s="508"/>
      <c r="H291" s="508"/>
      <c r="I291" s="508"/>
      <c r="J291" s="508"/>
      <c r="K291" s="508"/>
      <c r="L291" s="508"/>
      <c r="M291" s="508"/>
      <c r="N291" s="508"/>
      <c r="O291" s="508"/>
      <c r="P291" s="508"/>
      <c r="Q291" s="508"/>
      <c r="R291" s="508"/>
      <c r="S291" s="508"/>
      <c r="T291" s="508"/>
      <c r="U291" s="508"/>
      <c r="V291" s="508"/>
      <c r="W291" s="508"/>
      <c r="X291" s="508"/>
      <c r="Y291" s="508"/>
      <c r="Z291" s="508"/>
    </row>
    <row r="292" ht="13.5" customHeight="1">
      <c r="A292" s="508"/>
      <c r="B292" s="508"/>
      <c r="C292" s="508"/>
      <c r="D292" s="508"/>
      <c r="E292" s="508"/>
      <c r="F292" s="508"/>
      <c r="G292" s="508"/>
      <c r="H292" s="508"/>
      <c r="I292" s="508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508"/>
      <c r="Y292" s="508"/>
      <c r="Z292" s="508"/>
    </row>
    <row r="293" ht="13.5" customHeight="1">
      <c r="A293" s="508"/>
      <c r="B293" s="508"/>
      <c r="C293" s="508"/>
      <c r="D293" s="508"/>
      <c r="E293" s="508"/>
      <c r="F293" s="508"/>
      <c r="G293" s="508"/>
      <c r="H293" s="508"/>
      <c r="I293" s="508"/>
      <c r="J293" s="508"/>
      <c r="K293" s="508"/>
      <c r="L293" s="508"/>
      <c r="M293" s="508"/>
      <c r="N293" s="508"/>
      <c r="O293" s="508"/>
      <c r="P293" s="508"/>
      <c r="Q293" s="508"/>
      <c r="R293" s="508"/>
      <c r="S293" s="508"/>
      <c r="T293" s="508"/>
      <c r="U293" s="508"/>
      <c r="V293" s="508"/>
      <c r="W293" s="508"/>
      <c r="X293" s="508"/>
      <c r="Y293" s="508"/>
      <c r="Z293" s="508"/>
    </row>
    <row r="294" ht="13.5" customHeight="1">
      <c r="A294" s="508"/>
      <c r="B294" s="508"/>
      <c r="C294" s="508"/>
      <c r="D294" s="508"/>
      <c r="E294" s="508"/>
      <c r="F294" s="508"/>
      <c r="G294" s="508"/>
      <c r="H294" s="508"/>
      <c r="I294" s="508"/>
      <c r="J294" s="508"/>
      <c r="K294" s="508"/>
      <c r="L294" s="508"/>
      <c r="M294" s="508"/>
      <c r="N294" s="508"/>
      <c r="O294" s="508"/>
      <c r="P294" s="508"/>
      <c r="Q294" s="508"/>
      <c r="R294" s="508"/>
      <c r="S294" s="508"/>
      <c r="T294" s="508"/>
      <c r="U294" s="508"/>
      <c r="V294" s="508"/>
      <c r="W294" s="508"/>
      <c r="X294" s="508"/>
      <c r="Y294" s="508"/>
      <c r="Z294" s="508"/>
    </row>
    <row r="295" ht="13.5" customHeight="1">
      <c r="A295" s="508"/>
      <c r="B295" s="508"/>
      <c r="C295" s="508"/>
      <c r="D295" s="508"/>
      <c r="E295" s="508"/>
      <c r="F295" s="508"/>
      <c r="G295" s="508"/>
      <c r="H295" s="508"/>
      <c r="I295" s="508"/>
      <c r="J295" s="508"/>
      <c r="K295" s="508"/>
      <c r="L295" s="508"/>
      <c r="M295" s="508"/>
      <c r="N295" s="508"/>
      <c r="O295" s="508"/>
      <c r="P295" s="508"/>
      <c r="Q295" s="508"/>
      <c r="R295" s="508"/>
      <c r="S295" s="508"/>
      <c r="T295" s="508"/>
      <c r="U295" s="508"/>
      <c r="V295" s="508"/>
      <c r="W295" s="508"/>
      <c r="X295" s="508"/>
      <c r="Y295" s="508"/>
      <c r="Z295" s="508"/>
    </row>
    <row r="296" ht="13.5" customHeight="1">
      <c r="A296" s="508"/>
      <c r="B296" s="508"/>
      <c r="C296" s="508"/>
      <c r="D296" s="508"/>
      <c r="E296" s="508"/>
      <c r="F296" s="508"/>
      <c r="G296" s="508"/>
      <c r="H296" s="508"/>
      <c r="I296" s="508"/>
      <c r="J296" s="508"/>
      <c r="K296" s="508"/>
      <c r="L296" s="508"/>
      <c r="M296" s="508"/>
      <c r="N296" s="508"/>
      <c r="O296" s="508"/>
      <c r="P296" s="508"/>
      <c r="Q296" s="508"/>
      <c r="R296" s="508"/>
      <c r="S296" s="508"/>
      <c r="T296" s="508"/>
      <c r="U296" s="508"/>
      <c r="V296" s="508"/>
      <c r="W296" s="508"/>
      <c r="X296" s="508"/>
      <c r="Y296" s="508"/>
      <c r="Z296" s="508"/>
    </row>
    <row r="297" ht="13.5" customHeight="1">
      <c r="A297" s="508"/>
      <c r="B297" s="508"/>
      <c r="C297" s="508"/>
      <c r="D297" s="508"/>
      <c r="E297" s="508"/>
      <c r="F297" s="508"/>
      <c r="G297" s="508"/>
      <c r="H297" s="508"/>
      <c r="I297" s="508"/>
      <c r="J297" s="508"/>
      <c r="K297" s="508"/>
      <c r="L297" s="508"/>
      <c r="M297" s="508"/>
      <c r="N297" s="508"/>
      <c r="O297" s="508"/>
      <c r="P297" s="508"/>
      <c r="Q297" s="508"/>
      <c r="R297" s="508"/>
      <c r="S297" s="508"/>
      <c r="T297" s="508"/>
      <c r="U297" s="508"/>
      <c r="V297" s="508"/>
      <c r="W297" s="508"/>
      <c r="X297" s="508"/>
      <c r="Y297" s="508"/>
      <c r="Z297" s="508"/>
    </row>
    <row r="298" ht="13.5" customHeight="1">
      <c r="A298" s="508"/>
      <c r="B298" s="508"/>
      <c r="C298" s="508"/>
      <c r="D298" s="508"/>
      <c r="E298" s="508"/>
      <c r="F298" s="508"/>
      <c r="G298" s="508"/>
      <c r="H298" s="508"/>
      <c r="I298" s="508"/>
      <c r="J298" s="508"/>
      <c r="K298" s="508"/>
      <c r="L298" s="508"/>
      <c r="M298" s="508"/>
      <c r="N298" s="508"/>
      <c r="O298" s="508"/>
      <c r="P298" s="508"/>
      <c r="Q298" s="508"/>
      <c r="R298" s="508"/>
      <c r="S298" s="508"/>
      <c r="T298" s="508"/>
      <c r="U298" s="508"/>
      <c r="V298" s="508"/>
      <c r="W298" s="508"/>
      <c r="X298" s="508"/>
      <c r="Y298" s="508"/>
      <c r="Z298" s="508"/>
    </row>
    <row r="299" ht="13.5" customHeight="1">
      <c r="A299" s="508"/>
      <c r="B299" s="508"/>
      <c r="C299" s="508"/>
      <c r="D299" s="508"/>
      <c r="E299" s="508"/>
      <c r="F299" s="508"/>
      <c r="G299" s="508"/>
      <c r="H299" s="508"/>
      <c r="I299" s="508"/>
      <c r="J299" s="508"/>
      <c r="K299" s="508"/>
      <c r="L299" s="508"/>
      <c r="M299" s="508"/>
      <c r="N299" s="508"/>
      <c r="O299" s="508"/>
      <c r="P299" s="508"/>
      <c r="Q299" s="508"/>
      <c r="R299" s="508"/>
      <c r="S299" s="508"/>
      <c r="T299" s="508"/>
      <c r="U299" s="508"/>
      <c r="V299" s="508"/>
      <c r="W299" s="508"/>
      <c r="X299" s="508"/>
      <c r="Y299" s="508"/>
      <c r="Z299" s="508"/>
    </row>
    <row r="300" ht="13.5" customHeight="1">
      <c r="A300" s="508"/>
      <c r="B300" s="508"/>
      <c r="C300" s="508"/>
      <c r="D300" s="508"/>
      <c r="E300" s="508"/>
      <c r="F300" s="508"/>
      <c r="G300" s="508"/>
      <c r="H300" s="508"/>
      <c r="I300" s="508"/>
      <c r="J300" s="508"/>
      <c r="K300" s="508"/>
      <c r="L300" s="508"/>
      <c r="M300" s="508"/>
      <c r="N300" s="508"/>
      <c r="O300" s="508"/>
      <c r="P300" s="508"/>
      <c r="Q300" s="508"/>
      <c r="R300" s="508"/>
      <c r="S300" s="508"/>
      <c r="T300" s="508"/>
      <c r="U300" s="508"/>
      <c r="V300" s="508"/>
      <c r="W300" s="508"/>
      <c r="X300" s="508"/>
      <c r="Y300" s="508"/>
      <c r="Z300" s="508"/>
    </row>
    <row r="301" ht="13.5" customHeight="1">
      <c r="A301" s="508"/>
      <c r="B301" s="508"/>
      <c r="C301" s="508"/>
      <c r="D301" s="508"/>
      <c r="E301" s="508"/>
      <c r="F301" s="508"/>
      <c r="G301" s="508"/>
      <c r="H301" s="508"/>
      <c r="I301" s="508"/>
      <c r="J301" s="508"/>
      <c r="K301" s="508"/>
      <c r="L301" s="508"/>
      <c r="M301" s="508"/>
      <c r="N301" s="508"/>
      <c r="O301" s="508"/>
      <c r="P301" s="508"/>
      <c r="Q301" s="508"/>
      <c r="R301" s="508"/>
      <c r="S301" s="508"/>
      <c r="T301" s="508"/>
      <c r="U301" s="508"/>
      <c r="V301" s="508"/>
      <c r="W301" s="508"/>
      <c r="X301" s="508"/>
      <c r="Y301" s="508"/>
      <c r="Z301" s="508"/>
    </row>
    <row r="302" ht="13.5" customHeight="1">
      <c r="A302" s="508"/>
      <c r="B302" s="508"/>
      <c r="C302" s="508"/>
      <c r="D302" s="508"/>
      <c r="E302" s="508"/>
      <c r="F302" s="508"/>
      <c r="G302" s="508"/>
      <c r="H302" s="508"/>
      <c r="I302" s="508"/>
      <c r="J302" s="508"/>
      <c r="K302" s="508"/>
      <c r="L302" s="508"/>
      <c r="M302" s="508"/>
      <c r="N302" s="508"/>
      <c r="O302" s="508"/>
      <c r="P302" s="508"/>
      <c r="Q302" s="508"/>
      <c r="R302" s="508"/>
      <c r="S302" s="508"/>
      <c r="T302" s="508"/>
      <c r="U302" s="508"/>
      <c r="V302" s="508"/>
      <c r="W302" s="508"/>
      <c r="X302" s="508"/>
      <c r="Y302" s="508"/>
      <c r="Z302" s="508"/>
    </row>
    <row r="303" ht="13.5" customHeight="1">
      <c r="A303" s="508"/>
      <c r="B303" s="508"/>
      <c r="C303" s="508"/>
      <c r="D303" s="508"/>
      <c r="E303" s="508"/>
      <c r="F303" s="508"/>
      <c r="G303" s="508"/>
      <c r="H303" s="508"/>
      <c r="I303" s="508"/>
      <c r="J303" s="508"/>
      <c r="K303" s="508"/>
      <c r="L303" s="508"/>
      <c r="M303" s="508"/>
      <c r="N303" s="508"/>
      <c r="O303" s="508"/>
      <c r="P303" s="508"/>
      <c r="Q303" s="508"/>
      <c r="R303" s="508"/>
      <c r="S303" s="508"/>
      <c r="T303" s="508"/>
      <c r="U303" s="508"/>
      <c r="V303" s="508"/>
      <c r="W303" s="508"/>
      <c r="X303" s="508"/>
      <c r="Y303" s="508"/>
      <c r="Z303" s="508"/>
    </row>
    <row r="304" ht="13.5" customHeight="1">
      <c r="A304" s="508"/>
      <c r="B304" s="508"/>
      <c r="C304" s="508"/>
      <c r="D304" s="508"/>
      <c r="E304" s="508"/>
      <c r="F304" s="508"/>
      <c r="G304" s="508"/>
      <c r="H304" s="508"/>
      <c r="I304" s="508"/>
      <c r="J304" s="508"/>
      <c r="K304" s="508"/>
      <c r="L304" s="508"/>
      <c r="M304" s="508"/>
      <c r="N304" s="508"/>
      <c r="O304" s="508"/>
      <c r="P304" s="508"/>
      <c r="Q304" s="508"/>
      <c r="R304" s="508"/>
      <c r="S304" s="508"/>
      <c r="T304" s="508"/>
      <c r="U304" s="508"/>
      <c r="V304" s="508"/>
      <c r="W304" s="508"/>
      <c r="X304" s="508"/>
      <c r="Y304" s="508"/>
      <c r="Z304" s="508"/>
    </row>
    <row r="305" ht="13.5" customHeight="1">
      <c r="A305" s="508"/>
      <c r="B305" s="508"/>
      <c r="C305" s="508"/>
      <c r="D305" s="508"/>
      <c r="E305" s="508"/>
      <c r="F305" s="508"/>
      <c r="G305" s="508"/>
      <c r="H305" s="508"/>
      <c r="I305" s="508"/>
      <c r="J305" s="508"/>
      <c r="K305" s="508"/>
      <c r="L305" s="508"/>
      <c r="M305" s="508"/>
      <c r="N305" s="508"/>
      <c r="O305" s="508"/>
      <c r="P305" s="508"/>
      <c r="Q305" s="508"/>
      <c r="R305" s="508"/>
      <c r="S305" s="508"/>
      <c r="T305" s="508"/>
      <c r="U305" s="508"/>
      <c r="V305" s="508"/>
      <c r="W305" s="508"/>
      <c r="X305" s="508"/>
      <c r="Y305" s="508"/>
      <c r="Z305" s="508"/>
    </row>
    <row r="306" ht="13.5" customHeight="1">
      <c r="A306" s="508"/>
      <c r="B306" s="508"/>
      <c r="C306" s="508"/>
      <c r="D306" s="508"/>
      <c r="E306" s="508"/>
      <c r="F306" s="508"/>
      <c r="G306" s="508"/>
      <c r="H306" s="508"/>
      <c r="I306" s="508"/>
      <c r="J306" s="508"/>
      <c r="K306" s="508"/>
      <c r="L306" s="508"/>
      <c r="M306" s="508"/>
      <c r="N306" s="508"/>
      <c r="O306" s="508"/>
      <c r="P306" s="508"/>
      <c r="Q306" s="508"/>
      <c r="R306" s="508"/>
      <c r="S306" s="508"/>
      <c r="T306" s="508"/>
      <c r="U306" s="508"/>
      <c r="V306" s="508"/>
      <c r="W306" s="508"/>
      <c r="X306" s="508"/>
      <c r="Y306" s="508"/>
      <c r="Z306" s="508"/>
    </row>
    <row r="307" ht="13.5" customHeight="1">
      <c r="A307" s="508"/>
      <c r="B307" s="508"/>
      <c r="C307" s="508"/>
      <c r="D307" s="508"/>
      <c r="E307" s="508"/>
      <c r="F307" s="508"/>
      <c r="G307" s="508"/>
      <c r="H307" s="508"/>
      <c r="I307" s="508"/>
      <c r="J307" s="508"/>
      <c r="K307" s="508"/>
      <c r="L307" s="508"/>
      <c r="M307" s="508"/>
      <c r="N307" s="508"/>
      <c r="O307" s="508"/>
      <c r="P307" s="508"/>
      <c r="Q307" s="508"/>
      <c r="R307" s="508"/>
      <c r="S307" s="508"/>
      <c r="T307" s="508"/>
      <c r="U307" s="508"/>
      <c r="V307" s="508"/>
      <c r="W307" s="508"/>
      <c r="X307" s="508"/>
      <c r="Y307" s="508"/>
      <c r="Z307" s="508"/>
    </row>
    <row r="308" ht="13.5" customHeight="1">
      <c r="A308" s="508"/>
      <c r="B308" s="508"/>
      <c r="C308" s="508"/>
      <c r="D308" s="508"/>
      <c r="E308" s="508"/>
      <c r="F308" s="508"/>
      <c r="G308" s="508"/>
      <c r="H308" s="508"/>
      <c r="I308" s="508"/>
      <c r="J308" s="508"/>
      <c r="K308" s="508"/>
      <c r="L308" s="508"/>
      <c r="M308" s="508"/>
      <c r="N308" s="508"/>
      <c r="O308" s="508"/>
      <c r="P308" s="508"/>
      <c r="Q308" s="508"/>
      <c r="R308" s="508"/>
      <c r="S308" s="508"/>
      <c r="T308" s="508"/>
      <c r="U308" s="508"/>
      <c r="V308" s="508"/>
      <c r="W308" s="508"/>
      <c r="X308" s="508"/>
      <c r="Y308" s="508"/>
      <c r="Z308" s="508"/>
    </row>
    <row r="309" ht="13.5" customHeight="1">
      <c r="A309" s="508"/>
      <c r="B309" s="508"/>
      <c r="C309" s="508"/>
      <c r="D309" s="508"/>
      <c r="E309" s="508"/>
      <c r="F309" s="508"/>
      <c r="G309" s="508"/>
      <c r="H309" s="508"/>
      <c r="I309" s="508"/>
      <c r="J309" s="508"/>
      <c r="K309" s="508"/>
      <c r="L309" s="508"/>
      <c r="M309" s="508"/>
      <c r="N309" s="508"/>
      <c r="O309" s="508"/>
      <c r="P309" s="508"/>
      <c r="Q309" s="508"/>
      <c r="R309" s="508"/>
      <c r="S309" s="508"/>
      <c r="T309" s="508"/>
      <c r="U309" s="508"/>
      <c r="V309" s="508"/>
      <c r="W309" s="508"/>
      <c r="X309" s="508"/>
      <c r="Y309" s="508"/>
      <c r="Z309" s="508"/>
    </row>
    <row r="310" ht="13.5" customHeight="1">
      <c r="A310" s="508"/>
      <c r="B310" s="508"/>
      <c r="C310" s="508"/>
      <c r="D310" s="508"/>
      <c r="E310" s="508"/>
      <c r="F310" s="508"/>
      <c r="G310" s="508"/>
      <c r="H310" s="508"/>
      <c r="I310" s="508"/>
      <c r="J310" s="508"/>
      <c r="K310" s="508"/>
      <c r="L310" s="508"/>
      <c r="M310" s="508"/>
      <c r="N310" s="508"/>
      <c r="O310" s="508"/>
      <c r="P310" s="508"/>
      <c r="Q310" s="508"/>
      <c r="R310" s="508"/>
      <c r="S310" s="508"/>
      <c r="T310" s="508"/>
      <c r="U310" s="508"/>
      <c r="V310" s="508"/>
      <c r="W310" s="508"/>
      <c r="X310" s="508"/>
      <c r="Y310" s="508"/>
      <c r="Z310" s="508"/>
    </row>
    <row r="311" ht="13.5" customHeight="1">
      <c r="A311" s="508"/>
      <c r="B311" s="508"/>
      <c r="C311" s="508"/>
      <c r="D311" s="508"/>
      <c r="E311" s="508"/>
      <c r="F311" s="508"/>
      <c r="G311" s="508"/>
      <c r="H311" s="508"/>
      <c r="I311" s="508"/>
      <c r="J311" s="508"/>
      <c r="K311" s="508"/>
      <c r="L311" s="508"/>
      <c r="M311" s="508"/>
      <c r="N311" s="508"/>
      <c r="O311" s="508"/>
      <c r="P311" s="508"/>
      <c r="Q311" s="508"/>
      <c r="R311" s="508"/>
      <c r="S311" s="508"/>
      <c r="T311" s="508"/>
      <c r="U311" s="508"/>
      <c r="V311" s="508"/>
      <c r="W311" s="508"/>
      <c r="X311" s="508"/>
      <c r="Y311" s="508"/>
      <c r="Z311" s="508"/>
    </row>
    <row r="312" ht="13.5" customHeight="1">
      <c r="A312" s="508"/>
      <c r="B312" s="508"/>
      <c r="C312" s="508"/>
      <c r="D312" s="508"/>
      <c r="E312" s="508"/>
      <c r="F312" s="508"/>
      <c r="G312" s="508"/>
      <c r="H312" s="508"/>
      <c r="I312" s="508"/>
      <c r="J312" s="508"/>
      <c r="K312" s="508"/>
      <c r="L312" s="508"/>
      <c r="M312" s="508"/>
      <c r="N312" s="508"/>
      <c r="O312" s="508"/>
      <c r="P312" s="508"/>
      <c r="Q312" s="508"/>
      <c r="R312" s="508"/>
      <c r="S312" s="508"/>
      <c r="T312" s="508"/>
      <c r="U312" s="508"/>
      <c r="V312" s="508"/>
      <c r="W312" s="508"/>
      <c r="X312" s="508"/>
      <c r="Y312" s="508"/>
      <c r="Z312" s="508"/>
    </row>
    <row r="313" ht="13.5" customHeight="1">
      <c r="A313" s="508"/>
      <c r="B313" s="508"/>
      <c r="C313" s="508"/>
      <c r="D313" s="508"/>
      <c r="E313" s="508"/>
      <c r="F313" s="508"/>
      <c r="G313" s="508"/>
      <c r="H313" s="508"/>
      <c r="I313" s="508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  <c r="Z313" s="508"/>
    </row>
    <row r="314" ht="13.5" customHeight="1">
      <c r="A314" s="508"/>
      <c r="B314" s="508"/>
      <c r="C314" s="508"/>
      <c r="D314" s="508"/>
      <c r="E314" s="508"/>
      <c r="F314" s="508"/>
      <c r="G314" s="508"/>
      <c r="H314" s="508"/>
      <c r="I314" s="508"/>
      <c r="J314" s="508"/>
      <c r="K314" s="508"/>
      <c r="L314" s="508"/>
      <c r="M314" s="508"/>
      <c r="N314" s="508"/>
      <c r="O314" s="508"/>
      <c r="P314" s="508"/>
      <c r="Q314" s="508"/>
      <c r="R314" s="508"/>
      <c r="S314" s="508"/>
      <c r="T314" s="508"/>
      <c r="U314" s="508"/>
      <c r="V314" s="508"/>
      <c r="W314" s="508"/>
      <c r="X314" s="508"/>
      <c r="Y314" s="508"/>
      <c r="Z314" s="508"/>
    </row>
    <row r="315" ht="13.5" customHeight="1">
      <c r="A315" s="508"/>
      <c r="B315" s="508"/>
      <c r="C315" s="508"/>
      <c r="D315" s="508"/>
      <c r="E315" s="508"/>
      <c r="F315" s="508"/>
      <c r="G315" s="508"/>
      <c r="H315" s="508"/>
      <c r="I315" s="508"/>
      <c r="J315" s="508"/>
      <c r="K315" s="508"/>
      <c r="L315" s="508"/>
      <c r="M315" s="508"/>
      <c r="N315" s="508"/>
      <c r="O315" s="508"/>
      <c r="P315" s="508"/>
      <c r="Q315" s="508"/>
      <c r="R315" s="508"/>
      <c r="S315" s="508"/>
      <c r="T315" s="508"/>
      <c r="U315" s="508"/>
      <c r="V315" s="508"/>
      <c r="W315" s="508"/>
      <c r="X315" s="508"/>
      <c r="Y315" s="508"/>
      <c r="Z315" s="508"/>
    </row>
    <row r="316" ht="13.5" customHeight="1">
      <c r="A316" s="508"/>
      <c r="B316" s="508"/>
      <c r="C316" s="508"/>
      <c r="D316" s="508"/>
      <c r="E316" s="508"/>
      <c r="F316" s="508"/>
      <c r="G316" s="508"/>
      <c r="H316" s="508"/>
      <c r="I316" s="508"/>
      <c r="J316" s="508"/>
      <c r="K316" s="508"/>
      <c r="L316" s="508"/>
      <c r="M316" s="508"/>
      <c r="N316" s="508"/>
      <c r="O316" s="508"/>
      <c r="P316" s="508"/>
      <c r="Q316" s="508"/>
      <c r="R316" s="508"/>
      <c r="S316" s="508"/>
      <c r="T316" s="508"/>
      <c r="U316" s="508"/>
      <c r="V316" s="508"/>
      <c r="W316" s="508"/>
      <c r="X316" s="508"/>
      <c r="Y316" s="508"/>
      <c r="Z316" s="508"/>
    </row>
    <row r="317" ht="13.5" customHeight="1">
      <c r="A317" s="508"/>
      <c r="B317" s="508"/>
      <c r="C317" s="508"/>
      <c r="D317" s="508"/>
      <c r="E317" s="508"/>
      <c r="F317" s="508"/>
      <c r="G317" s="508"/>
      <c r="H317" s="508"/>
      <c r="I317" s="508"/>
      <c r="J317" s="508"/>
      <c r="K317" s="508"/>
      <c r="L317" s="508"/>
      <c r="M317" s="508"/>
      <c r="N317" s="508"/>
      <c r="O317" s="508"/>
      <c r="P317" s="508"/>
      <c r="Q317" s="508"/>
      <c r="R317" s="508"/>
      <c r="S317" s="508"/>
      <c r="T317" s="508"/>
      <c r="U317" s="508"/>
      <c r="V317" s="508"/>
      <c r="W317" s="508"/>
      <c r="X317" s="508"/>
      <c r="Y317" s="508"/>
      <c r="Z317" s="508"/>
    </row>
    <row r="318" ht="13.5" customHeight="1">
      <c r="A318" s="508"/>
      <c r="B318" s="508"/>
      <c r="C318" s="508"/>
      <c r="D318" s="508"/>
      <c r="E318" s="508"/>
      <c r="F318" s="508"/>
      <c r="G318" s="508"/>
      <c r="H318" s="508"/>
      <c r="I318" s="508"/>
      <c r="J318" s="508"/>
      <c r="K318" s="508"/>
      <c r="L318" s="508"/>
      <c r="M318" s="508"/>
      <c r="N318" s="508"/>
      <c r="O318" s="508"/>
      <c r="P318" s="508"/>
      <c r="Q318" s="508"/>
      <c r="R318" s="508"/>
      <c r="S318" s="508"/>
      <c r="T318" s="508"/>
      <c r="U318" s="508"/>
      <c r="V318" s="508"/>
      <c r="W318" s="508"/>
      <c r="X318" s="508"/>
      <c r="Y318" s="508"/>
      <c r="Z318" s="508"/>
    </row>
    <row r="319" ht="13.5" customHeight="1">
      <c r="A319" s="508"/>
      <c r="B319" s="508"/>
      <c r="C319" s="508"/>
      <c r="D319" s="508"/>
      <c r="E319" s="508"/>
      <c r="F319" s="508"/>
      <c r="G319" s="508"/>
      <c r="H319" s="508"/>
      <c r="I319" s="508"/>
      <c r="J319" s="508"/>
      <c r="K319" s="508"/>
      <c r="L319" s="508"/>
      <c r="M319" s="508"/>
      <c r="N319" s="508"/>
      <c r="O319" s="508"/>
      <c r="P319" s="508"/>
      <c r="Q319" s="508"/>
      <c r="R319" s="508"/>
      <c r="S319" s="508"/>
      <c r="T319" s="508"/>
      <c r="U319" s="508"/>
      <c r="V319" s="508"/>
      <c r="W319" s="508"/>
      <c r="X319" s="508"/>
      <c r="Y319" s="508"/>
      <c r="Z319" s="508"/>
    </row>
    <row r="320" ht="13.5" customHeight="1">
      <c r="A320" s="508"/>
      <c r="B320" s="508"/>
      <c r="C320" s="508"/>
      <c r="D320" s="508"/>
      <c r="E320" s="508"/>
      <c r="F320" s="508"/>
      <c r="G320" s="508"/>
      <c r="H320" s="508"/>
      <c r="I320" s="508"/>
      <c r="J320" s="508"/>
      <c r="K320" s="508"/>
      <c r="L320" s="508"/>
      <c r="M320" s="508"/>
      <c r="N320" s="508"/>
      <c r="O320" s="508"/>
      <c r="P320" s="508"/>
      <c r="Q320" s="508"/>
      <c r="R320" s="508"/>
      <c r="S320" s="508"/>
      <c r="T320" s="508"/>
      <c r="U320" s="508"/>
      <c r="V320" s="508"/>
      <c r="W320" s="508"/>
      <c r="X320" s="508"/>
      <c r="Y320" s="508"/>
      <c r="Z320" s="508"/>
    </row>
    <row r="321" ht="13.5" customHeight="1">
      <c r="A321" s="508"/>
      <c r="B321" s="508"/>
      <c r="C321" s="508"/>
      <c r="D321" s="508"/>
      <c r="E321" s="508"/>
      <c r="F321" s="508"/>
      <c r="G321" s="508"/>
      <c r="H321" s="508"/>
      <c r="I321" s="508"/>
      <c r="J321" s="508"/>
      <c r="K321" s="508"/>
      <c r="L321" s="508"/>
      <c r="M321" s="508"/>
      <c r="N321" s="508"/>
      <c r="O321" s="508"/>
      <c r="P321" s="508"/>
      <c r="Q321" s="508"/>
      <c r="R321" s="508"/>
      <c r="S321" s="508"/>
      <c r="T321" s="508"/>
      <c r="U321" s="508"/>
      <c r="V321" s="508"/>
      <c r="W321" s="508"/>
      <c r="X321" s="508"/>
      <c r="Y321" s="508"/>
      <c r="Z321" s="508"/>
    </row>
    <row r="322" ht="13.5" customHeight="1">
      <c r="A322" s="508"/>
      <c r="B322" s="508"/>
      <c r="C322" s="508"/>
      <c r="D322" s="508"/>
      <c r="E322" s="508"/>
      <c r="F322" s="508"/>
      <c r="G322" s="508"/>
      <c r="H322" s="508"/>
      <c r="I322" s="508"/>
      <c r="J322" s="508"/>
      <c r="K322" s="508"/>
      <c r="L322" s="508"/>
      <c r="M322" s="508"/>
      <c r="N322" s="508"/>
      <c r="O322" s="508"/>
      <c r="P322" s="508"/>
      <c r="Q322" s="508"/>
      <c r="R322" s="508"/>
      <c r="S322" s="508"/>
      <c r="T322" s="508"/>
      <c r="U322" s="508"/>
      <c r="V322" s="508"/>
      <c r="W322" s="508"/>
      <c r="X322" s="508"/>
      <c r="Y322" s="508"/>
      <c r="Z322" s="508"/>
    </row>
    <row r="323" ht="13.5" customHeight="1">
      <c r="A323" s="508"/>
      <c r="B323" s="508"/>
      <c r="C323" s="508"/>
      <c r="D323" s="508"/>
      <c r="E323" s="508"/>
      <c r="F323" s="508"/>
      <c r="G323" s="508"/>
      <c r="H323" s="508"/>
      <c r="I323" s="508"/>
      <c r="J323" s="508"/>
      <c r="K323" s="508"/>
      <c r="L323" s="508"/>
      <c r="M323" s="508"/>
      <c r="N323" s="508"/>
      <c r="O323" s="508"/>
      <c r="P323" s="508"/>
      <c r="Q323" s="508"/>
      <c r="R323" s="508"/>
      <c r="S323" s="508"/>
      <c r="T323" s="508"/>
      <c r="U323" s="508"/>
      <c r="V323" s="508"/>
      <c r="W323" s="508"/>
      <c r="X323" s="508"/>
      <c r="Y323" s="508"/>
      <c r="Z323" s="508"/>
    </row>
    <row r="324" ht="13.5" customHeight="1">
      <c r="A324" s="508"/>
      <c r="B324" s="508"/>
      <c r="C324" s="508"/>
      <c r="D324" s="508"/>
      <c r="E324" s="508"/>
      <c r="F324" s="508"/>
      <c r="G324" s="508"/>
      <c r="H324" s="508"/>
      <c r="I324" s="508"/>
      <c r="J324" s="508"/>
      <c r="K324" s="508"/>
      <c r="L324" s="508"/>
      <c r="M324" s="508"/>
      <c r="N324" s="508"/>
      <c r="O324" s="508"/>
      <c r="P324" s="508"/>
      <c r="Q324" s="508"/>
      <c r="R324" s="508"/>
      <c r="S324" s="508"/>
      <c r="T324" s="508"/>
      <c r="U324" s="508"/>
      <c r="V324" s="508"/>
      <c r="W324" s="508"/>
      <c r="X324" s="508"/>
      <c r="Y324" s="508"/>
      <c r="Z324" s="508"/>
    </row>
    <row r="325" ht="13.5" customHeight="1">
      <c r="A325" s="508"/>
      <c r="B325" s="508"/>
      <c r="C325" s="508"/>
      <c r="D325" s="508"/>
      <c r="E325" s="508"/>
      <c r="F325" s="508"/>
      <c r="G325" s="508"/>
      <c r="H325" s="508"/>
      <c r="I325" s="508"/>
      <c r="J325" s="508"/>
      <c r="K325" s="508"/>
      <c r="L325" s="508"/>
      <c r="M325" s="508"/>
      <c r="N325" s="508"/>
      <c r="O325" s="508"/>
      <c r="P325" s="508"/>
      <c r="Q325" s="508"/>
      <c r="R325" s="508"/>
      <c r="S325" s="508"/>
      <c r="T325" s="508"/>
      <c r="U325" s="508"/>
      <c r="V325" s="508"/>
      <c r="W325" s="508"/>
      <c r="X325" s="508"/>
      <c r="Y325" s="508"/>
      <c r="Z325" s="508"/>
    </row>
    <row r="326" ht="13.5" customHeight="1">
      <c r="A326" s="508"/>
      <c r="B326" s="508"/>
      <c r="C326" s="508"/>
      <c r="D326" s="508"/>
      <c r="E326" s="508"/>
      <c r="F326" s="508"/>
      <c r="G326" s="508"/>
      <c r="H326" s="508"/>
      <c r="I326" s="508"/>
      <c r="J326" s="508"/>
      <c r="K326" s="508"/>
      <c r="L326" s="508"/>
      <c r="M326" s="508"/>
      <c r="N326" s="508"/>
      <c r="O326" s="508"/>
      <c r="P326" s="508"/>
      <c r="Q326" s="508"/>
      <c r="R326" s="508"/>
      <c r="S326" s="508"/>
      <c r="T326" s="508"/>
      <c r="U326" s="508"/>
      <c r="V326" s="508"/>
      <c r="W326" s="508"/>
      <c r="X326" s="508"/>
      <c r="Y326" s="508"/>
      <c r="Z326" s="508"/>
    </row>
    <row r="327" ht="13.5" customHeight="1">
      <c r="A327" s="508"/>
      <c r="B327" s="508"/>
      <c r="C327" s="508"/>
      <c r="D327" s="508"/>
      <c r="E327" s="508"/>
      <c r="F327" s="508"/>
      <c r="G327" s="508"/>
      <c r="H327" s="508"/>
      <c r="I327" s="508"/>
      <c r="J327" s="508"/>
      <c r="K327" s="508"/>
      <c r="L327" s="508"/>
      <c r="M327" s="508"/>
      <c r="N327" s="508"/>
      <c r="O327" s="508"/>
      <c r="P327" s="508"/>
      <c r="Q327" s="508"/>
      <c r="R327" s="508"/>
      <c r="S327" s="508"/>
      <c r="T327" s="508"/>
      <c r="U327" s="508"/>
      <c r="V327" s="508"/>
      <c r="W327" s="508"/>
      <c r="X327" s="508"/>
      <c r="Y327" s="508"/>
      <c r="Z327" s="508"/>
    </row>
    <row r="328" ht="13.5" customHeight="1">
      <c r="A328" s="508"/>
      <c r="B328" s="508"/>
      <c r="C328" s="508"/>
      <c r="D328" s="508"/>
      <c r="E328" s="508"/>
      <c r="F328" s="508"/>
      <c r="G328" s="508"/>
      <c r="H328" s="508"/>
      <c r="I328" s="508"/>
      <c r="J328" s="508"/>
      <c r="K328" s="508"/>
      <c r="L328" s="508"/>
      <c r="M328" s="508"/>
      <c r="N328" s="508"/>
      <c r="O328" s="508"/>
      <c r="P328" s="508"/>
      <c r="Q328" s="508"/>
      <c r="R328" s="508"/>
      <c r="S328" s="508"/>
      <c r="T328" s="508"/>
      <c r="U328" s="508"/>
      <c r="V328" s="508"/>
      <c r="W328" s="508"/>
      <c r="X328" s="508"/>
      <c r="Y328" s="508"/>
      <c r="Z328" s="508"/>
    </row>
    <row r="329" ht="13.5" customHeight="1">
      <c r="A329" s="508"/>
      <c r="B329" s="508"/>
      <c r="C329" s="508"/>
      <c r="D329" s="508"/>
      <c r="E329" s="508"/>
      <c r="F329" s="508"/>
      <c r="G329" s="508"/>
      <c r="H329" s="508"/>
      <c r="I329" s="508"/>
      <c r="J329" s="508"/>
      <c r="K329" s="508"/>
      <c r="L329" s="508"/>
      <c r="M329" s="508"/>
      <c r="N329" s="508"/>
      <c r="O329" s="508"/>
      <c r="P329" s="508"/>
      <c r="Q329" s="508"/>
      <c r="R329" s="508"/>
      <c r="S329" s="508"/>
      <c r="T329" s="508"/>
      <c r="U329" s="508"/>
      <c r="V329" s="508"/>
      <c r="W329" s="508"/>
      <c r="X329" s="508"/>
      <c r="Y329" s="508"/>
      <c r="Z329" s="508"/>
    </row>
    <row r="330" ht="13.5" customHeight="1">
      <c r="A330" s="508"/>
      <c r="B330" s="508"/>
      <c r="C330" s="508"/>
      <c r="D330" s="508"/>
      <c r="E330" s="508"/>
      <c r="F330" s="508"/>
      <c r="G330" s="508"/>
      <c r="H330" s="508"/>
      <c r="I330" s="508"/>
      <c r="J330" s="508"/>
      <c r="K330" s="508"/>
      <c r="L330" s="508"/>
      <c r="M330" s="508"/>
      <c r="N330" s="508"/>
      <c r="O330" s="508"/>
      <c r="P330" s="508"/>
      <c r="Q330" s="508"/>
      <c r="R330" s="508"/>
      <c r="S330" s="508"/>
      <c r="T330" s="508"/>
      <c r="U330" s="508"/>
      <c r="V330" s="508"/>
      <c r="W330" s="508"/>
      <c r="X330" s="508"/>
      <c r="Y330" s="508"/>
      <c r="Z330" s="508"/>
    </row>
    <row r="331" ht="13.5" customHeight="1">
      <c r="A331" s="508"/>
      <c r="B331" s="508"/>
      <c r="C331" s="508"/>
      <c r="D331" s="508"/>
      <c r="E331" s="508"/>
      <c r="F331" s="508"/>
      <c r="G331" s="508"/>
      <c r="H331" s="508"/>
      <c r="I331" s="508"/>
      <c r="J331" s="508"/>
      <c r="K331" s="508"/>
      <c r="L331" s="508"/>
      <c r="M331" s="508"/>
      <c r="N331" s="508"/>
      <c r="O331" s="508"/>
      <c r="P331" s="508"/>
      <c r="Q331" s="508"/>
      <c r="R331" s="508"/>
      <c r="S331" s="508"/>
      <c r="T331" s="508"/>
      <c r="U331" s="508"/>
      <c r="V331" s="508"/>
      <c r="W331" s="508"/>
      <c r="X331" s="508"/>
      <c r="Y331" s="508"/>
      <c r="Z331" s="508"/>
    </row>
    <row r="332" ht="13.5" customHeight="1">
      <c r="A332" s="508"/>
      <c r="B332" s="508"/>
      <c r="C332" s="508"/>
      <c r="D332" s="508"/>
      <c r="E332" s="508"/>
      <c r="F332" s="508"/>
      <c r="G332" s="508"/>
      <c r="H332" s="508"/>
      <c r="I332" s="508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508"/>
      <c r="Y332" s="508"/>
      <c r="Z332" s="508"/>
    </row>
    <row r="333" ht="13.5" customHeight="1">
      <c r="A333" s="508"/>
      <c r="B333" s="508"/>
      <c r="C333" s="508"/>
      <c r="D333" s="508"/>
      <c r="E333" s="508"/>
      <c r="F333" s="508"/>
      <c r="G333" s="508"/>
      <c r="H333" s="508"/>
      <c r="I333" s="508"/>
      <c r="J333" s="508"/>
      <c r="K333" s="508"/>
      <c r="L333" s="508"/>
      <c r="M333" s="508"/>
      <c r="N333" s="508"/>
      <c r="O333" s="508"/>
      <c r="P333" s="508"/>
      <c r="Q333" s="508"/>
      <c r="R333" s="508"/>
      <c r="S333" s="508"/>
      <c r="T333" s="508"/>
      <c r="U333" s="508"/>
      <c r="V333" s="508"/>
      <c r="W333" s="508"/>
      <c r="X333" s="508"/>
      <c r="Y333" s="508"/>
      <c r="Z333" s="508"/>
    </row>
    <row r="334" ht="13.5" customHeight="1">
      <c r="A334" s="508"/>
      <c r="B334" s="508"/>
      <c r="C334" s="508"/>
      <c r="D334" s="508"/>
      <c r="E334" s="508"/>
      <c r="F334" s="508"/>
      <c r="G334" s="508"/>
      <c r="H334" s="508"/>
      <c r="I334" s="508"/>
      <c r="J334" s="508"/>
      <c r="K334" s="508"/>
      <c r="L334" s="508"/>
      <c r="M334" s="508"/>
      <c r="N334" s="508"/>
      <c r="O334" s="508"/>
      <c r="P334" s="508"/>
      <c r="Q334" s="508"/>
      <c r="R334" s="508"/>
      <c r="S334" s="508"/>
      <c r="T334" s="508"/>
      <c r="U334" s="508"/>
      <c r="V334" s="508"/>
      <c r="W334" s="508"/>
      <c r="X334" s="508"/>
      <c r="Y334" s="508"/>
      <c r="Z334" s="508"/>
    </row>
    <row r="335" ht="13.5" customHeight="1">
      <c r="A335" s="508"/>
      <c r="B335" s="508"/>
      <c r="C335" s="508"/>
      <c r="D335" s="508"/>
      <c r="E335" s="508"/>
      <c r="F335" s="508"/>
      <c r="G335" s="508"/>
      <c r="H335" s="508"/>
      <c r="I335" s="508"/>
      <c r="J335" s="508"/>
      <c r="K335" s="508"/>
      <c r="L335" s="508"/>
      <c r="M335" s="508"/>
      <c r="N335" s="508"/>
      <c r="O335" s="508"/>
      <c r="P335" s="508"/>
      <c r="Q335" s="508"/>
      <c r="R335" s="508"/>
      <c r="S335" s="508"/>
      <c r="T335" s="508"/>
      <c r="U335" s="508"/>
      <c r="V335" s="508"/>
      <c r="W335" s="508"/>
      <c r="X335" s="508"/>
      <c r="Y335" s="508"/>
      <c r="Z335" s="508"/>
    </row>
    <row r="336" ht="13.5" customHeight="1">
      <c r="A336" s="508"/>
      <c r="B336" s="508"/>
      <c r="C336" s="508"/>
      <c r="D336" s="508"/>
      <c r="E336" s="508"/>
      <c r="F336" s="508"/>
      <c r="G336" s="508"/>
      <c r="H336" s="508"/>
      <c r="I336" s="508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  <c r="Z336" s="508"/>
    </row>
    <row r="337" ht="13.5" customHeight="1">
      <c r="A337" s="508"/>
      <c r="B337" s="508"/>
      <c r="C337" s="508"/>
      <c r="D337" s="508"/>
      <c r="E337" s="508"/>
      <c r="F337" s="508"/>
      <c r="G337" s="508"/>
      <c r="H337" s="508"/>
      <c r="I337" s="508"/>
      <c r="J337" s="508"/>
      <c r="K337" s="508"/>
      <c r="L337" s="508"/>
      <c r="M337" s="508"/>
      <c r="N337" s="508"/>
      <c r="O337" s="508"/>
      <c r="P337" s="508"/>
      <c r="Q337" s="508"/>
      <c r="R337" s="508"/>
      <c r="S337" s="508"/>
      <c r="T337" s="508"/>
      <c r="U337" s="508"/>
      <c r="V337" s="508"/>
      <c r="W337" s="508"/>
      <c r="X337" s="508"/>
      <c r="Y337" s="508"/>
      <c r="Z337" s="508"/>
    </row>
    <row r="338" ht="13.5" customHeight="1">
      <c r="A338" s="508"/>
      <c r="B338" s="508"/>
      <c r="C338" s="508"/>
      <c r="D338" s="508"/>
      <c r="E338" s="508"/>
      <c r="F338" s="508"/>
      <c r="G338" s="508"/>
      <c r="H338" s="508"/>
      <c r="I338" s="508"/>
      <c r="J338" s="508"/>
      <c r="K338" s="508"/>
      <c r="L338" s="508"/>
      <c r="M338" s="508"/>
      <c r="N338" s="508"/>
      <c r="O338" s="508"/>
      <c r="P338" s="508"/>
      <c r="Q338" s="508"/>
      <c r="R338" s="508"/>
      <c r="S338" s="508"/>
      <c r="T338" s="508"/>
      <c r="U338" s="508"/>
      <c r="V338" s="508"/>
      <c r="W338" s="508"/>
      <c r="X338" s="508"/>
      <c r="Y338" s="508"/>
      <c r="Z338" s="508"/>
    </row>
    <row r="339" ht="13.5" customHeight="1">
      <c r="A339" s="508"/>
      <c r="B339" s="508"/>
      <c r="C339" s="508"/>
      <c r="D339" s="508"/>
      <c r="E339" s="508"/>
      <c r="F339" s="508"/>
      <c r="G339" s="508"/>
      <c r="H339" s="508"/>
      <c r="I339" s="508"/>
      <c r="J339" s="508"/>
      <c r="K339" s="508"/>
      <c r="L339" s="508"/>
      <c r="M339" s="508"/>
      <c r="N339" s="508"/>
      <c r="O339" s="508"/>
      <c r="P339" s="508"/>
      <c r="Q339" s="508"/>
      <c r="R339" s="508"/>
      <c r="S339" s="508"/>
      <c r="T339" s="508"/>
      <c r="U339" s="508"/>
      <c r="V339" s="508"/>
      <c r="W339" s="508"/>
      <c r="X339" s="508"/>
      <c r="Y339" s="508"/>
      <c r="Z339" s="508"/>
    </row>
    <row r="340" ht="13.5" customHeight="1">
      <c r="A340" s="508"/>
      <c r="B340" s="508"/>
      <c r="C340" s="508"/>
      <c r="D340" s="508"/>
      <c r="E340" s="508"/>
      <c r="F340" s="508"/>
      <c r="G340" s="508"/>
      <c r="H340" s="508"/>
      <c r="I340" s="508"/>
      <c r="J340" s="508"/>
      <c r="K340" s="508"/>
      <c r="L340" s="508"/>
      <c r="M340" s="508"/>
      <c r="N340" s="508"/>
      <c r="O340" s="508"/>
      <c r="P340" s="508"/>
      <c r="Q340" s="508"/>
      <c r="R340" s="508"/>
      <c r="S340" s="508"/>
      <c r="T340" s="508"/>
      <c r="U340" s="508"/>
      <c r="V340" s="508"/>
      <c r="W340" s="508"/>
      <c r="X340" s="508"/>
      <c r="Y340" s="508"/>
      <c r="Z340" s="508"/>
    </row>
    <row r="341" ht="13.5" customHeight="1">
      <c r="A341" s="508"/>
      <c r="B341" s="508"/>
      <c r="C341" s="508"/>
      <c r="D341" s="508"/>
      <c r="E341" s="508"/>
      <c r="F341" s="508"/>
      <c r="G341" s="508"/>
      <c r="H341" s="508"/>
      <c r="I341" s="508"/>
      <c r="J341" s="508"/>
      <c r="K341" s="508"/>
      <c r="L341" s="508"/>
      <c r="M341" s="508"/>
      <c r="N341" s="508"/>
      <c r="O341" s="508"/>
      <c r="P341" s="508"/>
      <c r="Q341" s="508"/>
      <c r="R341" s="508"/>
      <c r="S341" s="508"/>
      <c r="T341" s="508"/>
      <c r="U341" s="508"/>
      <c r="V341" s="508"/>
      <c r="W341" s="508"/>
      <c r="X341" s="508"/>
      <c r="Y341" s="508"/>
      <c r="Z341" s="508"/>
    </row>
    <row r="342" ht="13.5" customHeight="1">
      <c r="A342" s="508"/>
      <c r="B342" s="508"/>
      <c r="C342" s="508"/>
      <c r="D342" s="508"/>
      <c r="E342" s="508"/>
      <c r="F342" s="508"/>
      <c r="G342" s="508"/>
      <c r="H342" s="508"/>
      <c r="I342" s="508"/>
      <c r="J342" s="508"/>
      <c r="K342" s="508"/>
      <c r="L342" s="508"/>
      <c r="M342" s="508"/>
      <c r="N342" s="508"/>
      <c r="O342" s="508"/>
      <c r="P342" s="508"/>
      <c r="Q342" s="508"/>
      <c r="R342" s="508"/>
      <c r="S342" s="508"/>
      <c r="T342" s="508"/>
      <c r="U342" s="508"/>
      <c r="V342" s="508"/>
      <c r="W342" s="508"/>
      <c r="X342" s="508"/>
      <c r="Y342" s="508"/>
      <c r="Z342" s="508"/>
    </row>
    <row r="343" ht="13.5" customHeight="1">
      <c r="A343" s="508"/>
      <c r="B343" s="508"/>
      <c r="C343" s="508"/>
      <c r="D343" s="508"/>
      <c r="E343" s="508"/>
      <c r="F343" s="508"/>
      <c r="G343" s="508"/>
      <c r="H343" s="508"/>
      <c r="I343" s="508"/>
      <c r="J343" s="508"/>
      <c r="K343" s="508"/>
      <c r="L343" s="508"/>
      <c r="M343" s="508"/>
      <c r="N343" s="508"/>
      <c r="O343" s="508"/>
      <c r="P343" s="508"/>
      <c r="Q343" s="508"/>
      <c r="R343" s="508"/>
      <c r="S343" s="508"/>
      <c r="T343" s="508"/>
      <c r="U343" s="508"/>
      <c r="V343" s="508"/>
      <c r="W343" s="508"/>
      <c r="X343" s="508"/>
      <c r="Y343" s="508"/>
      <c r="Z343" s="508"/>
    </row>
    <row r="344" ht="13.5" customHeight="1">
      <c r="A344" s="508"/>
      <c r="B344" s="508"/>
      <c r="C344" s="508"/>
      <c r="D344" s="508"/>
      <c r="E344" s="508"/>
      <c r="F344" s="508"/>
      <c r="G344" s="508"/>
      <c r="H344" s="508"/>
      <c r="I344" s="508"/>
      <c r="J344" s="508"/>
      <c r="K344" s="508"/>
      <c r="L344" s="508"/>
      <c r="M344" s="508"/>
      <c r="N344" s="508"/>
      <c r="O344" s="508"/>
      <c r="P344" s="508"/>
      <c r="Q344" s="508"/>
      <c r="R344" s="508"/>
      <c r="S344" s="508"/>
      <c r="T344" s="508"/>
      <c r="U344" s="508"/>
      <c r="V344" s="508"/>
      <c r="W344" s="508"/>
      <c r="X344" s="508"/>
      <c r="Y344" s="508"/>
      <c r="Z344" s="508"/>
    </row>
    <row r="345" ht="13.5" customHeight="1">
      <c r="A345" s="508"/>
      <c r="B345" s="508"/>
      <c r="C345" s="508"/>
      <c r="D345" s="508"/>
      <c r="E345" s="508"/>
      <c r="F345" s="508"/>
      <c r="G345" s="508"/>
      <c r="H345" s="508"/>
      <c r="I345" s="508"/>
      <c r="J345" s="508"/>
      <c r="K345" s="508"/>
      <c r="L345" s="508"/>
      <c r="M345" s="508"/>
      <c r="N345" s="508"/>
      <c r="O345" s="508"/>
      <c r="P345" s="508"/>
      <c r="Q345" s="508"/>
      <c r="R345" s="508"/>
      <c r="S345" s="508"/>
      <c r="T345" s="508"/>
      <c r="U345" s="508"/>
      <c r="V345" s="508"/>
      <c r="W345" s="508"/>
      <c r="X345" s="508"/>
      <c r="Y345" s="508"/>
      <c r="Z345" s="508"/>
    </row>
    <row r="346" ht="13.5" customHeight="1">
      <c r="A346" s="508"/>
      <c r="B346" s="508"/>
      <c r="C346" s="508"/>
      <c r="D346" s="508"/>
      <c r="E346" s="508"/>
      <c r="F346" s="508"/>
      <c r="G346" s="508"/>
      <c r="H346" s="508"/>
      <c r="I346" s="508"/>
      <c r="J346" s="508"/>
      <c r="K346" s="508"/>
      <c r="L346" s="508"/>
      <c r="M346" s="508"/>
      <c r="N346" s="508"/>
      <c r="O346" s="508"/>
      <c r="P346" s="508"/>
      <c r="Q346" s="508"/>
      <c r="R346" s="508"/>
      <c r="S346" s="508"/>
      <c r="T346" s="508"/>
      <c r="U346" s="508"/>
      <c r="V346" s="508"/>
      <c r="W346" s="508"/>
      <c r="X346" s="508"/>
      <c r="Y346" s="508"/>
      <c r="Z346" s="508"/>
    </row>
    <row r="347" ht="13.5" customHeight="1">
      <c r="A347" s="508"/>
      <c r="B347" s="508"/>
      <c r="C347" s="508"/>
      <c r="D347" s="508"/>
      <c r="E347" s="508"/>
      <c r="F347" s="508"/>
      <c r="G347" s="508"/>
      <c r="H347" s="508"/>
      <c r="I347" s="508"/>
      <c r="J347" s="508"/>
      <c r="K347" s="508"/>
      <c r="L347" s="508"/>
      <c r="M347" s="508"/>
      <c r="N347" s="508"/>
      <c r="O347" s="508"/>
      <c r="P347" s="508"/>
      <c r="Q347" s="508"/>
      <c r="R347" s="508"/>
      <c r="S347" s="508"/>
      <c r="T347" s="508"/>
      <c r="U347" s="508"/>
      <c r="V347" s="508"/>
      <c r="W347" s="508"/>
      <c r="X347" s="508"/>
      <c r="Y347" s="508"/>
      <c r="Z347" s="508"/>
    </row>
    <row r="348" ht="13.5" customHeight="1">
      <c r="A348" s="508"/>
      <c r="B348" s="508"/>
      <c r="C348" s="508"/>
      <c r="D348" s="508"/>
      <c r="E348" s="508"/>
      <c r="F348" s="508"/>
      <c r="G348" s="508"/>
      <c r="H348" s="508"/>
      <c r="I348" s="508"/>
      <c r="J348" s="508"/>
      <c r="K348" s="508"/>
      <c r="L348" s="508"/>
      <c r="M348" s="508"/>
      <c r="N348" s="508"/>
      <c r="O348" s="508"/>
      <c r="P348" s="508"/>
      <c r="Q348" s="508"/>
      <c r="R348" s="508"/>
      <c r="S348" s="508"/>
      <c r="T348" s="508"/>
      <c r="U348" s="508"/>
      <c r="V348" s="508"/>
      <c r="W348" s="508"/>
      <c r="X348" s="508"/>
      <c r="Y348" s="508"/>
      <c r="Z348" s="508"/>
    </row>
    <row r="349" ht="13.5" customHeight="1">
      <c r="A349" s="508"/>
      <c r="B349" s="508"/>
      <c r="C349" s="508"/>
      <c r="D349" s="508"/>
      <c r="E349" s="508"/>
      <c r="F349" s="508"/>
      <c r="G349" s="508"/>
      <c r="H349" s="508"/>
      <c r="I349" s="508"/>
      <c r="J349" s="508"/>
      <c r="K349" s="508"/>
      <c r="L349" s="508"/>
      <c r="M349" s="508"/>
      <c r="N349" s="508"/>
      <c r="O349" s="508"/>
      <c r="P349" s="508"/>
      <c r="Q349" s="508"/>
      <c r="R349" s="508"/>
      <c r="S349" s="508"/>
      <c r="T349" s="508"/>
      <c r="U349" s="508"/>
      <c r="V349" s="508"/>
      <c r="W349" s="508"/>
      <c r="X349" s="508"/>
      <c r="Y349" s="508"/>
      <c r="Z349" s="508"/>
    </row>
    <row r="350" ht="13.5" customHeight="1">
      <c r="A350" s="508"/>
      <c r="B350" s="508"/>
      <c r="C350" s="508"/>
      <c r="D350" s="508"/>
      <c r="E350" s="508"/>
      <c r="F350" s="508"/>
      <c r="G350" s="508"/>
      <c r="H350" s="508"/>
      <c r="I350" s="508"/>
      <c r="J350" s="508"/>
      <c r="K350" s="508"/>
      <c r="L350" s="508"/>
      <c r="M350" s="508"/>
      <c r="N350" s="508"/>
      <c r="O350" s="508"/>
      <c r="P350" s="508"/>
      <c r="Q350" s="508"/>
      <c r="R350" s="508"/>
      <c r="S350" s="508"/>
      <c r="T350" s="508"/>
      <c r="U350" s="508"/>
      <c r="V350" s="508"/>
      <c r="W350" s="508"/>
      <c r="X350" s="508"/>
      <c r="Y350" s="508"/>
      <c r="Z350" s="508"/>
    </row>
    <row r="351" ht="13.5" customHeight="1">
      <c r="A351" s="508"/>
      <c r="B351" s="508"/>
      <c r="C351" s="508"/>
      <c r="D351" s="508"/>
      <c r="E351" s="508"/>
      <c r="F351" s="508"/>
      <c r="G351" s="508"/>
      <c r="H351" s="508"/>
      <c r="I351" s="508"/>
      <c r="J351" s="508"/>
      <c r="K351" s="508"/>
      <c r="L351" s="508"/>
      <c r="M351" s="508"/>
      <c r="N351" s="508"/>
      <c r="O351" s="508"/>
      <c r="P351" s="508"/>
      <c r="Q351" s="508"/>
      <c r="R351" s="508"/>
      <c r="S351" s="508"/>
      <c r="T351" s="508"/>
      <c r="U351" s="508"/>
      <c r="V351" s="508"/>
      <c r="W351" s="508"/>
      <c r="X351" s="508"/>
      <c r="Y351" s="508"/>
      <c r="Z351" s="508"/>
    </row>
    <row r="352" ht="13.5" customHeight="1">
      <c r="A352" s="508"/>
      <c r="B352" s="508"/>
      <c r="C352" s="508"/>
      <c r="D352" s="508"/>
      <c r="E352" s="508"/>
      <c r="F352" s="508"/>
      <c r="G352" s="508"/>
      <c r="H352" s="508"/>
      <c r="I352" s="508"/>
      <c r="J352" s="508"/>
      <c r="K352" s="508"/>
      <c r="L352" s="508"/>
      <c r="M352" s="508"/>
      <c r="N352" s="508"/>
      <c r="O352" s="508"/>
      <c r="P352" s="508"/>
      <c r="Q352" s="508"/>
      <c r="R352" s="508"/>
      <c r="S352" s="508"/>
      <c r="T352" s="508"/>
      <c r="U352" s="508"/>
      <c r="V352" s="508"/>
      <c r="W352" s="508"/>
      <c r="X352" s="508"/>
      <c r="Y352" s="508"/>
      <c r="Z352" s="508"/>
    </row>
    <row r="353" ht="13.5" customHeight="1">
      <c r="A353" s="508"/>
      <c r="B353" s="508"/>
      <c r="C353" s="508"/>
      <c r="D353" s="508"/>
      <c r="E353" s="508"/>
      <c r="F353" s="508"/>
      <c r="G353" s="508"/>
      <c r="H353" s="508"/>
      <c r="I353" s="508"/>
      <c r="J353" s="508"/>
      <c r="K353" s="508"/>
      <c r="L353" s="508"/>
      <c r="M353" s="508"/>
      <c r="N353" s="508"/>
      <c r="O353" s="508"/>
      <c r="P353" s="508"/>
      <c r="Q353" s="508"/>
      <c r="R353" s="508"/>
      <c r="S353" s="508"/>
      <c r="T353" s="508"/>
      <c r="U353" s="508"/>
      <c r="V353" s="508"/>
      <c r="W353" s="508"/>
      <c r="X353" s="508"/>
      <c r="Y353" s="508"/>
      <c r="Z353" s="508"/>
    </row>
    <row r="354" ht="13.5" customHeight="1">
      <c r="A354" s="508"/>
      <c r="B354" s="508"/>
      <c r="C354" s="508"/>
      <c r="D354" s="508"/>
      <c r="E354" s="508"/>
      <c r="F354" s="508"/>
      <c r="G354" s="508"/>
      <c r="H354" s="508"/>
      <c r="I354" s="508"/>
      <c r="J354" s="508"/>
      <c r="K354" s="508"/>
      <c r="L354" s="508"/>
      <c r="M354" s="508"/>
      <c r="N354" s="508"/>
      <c r="O354" s="508"/>
      <c r="P354" s="508"/>
      <c r="Q354" s="508"/>
      <c r="R354" s="508"/>
      <c r="S354" s="508"/>
      <c r="T354" s="508"/>
      <c r="U354" s="508"/>
      <c r="V354" s="508"/>
      <c r="W354" s="508"/>
      <c r="X354" s="508"/>
      <c r="Y354" s="508"/>
      <c r="Z354" s="508"/>
    </row>
    <row r="355" ht="13.5" customHeight="1">
      <c r="A355" s="508"/>
      <c r="B355" s="508"/>
      <c r="C355" s="508"/>
      <c r="D355" s="508"/>
      <c r="E355" s="508"/>
      <c r="F355" s="508"/>
      <c r="G355" s="508"/>
      <c r="H355" s="508"/>
      <c r="I355" s="508"/>
      <c r="J355" s="508"/>
      <c r="K355" s="508"/>
      <c r="L355" s="508"/>
      <c r="M355" s="508"/>
      <c r="N355" s="508"/>
      <c r="O355" s="508"/>
      <c r="P355" s="508"/>
      <c r="Q355" s="508"/>
      <c r="R355" s="508"/>
      <c r="S355" s="508"/>
      <c r="T355" s="508"/>
      <c r="U355" s="508"/>
      <c r="V355" s="508"/>
      <c r="W355" s="508"/>
      <c r="X355" s="508"/>
      <c r="Y355" s="508"/>
      <c r="Z355" s="508"/>
    </row>
    <row r="356" ht="13.5" customHeight="1">
      <c r="A356" s="508"/>
      <c r="B356" s="508"/>
      <c r="C356" s="508"/>
      <c r="D356" s="508"/>
      <c r="E356" s="508"/>
      <c r="F356" s="508"/>
      <c r="G356" s="508"/>
      <c r="H356" s="508"/>
      <c r="I356" s="508"/>
      <c r="J356" s="508"/>
      <c r="K356" s="508"/>
      <c r="L356" s="508"/>
      <c r="M356" s="508"/>
      <c r="N356" s="508"/>
      <c r="O356" s="508"/>
      <c r="P356" s="508"/>
      <c r="Q356" s="508"/>
      <c r="R356" s="508"/>
      <c r="S356" s="508"/>
      <c r="T356" s="508"/>
      <c r="U356" s="508"/>
      <c r="V356" s="508"/>
      <c r="W356" s="508"/>
      <c r="X356" s="508"/>
      <c r="Y356" s="508"/>
      <c r="Z356" s="508"/>
    </row>
    <row r="357" ht="13.5" customHeight="1">
      <c r="A357" s="508"/>
      <c r="B357" s="508"/>
      <c r="C357" s="508"/>
      <c r="D357" s="508"/>
      <c r="E357" s="508"/>
      <c r="F357" s="508"/>
      <c r="G357" s="508"/>
      <c r="H357" s="508"/>
      <c r="I357" s="508"/>
      <c r="J357" s="508"/>
      <c r="K357" s="508"/>
      <c r="L357" s="508"/>
      <c r="M357" s="508"/>
      <c r="N357" s="508"/>
      <c r="O357" s="508"/>
      <c r="P357" s="508"/>
      <c r="Q357" s="508"/>
      <c r="R357" s="508"/>
      <c r="S357" s="508"/>
      <c r="T357" s="508"/>
      <c r="U357" s="508"/>
      <c r="V357" s="508"/>
      <c r="W357" s="508"/>
      <c r="X357" s="508"/>
      <c r="Y357" s="508"/>
      <c r="Z357" s="508"/>
    </row>
    <row r="358" ht="13.5" customHeight="1">
      <c r="A358" s="508"/>
      <c r="B358" s="508"/>
      <c r="C358" s="508"/>
      <c r="D358" s="508"/>
      <c r="E358" s="508"/>
      <c r="F358" s="508"/>
      <c r="G358" s="508"/>
      <c r="H358" s="508"/>
      <c r="I358" s="508"/>
      <c r="J358" s="508"/>
      <c r="K358" s="508"/>
      <c r="L358" s="508"/>
      <c r="M358" s="508"/>
      <c r="N358" s="508"/>
      <c r="O358" s="508"/>
      <c r="P358" s="508"/>
      <c r="Q358" s="508"/>
      <c r="R358" s="508"/>
      <c r="S358" s="508"/>
      <c r="T358" s="508"/>
      <c r="U358" s="508"/>
      <c r="V358" s="508"/>
      <c r="W358" s="508"/>
      <c r="X358" s="508"/>
      <c r="Y358" s="508"/>
      <c r="Z358" s="508"/>
    </row>
    <row r="359" ht="13.5" customHeight="1">
      <c r="A359" s="508"/>
      <c r="B359" s="508"/>
      <c r="C359" s="508"/>
      <c r="D359" s="508"/>
      <c r="E359" s="508"/>
      <c r="F359" s="508"/>
      <c r="G359" s="508"/>
      <c r="H359" s="508"/>
      <c r="I359" s="508"/>
      <c r="J359" s="508"/>
      <c r="K359" s="508"/>
      <c r="L359" s="508"/>
      <c r="M359" s="508"/>
      <c r="N359" s="508"/>
      <c r="O359" s="508"/>
      <c r="P359" s="508"/>
      <c r="Q359" s="508"/>
      <c r="R359" s="508"/>
      <c r="S359" s="508"/>
      <c r="T359" s="508"/>
      <c r="U359" s="508"/>
      <c r="V359" s="508"/>
      <c r="W359" s="508"/>
      <c r="X359" s="508"/>
      <c r="Y359" s="508"/>
      <c r="Z359" s="508"/>
    </row>
    <row r="360" ht="13.5" customHeight="1">
      <c r="A360" s="508"/>
      <c r="B360" s="508"/>
      <c r="C360" s="508"/>
      <c r="D360" s="508"/>
      <c r="E360" s="508"/>
      <c r="F360" s="508"/>
      <c r="G360" s="508"/>
      <c r="H360" s="508"/>
      <c r="I360" s="508"/>
      <c r="J360" s="508"/>
      <c r="K360" s="508"/>
      <c r="L360" s="508"/>
      <c r="M360" s="508"/>
      <c r="N360" s="508"/>
      <c r="O360" s="508"/>
      <c r="P360" s="508"/>
      <c r="Q360" s="508"/>
      <c r="R360" s="508"/>
      <c r="S360" s="508"/>
      <c r="T360" s="508"/>
      <c r="U360" s="508"/>
      <c r="V360" s="508"/>
      <c r="W360" s="508"/>
      <c r="X360" s="508"/>
      <c r="Y360" s="508"/>
      <c r="Z360" s="508"/>
    </row>
    <row r="361" ht="13.5" customHeight="1">
      <c r="A361" s="508"/>
      <c r="B361" s="508"/>
      <c r="C361" s="508"/>
      <c r="D361" s="508"/>
      <c r="E361" s="508"/>
      <c r="F361" s="508"/>
      <c r="G361" s="508"/>
      <c r="H361" s="508"/>
      <c r="I361" s="508"/>
      <c r="J361" s="508"/>
      <c r="K361" s="508"/>
      <c r="L361" s="508"/>
      <c r="M361" s="508"/>
      <c r="N361" s="508"/>
      <c r="O361" s="508"/>
      <c r="P361" s="508"/>
      <c r="Q361" s="508"/>
      <c r="R361" s="508"/>
      <c r="S361" s="508"/>
      <c r="T361" s="508"/>
      <c r="U361" s="508"/>
      <c r="V361" s="508"/>
      <c r="W361" s="508"/>
      <c r="X361" s="508"/>
      <c r="Y361" s="508"/>
      <c r="Z361" s="508"/>
    </row>
    <row r="362" ht="13.5" customHeight="1">
      <c r="A362" s="508"/>
      <c r="B362" s="508"/>
      <c r="C362" s="508"/>
      <c r="D362" s="508"/>
      <c r="E362" s="508"/>
      <c r="F362" s="508"/>
      <c r="G362" s="508"/>
      <c r="H362" s="508"/>
      <c r="I362" s="508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  <c r="Z362" s="508"/>
    </row>
    <row r="363" ht="13.5" customHeight="1">
      <c r="A363" s="508"/>
      <c r="B363" s="508"/>
      <c r="C363" s="508"/>
      <c r="D363" s="508"/>
      <c r="E363" s="508"/>
      <c r="F363" s="508"/>
      <c r="G363" s="508"/>
      <c r="H363" s="508"/>
      <c r="I363" s="508"/>
      <c r="J363" s="508"/>
      <c r="K363" s="508"/>
      <c r="L363" s="508"/>
      <c r="M363" s="508"/>
      <c r="N363" s="508"/>
      <c r="O363" s="508"/>
      <c r="P363" s="508"/>
      <c r="Q363" s="508"/>
      <c r="R363" s="508"/>
      <c r="S363" s="508"/>
      <c r="T363" s="508"/>
      <c r="U363" s="508"/>
      <c r="V363" s="508"/>
      <c r="W363" s="508"/>
      <c r="X363" s="508"/>
      <c r="Y363" s="508"/>
      <c r="Z363" s="508"/>
    </row>
    <row r="364" ht="13.5" customHeight="1">
      <c r="A364" s="508"/>
      <c r="B364" s="508"/>
      <c r="C364" s="508"/>
      <c r="D364" s="508"/>
      <c r="E364" s="508"/>
      <c r="F364" s="508"/>
      <c r="G364" s="508"/>
      <c r="H364" s="508"/>
      <c r="I364" s="508"/>
      <c r="J364" s="508"/>
      <c r="K364" s="508"/>
      <c r="L364" s="508"/>
      <c r="M364" s="508"/>
      <c r="N364" s="508"/>
      <c r="O364" s="508"/>
      <c r="P364" s="508"/>
      <c r="Q364" s="508"/>
      <c r="R364" s="508"/>
      <c r="S364" s="508"/>
      <c r="T364" s="508"/>
      <c r="U364" s="508"/>
      <c r="V364" s="508"/>
      <c r="W364" s="508"/>
      <c r="X364" s="508"/>
      <c r="Y364" s="508"/>
      <c r="Z364" s="508"/>
    </row>
    <row r="365" ht="13.5" customHeight="1">
      <c r="A365" s="508"/>
      <c r="B365" s="508"/>
      <c r="C365" s="508"/>
      <c r="D365" s="508"/>
      <c r="E365" s="508"/>
      <c r="F365" s="508"/>
      <c r="G365" s="508"/>
      <c r="H365" s="508"/>
      <c r="I365" s="508"/>
      <c r="J365" s="508"/>
      <c r="K365" s="508"/>
      <c r="L365" s="508"/>
      <c r="M365" s="508"/>
      <c r="N365" s="508"/>
      <c r="O365" s="508"/>
      <c r="P365" s="508"/>
      <c r="Q365" s="508"/>
      <c r="R365" s="508"/>
      <c r="S365" s="508"/>
      <c r="T365" s="508"/>
      <c r="U365" s="508"/>
      <c r="V365" s="508"/>
      <c r="W365" s="508"/>
      <c r="X365" s="508"/>
      <c r="Y365" s="508"/>
      <c r="Z365" s="508"/>
    </row>
    <row r="366" ht="13.5" customHeight="1">
      <c r="A366" s="508"/>
      <c r="B366" s="508"/>
      <c r="C366" s="508"/>
      <c r="D366" s="508"/>
      <c r="E366" s="508"/>
      <c r="F366" s="508"/>
      <c r="G366" s="508"/>
      <c r="H366" s="508"/>
      <c r="I366" s="508"/>
      <c r="J366" s="508"/>
      <c r="K366" s="508"/>
      <c r="L366" s="508"/>
      <c r="M366" s="508"/>
      <c r="N366" s="508"/>
      <c r="O366" s="508"/>
      <c r="P366" s="508"/>
      <c r="Q366" s="508"/>
      <c r="R366" s="508"/>
      <c r="S366" s="508"/>
      <c r="T366" s="508"/>
      <c r="U366" s="508"/>
      <c r="V366" s="508"/>
      <c r="W366" s="508"/>
      <c r="X366" s="508"/>
      <c r="Y366" s="508"/>
      <c r="Z366" s="508"/>
    </row>
    <row r="367" ht="13.5" customHeight="1">
      <c r="A367" s="508"/>
      <c r="B367" s="508"/>
      <c r="C367" s="508"/>
      <c r="D367" s="508"/>
      <c r="E367" s="508"/>
      <c r="F367" s="508"/>
      <c r="G367" s="508"/>
      <c r="H367" s="508"/>
      <c r="I367" s="508"/>
      <c r="J367" s="508"/>
      <c r="K367" s="508"/>
      <c r="L367" s="508"/>
      <c r="M367" s="508"/>
      <c r="N367" s="508"/>
      <c r="O367" s="508"/>
      <c r="P367" s="508"/>
      <c r="Q367" s="508"/>
      <c r="R367" s="508"/>
      <c r="S367" s="508"/>
      <c r="T367" s="508"/>
      <c r="U367" s="508"/>
      <c r="V367" s="508"/>
      <c r="W367" s="508"/>
      <c r="X367" s="508"/>
      <c r="Y367" s="508"/>
      <c r="Z367" s="508"/>
    </row>
    <row r="368" ht="13.5" customHeight="1">
      <c r="A368" s="508"/>
      <c r="B368" s="508"/>
      <c r="C368" s="508"/>
      <c r="D368" s="508"/>
      <c r="E368" s="508"/>
      <c r="F368" s="508"/>
      <c r="G368" s="508"/>
      <c r="H368" s="508"/>
      <c r="I368" s="508"/>
      <c r="J368" s="508"/>
      <c r="K368" s="508"/>
      <c r="L368" s="508"/>
      <c r="M368" s="508"/>
      <c r="N368" s="508"/>
      <c r="O368" s="508"/>
      <c r="P368" s="508"/>
      <c r="Q368" s="508"/>
      <c r="R368" s="508"/>
      <c r="S368" s="508"/>
      <c r="T368" s="508"/>
      <c r="U368" s="508"/>
      <c r="V368" s="508"/>
      <c r="W368" s="508"/>
      <c r="X368" s="508"/>
      <c r="Y368" s="508"/>
      <c r="Z368" s="508"/>
    </row>
    <row r="369" ht="13.5" customHeight="1">
      <c r="A369" s="508"/>
      <c r="B369" s="508"/>
      <c r="C369" s="508"/>
      <c r="D369" s="508"/>
      <c r="E369" s="508"/>
      <c r="F369" s="508"/>
      <c r="G369" s="508"/>
      <c r="H369" s="508"/>
      <c r="I369" s="508"/>
      <c r="J369" s="508"/>
      <c r="K369" s="508"/>
      <c r="L369" s="508"/>
      <c r="M369" s="508"/>
      <c r="N369" s="508"/>
      <c r="O369" s="508"/>
      <c r="P369" s="508"/>
      <c r="Q369" s="508"/>
      <c r="R369" s="508"/>
      <c r="S369" s="508"/>
      <c r="T369" s="508"/>
      <c r="U369" s="508"/>
      <c r="V369" s="508"/>
      <c r="W369" s="508"/>
      <c r="X369" s="508"/>
      <c r="Y369" s="508"/>
      <c r="Z369" s="508"/>
    </row>
    <row r="370" ht="13.5" customHeight="1">
      <c r="A370" s="508"/>
      <c r="B370" s="508"/>
      <c r="C370" s="508"/>
      <c r="D370" s="508"/>
      <c r="E370" s="508"/>
      <c r="F370" s="508"/>
      <c r="G370" s="508"/>
      <c r="H370" s="508"/>
      <c r="I370" s="508"/>
      <c r="J370" s="508"/>
      <c r="K370" s="508"/>
      <c r="L370" s="508"/>
      <c r="M370" s="508"/>
      <c r="N370" s="508"/>
      <c r="O370" s="508"/>
      <c r="P370" s="508"/>
      <c r="Q370" s="508"/>
      <c r="R370" s="508"/>
      <c r="S370" s="508"/>
      <c r="T370" s="508"/>
      <c r="U370" s="508"/>
      <c r="V370" s="508"/>
      <c r="W370" s="508"/>
      <c r="X370" s="508"/>
      <c r="Y370" s="508"/>
      <c r="Z370" s="508"/>
    </row>
    <row r="371" ht="13.5" customHeight="1">
      <c r="A371" s="508"/>
      <c r="B371" s="508"/>
      <c r="C371" s="508"/>
      <c r="D371" s="508"/>
      <c r="E371" s="508"/>
      <c r="F371" s="508"/>
      <c r="G371" s="508"/>
      <c r="H371" s="508"/>
      <c r="I371" s="508"/>
      <c r="J371" s="508"/>
      <c r="K371" s="508"/>
      <c r="L371" s="508"/>
      <c r="M371" s="508"/>
      <c r="N371" s="508"/>
      <c r="O371" s="508"/>
      <c r="P371" s="508"/>
      <c r="Q371" s="508"/>
      <c r="R371" s="508"/>
      <c r="S371" s="508"/>
      <c r="T371" s="508"/>
      <c r="U371" s="508"/>
      <c r="V371" s="508"/>
      <c r="W371" s="508"/>
      <c r="X371" s="508"/>
      <c r="Y371" s="508"/>
      <c r="Z371" s="508"/>
    </row>
    <row r="372" ht="13.5" customHeight="1">
      <c r="A372" s="508"/>
      <c r="B372" s="508"/>
      <c r="C372" s="508"/>
      <c r="D372" s="508"/>
      <c r="E372" s="508"/>
      <c r="F372" s="508"/>
      <c r="G372" s="508"/>
      <c r="H372" s="508"/>
      <c r="I372" s="508"/>
      <c r="J372" s="508"/>
      <c r="K372" s="508"/>
      <c r="L372" s="508"/>
      <c r="M372" s="508"/>
      <c r="N372" s="508"/>
      <c r="O372" s="508"/>
      <c r="P372" s="508"/>
      <c r="Q372" s="508"/>
      <c r="R372" s="508"/>
      <c r="S372" s="508"/>
      <c r="T372" s="508"/>
      <c r="U372" s="508"/>
      <c r="V372" s="508"/>
      <c r="W372" s="508"/>
      <c r="X372" s="508"/>
      <c r="Y372" s="508"/>
      <c r="Z372" s="508"/>
    </row>
    <row r="373" ht="13.5" customHeight="1">
      <c r="A373" s="508"/>
      <c r="B373" s="508"/>
      <c r="C373" s="508"/>
      <c r="D373" s="508"/>
      <c r="E373" s="508"/>
      <c r="F373" s="508"/>
      <c r="G373" s="508"/>
      <c r="H373" s="508"/>
      <c r="I373" s="508"/>
      <c r="J373" s="508"/>
      <c r="K373" s="508"/>
      <c r="L373" s="508"/>
      <c r="M373" s="508"/>
      <c r="N373" s="508"/>
      <c r="O373" s="508"/>
      <c r="P373" s="508"/>
      <c r="Q373" s="508"/>
      <c r="R373" s="508"/>
      <c r="S373" s="508"/>
      <c r="T373" s="508"/>
      <c r="U373" s="508"/>
      <c r="V373" s="508"/>
      <c r="W373" s="508"/>
      <c r="X373" s="508"/>
      <c r="Y373" s="508"/>
      <c r="Z373" s="508"/>
    </row>
    <row r="374" ht="13.5" customHeight="1">
      <c r="A374" s="508"/>
      <c r="B374" s="508"/>
      <c r="C374" s="508"/>
      <c r="D374" s="508"/>
      <c r="E374" s="508"/>
      <c r="F374" s="508"/>
      <c r="G374" s="508"/>
      <c r="H374" s="508"/>
      <c r="I374" s="508"/>
      <c r="J374" s="508"/>
      <c r="K374" s="508"/>
      <c r="L374" s="508"/>
      <c r="M374" s="508"/>
      <c r="N374" s="508"/>
      <c r="O374" s="508"/>
      <c r="P374" s="508"/>
      <c r="Q374" s="508"/>
      <c r="R374" s="508"/>
      <c r="S374" s="508"/>
      <c r="T374" s="508"/>
      <c r="U374" s="508"/>
      <c r="V374" s="508"/>
      <c r="W374" s="508"/>
      <c r="X374" s="508"/>
      <c r="Y374" s="508"/>
      <c r="Z374" s="508"/>
    </row>
    <row r="375" ht="13.5" customHeight="1">
      <c r="A375" s="508"/>
      <c r="B375" s="508"/>
      <c r="C375" s="508"/>
      <c r="D375" s="508"/>
      <c r="E375" s="508"/>
      <c r="F375" s="508"/>
      <c r="G375" s="508"/>
      <c r="H375" s="508"/>
      <c r="I375" s="508"/>
      <c r="J375" s="508"/>
      <c r="K375" s="508"/>
      <c r="L375" s="508"/>
      <c r="M375" s="508"/>
      <c r="N375" s="508"/>
      <c r="O375" s="508"/>
      <c r="P375" s="508"/>
      <c r="Q375" s="508"/>
      <c r="R375" s="508"/>
      <c r="S375" s="508"/>
      <c r="T375" s="508"/>
      <c r="U375" s="508"/>
      <c r="V375" s="508"/>
      <c r="W375" s="508"/>
      <c r="X375" s="508"/>
      <c r="Y375" s="508"/>
      <c r="Z375" s="508"/>
    </row>
    <row r="376" ht="13.5" customHeight="1">
      <c r="A376" s="508"/>
      <c r="B376" s="508"/>
      <c r="C376" s="508"/>
      <c r="D376" s="508"/>
      <c r="E376" s="508"/>
      <c r="F376" s="508"/>
      <c r="G376" s="508"/>
      <c r="H376" s="508"/>
      <c r="I376" s="508"/>
      <c r="J376" s="508"/>
      <c r="K376" s="508"/>
      <c r="L376" s="508"/>
      <c r="M376" s="508"/>
      <c r="N376" s="508"/>
      <c r="O376" s="508"/>
      <c r="P376" s="508"/>
      <c r="Q376" s="508"/>
      <c r="R376" s="508"/>
      <c r="S376" s="508"/>
      <c r="T376" s="508"/>
      <c r="U376" s="508"/>
      <c r="V376" s="508"/>
      <c r="W376" s="508"/>
      <c r="X376" s="508"/>
      <c r="Y376" s="508"/>
      <c r="Z376" s="508"/>
    </row>
    <row r="377" ht="13.5" customHeight="1">
      <c r="A377" s="508"/>
      <c r="B377" s="508"/>
      <c r="C377" s="508"/>
      <c r="D377" s="508"/>
      <c r="E377" s="508"/>
      <c r="F377" s="508"/>
      <c r="G377" s="508"/>
      <c r="H377" s="508"/>
      <c r="I377" s="508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508"/>
      <c r="Y377" s="508"/>
      <c r="Z377" s="508"/>
    </row>
    <row r="378" ht="13.5" customHeight="1">
      <c r="A378" s="508"/>
      <c r="B378" s="508"/>
      <c r="C378" s="508"/>
      <c r="D378" s="508"/>
      <c r="E378" s="508"/>
      <c r="F378" s="508"/>
      <c r="G378" s="508"/>
      <c r="H378" s="508"/>
      <c r="I378" s="508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508"/>
      <c r="Y378" s="508"/>
      <c r="Z378" s="508"/>
    </row>
    <row r="379" ht="13.5" customHeight="1">
      <c r="A379" s="508"/>
      <c r="B379" s="508"/>
      <c r="C379" s="508"/>
      <c r="D379" s="508"/>
      <c r="E379" s="508"/>
      <c r="F379" s="508"/>
      <c r="G379" s="508"/>
      <c r="H379" s="508"/>
      <c r="I379" s="508"/>
      <c r="J379" s="508"/>
      <c r="K379" s="508"/>
      <c r="L379" s="508"/>
      <c r="M379" s="508"/>
      <c r="N379" s="508"/>
      <c r="O379" s="508"/>
      <c r="P379" s="508"/>
      <c r="Q379" s="508"/>
      <c r="R379" s="508"/>
      <c r="S379" s="508"/>
      <c r="T379" s="508"/>
      <c r="U379" s="508"/>
      <c r="V379" s="508"/>
      <c r="W379" s="508"/>
      <c r="X379" s="508"/>
      <c r="Y379" s="508"/>
      <c r="Z379" s="508"/>
    </row>
    <row r="380" ht="13.5" customHeight="1">
      <c r="A380" s="508"/>
      <c r="B380" s="508"/>
      <c r="C380" s="508"/>
      <c r="D380" s="508"/>
      <c r="E380" s="508"/>
      <c r="F380" s="508"/>
      <c r="G380" s="508"/>
      <c r="H380" s="508"/>
      <c r="I380" s="508"/>
      <c r="J380" s="508"/>
      <c r="K380" s="508"/>
      <c r="L380" s="508"/>
      <c r="M380" s="508"/>
      <c r="N380" s="508"/>
      <c r="O380" s="508"/>
      <c r="P380" s="508"/>
      <c r="Q380" s="508"/>
      <c r="R380" s="508"/>
      <c r="S380" s="508"/>
      <c r="T380" s="508"/>
      <c r="U380" s="508"/>
      <c r="V380" s="508"/>
      <c r="W380" s="508"/>
      <c r="X380" s="508"/>
      <c r="Y380" s="508"/>
      <c r="Z380" s="508"/>
    </row>
    <row r="381" ht="13.5" customHeight="1">
      <c r="A381" s="508"/>
      <c r="B381" s="508"/>
      <c r="C381" s="508"/>
      <c r="D381" s="508"/>
      <c r="E381" s="508"/>
      <c r="F381" s="508"/>
      <c r="G381" s="508"/>
      <c r="H381" s="508"/>
      <c r="I381" s="508"/>
      <c r="J381" s="508"/>
      <c r="K381" s="508"/>
      <c r="L381" s="508"/>
      <c r="M381" s="508"/>
      <c r="N381" s="508"/>
      <c r="O381" s="508"/>
      <c r="P381" s="508"/>
      <c r="Q381" s="508"/>
      <c r="R381" s="508"/>
      <c r="S381" s="508"/>
      <c r="T381" s="508"/>
      <c r="U381" s="508"/>
      <c r="V381" s="508"/>
      <c r="W381" s="508"/>
      <c r="X381" s="508"/>
      <c r="Y381" s="508"/>
      <c r="Z381" s="508"/>
    </row>
    <row r="382" ht="13.5" customHeight="1">
      <c r="A382" s="508"/>
      <c r="B382" s="508"/>
      <c r="C382" s="508"/>
      <c r="D382" s="508"/>
      <c r="E382" s="508"/>
      <c r="F382" s="508"/>
      <c r="G382" s="508"/>
      <c r="H382" s="508"/>
      <c r="I382" s="508"/>
      <c r="J382" s="508"/>
      <c r="K382" s="508"/>
      <c r="L382" s="508"/>
      <c r="M382" s="508"/>
      <c r="N382" s="508"/>
      <c r="O382" s="508"/>
      <c r="P382" s="508"/>
      <c r="Q382" s="508"/>
      <c r="R382" s="508"/>
      <c r="S382" s="508"/>
      <c r="T382" s="508"/>
      <c r="U382" s="508"/>
      <c r="V382" s="508"/>
      <c r="W382" s="508"/>
      <c r="X382" s="508"/>
      <c r="Y382" s="508"/>
      <c r="Z382" s="508"/>
    </row>
    <row r="383" ht="13.5" customHeight="1">
      <c r="A383" s="508"/>
      <c r="B383" s="508"/>
      <c r="C383" s="508"/>
      <c r="D383" s="508"/>
      <c r="E383" s="508"/>
      <c r="F383" s="508"/>
      <c r="G383" s="508"/>
      <c r="H383" s="508"/>
      <c r="I383" s="508"/>
      <c r="J383" s="508"/>
      <c r="K383" s="508"/>
      <c r="L383" s="508"/>
      <c r="M383" s="508"/>
      <c r="N383" s="508"/>
      <c r="O383" s="508"/>
      <c r="P383" s="508"/>
      <c r="Q383" s="508"/>
      <c r="R383" s="508"/>
      <c r="S383" s="508"/>
      <c r="T383" s="508"/>
      <c r="U383" s="508"/>
      <c r="V383" s="508"/>
      <c r="W383" s="508"/>
      <c r="X383" s="508"/>
      <c r="Y383" s="508"/>
      <c r="Z383" s="508"/>
    </row>
    <row r="384" ht="13.5" customHeight="1">
      <c r="A384" s="508"/>
      <c r="B384" s="508"/>
      <c r="C384" s="508"/>
      <c r="D384" s="508"/>
      <c r="E384" s="508"/>
      <c r="F384" s="508"/>
      <c r="G384" s="508"/>
      <c r="H384" s="508"/>
      <c r="I384" s="508"/>
      <c r="J384" s="508"/>
      <c r="K384" s="508"/>
      <c r="L384" s="508"/>
      <c r="M384" s="508"/>
      <c r="N384" s="508"/>
      <c r="O384" s="508"/>
      <c r="P384" s="508"/>
      <c r="Q384" s="508"/>
      <c r="R384" s="508"/>
      <c r="S384" s="508"/>
      <c r="T384" s="508"/>
      <c r="U384" s="508"/>
      <c r="V384" s="508"/>
      <c r="W384" s="508"/>
      <c r="X384" s="508"/>
      <c r="Y384" s="508"/>
      <c r="Z384" s="508"/>
    </row>
    <row r="385" ht="13.5" customHeight="1">
      <c r="A385" s="508"/>
      <c r="B385" s="508"/>
      <c r="C385" s="508"/>
      <c r="D385" s="508"/>
      <c r="E385" s="508"/>
      <c r="F385" s="508"/>
      <c r="G385" s="508"/>
      <c r="H385" s="508"/>
      <c r="I385" s="508"/>
      <c r="J385" s="508"/>
      <c r="K385" s="508"/>
      <c r="L385" s="508"/>
      <c r="M385" s="508"/>
      <c r="N385" s="508"/>
      <c r="O385" s="508"/>
      <c r="P385" s="508"/>
      <c r="Q385" s="508"/>
      <c r="R385" s="508"/>
      <c r="S385" s="508"/>
      <c r="T385" s="508"/>
      <c r="U385" s="508"/>
      <c r="V385" s="508"/>
      <c r="W385" s="508"/>
      <c r="X385" s="508"/>
      <c r="Y385" s="508"/>
      <c r="Z385" s="508"/>
    </row>
    <row r="386" ht="13.5" customHeight="1">
      <c r="A386" s="508"/>
      <c r="B386" s="508"/>
      <c r="C386" s="508"/>
      <c r="D386" s="508"/>
      <c r="E386" s="508"/>
      <c r="F386" s="508"/>
      <c r="G386" s="508"/>
      <c r="H386" s="508"/>
      <c r="I386" s="508"/>
      <c r="J386" s="508"/>
      <c r="K386" s="508"/>
      <c r="L386" s="508"/>
      <c r="M386" s="508"/>
      <c r="N386" s="508"/>
      <c r="O386" s="508"/>
      <c r="P386" s="508"/>
      <c r="Q386" s="508"/>
      <c r="R386" s="508"/>
      <c r="S386" s="508"/>
      <c r="T386" s="508"/>
      <c r="U386" s="508"/>
      <c r="V386" s="508"/>
      <c r="W386" s="508"/>
      <c r="X386" s="508"/>
      <c r="Y386" s="508"/>
      <c r="Z386" s="508"/>
    </row>
    <row r="387" ht="13.5" customHeight="1">
      <c r="A387" s="508"/>
      <c r="B387" s="508"/>
      <c r="C387" s="508"/>
      <c r="D387" s="508"/>
      <c r="E387" s="508"/>
      <c r="F387" s="508"/>
      <c r="G387" s="508"/>
      <c r="H387" s="508"/>
      <c r="I387" s="508"/>
      <c r="J387" s="508"/>
      <c r="K387" s="508"/>
      <c r="L387" s="508"/>
      <c r="M387" s="508"/>
      <c r="N387" s="508"/>
      <c r="O387" s="508"/>
      <c r="P387" s="508"/>
      <c r="Q387" s="508"/>
      <c r="R387" s="508"/>
      <c r="S387" s="508"/>
      <c r="T387" s="508"/>
      <c r="U387" s="508"/>
      <c r="V387" s="508"/>
      <c r="W387" s="508"/>
      <c r="X387" s="508"/>
      <c r="Y387" s="508"/>
      <c r="Z387" s="508"/>
    </row>
    <row r="388" ht="13.5" customHeight="1">
      <c r="A388" s="508"/>
      <c r="B388" s="508"/>
      <c r="C388" s="508"/>
      <c r="D388" s="508"/>
      <c r="E388" s="508"/>
      <c r="F388" s="508"/>
      <c r="G388" s="508"/>
      <c r="H388" s="508"/>
      <c r="I388" s="508"/>
      <c r="J388" s="508"/>
      <c r="K388" s="508"/>
      <c r="L388" s="508"/>
      <c r="M388" s="508"/>
      <c r="N388" s="508"/>
      <c r="O388" s="508"/>
      <c r="P388" s="508"/>
      <c r="Q388" s="508"/>
      <c r="R388" s="508"/>
      <c r="S388" s="508"/>
      <c r="T388" s="508"/>
      <c r="U388" s="508"/>
      <c r="V388" s="508"/>
      <c r="W388" s="508"/>
      <c r="X388" s="508"/>
      <c r="Y388" s="508"/>
      <c r="Z388" s="508"/>
    </row>
    <row r="389" ht="13.5" customHeight="1">
      <c r="A389" s="508"/>
      <c r="B389" s="508"/>
      <c r="C389" s="508"/>
      <c r="D389" s="508"/>
      <c r="E389" s="508"/>
      <c r="F389" s="508"/>
      <c r="G389" s="508"/>
      <c r="H389" s="508"/>
      <c r="I389" s="508"/>
      <c r="J389" s="508"/>
      <c r="K389" s="508"/>
      <c r="L389" s="508"/>
      <c r="M389" s="508"/>
      <c r="N389" s="508"/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</row>
    <row r="390" ht="13.5" customHeight="1">
      <c r="A390" s="508"/>
      <c r="B390" s="508"/>
      <c r="C390" s="508"/>
      <c r="D390" s="508"/>
      <c r="E390" s="508"/>
      <c r="F390" s="508"/>
      <c r="G390" s="508"/>
      <c r="H390" s="508"/>
      <c r="I390" s="508"/>
      <c r="J390" s="508"/>
      <c r="K390" s="508"/>
      <c r="L390" s="508"/>
      <c r="M390" s="508"/>
      <c r="N390" s="508"/>
      <c r="O390" s="508"/>
      <c r="P390" s="508"/>
      <c r="Q390" s="508"/>
      <c r="R390" s="508"/>
      <c r="S390" s="508"/>
      <c r="T390" s="508"/>
      <c r="U390" s="508"/>
      <c r="V390" s="508"/>
      <c r="W390" s="508"/>
      <c r="X390" s="508"/>
      <c r="Y390" s="508"/>
      <c r="Z390" s="508"/>
    </row>
    <row r="391" ht="13.5" customHeight="1">
      <c r="A391" s="508"/>
      <c r="B391" s="508"/>
      <c r="C391" s="508"/>
      <c r="D391" s="508"/>
      <c r="E391" s="508"/>
      <c r="F391" s="508"/>
      <c r="G391" s="508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8"/>
      <c r="V391" s="508"/>
      <c r="W391" s="508"/>
      <c r="X391" s="508"/>
      <c r="Y391" s="508"/>
      <c r="Z391" s="508"/>
    </row>
    <row r="392" ht="13.5" customHeight="1">
      <c r="A392" s="508"/>
      <c r="B392" s="508"/>
      <c r="C392" s="508"/>
      <c r="D392" s="508"/>
      <c r="E392" s="508"/>
      <c r="F392" s="508"/>
      <c r="G392" s="508"/>
      <c r="H392" s="508"/>
      <c r="I392" s="508"/>
      <c r="J392" s="508"/>
      <c r="K392" s="508"/>
      <c r="L392" s="508"/>
      <c r="M392" s="508"/>
      <c r="N392" s="508"/>
      <c r="O392" s="508"/>
      <c r="P392" s="508"/>
      <c r="Q392" s="508"/>
      <c r="R392" s="508"/>
      <c r="S392" s="508"/>
      <c r="T392" s="508"/>
      <c r="U392" s="508"/>
      <c r="V392" s="508"/>
      <c r="W392" s="508"/>
      <c r="X392" s="508"/>
      <c r="Y392" s="508"/>
      <c r="Z392" s="508"/>
    </row>
    <row r="393" ht="13.5" customHeight="1">
      <c r="A393" s="508"/>
      <c r="B393" s="508"/>
      <c r="C393" s="508"/>
      <c r="D393" s="508"/>
      <c r="E393" s="508"/>
      <c r="F393" s="508"/>
      <c r="G393" s="508"/>
      <c r="H393" s="508"/>
      <c r="I393" s="508"/>
      <c r="J393" s="508"/>
      <c r="K393" s="508"/>
      <c r="L393" s="508"/>
      <c r="M393" s="508"/>
      <c r="N393" s="508"/>
      <c r="O393" s="508"/>
      <c r="P393" s="508"/>
      <c r="Q393" s="508"/>
      <c r="R393" s="508"/>
      <c r="S393" s="508"/>
      <c r="T393" s="508"/>
      <c r="U393" s="508"/>
      <c r="V393" s="508"/>
      <c r="W393" s="508"/>
      <c r="X393" s="508"/>
      <c r="Y393" s="508"/>
      <c r="Z393" s="508"/>
    </row>
    <row r="394" ht="13.5" customHeight="1">
      <c r="A394" s="508"/>
      <c r="B394" s="508"/>
      <c r="C394" s="508"/>
      <c r="D394" s="508"/>
      <c r="E394" s="508"/>
      <c r="F394" s="508"/>
      <c r="G394" s="508"/>
      <c r="H394" s="508"/>
      <c r="I394" s="508"/>
      <c r="J394" s="508"/>
      <c r="K394" s="508"/>
      <c r="L394" s="508"/>
      <c r="M394" s="508"/>
      <c r="N394" s="508"/>
      <c r="O394" s="508"/>
      <c r="P394" s="508"/>
      <c r="Q394" s="508"/>
      <c r="R394" s="508"/>
      <c r="S394" s="508"/>
      <c r="T394" s="508"/>
      <c r="U394" s="508"/>
      <c r="V394" s="508"/>
      <c r="W394" s="508"/>
      <c r="X394" s="508"/>
      <c r="Y394" s="508"/>
      <c r="Z394" s="508"/>
    </row>
    <row r="395" ht="13.5" customHeight="1">
      <c r="A395" s="508"/>
      <c r="B395" s="508"/>
      <c r="C395" s="508"/>
      <c r="D395" s="508"/>
      <c r="E395" s="508"/>
      <c r="F395" s="508"/>
      <c r="G395" s="508"/>
      <c r="H395" s="508"/>
      <c r="I395" s="508"/>
      <c r="J395" s="508"/>
      <c r="K395" s="508"/>
      <c r="L395" s="508"/>
      <c r="M395" s="508"/>
      <c r="N395" s="508"/>
      <c r="O395" s="508"/>
      <c r="P395" s="508"/>
      <c r="Q395" s="508"/>
      <c r="R395" s="508"/>
      <c r="S395" s="508"/>
      <c r="T395" s="508"/>
      <c r="U395" s="508"/>
      <c r="V395" s="508"/>
      <c r="W395" s="508"/>
      <c r="X395" s="508"/>
      <c r="Y395" s="508"/>
      <c r="Z395" s="508"/>
    </row>
    <row r="396" ht="13.5" customHeight="1">
      <c r="A396" s="508"/>
      <c r="B396" s="508"/>
      <c r="C396" s="508"/>
      <c r="D396" s="508"/>
      <c r="E396" s="508"/>
      <c r="F396" s="508"/>
      <c r="G396" s="508"/>
      <c r="H396" s="508"/>
      <c r="I396" s="508"/>
      <c r="J396" s="508"/>
      <c r="K396" s="508"/>
      <c r="L396" s="508"/>
      <c r="M396" s="508"/>
      <c r="N396" s="508"/>
      <c r="O396" s="508"/>
      <c r="P396" s="508"/>
      <c r="Q396" s="508"/>
      <c r="R396" s="508"/>
      <c r="S396" s="508"/>
      <c r="T396" s="508"/>
      <c r="U396" s="508"/>
      <c r="V396" s="508"/>
      <c r="W396" s="508"/>
      <c r="X396" s="508"/>
      <c r="Y396" s="508"/>
      <c r="Z396" s="508"/>
    </row>
    <row r="397" ht="13.5" customHeight="1">
      <c r="A397" s="508"/>
      <c r="B397" s="508"/>
      <c r="C397" s="508"/>
      <c r="D397" s="508"/>
      <c r="E397" s="508"/>
      <c r="F397" s="508"/>
      <c r="G397" s="508"/>
      <c r="H397" s="508"/>
      <c r="I397" s="508"/>
      <c r="J397" s="508"/>
      <c r="K397" s="508"/>
      <c r="L397" s="508"/>
      <c r="M397" s="508"/>
      <c r="N397" s="508"/>
      <c r="O397" s="508"/>
      <c r="P397" s="508"/>
      <c r="Q397" s="508"/>
      <c r="R397" s="508"/>
      <c r="S397" s="508"/>
      <c r="T397" s="508"/>
      <c r="U397" s="508"/>
      <c r="V397" s="508"/>
      <c r="W397" s="508"/>
      <c r="X397" s="508"/>
      <c r="Y397" s="508"/>
      <c r="Z397" s="508"/>
    </row>
    <row r="398" ht="13.5" customHeight="1">
      <c r="A398" s="508"/>
      <c r="B398" s="508"/>
      <c r="C398" s="508"/>
      <c r="D398" s="508"/>
      <c r="E398" s="508"/>
      <c r="F398" s="508"/>
      <c r="G398" s="508"/>
      <c r="H398" s="508"/>
      <c r="I398" s="508"/>
      <c r="J398" s="508"/>
      <c r="K398" s="508"/>
      <c r="L398" s="508"/>
      <c r="M398" s="508"/>
      <c r="N398" s="508"/>
      <c r="O398" s="508"/>
      <c r="P398" s="508"/>
      <c r="Q398" s="508"/>
      <c r="R398" s="508"/>
      <c r="S398" s="508"/>
      <c r="T398" s="508"/>
      <c r="U398" s="508"/>
      <c r="V398" s="508"/>
      <c r="W398" s="508"/>
      <c r="X398" s="508"/>
      <c r="Y398" s="508"/>
      <c r="Z398" s="508"/>
    </row>
    <row r="399" ht="13.5" customHeight="1">
      <c r="A399" s="508"/>
      <c r="B399" s="508"/>
      <c r="C399" s="508"/>
      <c r="D399" s="508"/>
      <c r="E399" s="508"/>
      <c r="F399" s="508"/>
      <c r="G399" s="508"/>
      <c r="H399" s="508"/>
      <c r="I399" s="508"/>
      <c r="J399" s="508"/>
      <c r="K399" s="508"/>
      <c r="L399" s="508"/>
      <c r="M399" s="508"/>
      <c r="N399" s="508"/>
      <c r="O399" s="508"/>
      <c r="P399" s="508"/>
      <c r="Q399" s="508"/>
      <c r="R399" s="508"/>
      <c r="S399" s="508"/>
      <c r="T399" s="508"/>
      <c r="U399" s="508"/>
      <c r="V399" s="508"/>
      <c r="W399" s="508"/>
      <c r="X399" s="508"/>
      <c r="Y399" s="508"/>
      <c r="Z399" s="508"/>
    </row>
    <row r="400" ht="13.5" customHeight="1">
      <c r="A400" s="508"/>
      <c r="B400" s="508"/>
      <c r="C400" s="508"/>
      <c r="D400" s="508"/>
      <c r="E400" s="508"/>
      <c r="F400" s="508"/>
      <c r="G400" s="508"/>
      <c r="H400" s="508"/>
      <c r="I400" s="508"/>
      <c r="J400" s="508"/>
      <c r="K400" s="508"/>
      <c r="L400" s="508"/>
      <c r="M400" s="508"/>
      <c r="N400" s="508"/>
      <c r="O400" s="508"/>
      <c r="P400" s="508"/>
      <c r="Q400" s="508"/>
      <c r="R400" s="508"/>
      <c r="S400" s="508"/>
      <c r="T400" s="508"/>
      <c r="U400" s="508"/>
      <c r="V400" s="508"/>
      <c r="W400" s="508"/>
      <c r="X400" s="508"/>
      <c r="Y400" s="508"/>
      <c r="Z400" s="508"/>
    </row>
    <row r="401" ht="13.5" customHeight="1">
      <c r="A401" s="508"/>
      <c r="B401" s="508"/>
      <c r="C401" s="508"/>
      <c r="D401" s="508"/>
      <c r="E401" s="508"/>
      <c r="F401" s="508"/>
      <c r="G401" s="508"/>
      <c r="H401" s="508"/>
      <c r="I401" s="508"/>
      <c r="J401" s="508"/>
      <c r="K401" s="508"/>
      <c r="L401" s="508"/>
      <c r="M401" s="508"/>
      <c r="N401" s="508"/>
      <c r="O401" s="508"/>
      <c r="P401" s="508"/>
      <c r="Q401" s="508"/>
      <c r="R401" s="508"/>
      <c r="S401" s="508"/>
      <c r="T401" s="508"/>
      <c r="U401" s="508"/>
      <c r="V401" s="508"/>
      <c r="W401" s="508"/>
      <c r="X401" s="508"/>
      <c r="Y401" s="508"/>
      <c r="Z401" s="508"/>
    </row>
    <row r="402" ht="13.5" customHeight="1">
      <c r="A402" s="508"/>
      <c r="B402" s="508"/>
      <c r="C402" s="508"/>
      <c r="D402" s="508"/>
      <c r="E402" s="508"/>
      <c r="F402" s="508"/>
      <c r="G402" s="508"/>
      <c r="H402" s="508"/>
      <c r="I402" s="508"/>
      <c r="J402" s="508"/>
      <c r="K402" s="508"/>
      <c r="L402" s="508"/>
      <c r="M402" s="508"/>
      <c r="N402" s="508"/>
      <c r="O402" s="508"/>
      <c r="P402" s="508"/>
      <c r="Q402" s="508"/>
      <c r="R402" s="508"/>
      <c r="S402" s="508"/>
      <c r="T402" s="508"/>
      <c r="U402" s="508"/>
      <c r="V402" s="508"/>
      <c r="W402" s="508"/>
      <c r="X402" s="508"/>
      <c r="Y402" s="508"/>
      <c r="Z402" s="508"/>
    </row>
    <row r="403" ht="13.5" customHeight="1">
      <c r="A403" s="508"/>
      <c r="B403" s="508"/>
      <c r="C403" s="508"/>
      <c r="D403" s="508"/>
      <c r="E403" s="508"/>
      <c r="F403" s="508"/>
      <c r="G403" s="508"/>
      <c r="H403" s="508"/>
      <c r="I403" s="508"/>
      <c r="J403" s="508"/>
      <c r="K403" s="508"/>
      <c r="L403" s="508"/>
      <c r="M403" s="508"/>
      <c r="N403" s="508"/>
      <c r="O403" s="508"/>
      <c r="P403" s="508"/>
      <c r="Q403" s="508"/>
      <c r="R403" s="508"/>
      <c r="S403" s="508"/>
      <c r="T403" s="508"/>
      <c r="U403" s="508"/>
      <c r="V403" s="508"/>
      <c r="W403" s="508"/>
      <c r="X403" s="508"/>
      <c r="Y403" s="508"/>
      <c r="Z403" s="508"/>
    </row>
    <row r="404" ht="13.5" customHeight="1">
      <c r="A404" s="508"/>
      <c r="B404" s="508"/>
      <c r="C404" s="508"/>
      <c r="D404" s="508"/>
      <c r="E404" s="508"/>
      <c r="F404" s="508"/>
      <c r="G404" s="508"/>
      <c r="H404" s="508"/>
      <c r="I404" s="508"/>
      <c r="J404" s="508"/>
      <c r="K404" s="508"/>
      <c r="L404" s="508"/>
      <c r="M404" s="508"/>
      <c r="N404" s="508"/>
      <c r="O404" s="508"/>
      <c r="P404" s="508"/>
      <c r="Q404" s="508"/>
      <c r="R404" s="508"/>
      <c r="S404" s="508"/>
      <c r="T404" s="508"/>
      <c r="U404" s="508"/>
      <c r="V404" s="508"/>
      <c r="W404" s="508"/>
      <c r="X404" s="508"/>
      <c r="Y404" s="508"/>
      <c r="Z404" s="508"/>
    </row>
    <row r="405" ht="13.5" customHeight="1">
      <c r="A405" s="508"/>
      <c r="B405" s="508"/>
      <c r="C405" s="508"/>
      <c r="D405" s="508"/>
      <c r="E405" s="508"/>
      <c r="F405" s="508"/>
      <c r="G405" s="508"/>
      <c r="H405" s="508"/>
      <c r="I405" s="508"/>
      <c r="J405" s="508"/>
      <c r="K405" s="508"/>
      <c r="L405" s="508"/>
      <c r="M405" s="508"/>
      <c r="N405" s="508"/>
      <c r="O405" s="508"/>
      <c r="P405" s="508"/>
      <c r="Q405" s="508"/>
      <c r="R405" s="508"/>
      <c r="S405" s="508"/>
      <c r="T405" s="508"/>
      <c r="U405" s="508"/>
      <c r="V405" s="508"/>
      <c r="W405" s="508"/>
      <c r="X405" s="508"/>
      <c r="Y405" s="508"/>
      <c r="Z405" s="508"/>
    </row>
    <row r="406" ht="13.5" customHeight="1">
      <c r="A406" s="508"/>
      <c r="B406" s="508"/>
      <c r="C406" s="508"/>
      <c r="D406" s="508"/>
      <c r="E406" s="508"/>
      <c r="F406" s="508"/>
      <c r="G406" s="508"/>
      <c r="H406" s="508"/>
      <c r="I406" s="508"/>
      <c r="J406" s="508"/>
      <c r="K406" s="508"/>
      <c r="L406" s="508"/>
      <c r="M406" s="508"/>
      <c r="N406" s="508"/>
      <c r="O406" s="508"/>
      <c r="P406" s="508"/>
      <c r="Q406" s="508"/>
      <c r="R406" s="508"/>
      <c r="S406" s="508"/>
      <c r="T406" s="508"/>
      <c r="U406" s="508"/>
      <c r="V406" s="508"/>
      <c r="W406" s="508"/>
      <c r="X406" s="508"/>
      <c r="Y406" s="508"/>
      <c r="Z406" s="508"/>
    </row>
    <row r="407" ht="13.5" customHeight="1">
      <c r="A407" s="508"/>
      <c r="B407" s="508"/>
      <c r="C407" s="508"/>
      <c r="D407" s="508"/>
      <c r="E407" s="508"/>
      <c r="F407" s="508"/>
      <c r="G407" s="508"/>
      <c r="H407" s="508"/>
      <c r="I407" s="508"/>
      <c r="J407" s="508"/>
      <c r="K407" s="508"/>
      <c r="L407" s="508"/>
      <c r="M407" s="508"/>
      <c r="N407" s="508"/>
      <c r="O407" s="508"/>
      <c r="P407" s="508"/>
      <c r="Q407" s="508"/>
      <c r="R407" s="508"/>
      <c r="S407" s="508"/>
      <c r="T407" s="508"/>
      <c r="U407" s="508"/>
      <c r="V407" s="508"/>
      <c r="W407" s="508"/>
      <c r="X407" s="508"/>
      <c r="Y407" s="508"/>
      <c r="Z407" s="508"/>
    </row>
    <row r="408" ht="13.5" customHeight="1">
      <c r="A408" s="508"/>
      <c r="B408" s="508"/>
      <c r="C408" s="508"/>
      <c r="D408" s="508"/>
      <c r="E408" s="508"/>
      <c r="F408" s="508"/>
      <c r="G408" s="508"/>
      <c r="H408" s="508"/>
      <c r="I408" s="508"/>
      <c r="J408" s="508"/>
      <c r="K408" s="508"/>
      <c r="L408" s="508"/>
      <c r="M408" s="508"/>
      <c r="N408" s="508"/>
      <c r="O408" s="508"/>
      <c r="P408" s="508"/>
      <c r="Q408" s="508"/>
      <c r="R408" s="508"/>
      <c r="S408" s="508"/>
      <c r="T408" s="508"/>
      <c r="U408" s="508"/>
      <c r="V408" s="508"/>
      <c r="W408" s="508"/>
      <c r="X408" s="508"/>
      <c r="Y408" s="508"/>
      <c r="Z408" s="508"/>
    </row>
    <row r="409" ht="13.5" customHeight="1">
      <c r="A409" s="508"/>
      <c r="B409" s="508"/>
      <c r="C409" s="508"/>
      <c r="D409" s="508"/>
      <c r="E409" s="508"/>
      <c r="F409" s="508"/>
      <c r="G409" s="508"/>
      <c r="H409" s="508"/>
      <c r="I409" s="508"/>
      <c r="J409" s="508"/>
      <c r="K409" s="508"/>
      <c r="L409" s="508"/>
      <c r="M409" s="508"/>
      <c r="N409" s="508"/>
      <c r="O409" s="508"/>
      <c r="P409" s="508"/>
      <c r="Q409" s="508"/>
      <c r="R409" s="508"/>
      <c r="S409" s="508"/>
      <c r="T409" s="508"/>
      <c r="U409" s="508"/>
      <c r="V409" s="508"/>
      <c r="W409" s="508"/>
      <c r="X409" s="508"/>
      <c r="Y409" s="508"/>
      <c r="Z409" s="508"/>
    </row>
    <row r="410" ht="13.5" customHeight="1">
      <c r="A410" s="508"/>
      <c r="B410" s="508"/>
      <c r="C410" s="508"/>
      <c r="D410" s="508"/>
      <c r="E410" s="508"/>
      <c r="F410" s="508"/>
      <c r="G410" s="508"/>
      <c r="H410" s="508"/>
      <c r="I410" s="508"/>
      <c r="J410" s="508"/>
      <c r="K410" s="508"/>
      <c r="L410" s="508"/>
      <c r="M410" s="508"/>
      <c r="N410" s="508"/>
      <c r="O410" s="508"/>
      <c r="P410" s="508"/>
      <c r="Q410" s="508"/>
      <c r="R410" s="508"/>
      <c r="S410" s="508"/>
      <c r="T410" s="508"/>
      <c r="U410" s="508"/>
      <c r="V410" s="508"/>
      <c r="W410" s="508"/>
      <c r="X410" s="508"/>
      <c r="Y410" s="508"/>
      <c r="Z410" s="508"/>
    </row>
    <row r="411" ht="13.5" customHeight="1">
      <c r="A411" s="508"/>
      <c r="B411" s="508"/>
      <c r="C411" s="508"/>
      <c r="D411" s="508"/>
      <c r="E411" s="508"/>
      <c r="F411" s="508"/>
      <c r="G411" s="508"/>
      <c r="H411" s="508"/>
      <c r="I411" s="508"/>
      <c r="J411" s="508"/>
      <c r="K411" s="508"/>
      <c r="L411" s="508"/>
      <c r="M411" s="508"/>
      <c r="N411" s="508"/>
      <c r="O411" s="508"/>
      <c r="P411" s="508"/>
      <c r="Q411" s="508"/>
      <c r="R411" s="508"/>
      <c r="S411" s="508"/>
      <c r="T411" s="508"/>
      <c r="U411" s="508"/>
      <c r="V411" s="508"/>
      <c r="W411" s="508"/>
      <c r="X411" s="508"/>
      <c r="Y411" s="508"/>
      <c r="Z411" s="508"/>
    </row>
    <row r="412" ht="13.5" customHeight="1">
      <c r="A412" s="508"/>
      <c r="B412" s="508"/>
      <c r="C412" s="508"/>
      <c r="D412" s="508"/>
      <c r="E412" s="508"/>
      <c r="F412" s="508"/>
      <c r="G412" s="508"/>
      <c r="H412" s="508"/>
      <c r="I412" s="508"/>
      <c r="J412" s="508"/>
      <c r="K412" s="508"/>
      <c r="L412" s="508"/>
      <c r="M412" s="508"/>
      <c r="N412" s="508"/>
      <c r="O412" s="508"/>
      <c r="P412" s="508"/>
      <c r="Q412" s="508"/>
      <c r="R412" s="508"/>
      <c r="S412" s="508"/>
      <c r="T412" s="508"/>
      <c r="U412" s="508"/>
      <c r="V412" s="508"/>
      <c r="W412" s="508"/>
      <c r="X412" s="508"/>
      <c r="Y412" s="508"/>
      <c r="Z412" s="508"/>
    </row>
    <row r="413" ht="13.5" customHeight="1">
      <c r="A413" s="508"/>
      <c r="B413" s="508"/>
      <c r="C413" s="508"/>
      <c r="D413" s="508"/>
      <c r="E413" s="508"/>
      <c r="F413" s="508"/>
      <c r="G413" s="508"/>
      <c r="H413" s="508"/>
      <c r="I413" s="508"/>
      <c r="J413" s="508"/>
      <c r="K413" s="508"/>
      <c r="L413" s="508"/>
      <c r="M413" s="508"/>
      <c r="N413" s="508"/>
      <c r="O413" s="508"/>
      <c r="P413" s="508"/>
      <c r="Q413" s="508"/>
      <c r="R413" s="508"/>
      <c r="S413" s="508"/>
      <c r="T413" s="508"/>
      <c r="U413" s="508"/>
      <c r="V413" s="508"/>
      <c r="W413" s="508"/>
      <c r="X413" s="508"/>
      <c r="Y413" s="508"/>
      <c r="Z413" s="508"/>
    </row>
    <row r="414" ht="13.5" customHeight="1">
      <c r="A414" s="508"/>
      <c r="B414" s="508"/>
      <c r="C414" s="508"/>
      <c r="D414" s="508"/>
      <c r="E414" s="508"/>
      <c r="F414" s="508"/>
      <c r="G414" s="508"/>
      <c r="H414" s="508"/>
      <c r="I414" s="508"/>
      <c r="J414" s="508"/>
      <c r="K414" s="508"/>
      <c r="L414" s="508"/>
      <c r="M414" s="508"/>
      <c r="N414" s="508"/>
      <c r="O414" s="508"/>
      <c r="P414" s="508"/>
      <c r="Q414" s="508"/>
      <c r="R414" s="508"/>
      <c r="S414" s="508"/>
      <c r="T414" s="508"/>
      <c r="U414" s="508"/>
      <c r="V414" s="508"/>
      <c r="W414" s="508"/>
      <c r="X414" s="508"/>
      <c r="Y414" s="508"/>
      <c r="Z414" s="508"/>
    </row>
    <row r="415" ht="13.5" customHeight="1">
      <c r="A415" s="508"/>
      <c r="B415" s="508"/>
      <c r="C415" s="508"/>
      <c r="D415" s="508"/>
      <c r="E415" s="508"/>
      <c r="F415" s="508"/>
      <c r="G415" s="508"/>
      <c r="H415" s="508"/>
      <c r="I415" s="508"/>
      <c r="J415" s="508"/>
      <c r="K415" s="508"/>
      <c r="L415" s="508"/>
      <c r="M415" s="508"/>
      <c r="N415" s="508"/>
      <c r="O415" s="508"/>
      <c r="P415" s="508"/>
      <c r="Q415" s="508"/>
      <c r="R415" s="508"/>
      <c r="S415" s="508"/>
      <c r="T415" s="508"/>
      <c r="U415" s="508"/>
      <c r="V415" s="508"/>
      <c r="W415" s="508"/>
      <c r="X415" s="508"/>
      <c r="Y415" s="508"/>
      <c r="Z415" s="508"/>
    </row>
    <row r="416" ht="13.5" customHeight="1">
      <c r="A416" s="508"/>
      <c r="B416" s="508"/>
      <c r="C416" s="508"/>
      <c r="D416" s="508"/>
      <c r="E416" s="508"/>
      <c r="F416" s="508"/>
      <c r="G416" s="508"/>
      <c r="H416" s="508"/>
      <c r="I416" s="508"/>
      <c r="J416" s="508"/>
      <c r="K416" s="508"/>
      <c r="L416" s="508"/>
      <c r="M416" s="508"/>
      <c r="N416" s="508"/>
      <c r="O416" s="508"/>
      <c r="P416" s="508"/>
      <c r="Q416" s="508"/>
      <c r="R416" s="508"/>
      <c r="S416" s="508"/>
      <c r="T416" s="508"/>
      <c r="U416" s="508"/>
      <c r="V416" s="508"/>
      <c r="W416" s="508"/>
      <c r="X416" s="508"/>
      <c r="Y416" s="508"/>
      <c r="Z416" s="508"/>
    </row>
    <row r="417" ht="13.5" customHeight="1">
      <c r="A417" s="508"/>
      <c r="B417" s="508"/>
      <c r="C417" s="508"/>
      <c r="D417" s="508"/>
      <c r="E417" s="508"/>
      <c r="F417" s="508"/>
      <c r="G417" s="508"/>
      <c r="H417" s="508"/>
      <c r="I417" s="508"/>
      <c r="J417" s="508"/>
      <c r="K417" s="508"/>
      <c r="L417" s="508"/>
      <c r="M417" s="508"/>
      <c r="N417" s="508"/>
      <c r="O417" s="508"/>
      <c r="P417" s="508"/>
      <c r="Q417" s="508"/>
      <c r="R417" s="508"/>
      <c r="S417" s="508"/>
      <c r="T417" s="508"/>
      <c r="U417" s="508"/>
      <c r="V417" s="508"/>
      <c r="W417" s="508"/>
      <c r="X417" s="508"/>
      <c r="Y417" s="508"/>
      <c r="Z417" s="508"/>
    </row>
    <row r="418" ht="13.5" customHeight="1">
      <c r="A418" s="508"/>
      <c r="B418" s="508"/>
      <c r="C418" s="508"/>
      <c r="D418" s="508"/>
      <c r="E418" s="508"/>
      <c r="F418" s="508"/>
      <c r="G418" s="508"/>
      <c r="H418" s="508"/>
      <c r="I418" s="508"/>
      <c r="J418" s="508"/>
      <c r="K418" s="508"/>
      <c r="L418" s="508"/>
      <c r="M418" s="508"/>
      <c r="N418" s="508"/>
      <c r="O418" s="508"/>
      <c r="P418" s="508"/>
      <c r="Q418" s="508"/>
      <c r="R418" s="508"/>
      <c r="S418" s="508"/>
      <c r="T418" s="508"/>
      <c r="U418" s="508"/>
      <c r="V418" s="508"/>
      <c r="W418" s="508"/>
      <c r="X418" s="508"/>
      <c r="Y418" s="508"/>
      <c r="Z418" s="508"/>
    </row>
    <row r="419" ht="13.5" customHeight="1">
      <c r="A419" s="508"/>
      <c r="B419" s="508"/>
      <c r="C419" s="508"/>
      <c r="D419" s="508"/>
      <c r="E419" s="508"/>
      <c r="F419" s="508"/>
      <c r="G419" s="508"/>
      <c r="H419" s="508"/>
      <c r="I419" s="508"/>
      <c r="J419" s="508"/>
      <c r="K419" s="508"/>
      <c r="L419" s="508"/>
      <c r="M419" s="508"/>
      <c r="N419" s="508"/>
      <c r="O419" s="508"/>
      <c r="P419" s="508"/>
      <c r="Q419" s="508"/>
      <c r="R419" s="508"/>
      <c r="S419" s="508"/>
      <c r="T419" s="508"/>
      <c r="U419" s="508"/>
      <c r="V419" s="508"/>
      <c r="W419" s="508"/>
      <c r="X419" s="508"/>
      <c r="Y419" s="508"/>
      <c r="Z419" s="508"/>
    </row>
    <row r="420" ht="13.5" customHeight="1">
      <c r="A420" s="508"/>
      <c r="B420" s="508"/>
      <c r="C420" s="508"/>
      <c r="D420" s="508"/>
      <c r="E420" s="508"/>
      <c r="F420" s="508"/>
      <c r="G420" s="508"/>
      <c r="H420" s="508"/>
      <c r="I420" s="508"/>
      <c r="J420" s="508"/>
      <c r="K420" s="508"/>
      <c r="L420" s="508"/>
      <c r="M420" s="508"/>
      <c r="N420" s="508"/>
      <c r="O420" s="508"/>
      <c r="P420" s="508"/>
      <c r="Q420" s="508"/>
      <c r="R420" s="508"/>
      <c r="S420" s="508"/>
      <c r="T420" s="508"/>
      <c r="U420" s="508"/>
      <c r="V420" s="508"/>
      <c r="W420" s="508"/>
      <c r="X420" s="508"/>
      <c r="Y420" s="508"/>
      <c r="Z420" s="508"/>
    </row>
    <row r="421" ht="13.5" customHeight="1">
      <c r="A421" s="508"/>
      <c r="B421" s="508"/>
      <c r="C421" s="508"/>
      <c r="D421" s="508"/>
      <c r="E421" s="508"/>
      <c r="F421" s="508"/>
      <c r="G421" s="508"/>
      <c r="H421" s="508"/>
      <c r="I421" s="508"/>
      <c r="J421" s="508"/>
      <c r="K421" s="508"/>
      <c r="L421" s="508"/>
      <c r="M421" s="508"/>
      <c r="N421" s="508"/>
      <c r="O421" s="508"/>
      <c r="P421" s="508"/>
      <c r="Q421" s="508"/>
      <c r="R421" s="508"/>
      <c r="S421" s="508"/>
      <c r="T421" s="508"/>
      <c r="U421" s="508"/>
      <c r="V421" s="508"/>
      <c r="W421" s="508"/>
      <c r="X421" s="508"/>
      <c r="Y421" s="508"/>
      <c r="Z421" s="508"/>
    </row>
    <row r="422" ht="13.5" customHeight="1">
      <c r="A422" s="508"/>
      <c r="B422" s="508"/>
      <c r="C422" s="508"/>
      <c r="D422" s="508"/>
      <c r="E422" s="508"/>
      <c r="F422" s="508"/>
      <c r="G422" s="508"/>
      <c r="H422" s="508"/>
      <c r="I422" s="508"/>
      <c r="J422" s="508"/>
      <c r="K422" s="508"/>
      <c r="L422" s="508"/>
      <c r="M422" s="508"/>
      <c r="N422" s="508"/>
      <c r="O422" s="508"/>
      <c r="P422" s="508"/>
      <c r="Q422" s="508"/>
      <c r="R422" s="508"/>
      <c r="S422" s="508"/>
      <c r="T422" s="508"/>
      <c r="U422" s="508"/>
      <c r="V422" s="508"/>
      <c r="W422" s="508"/>
      <c r="X422" s="508"/>
      <c r="Y422" s="508"/>
      <c r="Z422" s="508"/>
    </row>
    <row r="423" ht="13.5" customHeight="1">
      <c r="A423" s="508"/>
      <c r="B423" s="508"/>
      <c r="C423" s="508"/>
      <c r="D423" s="508"/>
      <c r="E423" s="508"/>
      <c r="F423" s="508"/>
      <c r="G423" s="508"/>
      <c r="H423" s="508"/>
      <c r="I423" s="508"/>
      <c r="J423" s="508"/>
      <c r="K423" s="508"/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  <c r="V423" s="508"/>
      <c r="W423" s="508"/>
      <c r="X423" s="508"/>
      <c r="Y423" s="508"/>
      <c r="Z423" s="508"/>
    </row>
    <row r="424" ht="13.5" customHeight="1">
      <c r="A424" s="508"/>
      <c r="B424" s="508"/>
      <c r="C424" s="508"/>
      <c r="D424" s="508"/>
      <c r="E424" s="508"/>
      <c r="F424" s="508"/>
      <c r="G424" s="508"/>
      <c r="H424" s="508"/>
      <c r="I424" s="508"/>
      <c r="J424" s="508"/>
      <c r="K424" s="508"/>
      <c r="L424" s="508"/>
      <c r="M424" s="508"/>
      <c r="N424" s="508"/>
      <c r="O424" s="508"/>
      <c r="P424" s="508"/>
      <c r="Q424" s="508"/>
      <c r="R424" s="508"/>
      <c r="S424" s="508"/>
      <c r="T424" s="508"/>
      <c r="U424" s="508"/>
      <c r="V424" s="508"/>
      <c r="W424" s="508"/>
      <c r="X424" s="508"/>
      <c r="Y424" s="508"/>
      <c r="Z424" s="508"/>
    </row>
    <row r="425" ht="13.5" customHeight="1">
      <c r="A425" s="508"/>
      <c r="B425" s="508"/>
      <c r="C425" s="508"/>
      <c r="D425" s="508"/>
      <c r="E425" s="508"/>
      <c r="F425" s="508"/>
      <c r="G425" s="508"/>
      <c r="H425" s="508"/>
      <c r="I425" s="508"/>
      <c r="J425" s="508"/>
      <c r="K425" s="508"/>
      <c r="L425" s="508"/>
      <c r="M425" s="508"/>
      <c r="N425" s="508"/>
      <c r="O425" s="508"/>
      <c r="P425" s="508"/>
      <c r="Q425" s="508"/>
      <c r="R425" s="508"/>
      <c r="S425" s="508"/>
      <c r="T425" s="508"/>
      <c r="U425" s="508"/>
      <c r="V425" s="508"/>
      <c r="W425" s="508"/>
      <c r="X425" s="508"/>
      <c r="Y425" s="508"/>
      <c r="Z425" s="508"/>
    </row>
    <row r="426" ht="13.5" customHeight="1">
      <c r="A426" s="508"/>
      <c r="B426" s="508"/>
      <c r="C426" s="508"/>
      <c r="D426" s="508"/>
      <c r="E426" s="508"/>
      <c r="F426" s="508"/>
      <c r="G426" s="508"/>
      <c r="H426" s="508"/>
      <c r="I426" s="508"/>
      <c r="J426" s="508"/>
      <c r="K426" s="508"/>
      <c r="L426" s="508"/>
      <c r="M426" s="508"/>
      <c r="N426" s="508"/>
      <c r="O426" s="508"/>
      <c r="P426" s="508"/>
      <c r="Q426" s="508"/>
      <c r="R426" s="508"/>
      <c r="S426" s="508"/>
      <c r="T426" s="508"/>
      <c r="U426" s="508"/>
      <c r="V426" s="508"/>
      <c r="W426" s="508"/>
      <c r="X426" s="508"/>
      <c r="Y426" s="508"/>
      <c r="Z426" s="508"/>
    </row>
    <row r="427" ht="13.5" customHeight="1">
      <c r="A427" s="508"/>
      <c r="B427" s="508"/>
      <c r="C427" s="508"/>
      <c r="D427" s="508"/>
      <c r="E427" s="508"/>
      <c r="F427" s="508"/>
      <c r="G427" s="508"/>
      <c r="H427" s="508"/>
      <c r="I427" s="508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508"/>
      <c r="Y427" s="508"/>
      <c r="Z427" s="508"/>
    </row>
    <row r="428" ht="13.5" customHeight="1">
      <c r="A428" s="508"/>
      <c r="B428" s="508"/>
      <c r="C428" s="508"/>
      <c r="D428" s="508"/>
      <c r="E428" s="508"/>
      <c r="F428" s="508"/>
      <c r="G428" s="508"/>
      <c r="H428" s="508"/>
      <c r="I428" s="508"/>
      <c r="J428" s="508"/>
      <c r="K428" s="508"/>
      <c r="L428" s="508"/>
      <c r="M428" s="508"/>
      <c r="N428" s="508"/>
      <c r="O428" s="508"/>
      <c r="P428" s="508"/>
      <c r="Q428" s="508"/>
      <c r="R428" s="508"/>
      <c r="S428" s="508"/>
      <c r="T428" s="508"/>
      <c r="U428" s="508"/>
      <c r="V428" s="508"/>
      <c r="W428" s="508"/>
      <c r="X428" s="508"/>
      <c r="Y428" s="508"/>
      <c r="Z428" s="508"/>
    </row>
    <row r="429" ht="13.5" customHeight="1">
      <c r="A429" s="508"/>
      <c r="B429" s="508"/>
      <c r="C429" s="508"/>
      <c r="D429" s="508"/>
      <c r="E429" s="508"/>
      <c r="F429" s="508"/>
      <c r="G429" s="508"/>
      <c r="H429" s="508"/>
      <c r="I429" s="508"/>
      <c r="J429" s="508"/>
      <c r="K429" s="508"/>
      <c r="L429" s="508"/>
      <c r="M429" s="508"/>
      <c r="N429" s="508"/>
      <c r="O429" s="508"/>
      <c r="P429" s="508"/>
      <c r="Q429" s="508"/>
      <c r="R429" s="508"/>
      <c r="S429" s="508"/>
      <c r="T429" s="508"/>
      <c r="U429" s="508"/>
      <c r="V429" s="508"/>
      <c r="W429" s="508"/>
      <c r="X429" s="508"/>
      <c r="Y429" s="508"/>
      <c r="Z429" s="508"/>
    </row>
    <row r="430" ht="13.5" customHeight="1">
      <c r="A430" s="508"/>
      <c r="B430" s="508"/>
      <c r="C430" s="508"/>
      <c r="D430" s="508"/>
      <c r="E430" s="508"/>
      <c r="F430" s="508"/>
      <c r="G430" s="508"/>
      <c r="H430" s="508"/>
      <c r="I430" s="508"/>
      <c r="J430" s="508"/>
      <c r="K430" s="508"/>
      <c r="L430" s="508"/>
      <c r="M430" s="508"/>
      <c r="N430" s="508"/>
      <c r="O430" s="508"/>
      <c r="P430" s="508"/>
      <c r="Q430" s="508"/>
      <c r="R430" s="508"/>
      <c r="S430" s="508"/>
      <c r="T430" s="508"/>
      <c r="U430" s="508"/>
      <c r="V430" s="508"/>
      <c r="W430" s="508"/>
      <c r="X430" s="508"/>
      <c r="Y430" s="508"/>
      <c r="Z430" s="508"/>
    </row>
    <row r="431" ht="13.5" customHeight="1">
      <c r="A431" s="508"/>
      <c r="B431" s="508"/>
      <c r="C431" s="508"/>
      <c r="D431" s="508"/>
      <c r="E431" s="508"/>
      <c r="F431" s="508"/>
      <c r="G431" s="508"/>
      <c r="H431" s="508"/>
      <c r="I431" s="508"/>
      <c r="J431" s="508"/>
      <c r="K431" s="508"/>
      <c r="L431" s="508"/>
      <c r="M431" s="508"/>
      <c r="N431" s="508"/>
      <c r="O431" s="508"/>
      <c r="P431" s="508"/>
      <c r="Q431" s="508"/>
      <c r="R431" s="508"/>
      <c r="S431" s="508"/>
      <c r="T431" s="508"/>
      <c r="U431" s="508"/>
      <c r="V431" s="508"/>
      <c r="W431" s="508"/>
      <c r="X431" s="508"/>
      <c r="Y431" s="508"/>
      <c r="Z431" s="508"/>
    </row>
    <row r="432" ht="13.5" customHeight="1">
      <c r="A432" s="508"/>
      <c r="B432" s="508"/>
      <c r="C432" s="508"/>
      <c r="D432" s="508"/>
      <c r="E432" s="508"/>
      <c r="F432" s="508"/>
      <c r="G432" s="508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8"/>
      <c r="V432" s="508"/>
      <c r="W432" s="508"/>
      <c r="X432" s="508"/>
      <c r="Y432" s="508"/>
      <c r="Z432" s="508"/>
    </row>
    <row r="433" ht="13.5" customHeight="1">
      <c r="A433" s="508"/>
      <c r="B433" s="508"/>
      <c r="C433" s="508"/>
      <c r="D433" s="508"/>
      <c r="E433" s="508"/>
      <c r="F433" s="508"/>
      <c r="G433" s="508"/>
      <c r="H433" s="508"/>
      <c r="I433" s="508"/>
      <c r="J433" s="508"/>
      <c r="K433" s="508"/>
      <c r="L433" s="508"/>
      <c r="M433" s="508"/>
      <c r="N433" s="508"/>
      <c r="O433" s="508"/>
      <c r="P433" s="508"/>
      <c r="Q433" s="508"/>
      <c r="R433" s="508"/>
      <c r="S433" s="508"/>
      <c r="T433" s="508"/>
      <c r="U433" s="508"/>
      <c r="V433" s="508"/>
      <c r="W433" s="508"/>
      <c r="X433" s="508"/>
      <c r="Y433" s="508"/>
      <c r="Z433" s="508"/>
    </row>
    <row r="434" ht="13.5" customHeight="1">
      <c r="A434" s="508"/>
      <c r="B434" s="508"/>
      <c r="C434" s="508"/>
      <c r="D434" s="508"/>
      <c r="E434" s="508"/>
      <c r="F434" s="508"/>
      <c r="G434" s="508"/>
      <c r="H434" s="508"/>
      <c r="I434" s="508"/>
      <c r="J434" s="508"/>
      <c r="K434" s="508"/>
      <c r="L434" s="508"/>
      <c r="M434" s="508"/>
      <c r="N434" s="508"/>
      <c r="O434" s="508"/>
      <c r="P434" s="508"/>
      <c r="Q434" s="508"/>
      <c r="R434" s="508"/>
      <c r="S434" s="508"/>
      <c r="T434" s="508"/>
      <c r="U434" s="508"/>
      <c r="V434" s="508"/>
      <c r="W434" s="508"/>
      <c r="X434" s="508"/>
      <c r="Y434" s="508"/>
      <c r="Z434" s="508"/>
    </row>
    <row r="435" ht="13.5" customHeight="1">
      <c r="A435" s="508"/>
      <c r="B435" s="508"/>
      <c r="C435" s="508"/>
      <c r="D435" s="508"/>
      <c r="E435" s="508"/>
      <c r="F435" s="508"/>
      <c r="G435" s="508"/>
      <c r="H435" s="508"/>
      <c r="I435" s="508"/>
      <c r="J435" s="508"/>
      <c r="K435" s="508"/>
      <c r="L435" s="508"/>
      <c r="M435" s="508"/>
      <c r="N435" s="508"/>
      <c r="O435" s="508"/>
      <c r="P435" s="508"/>
      <c r="Q435" s="508"/>
      <c r="R435" s="508"/>
      <c r="S435" s="508"/>
      <c r="T435" s="508"/>
      <c r="U435" s="508"/>
      <c r="V435" s="508"/>
      <c r="W435" s="508"/>
      <c r="X435" s="508"/>
      <c r="Y435" s="508"/>
      <c r="Z435" s="508"/>
    </row>
    <row r="436" ht="13.5" customHeight="1">
      <c r="A436" s="508"/>
      <c r="B436" s="508"/>
      <c r="C436" s="508"/>
      <c r="D436" s="508"/>
      <c r="E436" s="508"/>
      <c r="F436" s="508"/>
      <c r="G436" s="508"/>
      <c r="H436" s="508"/>
      <c r="I436" s="508"/>
      <c r="J436" s="508"/>
      <c r="K436" s="508"/>
      <c r="L436" s="508"/>
      <c r="M436" s="508"/>
      <c r="N436" s="508"/>
      <c r="O436" s="508"/>
      <c r="P436" s="508"/>
      <c r="Q436" s="508"/>
      <c r="R436" s="508"/>
      <c r="S436" s="508"/>
      <c r="T436" s="508"/>
      <c r="U436" s="508"/>
      <c r="V436" s="508"/>
      <c r="W436" s="508"/>
      <c r="X436" s="508"/>
      <c r="Y436" s="508"/>
      <c r="Z436" s="508"/>
    </row>
    <row r="437" ht="13.5" customHeight="1">
      <c r="A437" s="508"/>
      <c r="B437" s="508"/>
      <c r="C437" s="508"/>
      <c r="D437" s="508"/>
      <c r="E437" s="508"/>
      <c r="F437" s="508"/>
      <c r="G437" s="508"/>
      <c r="H437" s="508"/>
      <c r="I437" s="508"/>
      <c r="J437" s="508"/>
      <c r="K437" s="508"/>
      <c r="L437" s="508"/>
      <c r="M437" s="508"/>
      <c r="N437" s="508"/>
      <c r="O437" s="508"/>
      <c r="P437" s="508"/>
      <c r="Q437" s="508"/>
      <c r="R437" s="508"/>
      <c r="S437" s="508"/>
      <c r="T437" s="508"/>
      <c r="U437" s="508"/>
      <c r="V437" s="508"/>
      <c r="W437" s="508"/>
      <c r="X437" s="508"/>
      <c r="Y437" s="508"/>
      <c r="Z437" s="508"/>
    </row>
    <row r="438" ht="13.5" customHeight="1">
      <c r="A438" s="508"/>
      <c r="B438" s="508"/>
      <c r="C438" s="508"/>
      <c r="D438" s="508"/>
      <c r="E438" s="508"/>
      <c r="F438" s="508"/>
      <c r="G438" s="508"/>
      <c r="H438" s="508"/>
      <c r="I438" s="508"/>
      <c r="J438" s="508"/>
      <c r="K438" s="508"/>
      <c r="L438" s="508"/>
      <c r="M438" s="508"/>
      <c r="N438" s="508"/>
      <c r="O438" s="508"/>
      <c r="P438" s="508"/>
      <c r="Q438" s="508"/>
      <c r="R438" s="508"/>
      <c r="S438" s="508"/>
      <c r="T438" s="508"/>
      <c r="U438" s="508"/>
      <c r="V438" s="508"/>
      <c r="W438" s="508"/>
      <c r="X438" s="508"/>
      <c r="Y438" s="508"/>
      <c r="Z438" s="508"/>
    </row>
    <row r="439" ht="13.5" customHeight="1">
      <c r="A439" s="508"/>
      <c r="B439" s="508"/>
      <c r="C439" s="508"/>
      <c r="D439" s="508"/>
      <c r="E439" s="508"/>
      <c r="F439" s="508"/>
      <c r="G439" s="508"/>
      <c r="H439" s="508"/>
      <c r="I439" s="508"/>
      <c r="J439" s="508"/>
      <c r="K439" s="508"/>
      <c r="L439" s="508"/>
      <c r="M439" s="508"/>
      <c r="N439" s="508"/>
      <c r="O439" s="508"/>
      <c r="P439" s="508"/>
      <c r="Q439" s="508"/>
      <c r="R439" s="508"/>
      <c r="S439" s="508"/>
      <c r="T439" s="508"/>
      <c r="U439" s="508"/>
      <c r="V439" s="508"/>
      <c r="W439" s="508"/>
      <c r="X439" s="508"/>
      <c r="Y439" s="508"/>
      <c r="Z439" s="508"/>
    </row>
    <row r="440" ht="13.5" customHeight="1">
      <c r="A440" s="508"/>
      <c r="B440" s="508"/>
      <c r="C440" s="508"/>
      <c r="D440" s="508"/>
      <c r="E440" s="508"/>
      <c r="F440" s="508"/>
      <c r="G440" s="508"/>
      <c r="H440" s="508"/>
      <c r="I440" s="508"/>
      <c r="J440" s="508"/>
      <c r="K440" s="508"/>
      <c r="L440" s="508"/>
      <c r="M440" s="508"/>
      <c r="N440" s="508"/>
      <c r="O440" s="508"/>
      <c r="P440" s="508"/>
      <c r="Q440" s="508"/>
      <c r="R440" s="508"/>
      <c r="S440" s="508"/>
      <c r="T440" s="508"/>
      <c r="U440" s="508"/>
      <c r="V440" s="508"/>
      <c r="W440" s="508"/>
      <c r="X440" s="508"/>
      <c r="Y440" s="508"/>
      <c r="Z440" s="508"/>
    </row>
    <row r="441" ht="13.5" customHeight="1">
      <c r="A441" s="508"/>
      <c r="B441" s="508"/>
      <c r="C441" s="508"/>
      <c r="D441" s="508"/>
      <c r="E441" s="508"/>
      <c r="F441" s="508"/>
      <c r="G441" s="508"/>
      <c r="H441" s="508"/>
      <c r="I441" s="508"/>
      <c r="J441" s="508"/>
      <c r="K441" s="508"/>
      <c r="L441" s="508"/>
      <c r="M441" s="508"/>
      <c r="N441" s="508"/>
      <c r="O441" s="508"/>
      <c r="P441" s="508"/>
      <c r="Q441" s="508"/>
      <c r="R441" s="508"/>
      <c r="S441" s="508"/>
      <c r="T441" s="508"/>
      <c r="U441" s="508"/>
      <c r="V441" s="508"/>
      <c r="W441" s="508"/>
      <c r="X441" s="508"/>
      <c r="Y441" s="508"/>
      <c r="Z441" s="508"/>
    </row>
    <row r="442" ht="13.5" customHeight="1">
      <c r="A442" s="508"/>
      <c r="B442" s="508"/>
      <c r="C442" s="508"/>
      <c r="D442" s="508"/>
      <c r="E442" s="508"/>
      <c r="F442" s="508"/>
      <c r="G442" s="508"/>
      <c r="H442" s="508"/>
      <c r="I442" s="508"/>
      <c r="J442" s="508"/>
      <c r="K442" s="508"/>
      <c r="L442" s="508"/>
      <c r="M442" s="508"/>
      <c r="N442" s="508"/>
      <c r="O442" s="508"/>
      <c r="P442" s="508"/>
      <c r="Q442" s="508"/>
      <c r="R442" s="508"/>
      <c r="S442" s="508"/>
      <c r="T442" s="508"/>
      <c r="U442" s="508"/>
      <c r="V442" s="508"/>
      <c r="W442" s="508"/>
      <c r="X442" s="508"/>
      <c r="Y442" s="508"/>
      <c r="Z442" s="508"/>
    </row>
    <row r="443" ht="13.5" customHeight="1">
      <c r="A443" s="508"/>
      <c r="B443" s="508"/>
      <c r="C443" s="508"/>
      <c r="D443" s="508"/>
      <c r="E443" s="508"/>
      <c r="F443" s="508"/>
      <c r="G443" s="508"/>
      <c r="H443" s="508"/>
      <c r="I443" s="508"/>
      <c r="J443" s="508"/>
      <c r="K443" s="508"/>
      <c r="L443" s="508"/>
      <c r="M443" s="508"/>
      <c r="N443" s="508"/>
      <c r="O443" s="508"/>
      <c r="P443" s="508"/>
      <c r="Q443" s="508"/>
      <c r="R443" s="508"/>
      <c r="S443" s="508"/>
      <c r="T443" s="508"/>
      <c r="U443" s="508"/>
      <c r="V443" s="508"/>
      <c r="W443" s="508"/>
      <c r="X443" s="508"/>
      <c r="Y443" s="508"/>
      <c r="Z443" s="508"/>
    </row>
    <row r="444" ht="13.5" customHeight="1">
      <c r="A444" s="508"/>
      <c r="B444" s="508"/>
      <c r="C444" s="508"/>
      <c r="D444" s="508"/>
      <c r="E444" s="508"/>
      <c r="F444" s="508"/>
      <c r="G444" s="508"/>
      <c r="H444" s="508"/>
      <c r="I444" s="508"/>
      <c r="J444" s="508"/>
      <c r="K444" s="508"/>
      <c r="L444" s="508"/>
      <c r="M444" s="508"/>
      <c r="N444" s="508"/>
      <c r="O444" s="508"/>
      <c r="P444" s="508"/>
      <c r="Q444" s="508"/>
      <c r="R444" s="508"/>
      <c r="S444" s="508"/>
      <c r="T444" s="508"/>
      <c r="U444" s="508"/>
      <c r="V444" s="508"/>
      <c r="W444" s="508"/>
      <c r="X444" s="508"/>
      <c r="Y444" s="508"/>
      <c r="Z444" s="508"/>
    </row>
    <row r="445" ht="13.5" customHeight="1">
      <c r="A445" s="508"/>
      <c r="B445" s="508"/>
      <c r="C445" s="508"/>
      <c r="D445" s="508"/>
      <c r="E445" s="508"/>
      <c r="F445" s="508"/>
      <c r="G445" s="508"/>
      <c r="H445" s="508"/>
      <c r="I445" s="508"/>
      <c r="J445" s="508"/>
      <c r="K445" s="508"/>
      <c r="L445" s="508"/>
      <c r="M445" s="508"/>
      <c r="N445" s="508"/>
      <c r="O445" s="508"/>
      <c r="P445" s="508"/>
      <c r="Q445" s="508"/>
      <c r="R445" s="508"/>
      <c r="S445" s="508"/>
      <c r="T445" s="508"/>
      <c r="U445" s="508"/>
      <c r="V445" s="508"/>
      <c r="W445" s="508"/>
      <c r="X445" s="508"/>
      <c r="Y445" s="508"/>
      <c r="Z445" s="508"/>
    </row>
    <row r="446" ht="13.5" customHeight="1">
      <c r="A446" s="508"/>
      <c r="B446" s="508"/>
      <c r="C446" s="508"/>
      <c r="D446" s="508"/>
      <c r="E446" s="508"/>
      <c r="F446" s="508"/>
      <c r="G446" s="508"/>
      <c r="H446" s="508"/>
      <c r="I446" s="508"/>
      <c r="J446" s="508"/>
      <c r="K446" s="508"/>
      <c r="L446" s="508"/>
      <c r="M446" s="508"/>
      <c r="N446" s="508"/>
      <c r="O446" s="508"/>
      <c r="P446" s="508"/>
      <c r="Q446" s="508"/>
      <c r="R446" s="508"/>
      <c r="S446" s="508"/>
      <c r="T446" s="508"/>
      <c r="U446" s="508"/>
      <c r="V446" s="508"/>
      <c r="W446" s="508"/>
      <c r="X446" s="508"/>
      <c r="Y446" s="508"/>
      <c r="Z446" s="508"/>
    </row>
    <row r="447" ht="13.5" customHeight="1">
      <c r="A447" s="508"/>
      <c r="B447" s="508"/>
      <c r="C447" s="508"/>
      <c r="D447" s="508"/>
      <c r="E447" s="508"/>
      <c r="F447" s="508"/>
      <c r="G447" s="508"/>
      <c r="H447" s="508"/>
      <c r="I447" s="508"/>
      <c r="J447" s="508"/>
      <c r="K447" s="508"/>
      <c r="L447" s="508"/>
      <c r="M447" s="508"/>
      <c r="N447" s="508"/>
      <c r="O447" s="508"/>
      <c r="P447" s="508"/>
      <c r="Q447" s="508"/>
      <c r="R447" s="508"/>
      <c r="S447" s="508"/>
      <c r="T447" s="508"/>
      <c r="U447" s="508"/>
      <c r="V447" s="508"/>
      <c r="W447" s="508"/>
      <c r="X447" s="508"/>
      <c r="Y447" s="508"/>
      <c r="Z447" s="508"/>
    </row>
    <row r="448" ht="13.5" customHeight="1">
      <c r="A448" s="508"/>
      <c r="B448" s="508"/>
      <c r="C448" s="508"/>
      <c r="D448" s="508"/>
      <c r="E448" s="508"/>
      <c r="F448" s="508"/>
      <c r="G448" s="508"/>
      <c r="H448" s="508"/>
      <c r="I448" s="508"/>
      <c r="J448" s="508"/>
      <c r="K448" s="508"/>
      <c r="L448" s="508"/>
      <c r="M448" s="508"/>
      <c r="N448" s="508"/>
      <c r="O448" s="508"/>
      <c r="P448" s="508"/>
      <c r="Q448" s="508"/>
      <c r="R448" s="508"/>
      <c r="S448" s="508"/>
      <c r="T448" s="508"/>
      <c r="U448" s="508"/>
      <c r="V448" s="508"/>
      <c r="W448" s="508"/>
      <c r="X448" s="508"/>
      <c r="Y448" s="508"/>
      <c r="Z448" s="508"/>
    </row>
    <row r="449" ht="13.5" customHeight="1">
      <c r="A449" s="508"/>
      <c r="B449" s="508"/>
      <c r="C449" s="508"/>
      <c r="D449" s="508"/>
      <c r="E449" s="508"/>
      <c r="F449" s="508"/>
      <c r="G449" s="508"/>
      <c r="H449" s="508"/>
      <c r="I449" s="508"/>
      <c r="J449" s="508"/>
      <c r="K449" s="508"/>
      <c r="L449" s="508"/>
      <c r="M449" s="508"/>
      <c r="N449" s="508"/>
      <c r="O449" s="508"/>
      <c r="P449" s="508"/>
      <c r="Q449" s="508"/>
      <c r="R449" s="508"/>
      <c r="S449" s="508"/>
      <c r="T449" s="508"/>
      <c r="U449" s="508"/>
      <c r="V449" s="508"/>
      <c r="W449" s="508"/>
      <c r="X449" s="508"/>
      <c r="Y449" s="508"/>
      <c r="Z449" s="508"/>
    </row>
    <row r="450" ht="13.5" customHeight="1">
      <c r="A450" s="508"/>
      <c r="B450" s="508"/>
      <c r="C450" s="508"/>
      <c r="D450" s="508"/>
      <c r="E450" s="508"/>
      <c r="F450" s="508"/>
      <c r="G450" s="508"/>
      <c r="H450" s="508"/>
      <c r="I450" s="508"/>
      <c r="J450" s="508"/>
      <c r="K450" s="508"/>
      <c r="L450" s="508"/>
      <c r="M450" s="508"/>
      <c r="N450" s="508"/>
      <c r="O450" s="508"/>
      <c r="P450" s="508"/>
      <c r="Q450" s="508"/>
      <c r="R450" s="508"/>
      <c r="S450" s="508"/>
      <c r="T450" s="508"/>
      <c r="U450" s="508"/>
      <c r="V450" s="508"/>
      <c r="W450" s="508"/>
      <c r="X450" s="508"/>
      <c r="Y450" s="508"/>
      <c r="Z450" s="508"/>
    </row>
    <row r="451" ht="13.5" customHeight="1">
      <c r="A451" s="508"/>
      <c r="B451" s="508"/>
      <c r="C451" s="508"/>
      <c r="D451" s="508"/>
      <c r="E451" s="508"/>
      <c r="F451" s="508"/>
      <c r="G451" s="508"/>
      <c r="H451" s="508"/>
      <c r="I451" s="508"/>
      <c r="J451" s="508"/>
      <c r="K451" s="508"/>
      <c r="L451" s="508"/>
      <c r="M451" s="508"/>
      <c r="N451" s="508"/>
      <c r="O451" s="508"/>
      <c r="P451" s="508"/>
      <c r="Q451" s="508"/>
      <c r="R451" s="508"/>
      <c r="S451" s="508"/>
      <c r="T451" s="508"/>
      <c r="U451" s="508"/>
      <c r="V451" s="508"/>
      <c r="W451" s="508"/>
      <c r="X451" s="508"/>
      <c r="Y451" s="508"/>
      <c r="Z451" s="508"/>
    </row>
    <row r="452" ht="13.5" customHeight="1">
      <c r="A452" s="508"/>
      <c r="B452" s="508"/>
      <c r="C452" s="508"/>
      <c r="D452" s="508"/>
      <c r="E452" s="508"/>
      <c r="F452" s="508"/>
      <c r="G452" s="508"/>
      <c r="H452" s="508"/>
      <c r="I452" s="508"/>
      <c r="J452" s="508"/>
      <c r="K452" s="508"/>
      <c r="L452" s="508"/>
      <c r="M452" s="508"/>
      <c r="N452" s="508"/>
      <c r="O452" s="508"/>
      <c r="P452" s="508"/>
      <c r="Q452" s="508"/>
      <c r="R452" s="508"/>
      <c r="S452" s="508"/>
      <c r="T452" s="508"/>
      <c r="U452" s="508"/>
      <c r="V452" s="508"/>
      <c r="W452" s="508"/>
      <c r="X452" s="508"/>
      <c r="Y452" s="508"/>
      <c r="Z452" s="508"/>
    </row>
    <row r="453" ht="13.5" customHeight="1">
      <c r="A453" s="508"/>
      <c r="B453" s="508"/>
      <c r="C453" s="508"/>
      <c r="D453" s="508"/>
      <c r="E453" s="508"/>
      <c r="F453" s="508"/>
      <c r="G453" s="508"/>
      <c r="H453" s="508"/>
      <c r="I453" s="508"/>
      <c r="J453" s="508"/>
      <c r="K453" s="508"/>
      <c r="L453" s="508"/>
      <c r="M453" s="508"/>
      <c r="N453" s="508"/>
      <c r="O453" s="508"/>
      <c r="P453" s="508"/>
      <c r="Q453" s="508"/>
      <c r="R453" s="508"/>
      <c r="S453" s="508"/>
      <c r="T453" s="508"/>
      <c r="U453" s="508"/>
      <c r="V453" s="508"/>
      <c r="W453" s="508"/>
      <c r="X453" s="508"/>
      <c r="Y453" s="508"/>
      <c r="Z453" s="508"/>
    </row>
    <row r="454" ht="13.5" customHeight="1">
      <c r="A454" s="508"/>
      <c r="B454" s="508"/>
      <c r="C454" s="508"/>
      <c r="D454" s="508"/>
      <c r="E454" s="508"/>
      <c r="F454" s="508"/>
      <c r="G454" s="508"/>
      <c r="H454" s="508"/>
      <c r="I454" s="508"/>
      <c r="J454" s="508"/>
      <c r="K454" s="508"/>
      <c r="L454" s="508"/>
      <c r="M454" s="508"/>
      <c r="N454" s="508"/>
      <c r="O454" s="508"/>
      <c r="P454" s="508"/>
      <c r="Q454" s="508"/>
      <c r="R454" s="508"/>
      <c r="S454" s="508"/>
      <c r="T454" s="508"/>
      <c r="U454" s="508"/>
      <c r="V454" s="508"/>
      <c r="W454" s="508"/>
      <c r="X454" s="508"/>
      <c r="Y454" s="508"/>
      <c r="Z454" s="508"/>
    </row>
    <row r="455" ht="13.5" customHeight="1">
      <c r="A455" s="508"/>
      <c r="B455" s="508"/>
      <c r="C455" s="508"/>
      <c r="D455" s="508"/>
      <c r="E455" s="508"/>
      <c r="F455" s="508"/>
      <c r="G455" s="508"/>
      <c r="H455" s="508"/>
      <c r="I455" s="508"/>
      <c r="J455" s="508"/>
      <c r="K455" s="508"/>
      <c r="L455" s="508"/>
      <c r="M455" s="508"/>
      <c r="N455" s="508"/>
      <c r="O455" s="508"/>
      <c r="P455" s="508"/>
      <c r="Q455" s="508"/>
      <c r="R455" s="508"/>
      <c r="S455" s="508"/>
      <c r="T455" s="508"/>
      <c r="U455" s="508"/>
      <c r="V455" s="508"/>
      <c r="W455" s="508"/>
      <c r="X455" s="508"/>
      <c r="Y455" s="508"/>
      <c r="Z455" s="508"/>
    </row>
    <row r="456" ht="13.5" customHeight="1">
      <c r="A456" s="508"/>
      <c r="B456" s="508"/>
      <c r="C456" s="508"/>
      <c r="D456" s="508"/>
      <c r="E456" s="508"/>
      <c r="F456" s="508"/>
      <c r="G456" s="508"/>
      <c r="H456" s="508"/>
      <c r="I456" s="508"/>
      <c r="J456" s="508"/>
      <c r="K456" s="508"/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  <c r="V456" s="508"/>
      <c r="W456" s="508"/>
      <c r="X456" s="508"/>
      <c r="Y456" s="508"/>
      <c r="Z456" s="508"/>
    </row>
    <row r="457" ht="13.5" customHeight="1">
      <c r="A457" s="508"/>
      <c r="B457" s="508"/>
      <c r="C457" s="508"/>
      <c r="D457" s="508"/>
      <c r="E457" s="508"/>
      <c r="F457" s="508"/>
      <c r="G457" s="508"/>
      <c r="H457" s="508"/>
      <c r="I457" s="508"/>
      <c r="J457" s="508"/>
      <c r="K457" s="508"/>
      <c r="L457" s="508"/>
      <c r="M457" s="508"/>
      <c r="N457" s="508"/>
      <c r="O457" s="508"/>
      <c r="P457" s="508"/>
      <c r="Q457" s="508"/>
      <c r="R457" s="508"/>
      <c r="S457" s="508"/>
      <c r="T457" s="508"/>
      <c r="U457" s="508"/>
      <c r="V457" s="508"/>
      <c r="W457" s="508"/>
      <c r="X457" s="508"/>
      <c r="Y457" s="508"/>
      <c r="Z457" s="508"/>
    </row>
    <row r="458" ht="13.5" customHeight="1">
      <c r="A458" s="508"/>
      <c r="B458" s="508"/>
      <c r="C458" s="508"/>
      <c r="D458" s="508"/>
      <c r="E458" s="508"/>
      <c r="F458" s="508"/>
      <c r="G458" s="508"/>
      <c r="H458" s="508"/>
      <c r="I458" s="508"/>
      <c r="J458" s="508"/>
      <c r="K458" s="508"/>
      <c r="L458" s="508"/>
      <c r="M458" s="508"/>
      <c r="N458" s="508"/>
      <c r="O458" s="508"/>
      <c r="P458" s="508"/>
      <c r="Q458" s="508"/>
      <c r="R458" s="508"/>
      <c r="S458" s="508"/>
      <c r="T458" s="508"/>
      <c r="U458" s="508"/>
      <c r="V458" s="508"/>
      <c r="W458" s="508"/>
      <c r="X458" s="508"/>
      <c r="Y458" s="508"/>
      <c r="Z458" s="508"/>
    </row>
    <row r="459" ht="13.5" customHeight="1">
      <c r="A459" s="508"/>
      <c r="B459" s="508"/>
      <c r="C459" s="508"/>
      <c r="D459" s="508"/>
      <c r="E459" s="508"/>
      <c r="F459" s="508"/>
      <c r="G459" s="508"/>
      <c r="H459" s="508"/>
      <c r="I459" s="508"/>
      <c r="J459" s="508"/>
      <c r="K459" s="508"/>
      <c r="L459" s="508"/>
      <c r="M459" s="508"/>
      <c r="N459" s="508"/>
      <c r="O459" s="508"/>
      <c r="P459" s="508"/>
      <c r="Q459" s="508"/>
      <c r="R459" s="508"/>
      <c r="S459" s="508"/>
      <c r="T459" s="508"/>
      <c r="U459" s="508"/>
      <c r="V459" s="508"/>
      <c r="W459" s="508"/>
      <c r="X459" s="508"/>
      <c r="Y459" s="508"/>
      <c r="Z459" s="508"/>
    </row>
    <row r="460" ht="13.5" customHeight="1">
      <c r="A460" s="508"/>
      <c r="B460" s="508"/>
      <c r="C460" s="508"/>
      <c r="D460" s="508"/>
      <c r="E460" s="508"/>
      <c r="F460" s="508"/>
      <c r="G460" s="508"/>
      <c r="H460" s="508"/>
      <c r="I460" s="508"/>
      <c r="J460" s="508"/>
      <c r="K460" s="508"/>
      <c r="L460" s="508"/>
      <c r="M460" s="508"/>
      <c r="N460" s="508"/>
      <c r="O460" s="508"/>
      <c r="P460" s="508"/>
      <c r="Q460" s="508"/>
      <c r="R460" s="508"/>
      <c r="S460" s="508"/>
      <c r="T460" s="508"/>
      <c r="U460" s="508"/>
      <c r="V460" s="508"/>
      <c r="W460" s="508"/>
      <c r="X460" s="508"/>
      <c r="Y460" s="508"/>
      <c r="Z460" s="508"/>
    </row>
    <row r="461" ht="13.5" customHeight="1">
      <c r="A461" s="508"/>
      <c r="B461" s="508"/>
      <c r="C461" s="508"/>
      <c r="D461" s="508"/>
      <c r="E461" s="508"/>
      <c r="F461" s="508"/>
      <c r="G461" s="508"/>
      <c r="H461" s="508"/>
      <c r="I461" s="508"/>
      <c r="J461" s="508"/>
      <c r="K461" s="508"/>
      <c r="L461" s="508"/>
      <c r="M461" s="508"/>
      <c r="N461" s="508"/>
      <c r="O461" s="508"/>
      <c r="P461" s="508"/>
      <c r="Q461" s="508"/>
      <c r="R461" s="508"/>
      <c r="S461" s="508"/>
      <c r="T461" s="508"/>
      <c r="U461" s="508"/>
      <c r="V461" s="508"/>
      <c r="W461" s="508"/>
      <c r="X461" s="508"/>
      <c r="Y461" s="508"/>
      <c r="Z461" s="508"/>
    </row>
    <row r="462" ht="13.5" customHeight="1">
      <c r="A462" s="508"/>
      <c r="B462" s="508"/>
      <c r="C462" s="508"/>
      <c r="D462" s="508"/>
      <c r="E462" s="508"/>
      <c r="F462" s="508"/>
      <c r="G462" s="508"/>
      <c r="H462" s="508"/>
      <c r="I462" s="508"/>
      <c r="J462" s="508"/>
      <c r="K462" s="508"/>
      <c r="L462" s="508"/>
      <c r="M462" s="508"/>
      <c r="N462" s="508"/>
      <c r="O462" s="508"/>
      <c r="P462" s="508"/>
      <c r="Q462" s="508"/>
      <c r="R462" s="508"/>
      <c r="S462" s="508"/>
      <c r="T462" s="508"/>
      <c r="U462" s="508"/>
      <c r="V462" s="508"/>
      <c r="W462" s="508"/>
      <c r="X462" s="508"/>
      <c r="Y462" s="508"/>
      <c r="Z462" s="508"/>
    </row>
    <row r="463" ht="13.5" customHeight="1">
      <c r="A463" s="508"/>
      <c r="B463" s="508"/>
      <c r="C463" s="508"/>
      <c r="D463" s="508"/>
      <c r="E463" s="508"/>
      <c r="F463" s="508"/>
      <c r="G463" s="508"/>
      <c r="H463" s="508"/>
      <c r="I463" s="508"/>
      <c r="J463" s="508"/>
      <c r="K463" s="508"/>
      <c r="L463" s="508"/>
      <c r="M463" s="508"/>
      <c r="N463" s="508"/>
      <c r="O463" s="508"/>
      <c r="P463" s="508"/>
      <c r="Q463" s="508"/>
      <c r="R463" s="508"/>
      <c r="S463" s="508"/>
      <c r="T463" s="508"/>
      <c r="U463" s="508"/>
      <c r="V463" s="508"/>
      <c r="W463" s="508"/>
      <c r="X463" s="508"/>
      <c r="Y463" s="508"/>
      <c r="Z463" s="508"/>
    </row>
    <row r="464" ht="13.5" customHeight="1">
      <c r="A464" s="508"/>
      <c r="B464" s="508"/>
      <c r="C464" s="508"/>
      <c r="D464" s="508"/>
      <c r="E464" s="508"/>
      <c r="F464" s="508"/>
      <c r="G464" s="508"/>
      <c r="H464" s="508"/>
      <c r="I464" s="508"/>
      <c r="J464" s="508"/>
      <c r="K464" s="508"/>
      <c r="L464" s="508"/>
      <c r="M464" s="508"/>
      <c r="N464" s="508"/>
      <c r="O464" s="508"/>
      <c r="P464" s="508"/>
      <c r="Q464" s="508"/>
      <c r="R464" s="508"/>
      <c r="S464" s="508"/>
      <c r="T464" s="508"/>
      <c r="U464" s="508"/>
      <c r="V464" s="508"/>
      <c r="W464" s="508"/>
      <c r="X464" s="508"/>
      <c r="Y464" s="508"/>
      <c r="Z464" s="508"/>
    </row>
    <row r="465" ht="13.5" customHeight="1">
      <c r="A465" s="508"/>
      <c r="B465" s="508"/>
      <c r="C465" s="508"/>
      <c r="D465" s="508"/>
      <c r="E465" s="508"/>
      <c r="F465" s="508"/>
      <c r="G465" s="508"/>
      <c r="H465" s="508"/>
      <c r="I465" s="508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508"/>
      <c r="Y465" s="508"/>
      <c r="Z465" s="508"/>
    </row>
    <row r="466" ht="13.5" customHeight="1">
      <c r="A466" s="508"/>
      <c r="B466" s="508"/>
      <c r="C466" s="508"/>
      <c r="D466" s="508"/>
      <c r="E466" s="508"/>
      <c r="F466" s="508"/>
      <c r="G466" s="508"/>
      <c r="H466" s="508"/>
      <c r="I466" s="508"/>
      <c r="J466" s="508"/>
      <c r="K466" s="508"/>
      <c r="L466" s="508"/>
      <c r="M466" s="508"/>
      <c r="N466" s="508"/>
      <c r="O466" s="508"/>
      <c r="P466" s="508"/>
      <c r="Q466" s="508"/>
      <c r="R466" s="508"/>
      <c r="S466" s="508"/>
      <c r="T466" s="508"/>
      <c r="U466" s="508"/>
      <c r="V466" s="508"/>
      <c r="W466" s="508"/>
      <c r="X466" s="508"/>
      <c r="Y466" s="508"/>
      <c r="Z466" s="508"/>
    </row>
    <row r="467" ht="13.5" customHeight="1">
      <c r="A467" s="508"/>
      <c r="B467" s="508"/>
      <c r="C467" s="508"/>
      <c r="D467" s="508"/>
      <c r="E467" s="508"/>
      <c r="F467" s="508"/>
      <c r="G467" s="508"/>
      <c r="H467" s="508"/>
      <c r="I467" s="508"/>
      <c r="J467" s="508"/>
      <c r="K467" s="508"/>
      <c r="L467" s="508"/>
      <c r="M467" s="508"/>
      <c r="N467" s="508"/>
      <c r="O467" s="508"/>
      <c r="P467" s="508"/>
      <c r="Q467" s="508"/>
      <c r="R467" s="508"/>
      <c r="S467" s="508"/>
      <c r="T467" s="508"/>
      <c r="U467" s="508"/>
      <c r="V467" s="508"/>
      <c r="W467" s="508"/>
      <c r="X467" s="508"/>
      <c r="Y467" s="508"/>
      <c r="Z467" s="508"/>
    </row>
    <row r="468" ht="13.5" customHeight="1">
      <c r="A468" s="508"/>
      <c r="B468" s="508"/>
      <c r="C468" s="508"/>
      <c r="D468" s="508"/>
      <c r="E468" s="508"/>
      <c r="F468" s="508"/>
      <c r="G468" s="508"/>
      <c r="H468" s="508"/>
      <c r="I468" s="508"/>
      <c r="J468" s="508"/>
      <c r="K468" s="508"/>
      <c r="L468" s="508"/>
      <c r="M468" s="508"/>
      <c r="N468" s="508"/>
      <c r="O468" s="508"/>
      <c r="P468" s="508"/>
      <c r="Q468" s="508"/>
      <c r="R468" s="508"/>
      <c r="S468" s="508"/>
      <c r="T468" s="508"/>
      <c r="U468" s="508"/>
      <c r="V468" s="508"/>
      <c r="W468" s="508"/>
      <c r="X468" s="508"/>
      <c r="Y468" s="508"/>
      <c r="Z468" s="508"/>
    </row>
    <row r="469" ht="13.5" customHeight="1">
      <c r="A469" s="508"/>
      <c r="B469" s="508"/>
      <c r="C469" s="508"/>
      <c r="D469" s="508"/>
      <c r="E469" s="508"/>
      <c r="F469" s="508"/>
      <c r="G469" s="508"/>
      <c r="H469" s="508"/>
      <c r="I469" s="508"/>
      <c r="J469" s="508"/>
      <c r="K469" s="508"/>
      <c r="L469" s="508"/>
      <c r="M469" s="508"/>
      <c r="N469" s="508"/>
      <c r="O469" s="508"/>
      <c r="P469" s="508"/>
      <c r="Q469" s="508"/>
      <c r="R469" s="508"/>
      <c r="S469" s="508"/>
      <c r="T469" s="508"/>
      <c r="U469" s="508"/>
      <c r="V469" s="508"/>
      <c r="W469" s="508"/>
      <c r="X469" s="508"/>
      <c r="Y469" s="508"/>
      <c r="Z469" s="508"/>
    </row>
    <row r="470" ht="13.5" customHeight="1">
      <c r="A470" s="508"/>
      <c r="B470" s="508"/>
      <c r="C470" s="508"/>
      <c r="D470" s="508"/>
      <c r="E470" s="508"/>
      <c r="F470" s="508"/>
      <c r="G470" s="508"/>
      <c r="H470" s="508"/>
      <c r="I470" s="508"/>
      <c r="J470" s="508"/>
      <c r="K470" s="508"/>
      <c r="L470" s="508"/>
      <c r="M470" s="508"/>
      <c r="N470" s="508"/>
      <c r="O470" s="508"/>
      <c r="P470" s="508"/>
      <c r="Q470" s="508"/>
      <c r="R470" s="508"/>
      <c r="S470" s="508"/>
      <c r="T470" s="508"/>
      <c r="U470" s="508"/>
      <c r="V470" s="508"/>
      <c r="W470" s="508"/>
      <c r="X470" s="508"/>
      <c r="Y470" s="508"/>
      <c r="Z470" s="508"/>
    </row>
    <row r="471" ht="13.5" customHeight="1">
      <c r="A471" s="508"/>
      <c r="B471" s="508"/>
      <c r="C471" s="508"/>
      <c r="D471" s="508"/>
      <c r="E471" s="508"/>
      <c r="F471" s="508"/>
      <c r="G471" s="508"/>
      <c r="H471" s="508"/>
      <c r="I471" s="508"/>
      <c r="J471" s="508"/>
      <c r="K471" s="508"/>
      <c r="L471" s="508"/>
      <c r="M471" s="508"/>
      <c r="N471" s="508"/>
      <c r="O471" s="508"/>
      <c r="P471" s="508"/>
      <c r="Q471" s="508"/>
      <c r="R471" s="508"/>
      <c r="S471" s="508"/>
      <c r="T471" s="508"/>
      <c r="U471" s="508"/>
      <c r="V471" s="508"/>
      <c r="W471" s="508"/>
      <c r="X471" s="508"/>
      <c r="Y471" s="508"/>
      <c r="Z471" s="508"/>
    </row>
    <row r="472" ht="13.5" customHeight="1">
      <c r="A472" s="508"/>
      <c r="B472" s="508"/>
      <c r="C472" s="508"/>
      <c r="D472" s="508"/>
      <c r="E472" s="508"/>
      <c r="F472" s="508"/>
      <c r="G472" s="508"/>
      <c r="H472" s="508"/>
      <c r="I472" s="508"/>
      <c r="J472" s="508"/>
      <c r="K472" s="508"/>
      <c r="L472" s="508"/>
      <c r="M472" s="508"/>
      <c r="N472" s="508"/>
      <c r="O472" s="508"/>
      <c r="P472" s="508"/>
      <c r="Q472" s="508"/>
      <c r="R472" s="508"/>
      <c r="S472" s="508"/>
      <c r="T472" s="508"/>
      <c r="U472" s="508"/>
      <c r="V472" s="508"/>
      <c r="W472" s="508"/>
      <c r="X472" s="508"/>
      <c r="Y472" s="508"/>
      <c r="Z472" s="508"/>
    </row>
    <row r="473" ht="13.5" customHeight="1">
      <c r="A473" s="508"/>
      <c r="B473" s="508"/>
      <c r="C473" s="508"/>
      <c r="D473" s="508"/>
      <c r="E473" s="508"/>
      <c r="F473" s="508"/>
      <c r="G473" s="508"/>
      <c r="H473" s="508"/>
      <c r="I473" s="508"/>
      <c r="J473" s="508"/>
      <c r="K473" s="508"/>
      <c r="L473" s="508"/>
      <c r="M473" s="508"/>
      <c r="N473" s="508"/>
      <c r="O473" s="508"/>
      <c r="P473" s="508"/>
      <c r="Q473" s="508"/>
      <c r="R473" s="508"/>
      <c r="S473" s="508"/>
      <c r="T473" s="508"/>
      <c r="U473" s="508"/>
      <c r="V473" s="508"/>
      <c r="W473" s="508"/>
      <c r="X473" s="508"/>
      <c r="Y473" s="508"/>
      <c r="Z473" s="508"/>
    </row>
    <row r="474" ht="13.5" customHeight="1">
      <c r="A474" s="508"/>
      <c r="B474" s="508"/>
      <c r="C474" s="508"/>
      <c r="D474" s="508"/>
      <c r="E474" s="508"/>
      <c r="F474" s="508"/>
      <c r="G474" s="508"/>
      <c r="H474" s="508"/>
      <c r="I474" s="508"/>
      <c r="J474" s="508"/>
      <c r="K474" s="508"/>
      <c r="L474" s="508"/>
      <c r="M474" s="508"/>
      <c r="N474" s="508"/>
      <c r="O474" s="508"/>
      <c r="P474" s="508"/>
      <c r="Q474" s="508"/>
      <c r="R474" s="508"/>
      <c r="S474" s="508"/>
      <c r="T474" s="508"/>
      <c r="U474" s="508"/>
      <c r="V474" s="508"/>
      <c r="W474" s="508"/>
      <c r="X474" s="508"/>
      <c r="Y474" s="508"/>
      <c r="Z474" s="508"/>
    </row>
    <row r="475" ht="13.5" customHeight="1">
      <c r="A475" s="508"/>
      <c r="B475" s="508"/>
      <c r="C475" s="508"/>
      <c r="D475" s="508"/>
      <c r="E475" s="508"/>
      <c r="F475" s="508"/>
      <c r="G475" s="508"/>
      <c r="H475" s="508"/>
      <c r="I475" s="508"/>
      <c r="J475" s="508"/>
      <c r="K475" s="508"/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  <c r="V475" s="508"/>
      <c r="W475" s="508"/>
      <c r="X475" s="508"/>
      <c r="Y475" s="508"/>
      <c r="Z475" s="508"/>
    </row>
    <row r="476" ht="13.5" customHeight="1">
      <c r="A476" s="508"/>
      <c r="B476" s="508"/>
      <c r="C476" s="508"/>
      <c r="D476" s="508"/>
      <c r="E476" s="508"/>
      <c r="F476" s="508"/>
      <c r="G476" s="508"/>
      <c r="H476" s="508"/>
      <c r="I476" s="508"/>
      <c r="J476" s="508"/>
      <c r="K476" s="508"/>
      <c r="L476" s="508"/>
      <c r="M476" s="508"/>
      <c r="N476" s="508"/>
      <c r="O476" s="508"/>
      <c r="P476" s="508"/>
      <c r="Q476" s="508"/>
      <c r="R476" s="508"/>
      <c r="S476" s="508"/>
      <c r="T476" s="508"/>
      <c r="U476" s="508"/>
      <c r="V476" s="508"/>
      <c r="W476" s="508"/>
      <c r="X476" s="508"/>
      <c r="Y476" s="508"/>
      <c r="Z476" s="508"/>
    </row>
    <row r="477" ht="13.5" customHeight="1">
      <c r="A477" s="508"/>
      <c r="B477" s="508"/>
      <c r="C477" s="508"/>
      <c r="D477" s="508"/>
      <c r="E477" s="508"/>
      <c r="F477" s="508"/>
      <c r="G477" s="508"/>
      <c r="H477" s="508"/>
      <c r="I477" s="508"/>
      <c r="J477" s="508"/>
      <c r="K477" s="508"/>
      <c r="L477" s="508"/>
      <c r="M477" s="508"/>
      <c r="N477" s="508"/>
      <c r="O477" s="508"/>
      <c r="P477" s="508"/>
      <c r="Q477" s="508"/>
      <c r="R477" s="508"/>
      <c r="S477" s="508"/>
      <c r="T477" s="508"/>
      <c r="U477" s="508"/>
      <c r="V477" s="508"/>
      <c r="W477" s="508"/>
      <c r="X477" s="508"/>
      <c r="Y477" s="508"/>
      <c r="Z477" s="508"/>
    </row>
    <row r="478" ht="13.5" customHeight="1">
      <c r="A478" s="508"/>
      <c r="B478" s="508"/>
      <c r="C478" s="508"/>
      <c r="D478" s="508"/>
      <c r="E478" s="508"/>
      <c r="F478" s="508"/>
      <c r="G478" s="508"/>
      <c r="H478" s="508"/>
      <c r="I478" s="508"/>
      <c r="J478" s="508"/>
      <c r="K478" s="508"/>
      <c r="L478" s="508"/>
      <c r="M478" s="508"/>
      <c r="N478" s="508"/>
      <c r="O478" s="508"/>
      <c r="P478" s="508"/>
      <c r="Q478" s="508"/>
      <c r="R478" s="508"/>
      <c r="S478" s="508"/>
      <c r="T478" s="508"/>
      <c r="U478" s="508"/>
      <c r="V478" s="508"/>
      <c r="W478" s="508"/>
      <c r="X478" s="508"/>
      <c r="Y478" s="508"/>
      <c r="Z478" s="508"/>
    </row>
    <row r="479" ht="13.5" customHeight="1">
      <c r="A479" s="508"/>
      <c r="B479" s="508"/>
      <c r="C479" s="508"/>
      <c r="D479" s="508"/>
      <c r="E479" s="508"/>
      <c r="F479" s="508"/>
      <c r="G479" s="508"/>
      <c r="H479" s="508"/>
      <c r="I479" s="508"/>
      <c r="J479" s="508"/>
      <c r="K479" s="508"/>
      <c r="L479" s="508"/>
      <c r="M479" s="508"/>
      <c r="N479" s="508"/>
      <c r="O479" s="508"/>
      <c r="P479" s="508"/>
      <c r="Q479" s="508"/>
      <c r="R479" s="508"/>
      <c r="S479" s="508"/>
      <c r="T479" s="508"/>
      <c r="U479" s="508"/>
      <c r="V479" s="508"/>
      <c r="W479" s="508"/>
      <c r="X479" s="508"/>
      <c r="Y479" s="508"/>
      <c r="Z479" s="508"/>
    </row>
    <row r="480" ht="13.5" customHeight="1">
      <c r="A480" s="508"/>
      <c r="B480" s="508"/>
      <c r="C480" s="508"/>
      <c r="D480" s="508"/>
      <c r="E480" s="508"/>
      <c r="F480" s="508"/>
      <c r="G480" s="508"/>
      <c r="H480" s="508"/>
      <c r="I480" s="508"/>
      <c r="J480" s="508"/>
      <c r="K480" s="508"/>
      <c r="L480" s="508"/>
      <c r="M480" s="508"/>
      <c r="N480" s="508"/>
      <c r="O480" s="508"/>
      <c r="P480" s="508"/>
      <c r="Q480" s="508"/>
      <c r="R480" s="508"/>
      <c r="S480" s="508"/>
      <c r="T480" s="508"/>
      <c r="U480" s="508"/>
      <c r="V480" s="508"/>
      <c r="W480" s="508"/>
      <c r="X480" s="508"/>
      <c r="Y480" s="508"/>
      <c r="Z480" s="508"/>
    </row>
    <row r="481" ht="13.5" customHeight="1">
      <c r="A481" s="508"/>
      <c r="B481" s="508"/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8"/>
      <c r="N481" s="508"/>
      <c r="O481" s="508"/>
      <c r="P481" s="508"/>
      <c r="Q481" s="508"/>
      <c r="R481" s="508"/>
      <c r="S481" s="508"/>
      <c r="T481" s="508"/>
      <c r="U481" s="508"/>
      <c r="V481" s="508"/>
      <c r="W481" s="508"/>
      <c r="X481" s="508"/>
      <c r="Y481" s="508"/>
      <c r="Z481" s="508"/>
    </row>
    <row r="482" ht="13.5" customHeight="1">
      <c r="A482" s="508"/>
      <c r="B482" s="508"/>
      <c r="C482" s="508"/>
      <c r="D482" s="508"/>
      <c r="E482" s="508"/>
      <c r="F482" s="508"/>
      <c r="G482" s="508"/>
      <c r="H482" s="508"/>
      <c r="I482" s="508"/>
      <c r="J482" s="508"/>
      <c r="K482" s="508"/>
      <c r="L482" s="508"/>
      <c r="M482" s="508"/>
      <c r="N482" s="508"/>
      <c r="O482" s="508"/>
      <c r="P482" s="508"/>
      <c r="Q482" s="508"/>
      <c r="R482" s="508"/>
      <c r="S482" s="508"/>
      <c r="T482" s="508"/>
      <c r="U482" s="508"/>
      <c r="V482" s="508"/>
      <c r="W482" s="508"/>
      <c r="X482" s="508"/>
      <c r="Y482" s="508"/>
      <c r="Z482" s="508"/>
    </row>
    <row r="483" ht="13.5" customHeight="1">
      <c r="A483" s="508"/>
      <c r="B483" s="508"/>
      <c r="C483" s="508"/>
      <c r="D483" s="508"/>
      <c r="E483" s="508"/>
      <c r="F483" s="508"/>
      <c r="G483" s="508"/>
      <c r="H483" s="508"/>
      <c r="I483" s="508"/>
      <c r="J483" s="508"/>
      <c r="K483" s="508"/>
      <c r="L483" s="508"/>
      <c r="M483" s="508"/>
      <c r="N483" s="508"/>
      <c r="O483" s="508"/>
      <c r="P483" s="508"/>
      <c r="Q483" s="508"/>
      <c r="R483" s="508"/>
      <c r="S483" s="508"/>
      <c r="T483" s="508"/>
      <c r="U483" s="508"/>
      <c r="V483" s="508"/>
      <c r="W483" s="508"/>
      <c r="X483" s="508"/>
      <c r="Y483" s="508"/>
      <c r="Z483" s="508"/>
    </row>
    <row r="484" ht="13.5" customHeight="1">
      <c r="A484" s="508"/>
      <c r="B484" s="508"/>
      <c r="C484" s="508"/>
      <c r="D484" s="508"/>
      <c r="E484" s="508"/>
      <c r="F484" s="508"/>
      <c r="G484" s="508"/>
      <c r="H484" s="508"/>
      <c r="I484" s="508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508"/>
      <c r="Y484" s="508"/>
      <c r="Z484" s="508"/>
    </row>
    <row r="485" ht="13.5" customHeight="1">
      <c r="A485" s="508"/>
      <c r="B485" s="508"/>
      <c r="C485" s="508"/>
      <c r="D485" s="508"/>
      <c r="E485" s="508"/>
      <c r="F485" s="508"/>
      <c r="G485" s="508"/>
      <c r="H485" s="508"/>
      <c r="I485" s="508"/>
      <c r="J485" s="508"/>
      <c r="K485" s="508"/>
      <c r="L485" s="508"/>
      <c r="M485" s="508"/>
      <c r="N485" s="508"/>
      <c r="O485" s="508"/>
      <c r="P485" s="508"/>
      <c r="Q485" s="508"/>
      <c r="R485" s="508"/>
      <c r="S485" s="508"/>
      <c r="T485" s="508"/>
      <c r="U485" s="508"/>
      <c r="V485" s="508"/>
      <c r="W485" s="508"/>
      <c r="X485" s="508"/>
      <c r="Y485" s="508"/>
      <c r="Z485" s="508"/>
    </row>
    <row r="486" ht="13.5" customHeight="1">
      <c r="A486" s="508"/>
      <c r="B486" s="508"/>
      <c r="C486" s="508"/>
      <c r="D486" s="508"/>
      <c r="E486" s="508"/>
      <c r="F486" s="508"/>
      <c r="G486" s="508"/>
      <c r="H486" s="508"/>
      <c r="I486" s="508"/>
      <c r="J486" s="508"/>
      <c r="K486" s="508"/>
      <c r="L486" s="508"/>
      <c r="M486" s="508"/>
      <c r="N486" s="508"/>
      <c r="O486" s="508"/>
      <c r="P486" s="508"/>
      <c r="Q486" s="508"/>
      <c r="R486" s="508"/>
      <c r="S486" s="508"/>
      <c r="T486" s="508"/>
      <c r="U486" s="508"/>
      <c r="V486" s="508"/>
      <c r="W486" s="508"/>
      <c r="X486" s="508"/>
      <c r="Y486" s="508"/>
      <c r="Z486" s="508"/>
    </row>
    <row r="487" ht="13.5" customHeight="1">
      <c r="A487" s="508"/>
      <c r="B487" s="508"/>
      <c r="C487" s="508"/>
      <c r="D487" s="508"/>
      <c r="E487" s="508"/>
      <c r="F487" s="508"/>
      <c r="G487" s="508"/>
      <c r="H487" s="508"/>
      <c r="I487" s="508"/>
      <c r="J487" s="508"/>
      <c r="K487" s="508"/>
      <c r="L487" s="508"/>
      <c r="M487" s="508"/>
      <c r="N487" s="508"/>
      <c r="O487" s="508"/>
      <c r="P487" s="508"/>
      <c r="Q487" s="508"/>
      <c r="R487" s="508"/>
      <c r="S487" s="508"/>
      <c r="T487" s="508"/>
      <c r="U487" s="508"/>
      <c r="V487" s="508"/>
      <c r="W487" s="508"/>
      <c r="X487" s="508"/>
      <c r="Y487" s="508"/>
      <c r="Z487" s="508"/>
    </row>
    <row r="488" ht="13.5" customHeight="1">
      <c r="A488" s="508"/>
      <c r="B488" s="508"/>
      <c r="C488" s="508"/>
      <c r="D488" s="508"/>
      <c r="E488" s="508"/>
      <c r="F488" s="508"/>
      <c r="G488" s="508"/>
      <c r="H488" s="508"/>
      <c r="I488" s="508"/>
      <c r="J488" s="508"/>
      <c r="K488" s="508"/>
      <c r="L488" s="508"/>
      <c r="M488" s="508"/>
      <c r="N488" s="508"/>
      <c r="O488" s="508"/>
      <c r="P488" s="508"/>
      <c r="Q488" s="508"/>
      <c r="R488" s="508"/>
      <c r="S488" s="508"/>
      <c r="T488" s="508"/>
      <c r="U488" s="508"/>
      <c r="V488" s="508"/>
      <c r="W488" s="508"/>
      <c r="X488" s="508"/>
      <c r="Y488" s="508"/>
      <c r="Z488" s="508"/>
    </row>
    <row r="489" ht="13.5" customHeight="1">
      <c r="A489" s="508"/>
      <c r="B489" s="508"/>
      <c r="C489" s="508"/>
      <c r="D489" s="508"/>
      <c r="E489" s="508"/>
      <c r="F489" s="508"/>
      <c r="G489" s="508"/>
      <c r="H489" s="508"/>
      <c r="I489" s="508"/>
      <c r="J489" s="508"/>
      <c r="K489" s="508"/>
      <c r="L489" s="508"/>
      <c r="M489" s="508"/>
      <c r="N489" s="508"/>
      <c r="O489" s="508"/>
      <c r="P489" s="508"/>
      <c r="Q489" s="508"/>
      <c r="R489" s="508"/>
      <c r="S489" s="508"/>
      <c r="T489" s="508"/>
      <c r="U489" s="508"/>
      <c r="V489" s="508"/>
      <c r="W489" s="508"/>
      <c r="X489" s="508"/>
      <c r="Y489" s="508"/>
      <c r="Z489" s="508"/>
    </row>
    <row r="490" ht="13.5" customHeight="1">
      <c r="A490" s="508"/>
      <c r="B490" s="508"/>
      <c r="C490" s="508"/>
      <c r="D490" s="508"/>
      <c r="E490" s="508"/>
      <c r="F490" s="508"/>
      <c r="G490" s="508"/>
      <c r="H490" s="508"/>
      <c r="I490" s="508"/>
      <c r="J490" s="508"/>
      <c r="K490" s="508"/>
      <c r="L490" s="508"/>
      <c r="M490" s="508"/>
      <c r="N490" s="508"/>
      <c r="O490" s="508"/>
      <c r="P490" s="508"/>
      <c r="Q490" s="508"/>
      <c r="R490" s="508"/>
      <c r="S490" s="508"/>
      <c r="T490" s="508"/>
      <c r="U490" s="508"/>
      <c r="V490" s="508"/>
      <c r="W490" s="508"/>
      <c r="X490" s="508"/>
      <c r="Y490" s="508"/>
      <c r="Z490" s="508"/>
    </row>
    <row r="491" ht="13.5" customHeight="1">
      <c r="A491" s="508"/>
      <c r="B491" s="508"/>
      <c r="C491" s="508"/>
      <c r="D491" s="508"/>
      <c r="E491" s="508"/>
      <c r="F491" s="508"/>
      <c r="G491" s="508"/>
      <c r="H491" s="508"/>
      <c r="I491" s="508"/>
      <c r="J491" s="508"/>
      <c r="K491" s="508"/>
      <c r="L491" s="508"/>
      <c r="M491" s="508"/>
      <c r="N491" s="508"/>
      <c r="O491" s="508"/>
      <c r="P491" s="508"/>
      <c r="Q491" s="508"/>
      <c r="R491" s="508"/>
      <c r="S491" s="508"/>
      <c r="T491" s="508"/>
      <c r="U491" s="508"/>
      <c r="V491" s="508"/>
      <c r="W491" s="508"/>
      <c r="X491" s="508"/>
      <c r="Y491" s="508"/>
      <c r="Z491" s="508"/>
    </row>
    <row r="492" ht="13.5" customHeight="1">
      <c r="A492" s="508"/>
      <c r="B492" s="508"/>
      <c r="C492" s="508"/>
      <c r="D492" s="508"/>
      <c r="E492" s="508"/>
      <c r="F492" s="508"/>
      <c r="G492" s="508"/>
      <c r="H492" s="508"/>
      <c r="I492" s="508"/>
      <c r="J492" s="508"/>
      <c r="K492" s="508"/>
      <c r="L492" s="508"/>
      <c r="M492" s="508"/>
      <c r="N492" s="508"/>
      <c r="O492" s="508"/>
      <c r="P492" s="508"/>
      <c r="Q492" s="508"/>
      <c r="R492" s="508"/>
      <c r="S492" s="508"/>
      <c r="T492" s="508"/>
      <c r="U492" s="508"/>
      <c r="V492" s="508"/>
      <c r="W492" s="508"/>
      <c r="X492" s="508"/>
      <c r="Y492" s="508"/>
      <c r="Z492" s="508"/>
    </row>
    <row r="493" ht="13.5" customHeight="1">
      <c r="A493" s="508"/>
      <c r="B493" s="508"/>
      <c r="C493" s="508"/>
      <c r="D493" s="508"/>
      <c r="E493" s="508"/>
      <c r="F493" s="508"/>
      <c r="G493" s="508"/>
      <c r="H493" s="508"/>
      <c r="I493" s="508"/>
      <c r="J493" s="508"/>
      <c r="K493" s="508"/>
      <c r="L493" s="508"/>
      <c r="M493" s="508"/>
      <c r="N493" s="508"/>
      <c r="O493" s="508"/>
      <c r="P493" s="508"/>
      <c r="Q493" s="508"/>
      <c r="R493" s="508"/>
      <c r="S493" s="508"/>
      <c r="T493" s="508"/>
      <c r="U493" s="508"/>
      <c r="V493" s="508"/>
      <c r="W493" s="508"/>
      <c r="X493" s="508"/>
      <c r="Y493" s="508"/>
      <c r="Z493" s="508"/>
    </row>
    <row r="494" ht="13.5" customHeight="1">
      <c r="A494" s="508"/>
      <c r="B494" s="508"/>
      <c r="C494" s="508"/>
      <c r="D494" s="508"/>
      <c r="E494" s="508"/>
      <c r="F494" s="508"/>
      <c r="G494" s="508"/>
      <c r="H494" s="508"/>
      <c r="I494" s="508"/>
      <c r="J494" s="508"/>
      <c r="K494" s="508"/>
      <c r="L494" s="508"/>
      <c r="M494" s="508"/>
      <c r="N494" s="508"/>
      <c r="O494" s="508"/>
      <c r="P494" s="508"/>
      <c r="Q494" s="508"/>
      <c r="R494" s="508"/>
      <c r="S494" s="508"/>
      <c r="T494" s="508"/>
      <c r="U494" s="508"/>
      <c r="V494" s="508"/>
      <c r="W494" s="508"/>
      <c r="X494" s="508"/>
      <c r="Y494" s="508"/>
      <c r="Z494" s="508"/>
    </row>
    <row r="495" ht="13.5" customHeight="1">
      <c r="A495" s="508"/>
      <c r="B495" s="508"/>
      <c r="C495" s="508"/>
      <c r="D495" s="508"/>
      <c r="E495" s="508"/>
      <c r="F495" s="508"/>
      <c r="G495" s="508"/>
      <c r="H495" s="508"/>
      <c r="I495" s="508"/>
      <c r="J495" s="508"/>
      <c r="K495" s="508"/>
      <c r="L495" s="508"/>
      <c r="M495" s="508"/>
      <c r="N495" s="508"/>
      <c r="O495" s="508"/>
      <c r="P495" s="508"/>
      <c r="Q495" s="508"/>
      <c r="R495" s="508"/>
      <c r="S495" s="508"/>
      <c r="T495" s="508"/>
      <c r="U495" s="508"/>
      <c r="V495" s="508"/>
      <c r="W495" s="508"/>
      <c r="X495" s="508"/>
      <c r="Y495" s="508"/>
      <c r="Z495" s="508"/>
    </row>
    <row r="496" ht="13.5" customHeight="1">
      <c r="A496" s="508"/>
      <c r="B496" s="508"/>
      <c r="C496" s="508"/>
      <c r="D496" s="508"/>
      <c r="E496" s="508"/>
      <c r="F496" s="508"/>
      <c r="G496" s="508"/>
      <c r="H496" s="508"/>
      <c r="I496" s="508"/>
      <c r="J496" s="508"/>
      <c r="K496" s="508"/>
      <c r="L496" s="508"/>
      <c r="M496" s="508"/>
      <c r="N496" s="508"/>
      <c r="O496" s="508"/>
      <c r="P496" s="508"/>
      <c r="Q496" s="508"/>
      <c r="R496" s="508"/>
      <c r="S496" s="508"/>
      <c r="T496" s="508"/>
      <c r="U496" s="508"/>
      <c r="V496" s="508"/>
      <c r="W496" s="508"/>
      <c r="X496" s="508"/>
      <c r="Y496" s="508"/>
      <c r="Z496" s="508"/>
    </row>
    <row r="497" ht="13.5" customHeight="1">
      <c r="A497" s="508"/>
      <c r="B497" s="508"/>
      <c r="C497" s="508"/>
      <c r="D497" s="508"/>
      <c r="E497" s="508"/>
      <c r="F497" s="508"/>
      <c r="G497" s="508"/>
      <c r="H497" s="508"/>
      <c r="I497" s="508"/>
      <c r="J497" s="508"/>
      <c r="K497" s="508"/>
      <c r="L497" s="508"/>
      <c r="M497" s="508"/>
      <c r="N497" s="508"/>
      <c r="O497" s="508"/>
      <c r="P497" s="508"/>
      <c r="Q497" s="508"/>
      <c r="R497" s="508"/>
      <c r="S497" s="508"/>
      <c r="T497" s="508"/>
      <c r="U497" s="508"/>
      <c r="V497" s="508"/>
      <c r="W497" s="508"/>
      <c r="X497" s="508"/>
      <c r="Y497" s="508"/>
      <c r="Z497" s="508"/>
    </row>
    <row r="498" ht="13.5" customHeight="1">
      <c r="A498" s="508"/>
      <c r="B498" s="508"/>
      <c r="C498" s="508"/>
      <c r="D498" s="508"/>
      <c r="E498" s="508"/>
      <c r="F498" s="508"/>
      <c r="G498" s="508"/>
      <c r="H498" s="508"/>
      <c r="I498" s="508"/>
      <c r="J498" s="508"/>
      <c r="K498" s="508"/>
      <c r="L498" s="508"/>
      <c r="M498" s="508"/>
      <c r="N498" s="508"/>
      <c r="O498" s="508"/>
      <c r="P498" s="508"/>
      <c r="Q498" s="508"/>
      <c r="R498" s="508"/>
      <c r="S498" s="508"/>
      <c r="T498" s="508"/>
      <c r="U498" s="508"/>
      <c r="V498" s="508"/>
      <c r="W498" s="508"/>
      <c r="X498" s="508"/>
      <c r="Y498" s="508"/>
      <c r="Z498" s="508"/>
    </row>
    <row r="499" ht="13.5" customHeight="1">
      <c r="A499" s="508"/>
      <c r="B499" s="508"/>
      <c r="C499" s="508"/>
      <c r="D499" s="508"/>
      <c r="E499" s="508"/>
      <c r="F499" s="508"/>
      <c r="G499" s="508"/>
      <c r="H499" s="508"/>
      <c r="I499" s="508"/>
      <c r="J499" s="508"/>
      <c r="K499" s="508"/>
      <c r="L499" s="508"/>
      <c r="M499" s="508"/>
      <c r="N499" s="508"/>
      <c r="O499" s="508"/>
      <c r="P499" s="508"/>
      <c r="Q499" s="508"/>
      <c r="R499" s="508"/>
      <c r="S499" s="508"/>
      <c r="T499" s="508"/>
      <c r="U499" s="508"/>
      <c r="V499" s="508"/>
      <c r="W499" s="508"/>
      <c r="X499" s="508"/>
      <c r="Y499" s="508"/>
      <c r="Z499" s="508"/>
    </row>
    <row r="500" ht="13.5" customHeight="1">
      <c r="A500" s="508"/>
      <c r="B500" s="508"/>
      <c r="C500" s="508"/>
      <c r="D500" s="508"/>
      <c r="E500" s="508"/>
      <c r="F500" s="508"/>
      <c r="G500" s="508"/>
      <c r="H500" s="508"/>
      <c r="I500" s="508"/>
      <c r="J500" s="508"/>
      <c r="K500" s="508"/>
      <c r="L500" s="508"/>
      <c r="M500" s="508"/>
      <c r="N500" s="508"/>
      <c r="O500" s="508"/>
      <c r="P500" s="508"/>
      <c r="Q500" s="508"/>
      <c r="R500" s="508"/>
      <c r="S500" s="508"/>
      <c r="T500" s="508"/>
      <c r="U500" s="508"/>
      <c r="V500" s="508"/>
      <c r="W500" s="508"/>
      <c r="X500" s="508"/>
      <c r="Y500" s="508"/>
      <c r="Z500" s="508"/>
    </row>
    <row r="501" ht="13.5" customHeight="1">
      <c r="A501" s="508"/>
      <c r="B501" s="508"/>
      <c r="C501" s="508"/>
      <c r="D501" s="508"/>
      <c r="E501" s="508"/>
      <c r="F501" s="508"/>
      <c r="G501" s="508"/>
      <c r="H501" s="508"/>
      <c r="I501" s="508"/>
      <c r="J501" s="508"/>
      <c r="K501" s="508"/>
      <c r="L501" s="508"/>
      <c r="M501" s="508"/>
      <c r="N501" s="508"/>
      <c r="O501" s="508"/>
      <c r="P501" s="508"/>
      <c r="Q501" s="508"/>
      <c r="R501" s="508"/>
      <c r="S501" s="508"/>
      <c r="T501" s="508"/>
      <c r="U501" s="508"/>
      <c r="V501" s="508"/>
      <c r="W501" s="508"/>
      <c r="X501" s="508"/>
      <c r="Y501" s="508"/>
      <c r="Z501" s="508"/>
    </row>
    <row r="502" ht="13.5" customHeight="1">
      <c r="A502" s="508"/>
      <c r="B502" s="508"/>
      <c r="C502" s="508"/>
      <c r="D502" s="508"/>
      <c r="E502" s="508"/>
      <c r="F502" s="508"/>
      <c r="G502" s="508"/>
      <c r="H502" s="508"/>
      <c r="I502" s="508"/>
      <c r="J502" s="508"/>
      <c r="K502" s="508"/>
      <c r="L502" s="508"/>
      <c r="M502" s="508"/>
      <c r="N502" s="508"/>
      <c r="O502" s="508"/>
      <c r="P502" s="508"/>
      <c r="Q502" s="508"/>
      <c r="R502" s="508"/>
      <c r="S502" s="508"/>
      <c r="T502" s="508"/>
      <c r="U502" s="508"/>
      <c r="V502" s="508"/>
      <c r="W502" s="508"/>
      <c r="X502" s="508"/>
      <c r="Y502" s="508"/>
      <c r="Z502" s="508"/>
    </row>
    <row r="503" ht="13.5" customHeight="1">
      <c r="A503" s="508"/>
      <c r="B503" s="508"/>
      <c r="C503" s="508"/>
      <c r="D503" s="508"/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  <c r="P503" s="508"/>
      <c r="Q503" s="508"/>
      <c r="R503" s="508"/>
      <c r="S503" s="508"/>
      <c r="T503" s="508"/>
      <c r="U503" s="508"/>
      <c r="V503" s="508"/>
      <c r="W503" s="508"/>
      <c r="X503" s="508"/>
      <c r="Y503" s="508"/>
      <c r="Z503" s="508"/>
    </row>
    <row r="504" ht="13.5" customHeight="1">
      <c r="A504" s="508"/>
      <c r="B504" s="508"/>
      <c r="C504" s="508"/>
      <c r="D504" s="508"/>
      <c r="E504" s="508"/>
      <c r="F504" s="508"/>
      <c r="G504" s="508"/>
      <c r="H504" s="508"/>
      <c r="I504" s="508"/>
      <c r="J504" s="508"/>
      <c r="K504" s="508"/>
      <c r="L504" s="508"/>
      <c r="M504" s="508"/>
      <c r="N504" s="508"/>
      <c r="O504" s="508"/>
      <c r="P504" s="508"/>
      <c r="Q504" s="508"/>
      <c r="R504" s="508"/>
      <c r="S504" s="508"/>
      <c r="T504" s="508"/>
      <c r="U504" s="508"/>
      <c r="V504" s="508"/>
      <c r="W504" s="508"/>
      <c r="X504" s="508"/>
      <c r="Y504" s="508"/>
      <c r="Z504" s="508"/>
    </row>
    <row r="505" ht="13.5" customHeight="1">
      <c r="A505" s="508"/>
      <c r="B505" s="508"/>
      <c r="C505" s="508"/>
      <c r="D505" s="508"/>
      <c r="E505" s="508"/>
      <c r="F505" s="508"/>
      <c r="G505" s="508"/>
      <c r="H505" s="508"/>
      <c r="I505" s="508"/>
      <c r="J505" s="508"/>
      <c r="K505" s="508"/>
      <c r="L505" s="508"/>
      <c r="M505" s="508"/>
      <c r="N505" s="508"/>
      <c r="O505" s="508"/>
      <c r="P505" s="508"/>
      <c r="Q505" s="508"/>
      <c r="R505" s="508"/>
      <c r="S505" s="508"/>
      <c r="T505" s="508"/>
      <c r="U505" s="508"/>
      <c r="V505" s="508"/>
      <c r="W505" s="508"/>
      <c r="X505" s="508"/>
      <c r="Y505" s="508"/>
      <c r="Z505" s="508"/>
    </row>
    <row r="506" ht="13.5" customHeight="1">
      <c r="A506" s="508"/>
      <c r="B506" s="508"/>
      <c r="C506" s="508"/>
      <c r="D506" s="508"/>
      <c r="E506" s="508"/>
      <c r="F506" s="508"/>
      <c r="G506" s="508"/>
      <c r="H506" s="508"/>
      <c r="I506" s="508"/>
      <c r="J506" s="508"/>
      <c r="K506" s="508"/>
      <c r="L506" s="508"/>
      <c r="M506" s="508"/>
      <c r="N506" s="508"/>
      <c r="O506" s="508"/>
      <c r="P506" s="508"/>
      <c r="Q506" s="508"/>
      <c r="R506" s="508"/>
      <c r="S506" s="508"/>
      <c r="T506" s="508"/>
      <c r="U506" s="508"/>
      <c r="V506" s="508"/>
      <c r="W506" s="508"/>
      <c r="X506" s="508"/>
      <c r="Y506" s="508"/>
      <c r="Z506" s="508"/>
    </row>
    <row r="507" ht="13.5" customHeight="1">
      <c r="A507" s="508"/>
      <c r="B507" s="508"/>
      <c r="C507" s="508"/>
      <c r="D507" s="508"/>
      <c r="E507" s="508"/>
      <c r="F507" s="508"/>
      <c r="G507" s="508"/>
      <c r="H507" s="508"/>
      <c r="I507" s="508"/>
      <c r="J507" s="508"/>
      <c r="K507" s="508"/>
      <c r="L507" s="508"/>
      <c r="M507" s="508"/>
      <c r="N507" s="508"/>
      <c r="O507" s="508"/>
      <c r="P507" s="508"/>
      <c r="Q507" s="508"/>
      <c r="R507" s="508"/>
      <c r="S507" s="508"/>
      <c r="T507" s="508"/>
      <c r="U507" s="508"/>
      <c r="V507" s="508"/>
      <c r="W507" s="508"/>
      <c r="X507" s="508"/>
      <c r="Y507" s="508"/>
      <c r="Z507" s="508"/>
    </row>
    <row r="508" ht="13.5" customHeight="1">
      <c r="A508" s="508"/>
      <c r="B508" s="508"/>
      <c r="C508" s="508"/>
      <c r="D508" s="508"/>
      <c r="E508" s="508"/>
      <c r="F508" s="508"/>
      <c r="G508" s="508"/>
      <c r="H508" s="508"/>
      <c r="I508" s="508"/>
      <c r="J508" s="508"/>
      <c r="K508" s="508"/>
      <c r="L508" s="508"/>
      <c r="M508" s="508"/>
      <c r="N508" s="508"/>
      <c r="O508" s="508"/>
      <c r="P508" s="508"/>
      <c r="Q508" s="508"/>
      <c r="R508" s="508"/>
      <c r="S508" s="508"/>
      <c r="T508" s="508"/>
      <c r="U508" s="508"/>
      <c r="V508" s="508"/>
      <c r="W508" s="508"/>
      <c r="X508" s="508"/>
      <c r="Y508" s="508"/>
      <c r="Z508" s="508"/>
    </row>
    <row r="509" ht="13.5" customHeight="1">
      <c r="A509" s="508"/>
      <c r="B509" s="508"/>
      <c r="C509" s="508"/>
      <c r="D509" s="508"/>
      <c r="E509" s="508"/>
      <c r="F509" s="508"/>
      <c r="G509" s="508"/>
      <c r="H509" s="508"/>
      <c r="I509" s="508"/>
      <c r="J509" s="508"/>
      <c r="K509" s="508"/>
      <c r="L509" s="508"/>
      <c r="M509" s="508"/>
      <c r="N509" s="508"/>
      <c r="O509" s="508"/>
      <c r="P509" s="508"/>
      <c r="Q509" s="508"/>
      <c r="R509" s="508"/>
      <c r="S509" s="508"/>
      <c r="T509" s="508"/>
      <c r="U509" s="508"/>
      <c r="V509" s="508"/>
      <c r="W509" s="508"/>
      <c r="X509" s="508"/>
      <c r="Y509" s="508"/>
      <c r="Z509" s="508"/>
    </row>
    <row r="510" ht="13.5" customHeight="1">
      <c r="A510" s="508"/>
      <c r="B510" s="508"/>
      <c r="C510" s="508"/>
      <c r="D510" s="508"/>
      <c r="E510" s="508"/>
      <c r="F510" s="508"/>
      <c r="G510" s="508"/>
      <c r="H510" s="508"/>
      <c r="I510" s="508"/>
      <c r="J510" s="508"/>
      <c r="K510" s="508"/>
      <c r="L510" s="508"/>
      <c r="M510" s="508"/>
      <c r="N510" s="508"/>
      <c r="O510" s="508"/>
      <c r="P510" s="508"/>
      <c r="Q510" s="508"/>
      <c r="R510" s="508"/>
      <c r="S510" s="508"/>
      <c r="T510" s="508"/>
      <c r="U510" s="508"/>
      <c r="V510" s="508"/>
      <c r="W510" s="508"/>
      <c r="X510" s="508"/>
      <c r="Y510" s="508"/>
      <c r="Z510" s="508"/>
    </row>
    <row r="511" ht="13.5" customHeight="1">
      <c r="A511" s="508"/>
      <c r="B511" s="508"/>
      <c r="C511" s="508"/>
      <c r="D511" s="508"/>
      <c r="E511" s="508"/>
      <c r="F511" s="508"/>
      <c r="G511" s="508"/>
      <c r="H511" s="508"/>
      <c r="I511" s="508"/>
      <c r="J511" s="508"/>
      <c r="K511" s="508"/>
      <c r="L511" s="508"/>
      <c r="M511" s="508"/>
      <c r="N511" s="508"/>
      <c r="O511" s="508"/>
      <c r="P511" s="508"/>
      <c r="Q511" s="508"/>
      <c r="R511" s="508"/>
      <c r="S511" s="508"/>
      <c r="T511" s="508"/>
      <c r="U511" s="508"/>
      <c r="V511" s="508"/>
      <c r="W511" s="508"/>
      <c r="X511" s="508"/>
      <c r="Y511" s="508"/>
      <c r="Z511" s="508"/>
    </row>
    <row r="512" ht="13.5" customHeight="1">
      <c r="A512" s="508"/>
      <c r="B512" s="508"/>
      <c r="C512" s="508"/>
      <c r="D512" s="508"/>
      <c r="E512" s="508"/>
      <c r="F512" s="508"/>
      <c r="G512" s="508"/>
      <c r="H512" s="508"/>
      <c r="I512" s="508"/>
      <c r="J512" s="508"/>
      <c r="K512" s="508"/>
      <c r="L512" s="508"/>
      <c r="M512" s="508"/>
      <c r="N512" s="508"/>
      <c r="O512" s="508"/>
      <c r="P512" s="508"/>
      <c r="Q512" s="508"/>
      <c r="R512" s="508"/>
      <c r="S512" s="508"/>
      <c r="T512" s="508"/>
      <c r="U512" s="508"/>
      <c r="V512" s="508"/>
      <c r="W512" s="508"/>
      <c r="X512" s="508"/>
      <c r="Y512" s="508"/>
      <c r="Z512" s="508"/>
    </row>
    <row r="513" ht="13.5" customHeight="1">
      <c r="A513" s="508"/>
      <c r="B513" s="508"/>
      <c r="C513" s="508"/>
      <c r="D513" s="508"/>
      <c r="E513" s="508"/>
      <c r="F513" s="508"/>
      <c r="G513" s="508"/>
      <c r="H513" s="508"/>
      <c r="I513" s="508"/>
      <c r="J513" s="508"/>
      <c r="K513" s="508"/>
      <c r="L513" s="508"/>
      <c r="M513" s="508"/>
      <c r="N513" s="508"/>
      <c r="O513" s="508"/>
      <c r="P513" s="508"/>
      <c r="Q513" s="508"/>
      <c r="R513" s="508"/>
      <c r="S513" s="508"/>
      <c r="T513" s="508"/>
      <c r="U513" s="508"/>
      <c r="V513" s="508"/>
      <c r="W513" s="508"/>
      <c r="X513" s="508"/>
      <c r="Y513" s="508"/>
      <c r="Z513" s="508"/>
    </row>
    <row r="514" ht="13.5" customHeight="1">
      <c r="A514" s="508"/>
      <c r="B514" s="508"/>
      <c r="C514" s="508"/>
      <c r="D514" s="508"/>
      <c r="E514" s="508"/>
      <c r="F514" s="508"/>
      <c r="G514" s="508"/>
      <c r="H514" s="508"/>
      <c r="I514" s="508"/>
      <c r="J514" s="508"/>
      <c r="K514" s="508"/>
      <c r="L514" s="508"/>
      <c r="M514" s="508"/>
      <c r="N514" s="508"/>
      <c r="O514" s="508"/>
      <c r="P514" s="508"/>
      <c r="Q514" s="508"/>
      <c r="R514" s="508"/>
      <c r="S514" s="508"/>
      <c r="T514" s="508"/>
      <c r="U514" s="508"/>
      <c r="V514" s="508"/>
      <c r="W514" s="508"/>
      <c r="X514" s="508"/>
      <c r="Y514" s="508"/>
      <c r="Z514" s="508"/>
    </row>
    <row r="515" ht="13.5" customHeight="1">
      <c r="A515" s="508"/>
      <c r="B515" s="508"/>
      <c r="C515" s="508"/>
      <c r="D515" s="508"/>
      <c r="E515" s="508"/>
      <c r="F515" s="508"/>
      <c r="G515" s="508"/>
      <c r="H515" s="508"/>
      <c r="I515" s="508"/>
      <c r="J515" s="508"/>
      <c r="K515" s="508"/>
      <c r="L515" s="508"/>
      <c r="M515" s="508"/>
      <c r="N515" s="508"/>
      <c r="O515" s="508"/>
      <c r="P515" s="508"/>
      <c r="Q515" s="508"/>
      <c r="R515" s="508"/>
      <c r="S515" s="508"/>
      <c r="T515" s="508"/>
      <c r="U515" s="508"/>
      <c r="V515" s="508"/>
      <c r="W515" s="508"/>
      <c r="X515" s="508"/>
      <c r="Y515" s="508"/>
      <c r="Z515" s="508"/>
    </row>
    <row r="516" ht="13.5" customHeight="1">
      <c r="A516" s="508"/>
      <c r="B516" s="508"/>
      <c r="C516" s="508"/>
      <c r="D516" s="508"/>
      <c r="E516" s="508"/>
      <c r="F516" s="508"/>
      <c r="G516" s="508"/>
      <c r="H516" s="508"/>
      <c r="I516" s="508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508"/>
      <c r="Y516" s="508"/>
      <c r="Z516" s="508"/>
    </row>
    <row r="517" ht="13.5" customHeight="1">
      <c r="A517" s="508"/>
      <c r="B517" s="508"/>
      <c r="C517" s="508"/>
      <c r="D517" s="508"/>
      <c r="E517" s="508"/>
      <c r="F517" s="508"/>
      <c r="G517" s="508"/>
      <c r="H517" s="508"/>
      <c r="I517" s="508"/>
      <c r="J517" s="508"/>
      <c r="K517" s="508"/>
      <c r="L517" s="508"/>
      <c r="M517" s="508"/>
      <c r="N517" s="508"/>
      <c r="O517" s="508"/>
      <c r="P517" s="508"/>
      <c r="Q517" s="508"/>
      <c r="R517" s="508"/>
      <c r="S517" s="508"/>
      <c r="T517" s="508"/>
      <c r="U517" s="508"/>
      <c r="V517" s="508"/>
      <c r="W517" s="508"/>
      <c r="X517" s="508"/>
      <c r="Y517" s="508"/>
      <c r="Z517" s="508"/>
    </row>
    <row r="518" ht="13.5" customHeight="1">
      <c r="A518" s="508"/>
      <c r="B518" s="508"/>
      <c r="C518" s="508"/>
      <c r="D518" s="508"/>
      <c r="E518" s="508"/>
      <c r="F518" s="508"/>
      <c r="G518" s="508"/>
      <c r="H518" s="508"/>
      <c r="I518" s="508"/>
      <c r="J518" s="508"/>
      <c r="K518" s="508"/>
      <c r="L518" s="508"/>
      <c r="M518" s="508"/>
      <c r="N518" s="508"/>
      <c r="O518" s="508"/>
      <c r="P518" s="508"/>
      <c r="Q518" s="508"/>
      <c r="R518" s="508"/>
      <c r="S518" s="508"/>
      <c r="T518" s="508"/>
      <c r="U518" s="508"/>
      <c r="V518" s="508"/>
      <c r="W518" s="508"/>
      <c r="X518" s="508"/>
      <c r="Y518" s="508"/>
      <c r="Z518" s="508"/>
    </row>
    <row r="519" ht="13.5" customHeight="1">
      <c r="A519" s="508"/>
      <c r="B519" s="508"/>
      <c r="C519" s="508"/>
      <c r="D519" s="508"/>
      <c r="E519" s="508"/>
      <c r="F519" s="508"/>
      <c r="G519" s="508"/>
      <c r="H519" s="508"/>
      <c r="I519" s="508"/>
      <c r="J519" s="508"/>
      <c r="K519" s="508"/>
      <c r="L519" s="508"/>
      <c r="M519" s="508"/>
      <c r="N519" s="508"/>
      <c r="O519" s="508"/>
      <c r="P519" s="508"/>
      <c r="Q519" s="508"/>
      <c r="R519" s="508"/>
      <c r="S519" s="508"/>
      <c r="T519" s="508"/>
      <c r="U519" s="508"/>
      <c r="V519" s="508"/>
      <c r="W519" s="508"/>
      <c r="X519" s="508"/>
      <c r="Y519" s="508"/>
      <c r="Z519" s="508"/>
    </row>
    <row r="520" ht="13.5" customHeight="1">
      <c r="A520" s="508"/>
      <c r="B520" s="508"/>
      <c r="C520" s="508"/>
      <c r="D520" s="508"/>
      <c r="E520" s="508"/>
      <c r="F520" s="508"/>
      <c r="G520" s="508"/>
      <c r="H520" s="508"/>
      <c r="I520" s="508"/>
      <c r="J520" s="508"/>
      <c r="K520" s="508"/>
      <c r="L520" s="508"/>
      <c r="M520" s="508"/>
      <c r="N520" s="508"/>
      <c r="O520" s="508"/>
      <c r="P520" s="508"/>
      <c r="Q520" s="508"/>
      <c r="R520" s="508"/>
      <c r="S520" s="508"/>
      <c r="T520" s="508"/>
      <c r="U520" s="508"/>
      <c r="V520" s="508"/>
      <c r="W520" s="508"/>
      <c r="X520" s="508"/>
      <c r="Y520" s="508"/>
      <c r="Z520" s="508"/>
    </row>
    <row r="521" ht="13.5" customHeight="1">
      <c r="A521" s="508"/>
      <c r="B521" s="508"/>
      <c r="C521" s="508"/>
      <c r="D521" s="508"/>
      <c r="E521" s="508"/>
      <c r="F521" s="508"/>
      <c r="G521" s="508"/>
      <c r="H521" s="508"/>
      <c r="I521" s="508"/>
      <c r="J521" s="508"/>
      <c r="K521" s="508"/>
      <c r="L521" s="508"/>
      <c r="M521" s="508"/>
      <c r="N521" s="508"/>
      <c r="O521" s="508"/>
      <c r="P521" s="508"/>
      <c r="Q521" s="508"/>
      <c r="R521" s="508"/>
      <c r="S521" s="508"/>
      <c r="T521" s="508"/>
      <c r="U521" s="508"/>
      <c r="V521" s="508"/>
      <c r="W521" s="508"/>
      <c r="X521" s="508"/>
      <c r="Y521" s="508"/>
      <c r="Z521" s="508"/>
    </row>
    <row r="522" ht="13.5" customHeight="1">
      <c r="A522" s="508"/>
      <c r="B522" s="508"/>
      <c r="C522" s="508"/>
      <c r="D522" s="508"/>
      <c r="E522" s="508"/>
      <c r="F522" s="508"/>
      <c r="G522" s="508"/>
      <c r="H522" s="508"/>
      <c r="I522" s="508"/>
      <c r="J522" s="508"/>
      <c r="K522" s="508"/>
      <c r="L522" s="508"/>
      <c r="M522" s="508"/>
      <c r="N522" s="508"/>
      <c r="O522" s="508"/>
      <c r="P522" s="508"/>
      <c r="Q522" s="508"/>
      <c r="R522" s="508"/>
      <c r="S522" s="508"/>
      <c r="T522" s="508"/>
      <c r="U522" s="508"/>
      <c r="V522" s="508"/>
      <c r="W522" s="508"/>
      <c r="X522" s="508"/>
      <c r="Y522" s="508"/>
      <c r="Z522" s="508"/>
    </row>
    <row r="523" ht="13.5" customHeight="1">
      <c r="A523" s="508"/>
      <c r="B523" s="508"/>
      <c r="C523" s="508"/>
      <c r="D523" s="508"/>
      <c r="E523" s="508"/>
      <c r="F523" s="508"/>
      <c r="G523" s="508"/>
      <c r="H523" s="508"/>
      <c r="I523" s="508"/>
      <c r="J523" s="508"/>
      <c r="K523" s="508"/>
      <c r="L523" s="508"/>
      <c r="M523" s="508"/>
      <c r="N523" s="508"/>
      <c r="O523" s="508"/>
      <c r="P523" s="508"/>
      <c r="Q523" s="508"/>
      <c r="R523" s="508"/>
      <c r="S523" s="508"/>
      <c r="T523" s="508"/>
      <c r="U523" s="508"/>
      <c r="V523" s="508"/>
      <c r="W523" s="508"/>
      <c r="X523" s="508"/>
      <c r="Y523" s="508"/>
      <c r="Z523" s="508"/>
    </row>
    <row r="524" ht="13.5" customHeight="1">
      <c r="A524" s="508"/>
      <c r="B524" s="508"/>
      <c r="C524" s="508"/>
      <c r="D524" s="508"/>
      <c r="E524" s="508"/>
      <c r="F524" s="508"/>
      <c r="G524" s="508"/>
      <c r="H524" s="508"/>
      <c r="I524" s="508"/>
      <c r="J524" s="508"/>
      <c r="K524" s="508"/>
      <c r="L524" s="508"/>
      <c r="M524" s="508"/>
      <c r="N524" s="508"/>
      <c r="O524" s="508"/>
      <c r="P524" s="508"/>
      <c r="Q524" s="508"/>
      <c r="R524" s="508"/>
      <c r="S524" s="508"/>
      <c r="T524" s="508"/>
      <c r="U524" s="508"/>
      <c r="V524" s="508"/>
      <c r="W524" s="508"/>
      <c r="X524" s="508"/>
      <c r="Y524" s="508"/>
      <c r="Z524" s="508"/>
    </row>
    <row r="525" ht="13.5" customHeight="1">
      <c r="A525" s="508"/>
      <c r="B525" s="508"/>
      <c r="C525" s="508"/>
      <c r="D525" s="508"/>
      <c r="E525" s="508"/>
      <c r="F525" s="508"/>
      <c r="G525" s="508"/>
      <c r="H525" s="508"/>
      <c r="I525" s="508"/>
      <c r="J525" s="508"/>
      <c r="K525" s="508"/>
      <c r="L525" s="508"/>
      <c r="M525" s="508"/>
      <c r="N525" s="508"/>
      <c r="O525" s="508"/>
      <c r="P525" s="508"/>
      <c r="Q525" s="508"/>
      <c r="R525" s="508"/>
      <c r="S525" s="508"/>
      <c r="T525" s="508"/>
      <c r="U525" s="508"/>
      <c r="V525" s="508"/>
      <c r="W525" s="508"/>
      <c r="X525" s="508"/>
      <c r="Y525" s="508"/>
      <c r="Z525" s="508"/>
    </row>
    <row r="526" ht="13.5" customHeight="1">
      <c r="A526" s="508"/>
      <c r="B526" s="508"/>
      <c r="C526" s="508"/>
      <c r="D526" s="508"/>
      <c r="E526" s="508"/>
      <c r="F526" s="508"/>
      <c r="G526" s="508"/>
      <c r="H526" s="508"/>
      <c r="I526" s="508"/>
      <c r="J526" s="508"/>
      <c r="K526" s="508"/>
      <c r="L526" s="508"/>
      <c r="M526" s="508"/>
      <c r="N526" s="508"/>
      <c r="O526" s="508"/>
      <c r="P526" s="508"/>
      <c r="Q526" s="508"/>
      <c r="R526" s="508"/>
      <c r="S526" s="508"/>
      <c r="T526" s="508"/>
      <c r="U526" s="508"/>
      <c r="V526" s="508"/>
      <c r="W526" s="508"/>
      <c r="X526" s="508"/>
      <c r="Y526" s="508"/>
      <c r="Z526" s="508"/>
    </row>
    <row r="527" ht="13.5" customHeight="1">
      <c r="A527" s="508"/>
      <c r="B527" s="508"/>
      <c r="C527" s="508"/>
      <c r="D527" s="508"/>
      <c r="E527" s="508"/>
      <c r="F527" s="508"/>
      <c r="G527" s="508"/>
      <c r="H527" s="508"/>
      <c r="I527" s="508"/>
      <c r="J527" s="508"/>
      <c r="K527" s="508"/>
      <c r="L527" s="508"/>
      <c r="M527" s="508"/>
      <c r="N527" s="508"/>
      <c r="O527" s="508"/>
      <c r="P527" s="508"/>
      <c r="Q527" s="508"/>
      <c r="R527" s="508"/>
      <c r="S527" s="508"/>
      <c r="T527" s="508"/>
      <c r="U527" s="508"/>
      <c r="V527" s="508"/>
      <c r="W527" s="508"/>
      <c r="X527" s="508"/>
      <c r="Y527" s="508"/>
      <c r="Z527" s="508"/>
    </row>
    <row r="528" ht="13.5" customHeight="1">
      <c r="A528" s="508"/>
      <c r="B528" s="508"/>
      <c r="C528" s="508"/>
      <c r="D528" s="508"/>
      <c r="E528" s="508"/>
      <c r="F528" s="508"/>
      <c r="G528" s="508"/>
      <c r="H528" s="508"/>
      <c r="I528" s="508"/>
      <c r="J528" s="508"/>
      <c r="K528" s="508"/>
      <c r="L528" s="508"/>
      <c r="M528" s="508"/>
      <c r="N528" s="508"/>
      <c r="O528" s="508"/>
      <c r="P528" s="508"/>
      <c r="Q528" s="508"/>
      <c r="R528" s="508"/>
      <c r="S528" s="508"/>
      <c r="T528" s="508"/>
      <c r="U528" s="508"/>
      <c r="V528" s="508"/>
      <c r="W528" s="508"/>
      <c r="X528" s="508"/>
      <c r="Y528" s="508"/>
      <c r="Z528" s="508"/>
    </row>
    <row r="529" ht="13.5" customHeight="1">
      <c r="A529" s="508"/>
      <c r="B529" s="508"/>
      <c r="C529" s="508"/>
      <c r="D529" s="508"/>
      <c r="E529" s="508"/>
      <c r="F529" s="508"/>
      <c r="G529" s="508"/>
      <c r="H529" s="508"/>
      <c r="I529" s="508"/>
      <c r="J529" s="508"/>
      <c r="K529" s="508"/>
      <c r="L529" s="508"/>
      <c r="M529" s="508"/>
      <c r="N529" s="508"/>
      <c r="O529" s="508"/>
      <c r="P529" s="508"/>
      <c r="Q529" s="508"/>
      <c r="R529" s="508"/>
      <c r="S529" s="508"/>
      <c r="T529" s="508"/>
      <c r="U529" s="508"/>
      <c r="V529" s="508"/>
      <c r="W529" s="508"/>
      <c r="X529" s="508"/>
      <c r="Y529" s="508"/>
      <c r="Z529" s="508"/>
    </row>
    <row r="530" ht="13.5" customHeight="1">
      <c r="A530" s="508"/>
      <c r="B530" s="508"/>
      <c r="C530" s="508"/>
      <c r="D530" s="508"/>
      <c r="E530" s="508"/>
      <c r="F530" s="508"/>
      <c r="G530" s="508"/>
      <c r="H530" s="508"/>
      <c r="I530" s="508"/>
      <c r="J530" s="508"/>
      <c r="K530" s="508"/>
      <c r="L530" s="508"/>
      <c r="M530" s="508"/>
      <c r="N530" s="508"/>
      <c r="O530" s="508"/>
      <c r="P530" s="508"/>
      <c r="Q530" s="508"/>
      <c r="R530" s="508"/>
      <c r="S530" s="508"/>
      <c r="T530" s="508"/>
      <c r="U530" s="508"/>
      <c r="V530" s="508"/>
      <c r="W530" s="508"/>
      <c r="X530" s="508"/>
      <c r="Y530" s="508"/>
      <c r="Z530" s="508"/>
    </row>
    <row r="531" ht="13.5" customHeight="1">
      <c r="A531" s="508"/>
      <c r="B531" s="508"/>
      <c r="C531" s="508"/>
      <c r="D531" s="508"/>
      <c r="E531" s="508"/>
      <c r="F531" s="508"/>
      <c r="G531" s="508"/>
      <c r="H531" s="508"/>
      <c r="I531" s="508"/>
      <c r="J531" s="508"/>
      <c r="K531" s="508"/>
      <c r="L531" s="508"/>
      <c r="M531" s="508"/>
      <c r="N531" s="508"/>
      <c r="O531" s="508"/>
      <c r="P531" s="508"/>
      <c r="Q531" s="508"/>
      <c r="R531" s="508"/>
      <c r="S531" s="508"/>
      <c r="T531" s="508"/>
      <c r="U531" s="508"/>
      <c r="V531" s="508"/>
      <c r="W531" s="508"/>
      <c r="X531" s="508"/>
      <c r="Y531" s="508"/>
      <c r="Z531" s="508"/>
    </row>
    <row r="532" ht="13.5" customHeight="1">
      <c r="A532" s="508"/>
      <c r="B532" s="508"/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8"/>
      <c r="Z532" s="508"/>
    </row>
    <row r="533" ht="13.5" customHeight="1">
      <c r="A533" s="508"/>
      <c r="B533" s="508"/>
      <c r="C533" s="508"/>
      <c r="D533" s="508"/>
      <c r="E533" s="508"/>
      <c r="F533" s="508"/>
      <c r="G533" s="508"/>
      <c r="H533" s="508"/>
      <c r="I533" s="508"/>
      <c r="J533" s="508"/>
      <c r="K533" s="508"/>
      <c r="L533" s="508"/>
      <c r="M533" s="508"/>
      <c r="N533" s="508"/>
      <c r="O533" s="508"/>
      <c r="P533" s="508"/>
      <c r="Q533" s="508"/>
      <c r="R533" s="508"/>
      <c r="S533" s="508"/>
      <c r="T533" s="508"/>
      <c r="U533" s="508"/>
      <c r="V533" s="508"/>
      <c r="W533" s="508"/>
      <c r="X533" s="508"/>
      <c r="Y533" s="508"/>
      <c r="Z533" s="508"/>
    </row>
    <row r="534" ht="13.5" customHeight="1">
      <c r="A534" s="508"/>
      <c r="B534" s="508"/>
      <c r="C534" s="508"/>
      <c r="D534" s="508"/>
      <c r="E534" s="508"/>
      <c r="F534" s="508"/>
      <c r="G534" s="508"/>
      <c r="H534" s="508"/>
      <c r="I534" s="508"/>
      <c r="J534" s="508"/>
      <c r="K534" s="508"/>
      <c r="L534" s="508"/>
      <c r="M534" s="508"/>
      <c r="N534" s="508"/>
      <c r="O534" s="508"/>
      <c r="P534" s="508"/>
      <c r="Q534" s="508"/>
      <c r="R534" s="508"/>
      <c r="S534" s="508"/>
      <c r="T534" s="508"/>
      <c r="U534" s="508"/>
      <c r="V534" s="508"/>
      <c r="W534" s="508"/>
      <c r="X534" s="508"/>
      <c r="Y534" s="508"/>
      <c r="Z534" s="508"/>
    </row>
    <row r="535" ht="13.5" customHeight="1">
      <c r="A535" s="508"/>
      <c r="B535" s="508"/>
      <c r="C535" s="508"/>
      <c r="D535" s="508"/>
      <c r="E535" s="508"/>
      <c r="F535" s="508"/>
      <c r="G535" s="508"/>
      <c r="H535" s="508"/>
      <c r="I535" s="508"/>
      <c r="J535" s="508"/>
      <c r="K535" s="508"/>
      <c r="L535" s="508"/>
      <c r="M535" s="508"/>
      <c r="N535" s="508"/>
      <c r="O535" s="508"/>
      <c r="P535" s="508"/>
      <c r="Q535" s="508"/>
      <c r="R535" s="508"/>
      <c r="S535" s="508"/>
      <c r="T535" s="508"/>
      <c r="U535" s="508"/>
      <c r="V535" s="508"/>
      <c r="W535" s="508"/>
      <c r="X535" s="508"/>
      <c r="Y535" s="508"/>
      <c r="Z535" s="508"/>
    </row>
    <row r="536" ht="13.5" customHeight="1">
      <c r="A536" s="508"/>
      <c r="B536" s="508"/>
      <c r="C536" s="508"/>
      <c r="D536" s="508"/>
      <c r="E536" s="508"/>
      <c r="F536" s="508"/>
      <c r="G536" s="508"/>
      <c r="H536" s="508"/>
      <c r="I536" s="508"/>
      <c r="J536" s="508"/>
      <c r="K536" s="508"/>
      <c r="L536" s="508"/>
      <c r="M536" s="508"/>
      <c r="N536" s="508"/>
      <c r="O536" s="508"/>
      <c r="P536" s="508"/>
      <c r="Q536" s="508"/>
      <c r="R536" s="508"/>
      <c r="S536" s="508"/>
      <c r="T536" s="508"/>
      <c r="U536" s="508"/>
      <c r="V536" s="508"/>
      <c r="W536" s="508"/>
      <c r="X536" s="508"/>
      <c r="Y536" s="508"/>
      <c r="Z536" s="508"/>
    </row>
    <row r="537" ht="13.5" customHeight="1">
      <c r="A537" s="508"/>
      <c r="B537" s="508"/>
      <c r="C537" s="508"/>
      <c r="D537" s="508"/>
      <c r="E537" s="508"/>
      <c r="F537" s="508"/>
      <c r="G537" s="508"/>
      <c r="H537" s="508"/>
      <c r="I537" s="508"/>
      <c r="J537" s="508"/>
      <c r="K537" s="508"/>
      <c r="L537" s="508"/>
      <c r="M537" s="508"/>
      <c r="N537" s="508"/>
      <c r="O537" s="508"/>
      <c r="P537" s="508"/>
      <c r="Q537" s="508"/>
      <c r="R537" s="508"/>
      <c r="S537" s="508"/>
      <c r="T537" s="508"/>
      <c r="U537" s="508"/>
      <c r="V537" s="508"/>
      <c r="W537" s="508"/>
      <c r="X537" s="508"/>
      <c r="Y537" s="508"/>
      <c r="Z537" s="508"/>
    </row>
    <row r="538" ht="13.5" customHeight="1">
      <c r="A538" s="508"/>
      <c r="B538" s="508"/>
      <c r="C538" s="508"/>
      <c r="D538" s="508"/>
      <c r="E538" s="508"/>
      <c r="F538" s="508"/>
      <c r="G538" s="508"/>
      <c r="H538" s="508"/>
      <c r="I538" s="508"/>
      <c r="J538" s="508"/>
      <c r="K538" s="508"/>
      <c r="L538" s="508"/>
      <c r="M538" s="508"/>
      <c r="N538" s="508"/>
      <c r="O538" s="508"/>
      <c r="P538" s="508"/>
      <c r="Q538" s="508"/>
      <c r="R538" s="508"/>
      <c r="S538" s="508"/>
      <c r="T538" s="508"/>
      <c r="U538" s="508"/>
      <c r="V538" s="508"/>
      <c r="W538" s="508"/>
      <c r="X538" s="508"/>
      <c r="Y538" s="508"/>
      <c r="Z538" s="508"/>
    </row>
    <row r="539" ht="13.5" customHeight="1">
      <c r="A539" s="508"/>
      <c r="B539" s="508"/>
      <c r="C539" s="508"/>
      <c r="D539" s="508"/>
      <c r="E539" s="508"/>
      <c r="F539" s="508"/>
      <c r="G539" s="508"/>
      <c r="H539" s="508"/>
      <c r="I539" s="508"/>
      <c r="J539" s="508"/>
      <c r="K539" s="508"/>
      <c r="L539" s="508"/>
      <c r="M539" s="508"/>
      <c r="N539" s="508"/>
      <c r="O539" s="508"/>
      <c r="P539" s="508"/>
      <c r="Q539" s="508"/>
      <c r="R539" s="508"/>
      <c r="S539" s="508"/>
      <c r="T539" s="508"/>
      <c r="U539" s="508"/>
      <c r="V539" s="508"/>
      <c r="W539" s="508"/>
      <c r="X539" s="508"/>
      <c r="Y539" s="508"/>
      <c r="Z539" s="508"/>
    </row>
    <row r="540" ht="13.5" customHeight="1">
      <c r="A540" s="508"/>
      <c r="B540" s="508"/>
      <c r="C540" s="508"/>
      <c r="D540" s="508"/>
      <c r="E540" s="508"/>
      <c r="F540" s="508"/>
      <c r="G540" s="508"/>
      <c r="H540" s="508"/>
      <c r="I540" s="508"/>
      <c r="J540" s="508"/>
      <c r="K540" s="508"/>
      <c r="L540" s="508"/>
      <c r="M540" s="508"/>
      <c r="N540" s="508"/>
      <c r="O540" s="508"/>
      <c r="P540" s="508"/>
      <c r="Q540" s="508"/>
      <c r="R540" s="508"/>
      <c r="S540" s="508"/>
      <c r="T540" s="508"/>
      <c r="U540" s="508"/>
      <c r="V540" s="508"/>
      <c r="W540" s="508"/>
      <c r="X540" s="508"/>
      <c r="Y540" s="508"/>
      <c r="Z540" s="508"/>
    </row>
    <row r="541" ht="13.5" customHeight="1">
      <c r="A541" s="508"/>
      <c r="B541" s="508"/>
      <c r="C541" s="508"/>
      <c r="D541" s="508"/>
      <c r="E541" s="508"/>
      <c r="F541" s="508"/>
      <c r="G541" s="508"/>
      <c r="H541" s="508"/>
      <c r="I541" s="508"/>
      <c r="J541" s="508"/>
      <c r="K541" s="508"/>
      <c r="L541" s="508"/>
      <c r="M541" s="508"/>
      <c r="N541" s="508"/>
      <c r="O541" s="508"/>
      <c r="P541" s="508"/>
      <c r="Q541" s="508"/>
      <c r="R541" s="508"/>
      <c r="S541" s="508"/>
      <c r="T541" s="508"/>
      <c r="U541" s="508"/>
      <c r="V541" s="508"/>
      <c r="W541" s="508"/>
      <c r="X541" s="508"/>
      <c r="Y541" s="508"/>
      <c r="Z541" s="508"/>
    </row>
    <row r="542" ht="13.5" customHeight="1">
      <c r="A542" s="508"/>
      <c r="B542" s="508"/>
      <c r="C542" s="508"/>
      <c r="D542" s="508"/>
      <c r="E542" s="508"/>
      <c r="F542" s="508"/>
      <c r="G542" s="508"/>
      <c r="H542" s="508"/>
      <c r="I542" s="508"/>
      <c r="J542" s="508"/>
      <c r="K542" s="508"/>
      <c r="L542" s="508"/>
      <c r="M542" s="508"/>
      <c r="N542" s="508"/>
      <c r="O542" s="508"/>
      <c r="P542" s="508"/>
      <c r="Q542" s="508"/>
      <c r="R542" s="508"/>
      <c r="S542" s="508"/>
      <c r="T542" s="508"/>
      <c r="U542" s="508"/>
      <c r="V542" s="508"/>
      <c r="W542" s="508"/>
      <c r="X542" s="508"/>
      <c r="Y542" s="508"/>
      <c r="Z542" s="508"/>
    </row>
    <row r="543" ht="13.5" customHeight="1">
      <c r="A543" s="508"/>
      <c r="B543" s="508"/>
      <c r="C543" s="508"/>
      <c r="D543" s="508"/>
      <c r="E543" s="508"/>
      <c r="F543" s="508"/>
      <c r="G543" s="508"/>
      <c r="H543" s="508"/>
      <c r="I543" s="508"/>
      <c r="J543" s="508"/>
      <c r="K543" s="508"/>
      <c r="L543" s="508"/>
      <c r="M543" s="508"/>
      <c r="N543" s="508"/>
      <c r="O543" s="508"/>
      <c r="P543" s="508"/>
      <c r="Q543" s="508"/>
      <c r="R543" s="508"/>
      <c r="S543" s="508"/>
      <c r="T543" s="508"/>
      <c r="U543" s="508"/>
      <c r="V543" s="508"/>
      <c r="W543" s="508"/>
      <c r="X543" s="508"/>
      <c r="Y543" s="508"/>
      <c r="Z543" s="508"/>
    </row>
    <row r="544" ht="13.5" customHeight="1">
      <c r="A544" s="508"/>
      <c r="B544" s="508"/>
      <c r="C544" s="508"/>
      <c r="D544" s="508"/>
      <c r="E544" s="508"/>
      <c r="F544" s="508"/>
      <c r="G544" s="508"/>
      <c r="H544" s="508"/>
      <c r="I544" s="508"/>
      <c r="J544" s="508"/>
      <c r="K544" s="508"/>
      <c r="L544" s="508"/>
      <c r="M544" s="508"/>
      <c r="N544" s="508"/>
      <c r="O544" s="508"/>
      <c r="P544" s="508"/>
      <c r="Q544" s="508"/>
      <c r="R544" s="508"/>
      <c r="S544" s="508"/>
      <c r="T544" s="508"/>
      <c r="U544" s="508"/>
      <c r="V544" s="508"/>
      <c r="W544" s="508"/>
      <c r="X544" s="508"/>
      <c r="Y544" s="508"/>
      <c r="Z544" s="508"/>
    </row>
    <row r="545" ht="13.5" customHeight="1">
      <c r="A545" s="508"/>
      <c r="B545" s="508"/>
      <c r="C545" s="508"/>
      <c r="D545" s="508"/>
      <c r="E545" s="508"/>
      <c r="F545" s="508"/>
      <c r="G545" s="508"/>
      <c r="H545" s="508"/>
      <c r="I545" s="508"/>
      <c r="J545" s="508"/>
      <c r="K545" s="508"/>
      <c r="L545" s="508"/>
      <c r="M545" s="508"/>
      <c r="N545" s="508"/>
      <c r="O545" s="508"/>
      <c r="P545" s="508"/>
      <c r="Q545" s="508"/>
      <c r="R545" s="508"/>
      <c r="S545" s="508"/>
      <c r="T545" s="508"/>
      <c r="U545" s="508"/>
      <c r="V545" s="508"/>
      <c r="W545" s="508"/>
      <c r="X545" s="508"/>
      <c r="Y545" s="508"/>
      <c r="Z545" s="508"/>
    </row>
    <row r="546" ht="13.5" customHeight="1">
      <c r="A546" s="508"/>
      <c r="B546" s="508"/>
      <c r="C546" s="508"/>
      <c r="D546" s="508"/>
      <c r="E546" s="508"/>
      <c r="F546" s="508"/>
      <c r="G546" s="508"/>
      <c r="H546" s="508"/>
      <c r="I546" s="508"/>
      <c r="J546" s="508"/>
      <c r="K546" s="508"/>
      <c r="L546" s="508"/>
      <c r="M546" s="508"/>
      <c r="N546" s="508"/>
      <c r="O546" s="508"/>
      <c r="P546" s="508"/>
      <c r="Q546" s="508"/>
      <c r="R546" s="508"/>
      <c r="S546" s="508"/>
      <c r="T546" s="508"/>
      <c r="U546" s="508"/>
      <c r="V546" s="508"/>
      <c r="W546" s="508"/>
      <c r="X546" s="508"/>
      <c r="Y546" s="508"/>
      <c r="Z546" s="508"/>
    </row>
    <row r="547" ht="13.5" customHeight="1">
      <c r="A547" s="508"/>
      <c r="B547" s="508"/>
      <c r="C547" s="508"/>
      <c r="D547" s="508"/>
      <c r="E547" s="508"/>
      <c r="F547" s="508"/>
      <c r="G547" s="508"/>
      <c r="H547" s="508"/>
      <c r="I547" s="508"/>
      <c r="J547" s="508"/>
      <c r="K547" s="508"/>
      <c r="L547" s="508"/>
      <c r="M547" s="508"/>
      <c r="N547" s="508"/>
      <c r="O547" s="508"/>
      <c r="P547" s="508"/>
      <c r="Q547" s="508"/>
      <c r="R547" s="508"/>
      <c r="S547" s="508"/>
      <c r="T547" s="508"/>
      <c r="U547" s="508"/>
      <c r="V547" s="508"/>
      <c r="W547" s="508"/>
      <c r="X547" s="508"/>
      <c r="Y547" s="508"/>
      <c r="Z547" s="508"/>
    </row>
    <row r="548" ht="13.5" customHeight="1">
      <c r="A548" s="508"/>
      <c r="B548" s="508"/>
      <c r="C548" s="508"/>
      <c r="D548" s="508"/>
      <c r="E548" s="508"/>
      <c r="F548" s="508"/>
      <c r="G548" s="508"/>
      <c r="H548" s="508"/>
      <c r="I548" s="508"/>
      <c r="J548" s="508"/>
      <c r="K548" s="508"/>
      <c r="L548" s="508"/>
      <c r="M548" s="508"/>
      <c r="N548" s="508"/>
      <c r="O548" s="508"/>
      <c r="P548" s="508"/>
      <c r="Q548" s="508"/>
      <c r="R548" s="508"/>
      <c r="S548" s="508"/>
      <c r="T548" s="508"/>
      <c r="U548" s="508"/>
      <c r="V548" s="508"/>
      <c r="W548" s="508"/>
      <c r="X548" s="508"/>
      <c r="Y548" s="508"/>
      <c r="Z548" s="508"/>
    </row>
    <row r="549" ht="13.5" customHeight="1">
      <c r="A549" s="508"/>
      <c r="B549" s="508"/>
      <c r="C549" s="508"/>
      <c r="D549" s="508"/>
      <c r="E549" s="508"/>
      <c r="F549" s="508"/>
      <c r="G549" s="508"/>
      <c r="H549" s="508"/>
      <c r="I549" s="508"/>
      <c r="J549" s="508"/>
      <c r="K549" s="508"/>
      <c r="L549" s="508"/>
      <c r="M549" s="508"/>
      <c r="N549" s="508"/>
      <c r="O549" s="508"/>
      <c r="P549" s="508"/>
      <c r="Q549" s="508"/>
      <c r="R549" s="508"/>
      <c r="S549" s="508"/>
      <c r="T549" s="508"/>
      <c r="U549" s="508"/>
      <c r="V549" s="508"/>
      <c r="W549" s="508"/>
      <c r="X549" s="508"/>
      <c r="Y549" s="508"/>
      <c r="Z549" s="508"/>
    </row>
    <row r="550" ht="13.5" customHeight="1">
      <c r="A550" s="508"/>
      <c r="B550" s="508"/>
      <c r="C550" s="508"/>
      <c r="D550" s="508"/>
      <c r="E550" s="508"/>
      <c r="F550" s="508"/>
      <c r="G550" s="508"/>
      <c r="H550" s="508"/>
      <c r="I550" s="508"/>
      <c r="J550" s="508"/>
      <c r="K550" s="508"/>
      <c r="L550" s="508"/>
      <c r="M550" s="508"/>
      <c r="N550" s="508"/>
      <c r="O550" s="508"/>
      <c r="P550" s="508"/>
      <c r="Q550" s="508"/>
      <c r="R550" s="508"/>
      <c r="S550" s="508"/>
      <c r="T550" s="508"/>
      <c r="U550" s="508"/>
      <c r="V550" s="508"/>
      <c r="W550" s="508"/>
      <c r="X550" s="508"/>
      <c r="Y550" s="508"/>
      <c r="Z550" s="508"/>
    </row>
    <row r="551" ht="13.5" customHeight="1">
      <c r="A551" s="508"/>
      <c r="B551" s="508"/>
      <c r="C551" s="508"/>
      <c r="D551" s="508"/>
      <c r="E551" s="508"/>
      <c r="F551" s="508"/>
      <c r="G551" s="508"/>
      <c r="H551" s="508"/>
      <c r="I551" s="508"/>
      <c r="J551" s="508"/>
      <c r="K551" s="508"/>
      <c r="L551" s="508"/>
      <c r="M551" s="508"/>
      <c r="N551" s="508"/>
      <c r="O551" s="508"/>
      <c r="P551" s="508"/>
      <c r="Q551" s="508"/>
      <c r="R551" s="508"/>
      <c r="S551" s="508"/>
      <c r="T551" s="508"/>
      <c r="U551" s="508"/>
      <c r="V551" s="508"/>
      <c r="W551" s="508"/>
      <c r="X551" s="508"/>
      <c r="Y551" s="508"/>
      <c r="Z551" s="508"/>
    </row>
    <row r="552" ht="13.5" customHeight="1">
      <c r="A552" s="508"/>
      <c r="B552" s="508"/>
      <c r="C552" s="508"/>
      <c r="D552" s="508"/>
      <c r="E552" s="508"/>
      <c r="F552" s="508"/>
      <c r="G552" s="508"/>
      <c r="H552" s="508"/>
      <c r="I552" s="508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508"/>
      <c r="Y552" s="508"/>
      <c r="Z552" s="508"/>
    </row>
    <row r="553" ht="13.5" customHeight="1">
      <c r="A553" s="508"/>
      <c r="B553" s="508"/>
      <c r="C553" s="508"/>
      <c r="D553" s="508"/>
      <c r="E553" s="508"/>
      <c r="F553" s="508"/>
      <c r="G553" s="508"/>
      <c r="H553" s="508"/>
      <c r="I553" s="508"/>
      <c r="J553" s="508"/>
      <c r="K553" s="508"/>
      <c r="L553" s="508"/>
      <c r="M553" s="508"/>
      <c r="N553" s="508"/>
      <c r="O553" s="508"/>
      <c r="P553" s="508"/>
      <c r="Q553" s="508"/>
      <c r="R553" s="508"/>
      <c r="S553" s="508"/>
      <c r="T553" s="508"/>
      <c r="U553" s="508"/>
      <c r="V553" s="508"/>
      <c r="W553" s="508"/>
      <c r="X553" s="508"/>
      <c r="Y553" s="508"/>
      <c r="Z553" s="508"/>
    </row>
    <row r="554" ht="13.5" customHeight="1">
      <c r="A554" s="508"/>
      <c r="B554" s="508"/>
      <c r="C554" s="508"/>
      <c r="D554" s="508"/>
      <c r="E554" s="508"/>
      <c r="F554" s="508"/>
      <c r="G554" s="508"/>
      <c r="H554" s="508"/>
      <c r="I554" s="508"/>
      <c r="J554" s="508"/>
      <c r="K554" s="508"/>
      <c r="L554" s="508"/>
      <c r="M554" s="508"/>
      <c r="N554" s="508"/>
      <c r="O554" s="508"/>
      <c r="P554" s="508"/>
      <c r="Q554" s="508"/>
      <c r="R554" s="508"/>
      <c r="S554" s="508"/>
      <c r="T554" s="508"/>
      <c r="U554" s="508"/>
      <c r="V554" s="508"/>
      <c r="W554" s="508"/>
      <c r="X554" s="508"/>
      <c r="Y554" s="508"/>
      <c r="Z554" s="508"/>
    </row>
    <row r="555" ht="13.5" customHeight="1">
      <c r="A555" s="508"/>
      <c r="B555" s="508"/>
      <c r="C555" s="508"/>
      <c r="D555" s="508"/>
      <c r="E555" s="508"/>
      <c r="F555" s="508"/>
      <c r="G555" s="508"/>
      <c r="H555" s="508"/>
      <c r="I555" s="508"/>
      <c r="J555" s="508"/>
      <c r="K555" s="508"/>
      <c r="L555" s="508"/>
      <c r="M555" s="508"/>
      <c r="N555" s="508"/>
      <c r="O555" s="508"/>
      <c r="P555" s="508"/>
      <c r="Q555" s="508"/>
      <c r="R555" s="508"/>
      <c r="S555" s="508"/>
      <c r="T555" s="508"/>
      <c r="U555" s="508"/>
      <c r="V555" s="508"/>
      <c r="W555" s="508"/>
      <c r="X555" s="508"/>
      <c r="Y555" s="508"/>
      <c r="Z555" s="508"/>
    </row>
    <row r="556" ht="13.5" customHeight="1">
      <c r="A556" s="508"/>
      <c r="B556" s="508"/>
      <c r="C556" s="508"/>
      <c r="D556" s="508"/>
      <c r="E556" s="508"/>
      <c r="F556" s="508"/>
      <c r="G556" s="508"/>
      <c r="H556" s="508"/>
      <c r="I556" s="508"/>
      <c r="J556" s="508"/>
      <c r="K556" s="508"/>
      <c r="L556" s="508"/>
      <c r="M556" s="508"/>
      <c r="N556" s="508"/>
      <c r="O556" s="508"/>
      <c r="P556" s="508"/>
      <c r="Q556" s="508"/>
      <c r="R556" s="508"/>
      <c r="S556" s="508"/>
      <c r="T556" s="508"/>
      <c r="U556" s="508"/>
      <c r="V556" s="508"/>
      <c r="W556" s="508"/>
      <c r="X556" s="508"/>
      <c r="Y556" s="508"/>
      <c r="Z556" s="508"/>
    </row>
    <row r="557" ht="13.5" customHeight="1">
      <c r="A557" s="508"/>
      <c r="B557" s="508"/>
      <c r="C557" s="508"/>
      <c r="D557" s="508"/>
      <c r="E557" s="508"/>
      <c r="F557" s="508"/>
      <c r="G557" s="508"/>
      <c r="H557" s="508"/>
      <c r="I557" s="508"/>
      <c r="J557" s="508"/>
      <c r="K557" s="508"/>
      <c r="L557" s="508"/>
      <c r="M557" s="508"/>
      <c r="N557" s="508"/>
      <c r="O557" s="508"/>
      <c r="P557" s="508"/>
      <c r="Q557" s="508"/>
      <c r="R557" s="508"/>
      <c r="S557" s="508"/>
      <c r="T557" s="508"/>
      <c r="U557" s="508"/>
      <c r="V557" s="508"/>
      <c r="W557" s="508"/>
      <c r="X557" s="508"/>
      <c r="Y557" s="508"/>
      <c r="Z557" s="508"/>
    </row>
    <row r="558" ht="13.5" customHeight="1">
      <c r="A558" s="508"/>
      <c r="B558" s="508"/>
      <c r="C558" s="508"/>
      <c r="D558" s="508"/>
      <c r="E558" s="508"/>
      <c r="F558" s="508"/>
      <c r="G558" s="508"/>
      <c r="H558" s="508"/>
      <c r="I558" s="508"/>
      <c r="J558" s="508"/>
      <c r="K558" s="508"/>
      <c r="L558" s="508"/>
      <c r="M558" s="508"/>
      <c r="N558" s="508"/>
      <c r="O558" s="508"/>
      <c r="P558" s="508"/>
      <c r="Q558" s="508"/>
      <c r="R558" s="508"/>
      <c r="S558" s="508"/>
      <c r="T558" s="508"/>
      <c r="U558" s="508"/>
      <c r="V558" s="508"/>
      <c r="W558" s="508"/>
      <c r="X558" s="508"/>
      <c r="Y558" s="508"/>
      <c r="Z558" s="508"/>
    </row>
    <row r="559" ht="13.5" customHeight="1">
      <c r="A559" s="508"/>
      <c r="B559" s="508"/>
      <c r="C559" s="508"/>
      <c r="D559" s="508"/>
      <c r="E559" s="508"/>
      <c r="F559" s="508"/>
      <c r="G559" s="508"/>
      <c r="H559" s="508"/>
      <c r="I559" s="508"/>
      <c r="J559" s="508"/>
      <c r="K559" s="508"/>
      <c r="L559" s="508"/>
      <c r="M559" s="508"/>
      <c r="N559" s="508"/>
      <c r="O559" s="508"/>
      <c r="P559" s="508"/>
      <c r="Q559" s="508"/>
      <c r="R559" s="508"/>
      <c r="S559" s="508"/>
      <c r="T559" s="508"/>
      <c r="U559" s="508"/>
      <c r="V559" s="508"/>
      <c r="W559" s="508"/>
      <c r="X559" s="508"/>
      <c r="Y559" s="508"/>
      <c r="Z559" s="508"/>
    </row>
    <row r="560" ht="13.5" customHeight="1">
      <c r="A560" s="508"/>
      <c r="B560" s="508"/>
      <c r="C560" s="508"/>
      <c r="D560" s="508"/>
      <c r="E560" s="508"/>
      <c r="F560" s="508"/>
      <c r="G560" s="508"/>
      <c r="H560" s="508"/>
      <c r="I560" s="508"/>
      <c r="J560" s="508"/>
      <c r="K560" s="508"/>
      <c r="L560" s="508"/>
      <c r="M560" s="508"/>
      <c r="N560" s="508"/>
      <c r="O560" s="508"/>
      <c r="P560" s="508"/>
      <c r="Q560" s="508"/>
      <c r="R560" s="508"/>
      <c r="S560" s="508"/>
      <c r="T560" s="508"/>
      <c r="U560" s="508"/>
      <c r="V560" s="508"/>
      <c r="W560" s="508"/>
      <c r="X560" s="508"/>
      <c r="Y560" s="508"/>
      <c r="Z560" s="508"/>
    </row>
    <row r="561" ht="13.5" customHeight="1">
      <c r="A561" s="508"/>
      <c r="B561" s="508"/>
      <c r="C561" s="508"/>
      <c r="D561" s="508"/>
      <c r="E561" s="508"/>
      <c r="F561" s="508"/>
      <c r="G561" s="508"/>
      <c r="H561" s="508"/>
      <c r="I561" s="508"/>
      <c r="J561" s="508"/>
      <c r="K561" s="508"/>
      <c r="L561" s="508"/>
      <c r="M561" s="508"/>
      <c r="N561" s="508"/>
      <c r="O561" s="508"/>
      <c r="P561" s="508"/>
      <c r="Q561" s="508"/>
      <c r="R561" s="508"/>
      <c r="S561" s="508"/>
      <c r="T561" s="508"/>
      <c r="U561" s="508"/>
      <c r="V561" s="508"/>
      <c r="W561" s="508"/>
      <c r="X561" s="508"/>
      <c r="Y561" s="508"/>
      <c r="Z561" s="508"/>
    </row>
    <row r="562" ht="13.5" customHeight="1">
      <c r="A562" s="508"/>
      <c r="B562" s="508"/>
      <c r="C562" s="508"/>
      <c r="D562" s="508"/>
      <c r="E562" s="508"/>
      <c r="F562" s="508"/>
      <c r="G562" s="508"/>
      <c r="H562" s="508"/>
      <c r="I562" s="508"/>
      <c r="J562" s="508"/>
      <c r="K562" s="508"/>
      <c r="L562" s="508"/>
      <c r="M562" s="508"/>
      <c r="N562" s="508"/>
      <c r="O562" s="508"/>
      <c r="P562" s="508"/>
      <c r="Q562" s="508"/>
      <c r="R562" s="508"/>
      <c r="S562" s="508"/>
      <c r="T562" s="508"/>
      <c r="U562" s="508"/>
      <c r="V562" s="508"/>
      <c r="W562" s="508"/>
      <c r="X562" s="508"/>
      <c r="Y562" s="508"/>
      <c r="Z562" s="508"/>
    </row>
    <row r="563" ht="13.5" customHeight="1">
      <c r="A563" s="508"/>
      <c r="B563" s="508"/>
      <c r="C563" s="508"/>
      <c r="D563" s="508"/>
      <c r="E563" s="508"/>
      <c r="F563" s="508"/>
      <c r="G563" s="508"/>
      <c r="H563" s="508"/>
      <c r="I563" s="508"/>
      <c r="J563" s="508"/>
      <c r="K563" s="508"/>
      <c r="L563" s="508"/>
      <c r="M563" s="508"/>
      <c r="N563" s="508"/>
      <c r="O563" s="508"/>
      <c r="P563" s="508"/>
      <c r="Q563" s="508"/>
      <c r="R563" s="508"/>
      <c r="S563" s="508"/>
      <c r="T563" s="508"/>
      <c r="U563" s="508"/>
      <c r="V563" s="508"/>
      <c r="W563" s="508"/>
      <c r="X563" s="508"/>
      <c r="Y563" s="508"/>
      <c r="Z563" s="508"/>
    </row>
    <row r="564" ht="13.5" customHeight="1">
      <c r="A564" s="508"/>
      <c r="B564" s="508"/>
      <c r="C564" s="508"/>
      <c r="D564" s="508"/>
      <c r="E564" s="508"/>
      <c r="F564" s="508"/>
      <c r="G564" s="508"/>
      <c r="H564" s="508"/>
      <c r="I564" s="508"/>
      <c r="J564" s="508"/>
      <c r="K564" s="508"/>
      <c r="L564" s="508"/>
      <c r="M564" s="508"/>
      <c r="N564" s="508"/>
      <c r="O564" s="508"/>
      <c r="P564" s="508"/>
      <c r="Q564" s="508"/>
      <c r="R564" s="508"/>
      <c r="S564" s="508"/>
      <c r="T564" s="508"/>
      <c r="U564" s="508"/>
      <c r="V564" s="508"/>
      <c r="W564" s="508"/>
      <c r="X564" s="508"/>
      <c r="Y564" s="508"/>
      <c r="Z564" s="508"/>
    </row>
    <row r="565" ht="13.5" customHeight="1">
      <c r="A565" s="508"/>
      <c r="B565" s="508"/>
      <c r="C565" s="508"/>
      <c r="D565" s="508"/>
      <c r="E565" s="508"/>
      <c r="F565" s="508"/>
      <c r="G565" s="508"/>
      <c r="H565" s="508"/>
      <c r="I565" s="508"/>
      <c r="J565" s="508"/>
      <c r="K565" s="508"/>
      <c r="L565" s="508"/>
      <c r="M565" s="508"/>
      <c r="N565" s="508"/>
      <c r="O565" s="508"/>
      <c r="P565" s="508"/>
      <c r="Q565" s="508"/>
      <c r="R565" s="508"/>
      <c r="S565" s="508"/>
      <c r="T565" s="508"/>
      <c r="U565" s="508"/>
      <c r="V565" s="508"/>
      <c r="W565" s="508"/>
      <c r="X565" s="508"/>
      <c r="Y565" s="508"/>
      <c r="Z565" s="508"/>
    </row>
    <row r="566" ht="13.5" customHeight="1">
      <c r="A566" s="508"/>
      <c r="B566" s="508"/>
      <c r="C566" s="508"/>
      <c r="D566" s="508"/>
      <c r="E566" s="508"/>
      <c r="F566" s="508"/>
      <c r="G566" s="508"/>
      <c r="H566" s="508"/>
      <c r="I566" s="508"/>
      <c r="J566" s="508"/>
      <c r="K566" s="508"/>
      <c r="L566" s="508"/>
      <c r="M566" s="508"/>
      <c r="N566" s="508"/>
      <c r="O566" s="508"/>
      <c r="P566" s="508"/>
      <c r="Q566" s="508"/>
      <c r="R566" s="508"/>
      <c r="S566" s="508"/>
      <c r="T566" s="508"/>
      <c r="U566" s="508"/>
      <c r="V566" s="508"/>
      <c r="W566" s="508"/>
      <c r="X566" s="508"/>
      <c r="Y566" s="508"/>
      <c r="Z566" s="508"/>
    </row>
    <row r="567" ht="13.5" customHeight="1">
      <c r="A567" s="508"/>
      <c r="B567" s="508"/>
      <c r="C567" s="508"/>
      <c r="D567" s="508"/>
      <c r="E567" s="508"/>
      <c r="F567" s="508"/>
      <c r="G567" s="508"/>
      <c r="H567" s="508"/>
      <c r="I567" s="508"/>
      <c r="J567" s="508"/>
      <c r="K567" s="508"/>
      <c r="L567" s="508"/>
      <c r="M567" s="508"/>
      <c r="N567" s="508"/>
      <c r="O567" s="508"/>
      <c r="P567" s="508"/>
      <c r="Q567" s="508"/>
      <c r="R567" s="508"/>
      <c r="S567" s="508"/>
      <c r="T567" s="508"/>
      <c r="U567" s="508"/>
      <c r="V567" s="508"/>
      <c r="W567" s="508"/>
      <c r="X567" s="508"/>
      <c r="Y567" s="508"/>
      <c r="Z567" s="508"/>
    </row>
    <row r="568" ht="13.5" customHeight="1">
      <c r="A568" s="508"/>
      <c r="B568" s="508"/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8"/>
      <c r="Z568" s="508"/>
    </row>
    <row r="569" ht="13.5" customHeight="1">
      <c r="A569" s="508"/>
      <c r="B569" s="508"/>
      <c r="C569" s="508"/>
      <c r="D569" s="508"/>
      <c r="E569" s="508"/>
      <c r="F569" s="508"/>
      <c r="G569" s="508"/>
      <c r="H569" s="508"/>
      <c r="I569" s="508"/>
      <c r="J569" s="508"/>
      <c r="K569" s="508"/>
      <c r="L569" s="508"/>
      <c r="M569" s="508"/>
      <c r="N569" s="508"/>
      <c r="O569" s="508"/>
      <c r="P569" s="508"/>
      <c r="Q569" s="508"/>
      <c r="R569" s="508"/>
      <c r="S569" s="508"/>
      <c r="T569" s="508"/>
      <c r="U569" s="508"/>
      <c r="V569" s="508"/>
      <c r="W569" s="508"/>
      <c r="X569" s="508"/>
      <c r="Y569" s="508"/>
      <c r="Z569" s="508"/>
    </row>
    <row r="570" ht="13.5" customHeight="1">
      <c r="A570" s="508"/>
      <c r="B570" s="508"/>
      <c r="C570" s="508"/>
      <c r="D570" s="508"/>
      <c r="E570" s="508"/>
      <c r="F570" s="508"/>
      <c r="G570" s="508"/>
      <c r="H570" s="508"/>
      <c r="I570" s="508"/>
      <c r="J570" s="508"/>
      <c r="K570" s="508"/>
      <c r="L570" s="508"/>
      <c r="M570" s="508"/>
      <c r="N570" s="508"/>
      <c r="O570" s="508"/>
      <c r="P570" s="508"/>
      <c r="Q570" s="508"/>
      <c r="R570" s="508"/>
      <c r="S570" s="508"/>
      <c r="T570" s="508"/>
      <c r="U570" s="508"/>
      <c r="V570" s="508"/>
      <c r="W570" s="508"/>
      <c r="X570" s="508"/>
      <c r="Y570" s="508"/>
      <c r="Z570" s="508"/>
    </row>
    <row r="571" ht="13.5" customHeight="1">
      <c r="A571" s="508"/>
      <c r="B571" s="508"/>
      <c r="C571" s="508"/>
      <c r="D571" s="508"/>
      <c r="E571" s="508"/>
      <c r="F571" s="508"/>
      <c r="G571" s="508"/>
      <c r="H571" s="508"/>
      <c r="I571" s="508"/>
      <c r="J571" s="508"/>
      <c r="K571" s="508"/>
      <c r="L571" s="508"/>
      <c r="M571" s="508"/>
      <c r="N571" s="508"/>
      <c r="O571" s="508"/>
      <c r="P571" s="508"/>
      <c r="Q571" s="508"/>
      <c r="R571" s="508"/>
      <c r="S571" s="508"/>
      <c r="T571" s="508"/>
      <c r="U571" s="508"/>
      <c r="V571" s="508"/>
      <c r="W571" s="508"/>
      <c r="X571" s="508"/>
      <c r="Y571" s="508"/>
      <c r="Z571" s="508"/>
    </row>
    <row r="572" ht="13.5" customHeight="1">
      <c r="A572" s="508"/>
      <c r="B572" s="508"/>
      <c r="C572" s="508"/>
      <c r="D572" s="508"/>
      <c r="E572" s="508"/>
      <c r="F572" s="508"/>
      <c r="G572" s="508"/>
      <c r="H572" s="508"/>
      <c r="I572" s="508"/>
      <c r="J572" s="508"/>
      <c r="K572" s="508"/>
      <c r="L572" s="508"/>
      <c r="M572" s="508"/>
      <c r="N572" s="508"/>
      <c r="O572" s="508"/>
      <c r="P572" s="508"/>
      <c r="Q572" s="508"/>
      <c r="R572" s="508"/>
      <c r="S572" s="508"/>
      <c r="T572" s="508"/>
      <c r="U572" s="508"/>
      <c r="V572" s="508"/>
      <c r="W572" s="508"/>
      <c r="X572" s="508"/>
      <c r="Y572" s="508"/>
      <c r="Z572" s="508"/>
    </row>
    <row r="573" ht="13.5" customHeight="1">
      <c r="A573" s="508"/>
      <c r="B573" s="508"/>
      <c r="C573" s="508"/>
      <c r="D573" s="508"/>
      <c r="E573" s="508"/>
      <c r="F573" s="508"/>
      <c r="G573" s="508"/>
      <c r="H573" s="508"/>
      <c r="I573" s="508"/>
      <c r="J573" s="508"/>
      <c r="K573" s="508"/>
      <c r="L573" s="508"/>
      <c r="M573" s="508"/>
      <c r="N573" s="508"/>
      <c r="O573" s="508"/>
      <c r="P573" s="508"/>
      <c r="Q573" s="508"/>
      <c r="R573" s="508"/>
      <c r="S573" s="508"/>
      <c r="T573" s="508"/>
      <c r="U573" s="508"/>
      <c r="V573" s="508"/>
      <c r="W573" s="508"/>
      <c r="X573" s="508"/>
      <c r="Y573" s="508"/>
      <c r="Z573" s="508"/>
    </row>
    <row r="574" ht="13.5" customHeight="1">
      <c r="A574" s="508"/>
      <c r="B574" s="508"/>
      <c r="C574" s="508"/>
      <c r="D574" s="508"/>
      <c r="E574" s="508"/>
      <c r="F574" s="508"/>
      <c r="G574" s="508"/>
      <c r="H574" s="508"/>
      <c r="I574" s="508"/>
      <c r="J574" s="508"/>
      <c r="K574" s="508"/>
      <c r="L574" s="508"/>
      <c r="M574" s="508"/>
      <c r="N574" s="508"/>
      <c r="O574" s="508"/>
      <c r="P574" s="508"/>
      <c r="Q574" s="508"/>
      <c r="R574" s="508"/>
      <c r="S574" s="508"/>
      <c r="T574" s="508"/>
      <c r="U574" s="508"/>
      <c r="V574" s="508"/>
      <c r="W574" s="508"/>
      <c r="X574" s="508"/>
      <c r="Y574" s="508"/>
      <c r="Z574" s="508"/>
    </row>
    <row r="575" ht="13.5" customHeight="1">
      <c r="A575" s="508"/>
      <c r="B575" s="508"/>
      <c r="C575" s="508"/>
      <c r="D575" s="508"/>
      <c r="E575" s="508"/>
      <c r="F575" s="508"/>
      <c r="G575" s="508"/>
      <c r="H575" s="508"/>
      <c r="I575" s="508"/>
      <c r="J575" s="508"/>
      <c r="K575" s="508"/>
      <c r="L575" s="508"/>
      <c r="M575" s="508"/>
      <c r="N575" s="508"/>
      <c r="O575" s="508"/>
      <c r="P575" s="508"/>
      <c r="Q575" s="508"/>
      <c r="R575" s="508"/>
      <c r="S575" s="508"/>
      <c r="T575" s="508"/>
      <c r="U575" s="508"/>
      <c r="V575" s="508"/>
      <c r="W575" s="508"/>
      <c r="X575" s="508"/>
      <c r="Y575" s="508"/>
      <c r="Z575" s="508"/>
    </row>
    <row r="576" ht="13.5" customHeight="1">
      <c r="A576" s="508"/>
      <c r="B576" s="508"/>
      <c r="C576" s="508"/>
      <c r="D576" s="508"/>
      <c r="E576" s="508"/>
      <c r="F576" s="508"/>
      <c r="G576" s="508"/>
      <c r="H576" s="508"/>
      <c r="I576" s="508"/>
      <c r="J576" s="508"/>
      <c r="K576" s="508"/>
      <c r="L576" s="508"/>
      <c r="M576" s="508"/>
      <c r="N576" s="508"/>
      <c r="O576" s="508"/>
      <c r="P576" s="508"/>
      <c r="Q576" s="508"/>
      <c r="R576" s="508"/>
      <c r="S576" s="508"/>
      <c r="T576" s="508"/>
      <c r="U576" s="508"/>
      <c r="V576" s="508"/>
      <c r="W576" s="508"/>
      <c r="X576" s="508"/>
      <c r="Y576" s="508"/>
      <c r="Z576" s="508"/>
    </row>
    <row r="577" ht="13.5" customHeight="1">
      <c r="A577" s="508"/>
      <c r="B577" s="508"/>
      <c r="C577" s="508"/>
      <c r="D577" s="508"/>
      <c r="E577" s="508"/>
      <c r="F577" s="508"/>
      <c r="G577" s="508"/>
      <c r="H577" s="508"/>
      <c r="I577" s="508"/>
      <c r="J577" s="508"/>
      <c r="K577" s="508"/>
      <c r="L577" s="508"/>
      <c r="M577" s="508"/>
      <c r="N577" s="508"/>
      <c r="O577" s="508"/>
      <c r="P577" s="508"/>
      <c r="Q577" s="508"/>
      <c r="R577" s="508"/>
      <c r="S577" s="508"/>
      <c r="T577" s="508"/>
      <c r="U577" s="508"/>
      <c r="V577" s="508"/>
      <c r="W577" s="508"/>
      <c r="X577" s="508"/>
      <c r="Y577" s="508"/>
      <c r="Z577" s="508"/>
    </row>
    <row r="578" ht="13.5" customHeight="1">
      <c r="A578" s="508"/>
      <c r="B578" s="508"/>
      <c r="C578" s="508"/>
      <c r="D578" s="508"/>
      <c r="E578" s="508"/>
      <c r="F578" s="508"/>
      <c r="G578" s="508"/>
      <c r="H578" s="508"/>
      <c r="I578" s="508"/>
      <c r="J578" s="508"/>
      <c r="K578" s="508"/>
      <c r="L578" s="508"/>
      <c r="M578" s="508"/>
      <c r="N578" s="508"/>
      <c r="O578" s="508"/>
      <c r="P578" s="508"/>
      <c r="Q578" s="508"/>
      <c r="R578" s="508"/>
      <c r="S578" s="508"/>
      <c r="T578" s="508"/>
      <c r="U578" s="508"/>
      <c r="V578" s="508"/>
      <c r="W578" s="508"/>
      <c r="X578" s="508"/>
      <c r="Y578" s="508"/>
      <c r="Z578" s="508"/>
    </row>
    <row r="579" ht="13.5" customHeight="1">
      <c r="A579" s="508"/>
      <c r="B579" s="508"/>
      <c r="C579" s="508"/>
      <c r="D579" s="508"/>
      <c r="E579" s="508"/>
      <c r="F579" s="508"/>
      <c r="G579" s="508"/>
      <c r="H579" s="508"/>
      <c r="I579" s="508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508"/>
      <c r="Y579" s="508"/>
      <c r="Z579" s="508"/>
    </row>
    <row r="580" ht="13.5" customHeight="1">
      <c r="A580" s="508"/>
      <c r="B580" s="508"/>
      <c r="C580" s="508"/>
      <c r="D580" s="508"/>
      <c r="E580" s="508"/>
      <c r="F580" s="508"/>
      <c r="G580" s="508"/>
      <c r="H580" s="508"/>
      <c r="I580" s="508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508"/>
      <c r="Y580" s="508"/>
      <c r="Z580" s="508"/>
    </row>
    <row r="581" ht="13.5" customHeight="1">
      <c r="A581" s="508"/>
      <c r="B581" s="508"/>
      <c r="C581" s="508"/>
      <c r="D581" s="508"/>
      <c r="E581" s="508"/>
      <c r="F581" s="508"/>
      <c r="G581" s="508"/>
      <c r="H581" s="508"/>
      <c r="I581" s="508"/>
      <c r="J581" s="508"/>
      <c r="K581" s="508"/>
      <c r="L581" s="508"/>
      <c r="M581" s="508"/>
      <c r="N581" s="508"/>
      <c r="O581" s="508"/>
      <c r="P581" s="508"/>
      <c r="Q581" s="508"/>
      <c r="R581" s="508"/>
      <c r="S581" s="508"/>
      <c r="T581" s="508"/>
      <c r="U581" s="508"/>
      <c r="V581" s="508"/>
      <c r="W581" s="508"/>
      <c r="X581" s="508"/>
      <c r="Y581" s="508"/>
      <c r="Z581" s="508"/>
    </row>
    <row r="582" ht="13.5" customHeight="1">
      <c r="A582" s="508"/>
      <c r="B582" s="508"/>
      <c r="C582" s="508"/>
      <c r="D582" s="508"/>
      <c r="E582" s="508"/>
      <c r="F582" s="508"/>
      <c r="G582" s="508"/>
      <c r="H582" s="508"/>
      <c r="I582" s="508"/>
      <c r="J582" s="508"/>
      <c r="K582" s="508"/>
      <c r="L582" s="508"/>
      <c r="M582" s="508"/>
      <c r="N582" s="508"/>
      <c r="O582" s="508"/>
      <c r="P582" s="508"/>
      <c r="Q582" s="508"/>
      <c r="R582" s="508"/>
      <c r="S582" s="508"/>
      <c r="T582" s="508"/>
      <c r="U582" s="508"/>
      <c r="V582" s="508"/>
      <c r="W582" s="508"/>
      <c r="X582" s="508"/>
      <c r="Y582" s="508"/>
      <c r="Z582" s="508"/>
    </row>
    <row r="583" ht="13.5" customHeight="1">
      <c r="A583" s="508"/>
      <c r="B583" s="508"/>
      <c r="C583" s="508"/>
      <c r="D583" s="508"/>
      <c r="E583" s="508"/>
      <c r="F583" s="508"/>
      <c r="G583" s="508"/>
      <c r="H583" s="508"/>
      <c r="I583" s="508"/>
      <c r="J583" s="508"/>
      <c r="K583" s="508"/>
      <c r="L583" s="508"/>
      <c r="M583" s="508"/>
      <c r="N583" s="508"/>
      <c r="O583" s="508"/>
      <c r="P583" s="508"/>
      <c r="Q583" s="508"/>
      <c r="R583" s="508"/>
      <c r="S583" s="508"/>
      <c r="T583" s="508"/>
      <c r="U583" s="508"/>
      <c r="V583" s="508"/>
      <c r="W583" s="508"/>
      <c r="X583" s="508"/>
      <c r="Y583" s="508"/>
      <c r="Z583" s="508"/>
    </row>
    <row r="584" ht="13.5" customHeight="1">
      <c r="A584" s="508"/>
      <c r="B584" s="508"/>
      <c r="C584" s="508"/>
      <c r="D584" s="508"/>
      <c r="E584" s="508"/>
      <c r="F584" s="508"/>
      <c r="G584" s="508"/>
      <c r="H584" s="508"/>
      <c r="I584" s="508"/>
      <c r="J584" s="508"/>
      <c r="K584" s="508"/>
      <c r="L584" s="508"/>
      <c r="M584" s="508"/>
      <c r="N584" s="508"/>
      <c r="O584" s="508"/>
      <c r="P584" s="508"/>
      <c r="Q584" s="508"/>
      <c r="R584" s="508"/>
      <c r="S584" s="508"/>
      <c r="T584" s="508"/>
      <c r="U584" s="508"/>
      <c r="V584" s="508"/>
      <c r="W584" s="508"/>
      <c r="X584" s="508"/>
      <c r="Y584" s="508"/>
      <c r="Z584" s="508"/>
    </row>
    <row r="585" ht="13.5" customHeight="1">
      <c r="A585" s="508"/>
      <c r="B585" s="508"/>
      <c r="C585" s="508"/>
      <c r="D585" s="508"/>
      <c r="E585" s="508"/>
      <c r="F585" s="508"/>
      <c r="G585" s="508"/>
      <c r="H585" s="508"/>
      <c r="I585" s="508"/>
      <c r="J585" s="508"/>
      <c r="K585" s="508"/>
      <c r="L585" s="508"/>
      <c r="M585" s="508"/>
      <c r="N585" s="508"/>
      <c r="O585" s="508"/>
      <c r="P585" s="508"/>
      <c r="Q585" s="508"/>
      <c r="R585" s="508"/>
      <c r="S585" s="508"/>
      <c r="T585" s="508"/>
      <c r="U585" s="508"/>
      <c r="V585" s="508"/>
      <c r="W585" s="508"/>
      <c r="X585" s="508"/>
      <c r="Y585" s="508"/>
      <c r="Z585" s="508"/>
    </row>
    <row r="586" ht="13.5" customHeight="1">
      <c r="A586" s="508"/>
      <c r="B586" s="508"/>
      <c r="C586" s="508"/>
      <c r="D586" s="508"/>
      <c r="E586" s="508"/>
      <c r="F586" s="508"/>
      <c r="G586" s="508"/>
      <c r="H586" s="508"/>
      <c r="I586" s="508"/>
      <c r="J586" s="508"/>
      <c r="K586" s="508"/>
      <c r="L586" s="508"/>
      <c r="M586" s="508"/>
      <c r="N586" s="508"/>
      <c r="O586" s="508"/>
      <c r="P586" s="508"/>
      <c r="Q586" s="508"/>
      <c r="R586" s="508"/>
      <c r="S586" s="508"/>
      <c r="T586" s="508"/>
      <c r="U586" s="508"/>
      <c r="V586" s="508"/>
      <c r="W586" s="508"/>
      <c r="X586" s="508"/>
      <c r="Y586" s="508"/>
      <c r="Z586" s="508"/>
    </row>
    <row r="587" ht="13.5" customHeight="1">
      <c r="A587" s="508"/>
      <c r="B587" s="508"/>
      <c r="C587" s="508"/>
      <c r="D587" s="508"/>
      <c r="E587" s="508"/>
      <c r="F587" s="508"/>
      <c r="G587" s="508"/>
      <c r="H587" s="508"/>
      <c r="I587" s="508"/>
      <c r="J587" s="508"/>
      <c r="K587" s="508"/>
      <c r="L587" s="508"/>
      <c r="M587" s="508"/>
      <c r="N587" s="508"/>
      <c r="O587" s="508"/>
      <c r="P587" s="508"/>
      <c r="Q587" s="508"/>
      <c r="R587" s="508"/>
      <c r="S587" s="508"/>
      <c r="T587" s="508"/>
      <c r="U587" s="508"/>
      <c r="V587" s="508"/>
      <c r="W587" s="508"/>
      <c r="X587" s="508"/>
      <c r="Y587" s="508"/>
      <c r="Z587" s="508"/>
    </row>
    <row r="588" ht="13.5" customHeight="1">
      <c r="A588" s="508"/>
      <c r="B588" s="508"/>
      <c r="C588" s="508"/>
      <c r="D588" s="508"/>
      <c r="E588" s="508"/>
      <c r="F588" s="508"/>
      <c r="G588" s="508"/>
      <c r="H588" s="508"/>
      <c r="I588" s="508"/>
      <c r="J588" s="508"/>
      <c r="K588" s="508"/>
      <c r="L588" s="508"/>
      <c r="M588" s="508"/>
      <c r="N588" s="508"/>
      <c r="O588" s="508"/>
      <c r="P588" s="508"/>
      <c r="Q588" s="508"/>
      <c r="R588" s="508"/>
      <c r="S588" s="508"/>
      <c r="T588" s="508"/>
      <c r="U588" s="508"/>
      <c r="V588" s="508"/>
      <c r="W588" s="508"/>
      <c r="X588" s="508"/>
      <c r="Y588" s="508"/>
      <c r="Z588" s="508"/>
    </row>
    <row r="589" ht="13.5" customHeight="1">
      <c r="A589" s="508"/>
      <c r="B589" s="508"/>
      <c r="C589" s="508"/>
      <c r="D589" s="508"/>
      <c r="E589" s="508"/>
      <c r="F589" s="508"/>
      <c r="G589" s="508"/>
      <c r="H589" s="508"/>
      <c r="I589" s="508"/>
      <c r="J589" s="508"/>
      <c r="K589" s="508"/>
      <c r="L589" s="508"/>
      <c r="M589" s="508"/>
      <c r="N589" s="508"/>
      <c r="O589" s="508"/>
      <c r="P589" s="508"/>
      <c r="Q589" s="508"/>
      <c r="R589" s="508"/>
      <c r="S589" s="508"/>
      <c r="T589" s="508"/>
      <c r="U589" s="508"/>
      <c r="V589" s="508"/>
      <c r="W589" s="508"/>
      <c r="X589" s="508"/>
      <c r="Y589" s="508"/>
      <c r="Z589" s="508"/>
    </row>
    <row r="590" ht="13.5" customHeight="1">
      <c r="A590" s="508"/>
      <c r="B590" s="508"/>
      <c r="C590" s="508"/>
      <c r="D590" s="508"/>
      <c r="E590" s="508"/>
      <c r="F590" s="508"/>
      <c r="G590" s="508"/>
      <c r="H590" s="508"/>
      <c r="I590" s="508"/>
      <c r="J590" s="508"/>
      <c r="K590" s="508"/>
      <c r="L590" s="508"/>
      <c r="M590" s="508"/>
      <c r="N590" s="508"/>
      <c r="O590" s="508"/>
      <c r="P590" s="508"/>
      <c r="Q590" s="508"/>
      <c r="R590" s="508"/>
      <c r="S590" s="508"/>
      <c r="T590" s="508"/>
      <c r="U590" s="508"/>
      <c r="V590" s="508"/>
      <c r="W590" s="508"/>
      <c r="X590" s="508"/>
      <c r="Y590" s="508"/>
      <c r="Z590" s="508"/>
    </row>
    <row r="591" ht="13.5" customHeight="1">
      <c r="A591" s="508"/>
      <c r="B591" s="508"/>
      <c r="C591" s="508"/>
      <c r="D591" s="508"/>
      <c r="E591" s="508"/>
      <c r="F591" s="508"/>
      <c r="G591" s="508"/>
      <c r="H591" s="508"/>
      <c r="I591" s="508"/>
      <c r="J591" s="508"/>
      <c r="K591" s="508"/>
      <c r="L591" s="508"/>
      <c r="M591" s="508"/>
      <c r="N591" s="508"/>
      <c r="O591" s="508"/>
      <c r="P591" s="508"/>
      <c r="Q591" s="508"/>
      <c r="R591" s="508"/>
      <c r="S591" s="508"/>
      <c r="T591" s="508"/>
      <c r="U591" s="508"/>
      <c r="V591" s="508"/>
      <c r="W591" s="508"/>
      <c r="X591" s="508"/>
      <c r="Y591" s="508"/>
      <c r="Z591" s="508"/>
    </row>
    <row r="592" ht="13.5" customHeight="1">
      <c r="A592" s="508"/>
      <c r="B592" s="508"/>
      <c r="C592" s="508"/>
      <c r="D592" s="508"/>
      <c r="E592" s="508"/>
      <c r="F592" s="508"/>
      <c r="G592" s="508"/>
      <c r="H592" s="508"/>
      <c r="I592" s="508"/>
      <c r="J592" s="508"/>
      <c r="K592" s="508"/>
      <c r="L592" s="508"/>
      <c r="M592" s="508"/>
      <c r="N592" s="508"/>
      <c r="O592" s="508"/>
      <c r="P592" s="508"/>
      <c r="Q592" s="508"/>
      <c r="R592" s="508"/>
      <c r="S592" s="508"/>
      <c r="T592" s="508"/>
      <c r="U592" s="508"/>
      <c r="V592" s="508"/>
      <c r="W592" s="508"/>
      <c r="X592" s="508"/>
      <c r="Y592" s="508"/>
      <c r="Z592" s="508"/>
    </row>
    <row r="593" ht="13.5" customHeight="1">
      <c r="A593" s="508"/>
      <c r="B593" s="508"/>
      <c r="C593" s="508"/>
      <c r="D593" s="508"/>
      <c r="E593" s="508"/>
      <c r="F593" s="508"/>
      <c r="G593" s="508"/>
      <c r="H593" s="508"/>
      <c r="I593" s="508"/>
      <c r="J593" s="508"/>
      <c r="K593" s="508"/>
      <c r="L593" s="508"/>
      <c r="M593" s="508"/>
      <c r="N593" s="508"/>
      <c r="O593" s="508"/>
      <c r="P593" s="508"/>
      <c r="Q593" s="508"/>
      <c r="R593" s="508"/>
      <c r="S593" s="508"/>
      <c r="T593" s="508"/>
      <c r="U593" s="508"/>
      <c r="V593" s="508"/>
      <c r="W593" s="508"/>
      <c r="X593" s="508"/>
      <c r="Y593" s="508"/>
      <c r="Z593" s="508"/>
    </row>
    <row r="594" ht="13.5" customHeight="1">
      <c r="A594" s="508"/>
      <c r="B594" s="508"/>
      <c r="C594" s="508"/>
      <c r="D594" s="508"/>
      <c r="E594" s="508"/>
      <c r="F594" s="508"/>
      <c r="G594" s="508"/>
      <c r="H594" s="508"/>
      <c r="I594" s="508"/>
      <c r="J594" s="508"/>
      <c r="K594" s="508"/>
      <c r="L594" s="508"/>
      <c r="M594" s="508"/>
      <c r="N594" s="508"/>
      <c r="O594" s="508"/>
      <c r="P594" s="508"/>
      <c r="Q594" s="508"/>
      <c r="R594" s="508"/>
      <c r="S594" s="508"/>
      <c r="T594" s="508"/>
      <c r="U594" s="508"/>
      <c r="V594" s="508"/>
      <c r="W594" s="508"/>
      <c r="X594" s="508"/>
      <c r="Y594" s="508"/>
      <c r="Z594" s="508"/>
    </row>
    <row r="595" ht="13.5" customHeight="1">
      <c r="A595" s="508"/>
      <c r="B595" s="508"/>
      <c r="C595" s="508"/>
      <c r="D595" s="508"/>
      <c r="E595" s="508"/>
      <c r="F595" s="508"/>
      <c r="G595" s="508"/>
      <c r="H595" s="508"/>
      <c r="I595" s="508"/>
      <c r="J595" s="508"/>
      <c r="K595" s="508"/>
      <c r="L595" s="508"/>
      <c r="M595" s="508"/>
      <c r="N595" s="508"/>
      <c r="O595" s="508"/>
      <c r="P595" s="508"/>
      <c r="Q595" s="508"/>
      <c r="R595" s="508"/>
      <c r="S595" s="508"/>
      <c r="T595" s="508"/>
      <c r="U595" s="508"/>
      <c r="V595" s="508"/>
      <c r="W595" s="508"/>
      <c r="X595" s="508"/>
      <c r="Y595" s="508"/>
      <c r="Z595" s="508"/>
    </row>
    <row r="596" ht="13.5" customHeight="1">
      <c r="A596" s="508"/>
      <c r="B596" s="508"/>
      <c r="C596" s="508"/>
      <c r="D596" s="508"/>
      <c r="E596" s="508"/>
      <c r="F596" s="508"/>
      <c r="G596" s="508"/>
      <c r="H596" s="508"/>
      <c r="I596" s="508"/>
      <c r="J596" s="508"/>
      <c r="K596" s="508"/>
      <c r="L596" s="508"/>
      <c r="M596" s="508"/>
      <c r="N596" s="508"/>
      <c r="O596" s="508"/>
      <c r="P596" s="508"/>
      <c r="Q596" s="508"/>
      <c r="R596" s="508"/>
      <c r="S596" s="508"/>
      <c r="T596" s="508"/>
      <c r="U596" s="508"/>
      <c r="V596" s="508"/>
      <c r="W596" s="508"/>
      <c r="X596" s="508"/>
      <c r="Y596" s="508"/>
      <c r="Z596" s="508"/>
    </row>
    <row r="597" ht="13.5" customHeight="1">
      <c r="A597" s="508"/>
      <c r="B597" s="508"/>
      <c r="C597" s="508"/>
      <c r="D597" s="508"/>
      <c r="E597" s="508"/>
      <c r="F597" s="508"/>
      <c r="G597" s="508"/>
      <c r="H597" s="508"/>
      <c r="I597" s="508"/>
      <c r="J597" s="508"/>
      <c r="K597" s="508"/>
      <c r="L597" s="508"/>
      <c r="M597" s="508"/>
      <c r="N597" s="508"/>
      <c r="O597" s="508"/>
      <c r="P597" s="508"/>
      <c r="Q597" s="508"/>
      <c r="R597" s="508"/>
      <c r="S597" s="508"/>
      <c r="T597" s="508"/>
      <c r="U597" s="508"/>
      <c r="V597" s="508"/>
      <c r="W597" s="508"/>
      <c r="X597" s="508"/>
      <c r="Y597" s="508"/>
      <c r="Z597" s="508"/>
    </row>
    <row r="598" ht="13.5" customHeight="1">
      <c r="A598" s="508"/>
      <c r="B598" s="508"/>
      <c r="C598" s="508"/>
      <c r="D598" s="508"/>
      <c r="E598" s="508"/>
      <c r="F598" s="508"/>
      <c r="G598" s="508"/>
      <c r="H598" s="508"/>
      <c r="I598" s="508"/>
      <c r="J598" s="508"/>
      <c r="K598" s="508"/>
      <c r="L598" s="508"/>
      <c r="M598" s="508"/>
      <c r="N598" s="508"/>
      <c r="O598" s="508"/>
      <c r="P598" s="508"/>
      <c r="Q598" s="508"/>
      <c r="R598" s="508"/>
      <c r="S598" s="508"/>
      <c r="T598" s="508"/>
      <c r="U598" s="508"/>
      <c r="V598" s="508"/>
      <c r="W598" s="508"/>
      <c r="X598" s="508"/>
      <c r="Y598" s="508"/>
      <c r="Z598" s="508"/>
    </row>
    <row r="599" ht="13.5" customHeight="1">
      <c r="A599" s="508"/>
      <c r="B599" s="508"/>
      <c r="C599" s="508"/>
      <c r="D599" s="508"/>
      <c r="E599" s="508"/>
      <c r="F599" s="508"/>
      <c r="G599" s="508"/>
      <c r="H599" s="508"/>
      <c r="I599" s="508"/>
      <c r="J599" s="508"/>
      <c r="K599" s="508"/>
      <c r="L599" s="508"/>
      <c r="M599" s="508"/>
      <c r="N599" s="508"/>
      <c r="O599" s="508"/>
      <c r="P599" s="508"/>
      <c r="Q599" s="508"/>
      <c r="R599" s="508"/>
      <c r="S599" s="508"/>
      <c r="T599" s="508"/>
      <c r="U599" s="508"/>
      <c r="V599" s="508"/>
      <c r="W599" s="508"/>
      <c r="X599" s="508"/>
      <c r="Y599" s="508"/>
      <c r="Z599" s="508"/>
    </row>
    <row r="600" ht="13.5" customHeight="1">
      <c r="A600" s="508"/>
      <c r="B600" s="508"/>
      <c r="C600" s="508"/>
      <c r="D600" s="508"/>
      <c r="E600" s="508"/>
      <c r="F600" s="508"/>
      <c r="G600" s="508"/>
      <c r="H600" s="508"/>
      <c r="I600" s="508"/>
      <c r="J600" s="508"/>
      <c r="K600" s="508"/>
      <c r="L600" s="508"/>
      <c r="M600" s="508"/>
      <c r="N600" s="508"/>
      <c r="O600" s="508"/>
      <c r="P600" s="508"/>
      <c r="Q600" s="508"/>
      <c r="R600" s="508"/>
      <c r="S600" s="508"/>
      <c r="T600" s="508"/>
      <c r="U600" s="508"/>
      <c r="V600" s="508"/>
      <c r="W600" s="508"/>
      <c r="X600" s="508"/>
      <c r="Y600" s="508"/>
      <c r="Z600" s="508"/>
    </row>
    <row r="601" ht="13.5" customHeight="1">
      <c r="A601" s="508"/>
      <c r="B601" s="508"/>
      <c r="C601" s="508"/>
      <c r="D601" s="508"/>
      <c r="E601" s="508"/>
      <c r="F601" s="508"/>
      <c r="G601" s="508"/>
      <c r="H601" s="508"/>
      <c r="I601" s="508"/>
      <c r="J601" s="508"/>
      <c r="K601" s="508"/>
      <c r="L601" s="508"/>
      <c r="M601" s="508"/>
      <c r="N601" s="508"/>
      <c r="O601" s="508"/>
      <c r="P601" s="508"/>
      <c r="Q601" s="508"/>
      <c r="R601" s="508"/>
      <c r="S601" s="508"/>
      <c r="T601" s="508"/>
      <c r="U601" s="508"/>
      <c r="V601" s="508"/>
      <c r="W601" s="508"/>
      <c r="X601" s="508"/>
      <c r="Y601" s="508"/>
      <c r="Z601" s="508"/>
    </row>
    <row r="602" ht="13.5" customHeight="1">
      <c r="A602" s="508"/>
      <c r="B602" s="508"/>
      <c r="C602" s="508"/>
      <c r="D602" s="508"/>
      <c r="E602" s="508"/>
      <c r="F602" s="508"/>
      <c r="G602" s="508"/>
      <c r="H602" s="508"/>
      <c r="I602" s="508"/>
      <c r="J602" s="508"/>
      <c r="K602" s="508"/>
      <c r="L602" s="508"/>
      <c r="M602" s="508"/>
      <c r="N602" s="508"/>
      <c r="O602" s="508"/>
      <c r="P602" s="508"/>
      <c r="Q602" s="508"/>
      <c r="R602" s="508"/>
      <c r="S602" s="508"/>
      <c r="T602" s="508"/>
      <c r="U602" s="508"/>
      <c r="V602" s="508"/>
      <c r="W602" s="508"/>
      <c r="X602" s="508"/>
      <c r="Y602" s="508"/>
      <c r="Z602" s="508"/>
    </row>
    <row r="603" ht="13.5" customHeight="1">
      <c r="A603" s="508"/>
      <c r="B603" s="508"/>
      <c r="C603" s="508"/>
      <c r="D603" s="508"/>
      <c r="E603" s="508"/>
      <c r="F603" s="508"/>
      <c r="G603" s="508"/>
      <c r="H603" s="508"/>
      <c r="I603" s="508"/>
      <c r="J603" s="508"/>
      <c r="K603" s="508"/>
      <c r="L603" s="508"/>
      <c r="M603" s="508"/>
      <c r="N603" s="508"/>
      <c r="O603" s="508"/>
      <c r="P603" s="508"/>
      <c r="Q603" s="508"/>
      <c r="R603" s="508"/>
      <c r="S603" s="508"/>
      <c r="T603" s="508"/>
      <c r="U603" s="508"/>
      <c r="V603" s="508"/>
      <c r="W603" s="508"/>
      <c r="X603" s="508"/>
      <c r="Y603" s="508"/>
      <c r="Z603" s="508"/>
    </row>
    <row r="604" ht="13.5" customHeight="1">
      <c r="A604" s="508"/>
      <c r="B604" s="508"/>
      <c r="C604" s="508"/>
      <c r="D604" s="508"/>
      <c r="E604" s="508"/>
      <c r="F604" s="508"/>
      <c r="G604" s="508"/>
      <c r="H604" s="508"/>
      <c r="I604" s="508"/>
      <c r="J604" s="508"/>
      <c r="K604" s="508"/>
      <c r="L604" s="508"/>
      <c r="M604" s="508"/>
      <c r="N604" s="508"/>
      <c r="O604" s="508"/>
      <c r="P604" s="508"/>
      <c r="Q604" s="508"/>
      <c r="R604" s="508"/>
      <c r="S604" s="508"/>
      <c r="T604" s="508"/>
      <c r="U604" s="508"/>
      <c r="V604" s="508"/>
      <c r="W604" s="508"/>
      <c r="X604" s="508"/>
      <c r="Y604" s="508"/>
      <c r="Z604" s="508"/>
    </row>
    <row r="605" ht="13.5" customHeight="1">
      <c r="A605" s="508"/>
      <c r="B605" s="508"/>
      <c r="C605" s="508"/>
      <c r="D605" s="508"/>
      <c r="E605" s="508"/>
      <c r="F605" s="508"/>
      <c r="G605" s="508"/>
      <c r="H605" s="508"/>
      <c r="I605" s="508"/>
      <c r="J605" s="508"/>
      <c r="K605" s="508"/>
      <c r="L605" s="508"/>
      <c r="M605" s="508"/>
      <c r="N605" s="508"/>
      <c r="O605" s="508"/>
      <c r="P605" s="508"/>
      <c r="Q605" s="508"/>
      <c r="R605" s="508"/>
      <c r="S605" s="508"/>
      <c r="T605" s="508"/>
      <c r="U605" s="508"/>
      <c r="V605" s="508"/>
      <c r="W605" s="508"/>
      <c r="X605" s="508"/>
      <c r="Y605" s="508"/>
      <c r="Z605" s="508"/>
    </row>
    <row r="606" ht="13.5" customHeight="1">
      <c r="A606" s="508"/>
      <c r="B606" s="508"/>
      <c r="C606" s="508"/>
      <c r="D606" s="508"/>
      <c r="E606" s="508"/>
      <c r="F606" s="508"/>
      <c r="G606" s="508"/>
      <c r="H606" s="508"/>
      <c r="I606" s="508"/>
      <c r="J606" s="508"/>
      <c r="K606" s="508"/>
      <c r="L606" s="508"/>
      <c r="M606" s="508"/>
      <c r="N606" s="508"/>
      <c r="O606" s="508"/>
      <c r="P606" s="508"/>
      <c r="Q606" s="508"/>
      <c r="R606" s="508"/>
      <c r="S606" s="508"/>
      <c r="T606" s="508"/>
      <c r="U606" s="508"/>
      <c r="V606" s="508"/>
      <c r="W606" s="508"/>
      <c r="X606" s="508"/>
      <c r="Y606" s="508"/>
      <c r="Z606" s="508"/>
    </row>
    <row r="607" ht="13.5" customHeight="1">
      <c r="A607" s="508"/>
      <c r="B607" s="508"/>
      <c r="C607" s="508"/>
      <c r="D607" s="508"/>
      <c r="E607" s="508"/>
      <c r="F607" s="508"/>
      <c r="G607" s="508"/>
      <c r="H607" s="508"/>
      <c r="I607" s="508"/>
      <c r="J607" s="508"/>
      <c r="K607" s="508"/>
      <c r="L607" s="508"/>
      <c r="M607" s="508"/>
      <c r="N607" s="508"/>
      <c r="O607" s="508"/>
      <c r="P607" s="508"/>
      <c r="Q607" s="508"/>
      <c r="R607" s="508"/>
      <c r="S607" s="508"/>
      <c r="T607" s="508"/>
      <c r="U607" s="508"/>
      <c r="V607" s="508"/>
      <c r="W607" s="508"/>
      <c r="X607" s="508"/>
      <c r="Y607" s="508"/>
      <c r="Z607" s="508"/>
    </row>
    <row r="608" ht="13.5" customHeight="1">
      <c r="A608" s="508"/>
      <c r="B608" s="508"/>
      <c r="C608" s="508"/>
      <c r="D608" s="508"/>
      <c r="E608" s="508"/>
      <c r="F608" s="508"/>
      <c r="G608" s="508"/>
      <c r="H608" s="508"/>
      <c r="I608" s="508"/>
      <c r="J608" s="508"/>
      <c r="K608" s="508"/>
      <c r="L608" s="508"/>
      <c r="M608" s="508"/>
      <c r="N608" s="508"/>
      <c r="O608" s="508"/>
      <c r="P608" s="508"/>
      <c r="Q608" s="508"/>
      <c r="R608" s="508"/>
      <c r="S608" s="508"/>
      <c r="T608" s="508"/>
      <c r="U608" s="508"/>
      <c r="V608" s="508"/>
      <c r="W608" s="508"/>
      <c r="X608" s="508"/>
      <c r="Y608" s="508"/>
      <c r="Z608" s="508"/>
    </row>
    <row r="609" ht="13.5" customHeight="1">
      <c r="A609" s="508"/>
      <c r="B609" s="508"/>
      <c r="C609" s="508"/>
      <c r="D609" s="508"/>
      <c r="E609" s="508"/>
      <c r="F609" s="508"/>
      <c r="G609" s="508"/>
      <c r="H609" s="508"/>
      <c r="I609" s="508"/>
      <c r="J609" s="508"/>
      <c r="K609" s="508"/>
      <c r="L609" s="508"/>
      <c r="M609" s="508"/>
      <c r="N609" s="508"/>
      <c r="O609" s="508"/>
      <c r="P609" s="508"/>
      <c r="Q609" s="508"/>
      <c r="R609" s="508"/>
      <c r="S609" s="508"/>
      <c r="T609" s="508"/>
      <c r="U609" s="508"/>
      <c r="V609" s="508"/>
      <c r="W609" s="508"/>
      <c r="X609" s="508"/>
      <c r="Y609" s="508"/>
      <c r="Z609" s="508"/>
    </row>
    <row r="610" ht="13.5" customHeight="1">
      <c r="A610" s="508"/>
      <c r="B610" s="508"/>
      <c r="C610" s="508"/>
      <c r="D610" s="508"/>
      <c r="E610" s="508"/>
      <c r="F610" s="508"/>
      <c r="G610" s="508"/>
      <c r="H610" s="508"/>
      <c r="I610" s="508"/>
      <c r="J610" s="508"/>
      <c r="K610" s="508"/>
      <c r="L610" s="508"/>
      <c r="M610" s="508"/>
      <c r="N610" s="508"/>
      <c r="O610" s="508"/>
      <c r="P610" s="508"/>
      <c r="Q610" s="508"/>
      <c r="R610" s="508"/>
      <c r="S610" s="508"/>
      <c r="T610" s="508"/>
      <c r="U610" s="508"/>
      <c r="V610" s="508"/>
      <c r="W610" s="508"/>
      <c r="X610" s="508"/>
      <c r="Y610" s="508"/>
      <c r="Z610" s="508"/>
    </row>
    <row r="611" ht="13.5" customHeight="1">
      <c r="A611" s="508"/>
      <c r="B611" s="508"/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8"/>
      <c r="Z611" s="508"/>
    </row>
    <row r="612" ht="13.5" customHeight="1">
      <c r="A612" s="508"/>
      <c r="B612" s="508"/>
      <c r="C612" s="508"/>
      <c r="D612" s="508"/>
      <c r="E612" s="508"/>
      <c r="F612" s="508"/>
      <c r="G612" s="508"/>
      <c r="H612" s="508"/>
      <c r="I612" s="508"/>
      <c r="J612" s="508"/>
      <c r="K612" s="508"/>
      <c r="L612" s="508"/>
      <c r="M612" s="508"/>
      <c r="N612" s="508"/>
      <c r="O612" s="508"/>
      <c r="P612" s="508"/>
      <c r="Q612" s="508"/>
      <c r="R612" s="508"/>
      <c r="S612" s="508"/>
      <c r="T612" s="508"/>
      <c r="U612" s="508"/>
      <c r="V612" s="508"/>
      <c r="W612" s="508"/>
      <c r="X612" s="508"/>
      <c r="Y612" s="508"/>
      <c r="Z612" s="508"/>
    </row>
    <row r="613" ht="13.5" customHeight="1">
      <c r="A613" s="508"/>
      <c r="B613" s="508"/>
      <c r="C613" s="508"/>
      <c r="D613" s="508"/>
      <c r="E613" s="508"/>
      <c r="F613" s="508"/>
      <c r="G613" s="508"/>
      <c r="H613" s="508"/>
      <c r="I613" s="508"/>
      <c r="J613" s="508"/>
      <c r="K613" s="508"/>
      <c r="L613" s="508"/>
      <c r="M613" s="508"/>
      <c r="N613" s="508"/>
      <c r="O613" s="508"/>
      <c r="P613" s="508"/>
      <c r="Q613" s="508"/>
      <c r="R613" s="508"/>
      <c r="S613" s="508"/>
      <c r="T613" s="508"/>
      <c r="U613" s="508"/>
      <c r="V613" s="508"/>
      <c r="W613" s="508"/>
      <c r="X613" s="508"/>
      <c r="Y613" s="508"/>
      <c r="Z613" s="508"/>
    </row>
    <row r="614" ht="13.5" customHeight="1">
      <c r="A614" s="508"/>
      <c r="B614" s="508"/>
      <c r="C614" s="508"/>
      <c r="D614" s="508"/>
      <c r="E614" s="508"/>
      <c r="F614" s="508"/>
      <c r="G614" s="508"/>
      <c r="H614" s="508"/>
      <c r="I614" s="508"/>
      <c r="J614" s="508"/>
      <c r="K614" s="508"/>
      <c r="L614" s="508"/>
      <c r="M614" s="508"/>
      <c r="N614" s="508"/>
      <c r="O614" s="508"/>
      <c r="P614" s="508"/>
      <c r="Q614" s="508"/>
      <c r="R614" s="508"/>
      <c r="S614" s="508"/>
      <c r="T614" s="508"/>
      <c r="U614" s="508"/>
      <c r="V614" s="508"/>
      <c r="W614" s="508"/>
      <c r="X614" s="508"/>
      <c r="Y614" s="508"/>
      <c r="Z614" s="508"/>
    </row>
    <row r="615" ht="13.5" customHeight="1">
      <c r="A615" s="508"/>
      <c r="B615" s="508"/>
      <c r="C615" s="508"/>
      <c r="D615" s="508"/>
      <c r="E615" s="508"/>
      <c r="F615" s="508"/>
      <c r="G615" s="508"/>
      <c r="H615" s="508"/>
      <c r="I615" s="508"/>
      <c r="J615" s="508"/>
      <c r="K615" s="508"/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  <c r="V615" s="508"/>
      <c r="W615" s="508"/>
      <c r="X615" s="508"/>
      <c r="Y615" s="508"/>
      <c r="Z615" s="508"/>
    </row>
    <row r="616" ht="13.5" customHeight="1">
      <c r="A616" s="508"/>
      <c r="B616" s="508"/>
      <c r="C616" s="508"/>
      <c r="D616" s="508"/>
      <c r="E616" s="508"/>
      <c r="F616" s="508"/>
      <c r="G616" s="508"/>
      <c r="H616" s="508"/>
      <c r="I616" s="508"/>
      <c r="J616" s="508"/>
      <c r="K616" s="508"/>
      <c r="L616" s="508"/>
      <c r="M616" s="508"/>
      <c r="N616" s="508"/>
      <c r="O616" s="508"/>
      <c r="P616" s="508"/>
      <c r="Q616" s="508"/>
      <c r="R616" s="508"/>
      <c r="S616" s="508"/>
      <c r="T616" s="508"/>
      <c r="U616" s="508"/>
      <c r="V616" s="508"/>
      <c r="W616" s="508"/>
      <c r="X616" s="508"/>
      <c r="Y616" s="508"/>
      <c r="Z616" s="508"/>
    </row>
    <row r="617" ht="13.5" customHeight="1">
      <c r="A617" s="508"/>
      <c r="B617" s="508"/>
      <c r="C617" s="508"/>
      <c r="D617" s="508"/>
      <c r="E617" s="508"/>
      <c r="F617" s="508"/>
      <c r="G617" s="508"/>
      <c r="H617" s="508"/>
      <c r="I617" s="508"/>
      <c r="J617" s="508"/>
      <c r="K617" s="508"/>
      <c r="L617" s="508"/>
      <c r="M617" s="508"/>
      <c r="N617" s="508"/>
      <c r="O617" s="508"/>
      <c r="P617" s="508"/>
      <c r="Q617" s="508"/>
      <c r="R617" s="508"/>
      <c r="S617" s="508"/>
      <c r="T617" s="508"/>
      <c r="U617" s="508"/>
      <c r="V617" s="508"/>
      <c r="W617" s="508"/>
      <c r="X617" s="508"/>
      <c r="Y617" s="508"/>
      <c r="Z617" s="508"/>
    </row>
    <row r="618" ht="13.5" customHeight="1">
      <c r="A618" s="508"/>
      <c r="B618" s="508"/>
      <c r="C618" s="508"/>
      <c r="D618" s="508"/>
      <c r="E618" s="508"/>
      <c r="F618" s="508"/>
      <c r="G618" s="508"/>
      <c r="H618" s="508"/>
      <c r="I618" s="508"/>
      <c r="J618" s="508"/>
      <c r="K618" s="508"/>
      <c r="L618" s="508"/>
      <c r="M618" s="508"/>
      <c r="N618" s="508"/>
      <c r="O618" s="508"/>
      <c r="P618" s="508"/>
      <c r="Q618" s="508"/>
      <c r="R618" s="508"/>
      <c r="S618" s="508"/>
      <c r="T618" s="508"/>
      <c r="U618" s="508"/>
      <c r="V618" s="508"/>
      <c r="W618" s="508"/>
      <c r="X618" s="508"/>
      <c r="Y618" s="508"/>
      <c r="Z618" s="508"/>
    </row>
    <row r="619" ht="13.5" customHeight="1">
      <c r="A619" s="508"/>
      <c r="B619" s="508"/>
      <c r="C619" s="508"/>
      <c r="D619" s="508"/>
      <c r="E619" s="508"/>
      <c r="F619" s="508"/>
      <c r="G619" s="508"/>
      <c r="H619" s="508"/>
      <c r="I619" s="508"/>
      <c r="J619" s="508"/>
      <c r="K619" s="508"/>
      <c r="L619" s="508"/>
      <c r="M619" s="508"/>
      <c r="N619" s="508"/>
      <c r="O619" s="508"/>
      <c r="P619" s="508"/>
      <c r="Q619" s="508"/>
      <c r="R619" s="508"/>
      <c r="S619" s="508"/>
      <c r="T619" s="508"/>
      <c r="U619" s="508"/>
      <c r="V619" s="508"/>
      <c r="W619" s="508"/>
      <c r="X619" s="508"/>
      <c r="Y619" s="508"/>
      <c r="Z619" s="508"/>
    </row>
    <row r="620" ht="13.5" customHeight="1">
      <c r="A620" s="508"/>
      <c r="B620" s="508"/>
      <c r="C620" s="508"/>
      <c r="D620" s="508"/>
      <c r="E620" s="508"/>
      <c r="F620" s="508"/>
      <c r="G620" s="508"/>
      <c r="H620" s="508"/>
      <c r="I620" s="508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508"/>
      <c r="Y620" s="508"/>
      <c r="Z620" s="508"/>
    </row>
    <row r="621" ht="13.5" customHeight="1">
      <c r="A621" s="508"/>
      <c r="B621" s="508"/>
      <c r="C621" s="508"/>
      <c r="D621" s="508"/>
      <c r="E621" s="508"/>
      <c r="F621" s="508"/>
      <c r="G621" s="508"/>
      <c r="H621" s="508"/>
      <c r="I621" s="508"/>
      <c r="J621" s="508"/>
      <c r="K621" s="508"/>
      <c r="L621" s="508"/>
      <c r="M621" s="508"/>
      <c r="N621" s="508"/>
      <c r="O621" s="508"/>
      <c r="P621" s="508"/>
      <c r="Q621" s="508"/>
      <c r="R621" s="508"/>
      <c r="S621" s="508"/>
      <c r="T621" s="508"/>
      <c r="U621" s="508"/>
      <c r="V621" s="508"/>
      <c r="W621" s="508"/>
      <c r="X621" s="508"/>
      <c r="Y621" s="508"/>
      <c r="Z621" s="508"/>
    </row>
    <row r="622" ht="13.5" customHeight="1">
      <c r="A622" s="508"/>
      <c r="B622" s="508"/>
      <c r="C622" s="508"/>
      <c r="D622" s="508"/>
      <c r="E622" s="508"/>
      <c r="F622" s="508"/>
      <c r="G622" s="508"/>
      <c r="H622" s="508"/>
      <c r="I622" s="508"/>
      <c r="J622" s="508"/>
      <c r="K622" s="508"/>
      <c r="L622" s="508"/>
      <c r="M622" s="508"/>
      <c r="N622" s="508"/>
      <c r="O622" s="508"/>
      <c r="P622" s="508"/>
      <c r="Q622" s="508"/>
      <c r="R622" s="508"/>
      <c r="S622" s="508"/>
      <c r="T622" s="508"/>
      <c r="U622" s="508"/>
      <c r="V622" s="508"/>
      <c r="W622" s="508"/>
      <c r="X622" s="508"/>
      <c r="Y622" s="508"/>
      <c r="Z622" s="508"/>
    </row>
    <row r="623" ht="13.5" customHeight="1">
      <c r="A623" s="508"/>
      <c r="B623" s="508"/>
      <c r="C623" s="508"/>
      <c r="D623" s="508"/>
      <c r="E623" s="508"/>
      <c r="F623" s="508"/>
      <c r="G623" s="508"/>
      <c r="H623" s="508"/>
      <c r="I623" s="508"/>
      <c r="J623" s="508"/>
      <c r="K623" s="508"/>
      <c r="L623" s="508"/>
      <c r="M623" s="508"/>
      <c r="N623" s="508"/>
      <c r="O623" s="508"/>
      <c r="P623" s="508"/>
      <c r="Q623" s="508"/>
      <c r="R623" s="508"/>
      <c r="S623" s="508"/>
      <c r="T623" s="508"/>
      <c r="U623" s="508"/>
      <c r="V623" s="508"/>
      <c r="W623" s="508"/>
      <c r="X623" s="508"/>
      <c r="Y623" s="508"/>
      <c r="Z623" s="508"/>
    </row>
    <row r="624" ht="13.5" customHeight="1">
      <c r="A624" s="508"/>
      <c r="B624" s="508"/>
      <c r="C624" s="508"/>
      <c r="D624" s="508"/>
      <c r="E624" s="508"/>
      <c r="F624" s="508"/>
      <c r="G624" s="508"/>
      <c r="H624" s="508"/>
      <c r="I624" s="508"/>
      <c r="J624" s="508"/>
      <c r="K624" s="508"/>
      <c r="L624" s="508"/>
      <c r="M624" s="508"/>
      <c r="N624" s="508"/>
      <c r="O624" s="508"/>
      <c r="P624" s="508"/>
      <c r="Q624" s="508"/>
      <c r="R624" s="508"/>
      <c r="S624" s="508"/>
      <c r="T624" s="508"/>
      <c r="U624" s="508"/>
      <c r="V624" s="508"/>
      <c r="W624" s="508"/>
      <c r="X624" s="508"/>
      <c r="Y624" s="508"/>
      <c r="Z624" s="508"/>
    </row>
    <row r="625" ht="13.5" customHeight="1">
      <c r="A625" s="508"/>
      <c r="B625" s="508"/>
      <c r="C625" s="508"/>
      <c r="D625" s="508"/>
      <c r="E625" s="508"/>
      <c r="F625" s="508"/>
      <c r="G625" s="508"/>
      <c r="H625" s="508"/>
      <c r="I625" s="508"/>
      <c r="J625" s="508"/>
      <c r="K625" s="508"/>
      <c r="L625" s="508"/>
      <c r="M625" s="508"/>
      <c r="N625" s="508"/>
      <c r="O625" s="508"/>
      <c r="P625" s="508"/>
      <c r="Q625" s="508"/>
      <c r="R625" s="508"/>
      <c r="S625" s="508"/>
      <c r="T625" s="508"/>
      <c r="U625" s="508"/>
      <c r="V625" s="508"/>
      <c r="W625" s="508"/>
      <c r="X625" s="508"/>
      <c r="Y625" s="508"/>
      <c r="Z625" s="508"/>
    </row>
    <row r="626" ht="13.5" customHeight="1">
      <c r="A626" s="508"/>
      <c r="B626" s="508"/>
      <c r="C626" s="508"/>
      <c r="D626" s="508"/>
      <c r="E626" s="508"/>
      <c r="F626" s="508"/>
      <c r="G626" s="508"/>
      <c r="H626" s="508"/>
      <c r="I626" s="508"/>
      <c r="J626" s="508"/>
      <c r="K626" s="508"/>
      <c r="L626" s="508"/>
      <c r="M626" s="508"/>
      <c r="N626" s="508"/>
      <c r="O626" s="508"/>
      <c r="P626" s="508"/>
      <c r="Q626" s="508"/>
      <c r="R626" s="508"/>
      <c r="S626" s="508"/>
      <c r="T626" s="508"/>
      <c r="U626" s="508"/>
      <c r="V626" s="508"/>
      <c r="W626" s="508"/>
      <c r="X626" s="508"/>
      <c r="Y626" s="508"/>
      <c r="Z626" s="508"/>
    </row>
    <row r="627" ht="13.5" customHeight="1">
      <c r="A627" s="508"/>
      <c r="B627" s="508"/>
      <c r="C627" s="508"/>
      <c r="D627" s="508"/>
      <c r="E627" s="508"/>
      <c r="F627" s="508"/>
      <c r="G627" s="508"/>
      <c r="H627" s="508"/>
      <c r="I627" s="508"/>
      <c r="J627" s="508"/>
      <c r="K627" s="508"/>
      <c r="L627" s="508"/>
      <c r="M627" s="508"/>
      <c r="N627" s="508"/>
      <c r="O627" s="508"/>
      <c r="P627" s="508"/>
      <c r="Q627" s="508"/>
      <c r="R627" s="508"/>
      <c r="S627" s="508"/>
      <c r="T627" s="508"/>
      <c r="U627" s="508"/>
      <c r="V627" s="508"/>
      <c r="W627" s="508"/>
      <c r="X627" s="508"/>
      <c r="Y627" s="508"/>
      <c r="Z627" s="508"/>
    </row>
    <row r="628" ht="13.5" customHeight="1">
      <c r="A628" s="508"/>
      <c r="B628" s="508"/>
      <c r="C628" s="508"/>
      <c r="D628" s="508"/>
      <c r="E628" s="508"/>
      <c r="F628" s="508"/>
      <c r="G628" s="508"/>
      <c r="H628" s="508"/>
      <c r="I628" s="508"/>
      <c r="J628" s="508"/>
      <c r="K628" s="508"/>
      <c r="L628" s="508"/>
      <c r="M628" s="508"/>
      <c r="N628" s="508"/>
      <c r="O628" s="508"/>
      <c r="P628" s="508"/>
      <c r="Q628" s="508"/>
      <c r="R628" s="508"/>
      <c r="S628" s="508"/>
      <c r="T628" s="508"/>
      <c r="U628" s="508"/>
      <c r="V628" s="508"/>
      <c r="W628" s="508"/>
      <c r="X628" s="508"/>
      <c r="Y628" s="508"/>
      <c r="Z628" s="508"/>
    </row>
    <row r="629" ht="13.5" customHeight="1">
      <c r="A629" s="508"/>
      <c r="B629" s="508"/>
      <c r="C629" s="508"/>
      <c r="D629" s="508"/>
      <c r="E629" s="508"/>
      <c r="F629" s="508"/>
      <c r="G629" s="508"/>
      <c r="H629" s="508"/>
      <c r="I629" s="508"/>
      <c r="J629" s="508"/>
      <c r="K629" s="508"/>
      <c r="L629" s="508"/>
      <c r="M629" s="508"/>
      <c r="N629" s="508"/>
      <c r="O629" s="508"/>
      <c r="P629" s="508"/>
      <c r="Q629" s="508"/>
      <c r="R629" s="508"/>
      <c r="S629" s="508"/>
      <c r="T629" s="508"/>
      <c r="U629" s="508"/>
      <c r="V629" s="508"/>
      <c r="W629" s="508"/>
      <c r="X629" s="508"/>
      <c r="Y629" s="508"/>
      <c r="Z629" s="508"/>
    </row>
    <row r="630" ht="13.5" customHeight="1">
      <c r="A630" s="508"/>
      <c r="B630" s="508"/>
      <c r="C630" s="508"/>
      <c r="D630" s="508"/>
      <c r="E630" s="508"/>
      <c r="F630" s="508"/>
      <c r="G630" s="508"/>
      <c r="H630" s="508"/>
      <c r="I630" s="508"/>
      <c r="J630" s="508"/>
      <c r="K630" s="508"/>
      <c r="L630" s="508"/>
      <c r="M630" s="508"/>
      <c r="N630" s="508"/>
      <c r="O630" s="508"/>
      <c r="P630" s="508"/>
      <c r="Q630" s="508"/>
      <c r="R630" s="508"/>
      <c r="S630" s="508"/>
      <c r="T630" s="508"/>
      <c r="U630" s="508"/>
      <c r="V630" s="508"/>
      <c r="W630" s="508"/>
      <c r="X630" s="508"/>
      <c r="Y630" s="508"/>
      <c r="Z630" s="508"/>
    </row>
    <row r="631" ht="13.5" customHeight="1">
      <c r="A631" s="508"/>
      <c r="B631" s="508"/>
      <c r="C631" s="508"/>
      <c r="D631" s="508"/>
      <c r="E631" s="508"/>
      <c r="F631" s="508"/>
      <c r="G631" s="508"/>
      <c r="H631" s="508"/>
      <c r="I631" s="508"/>
      <c r="J631" s="508"/>
      <c r="K631" s="508"/>
      <c r="L631" s="508"/>
      <c r="M631" s="508"/>
      <c r="N631" s="508"/>
      <c r="O631" s="508"/>
      <c r="P631" s="508"/>
      <c r="Q631" s="508"/>
      <c r="R631" s="508"/>
      <c r="S631" s="508"/>
      <c r="T631" s="508"/>
      <c r="U631" s="508"/>
      <c r="V631" s="508"/>
      <c r="W631" s="508"/>
      <c r="X631" s="508"/>
      <c r="Y631" s="508"/>
      <c r="Z631" s="508"/>
    </row>
    <row r="632" ht="13.5" customHeight="1">
      <c r="A632" s="508"/>
      <c r="B632" s="508"/>
      <c r="C632" s="508"/>
      <c r="D632" s="508"/>
      <c r="E632" s="508"/>
      <c r="F632" s="508"/>
      <c r="G632" s="508"/>
      <c r="H632" s="508"/>
      <c r="I632" s="508"/>
      <c r="J632" s="508"/>
      <c r="K632" s="508"/>
      <c r="L632" s="508"/>
      <c r="M632" s="508"/>
      <c r="N632" s="508"/>
      <c r="O632" s="508"/>
      <c r="P632" s="508"/>
      <c r="Q632" s="508"/>
      <c r="R632" s="508"/>
      <c r="S632" s="508"/>
      <c r="T632" s="508"/>
      <c r="U632" s="508"/>
      <c r="V632" s="508"/>
      <c r="W632" s="508"/>
      <c r="X632" s="508"/>
      <c r="Y632" s="508"/>
      <c r="Z632" s="508"/>
    </row>
    <row r="633" ht="13.5" customHeight="1">
      <c r="A633" s="508"/>
      <c r="B633" s="508"/>
      <c r="C633" s="508"/>
      <c r="D633" s="508"/>
      <c r="E633" s="508"/>
      <c r="F633" s="508"/>
      <c r="G633" s="508"/>
      <c r="H633" s="508"/>
      <c r="I633" s="508"/>
      <c r="J633" s="508"/>
      <c r="K633" s="508"/>
      <c r="L633" s="508"/>
      <c r="M633" s="508"/>
      <c r="N633" s="508"/>
      <c r="O633" s="508"/>
      <c r="P633" s="508"/>
      <c r="Q633" s="508"/>
      <c r="R633" s="508"/>
      <c r="S633" s="508"/>
      <c r="T633" s="508"/>
      <c r="U633" s="508"/>
      <c r="V633" s="508"/>
      <c r="W633" s="508"/>
      <c r="X633" s="508"/>
      <c r="Y633" s="508"/>
      <c r="Z633" s="508"/>
    </row>
    <row r="634" ht="13.5" customHeight="1">
      <c r="A634" s="508"/>
      <c r="B634" s="508"/>
      <c r="C634" s="508"/>
      <c r="D634" s="508"/>
      <c r="E634" s="508"/>
      <c r="F634" s="508"/>
      <c r="G634" s="508"/>
      <c r="H634" s="508"/>
      <c r="I634" s="508"/>
      <c r="J634" s="508"/>
      <c r="K634" s="508"/>
      <c r="L634" s="508"/>
      <c r="M634" s="508"/>
      <c r="N634" s="508"/>
      <c r="O634" s="508"/>
      <c r="P634" s="508"/>
      <c r="Q634" s="508"/>
      <c r="R634" s="508"/>
      <c r="S634" s="508"/>
      <c r="T634" s="508"/>
      <c r="U634" s="508"/>
      <c r="V634" s="508"/>
      <c r="W634" s="508"/>
      <c r="X634" s="508"/>
      <c r="Y634" s="508"/>
      <c r="Z634" s="508"/>
    </row>
    <row r="635" ht="13.5" customHeight="1">
      <c r="A635" s="508"/>
      <c r="B635" s="508"/>
      <c r="C635" s="508"/>
      <c r="D635" s="508"/>
      <c r="E635" s="508"/>
      <c r="F635" s="508"/>
      <c r="G635" s="508"/>
      <c r="H635" s="508"/>
      <c r="I635" s="508"/>
      <c r="J635" s="508"/>
      <c r="K635" s="508"/>
      <c r="L635" s="508"/>
      <c r="M635" s="508"/>
      <c r="N635" s="508"/>
      <c r="O635" s="508"/>
      <c r="P635" s="508"/>
      <c r="Q635" s="508"/>
      <c r="R635" s="508"/>
      <c r="S635" s="508"/>
      <c r="T635" s="508"/>
      <c r="U635" s="508"/>
      <c r="V635" s="508"/>
      <c r="W635" s="508"/>
      <c r="X635" s="508"/>
      <c r="Y635" s="508"/>
      <c r="Z635" s="508"/>
    </row>
    <row r="636" ht="13.5" customHeight="1">
      <c r="A636" s="508"/>
      <c r="B636" s="508"/>
      <c r="C636" s="508"/>
      <c r="D636" s="508"/>
      <c r="E636" s="508"/>
      <c r="F636" s="508"/>
      <c r="G636" s="508"/>
      <c r="H636" s="508"/>
      <c r="I636" s="508"/>
      <c r="J636" s="508"/>
      <c r="K636" s="508"/>
      <c r="L636" s="508"/>
      <c r="M636" s="508"/>
      <c r="N636" s="508"/>
      <c r="O636" s="508"/>
      <c r="P636" s="508"/>
      <c r="Q636" s="508"/>
      <c r="R636" s="508"/>
      <c r="S636" s="508"/>
      <c r="T636" s="508"/>
      <c r="U636" s="508"/>
      <c r="V636" s="508"/>
      <c r="W636" s="508"/>
      <c r="X636" s="508"/>
      <c r="Y636" s="508"/>
      <c r="Z636" s="508"/>
    </row>
    <row r="637" ht="13.5" customHeight="1">
      <c r="A637" s="508"/>
      <c r="B637" s="508"/>
      <c r="C637" s="508"/>
      <c r="D637" s="508"/>
      <c r="E637" s="508"/>
      <c r="F637" s="508"/>
      <c r="G637" s="508"/>
      <c r="H637" s="508"/>
      <c r="I637" s="508"/>
      <c r="J637" s="508"/>
      <c r="K637" s="508"/>
      <c r="L637" s="508"/>
      <c r="M637" s="508"/>
      <c r="N637" s="508"/>
      <c r="O637" s="508"/>
      <c r="P637" s="508"/>
      <c r="Q637" s="508"/>
      <c r="R637" s="508"/>
      <c r="S637" s="508"/>
      <c r="T637" s="508"/>
      <c r="U637" s="508"/>
      <c r="V637" s="508"/>
      <c r="W637" s="508"/>
      <c r="X637" s="508"/>
      <c r="Y637" s="508"/>
      <c r="Z637" s="508"/>
    </row>
    <row r="638" ht="13.5" customHeight="1">
      <c r="A638" s="508"/>
      <c r="B638" s="508"/>
      <c r="C638" s="508"/>
      <c r="D638" s="508"/>
      <c r="E638" s="508"/>
      <c r="F638" s="508"/>
      <c r="G638" s="508"/>
      <c r="H638" s="508"/>
      <c r="I638" s="508"/>
      <c r="J638" s="508"/>
      <c r="K638" s="508"/>
      <c r="L638" s="508"/>
      <c r="M638" s="508"/>
      <c r="N638" s="508"/>
      <c r="O638" s="508"/>
      <c r="P638" s="508"/>
      <c r="Q638" s="508"/>
      <c r="R638" s="508"/>
      <c r="S638" s="508"/>
      <c r="T638" s="508"/>
      <c r="U638" s="508"/>
      <c r="V638" s="508"/>
      <c r="W638" s="508"/>
      <c r="X638" s="508"/>
      <c r="Y638" s="508"/>
      <c r="Z638" s="508"/>
    </row>
    <row r="639" ht="13.5" customHeight="1">
      <c r="A639" s="508"/>
      <c r="B639" s="508"/>
      <c r="C639" s="508"/>
      <c r="D639" s="508"/>
      <c r="E639" s="508"/>
      <c r="F639" s="508"/>
      <c r="G639" s="508"/>
      <c r="H639" s="508"/>
      <c r="I639" s="508"/>
      <c r="J639" s="508"/>
      <c r="K639" s="508"/>
      <c r="L639" s="508"/>
      <c r="M639" s="508"/>
      <c r="N639" s="508"/>
      <c r="O639" s="508"/>
      <c r="P639" s="508"/>
      <c r="Q639" s="508"/>
      <c r="R639" s="508"/>
      <c r="S639" s="508"/>
      <c r="T639" s="508"/>
      <c r="U639" s="508"/>
      <c r="V639" s="508"/>
      <c r="W639" s="508"/>
      <c r="X639" s="508"/>
      <c r="Y639" s="508"/>
      <c r="Z639" s="508"/>
    </row>
    <row r="640" ht="13.5" customHeight="1">
      <c r="A640" s="508"/>
      <c r="B640" s="508"/>
      <c r="C640" s="508"/>
      <c r="D640" s="508"/>
      <c r="E640" s="508"/>
      <c r="F640" s="508"/>
      <c r="G640" s="508"/>
      <c r="H640" s="508"/>
      <c r="I640" s="508"/>
      <c r="J640" s="508"/>
      <c r="K640" s="508"/>
      <c r="L640" s="508"/>
      <c r="M640" s="508"/>
      <c r="N640" s="508"/>
      <c r="O640" s="508"/>
      <c r="P640" s="508"/>
      <c r="Q640" s="508"/>
      <c r="R640" s="508"/>
      <c r="S640" s="508"/>
      <c r="T640" s="508"/>
      <c r="U640" s="508"/>
      <c r="V640" s="508"/>
      <c r="W640" s="508"/>
      <c r="X640" s="508"/>
      <c r="Y640" s="508"/>
      <c r="Z640" s="508"/>
    </row>
    <row r="641" ht="13.5" customHeight="1">
      <c r="A641" s="508"/>
      <c r="B641" s="508"/>
      <c r="C641" s="508"/>
      <c r="D641" s="508"/>
      <c r="E641" s="508"/>
      <c r="F641" s="508"/>
      <c r="G641" s="508"/>
      <c r="H641" s="508"/>
      <c r="I641" s="508"/>
      <c r="J641" s="508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  <c r="V641" s="508"/>
      <c r="W641" s="508"/>
      <c r="X641" s="508"/>
      <c r="Y641" s="508"/>
      <c r="Z641" s="508"/>
    </row>
    <row r="642" ht="13.5" customHeight="1">
      <c r="A642" s="508"/>
      <c r="B642" s="508"/>
      <c r="C642" s="508"/>
      <c r="D642" s="508"/>
      <c r="E642" s="508"/>
      <c r="F642" s="508"/>
      <c r="G642" s="508"/>
      <c r="H642" s="508"/>
      <c r="I642" s="508"/>
      <c r="J642" s="508"/>
      <c r="K642" s="508"/>
      <c r="L642" s="508"/>
      <c r="M642" s="508"/>
      <c r="N642" s="508"/>
      <c r="O642" s="508"/>
      <c r="P642" s="508"/>
      <c r="Q642" s="508"/>
      <c r="R642" s="508"/>
      <c r="S642" s="508"/>
      <c r="T642" s="508"/>
      <c r="U642" s="508"/>
      <c r="V642" s="508"/>
      <c r="W642" s="508"/>
      <c r="X642" s="508"/>
      <c r="Y642" s="508"/>
      <c r="Z642" s="508"/>
    </row>
    <row r="643" ht="13.5" customHeight="1">
      <c r="A643" s="508"/>
      <c r="B643" s="508"/>
      <c r="C643" s="508"/>
      <c r="D643" s="508"/>
      <c r="E643" s="508"/>
      <c r="F643" s="508"/>
      <c r="G643" s="508"/>
      <c r="H643" s="508"/>
      <c r="I643" s="508"/>
      <c r="J643" s="508"/>
      <c r="K643" s="508"/>
      <c r="L643" s="508"/>
      <c r="M643" s="508"/>
      <c r="N643" s="508"/>
      <c r="O643" s="508"/>
      <c r="P643" s="508"/>
      <c r="Q643" s="508"/>
      <c r="R643" s="508"/>
      <c r="S643" s="508"/>
      <c r="T643" s="508"/>
      <c r="U643" s="508"/>
      <c r="V643" s="508"/>
      <c r="W643" s="508"/>
      <c r="X643" s="508"/>
      <c r="Y643" s="508"/>
      <c r="Z643" s="508"/>
    </row>
    <row r="644" ht="13.5" customHeight="1">
      <c r="A644" s="508"/>
      <c r="B644" s="508"/>
      <c r="C644" s="508"/>
      <c r="D644" s="508"/>
      <c r="E644" s="508"/>
      <c r="F644" s="508"/>
      <c r="G644" s="508"/>
      <c r="H644" s="508"/>
      <c r="I644" s="508"/>
      <c r="J644" s="508"/>
      <c r="K644" s="508"/>
      <c r="L644" s="508"/>
      <c r="M644" s="508"/>
      <c r="N644" s="508"/>
      <c r="O644" s="508"/>
      <c r="P644" s="508"/>
      <c r="Q644" s="508"/>
      <c r="R644" s="508"/>
      <c r="S644" s="508"/>
      <c r="T644" s="508"/>
      <c r="U644" s="508"/>
      <c r="V644" s="508"/>
      <c r="W644" s="508"/>
      <c r="X644" s="508"/>
      <c r="Y644" s="508"/>
      <c r="Z644" s="508"/>
    </row>
    <row r="645" ht="13.5" customHeight="1">
      <c r="A645" s="508"/>
      <c r="B645" s="508"/>
      <c r="C645" s="508"/>
      <c r="D645" s="508"/>
      <c r="E645" s="508"/>
      <c r="F645" s="508"/>
      <c r="G645" s="508"/>
      <c r="H645" s="508"/>
      <c r="I645" s="508"/>
      <c r="J645" s="508"/>
      <c r="K645" s="508"/>
      <c r="L645" s="508"/>
      <c r="M645" s="508"/>
      <c r="N645" s="508"/>
      <c r="O645" s="508"/>
      <c r="P645" s="508"/>
      <c r="Q645" s="508"/>
      <c r="R645" s="508"/>
      <c r="S645" s="508"/>
      <c r="T645" s="508"/>
      <c r="U645" s="508"/>
      <c r="V645" s="508"/>
      <c r="W645" s="508"/>
      <c r="X645" s="508"/>
      <c r="Y645" s="508"/>
      <c r="Z645" s="508"/>
    </row>
    <row r="646" ht="13.5" customHeight="1">
      <c r="A646" s="508"/>
      <c r="B646" s="508"/>
      <c r="C646" s="508"/>
      <c r="D646" s="508"/>
      <c r="E646" s="508"/>
      <c r="F646" s="508"/>
      <c r="G646" s="508"/>
      <c r="H646" s="508"/>
      <c r="I646" s="508"/>
      <c r="J646" s="508"/>
      <c r="K646" s="508"/>
      <c r="L646" s="508"/>
      <c r="M646" s="508"/>
      <c r="N646" s="508"/>
      <c r="O646" s="508"/>
      <c r="P646" s="508"/>
      <c r="Q646" s="508"/>
      <c r="R646" s="508"/>
      <c r="S646" s="508"/>
      <c r="T646" s="508"/>
      <c r="U646" s="508"/>
      <c r="V646" s="508"/>
      <c r="W646" s="508"/>
      <c r="X646" s="508"/>
      <c r="Y646" s="508"/>
      <c r="Z646" s="508"/>
    </row>
    <row r="647" ht="13.5" customHeight="1">
      <c r="A647" s="508"/>
      <c r="B647" s="508"/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8"/>
      <c r="Z647" s="508"/>
    </row>
    <row r="648" ht="13.5" customHeight="1">
      <c r="A648" s="508"/>
      <c r="B648" s="508"/>
      <c r="C648" s="508"/>
      <c r="D648" s="508"/>
      <c r="E648" s="508"/>
      <c r="F648" s="508"/>
      <c r="G648" s="508"/>
      <c r="H648" s="508"/>
      <c r="I648" s="508"/>
      <c r="J648" s="508"/>
      <c r="K648" s="508"/>
      <c r="L648" s="508"/>
      <c r="M648" s="508"/>
      <c r="N648" s="508"/>
      <c r="O648" s="508"/>
      <c r="P648" s="508"/>
      <c r="Q648" s="508"/>
      <c r="R648" s="508"/>
      <c r="S648" s="508"/>
      <c r="T648" s="508"/>
      <c r="U648" s="508"/>
      <c r="V648" s="508"/>
      <c r="W648" s="508"/>
      <c r="X648" s="508"/>
      <c r="Y648" s="508"/>
      <c r="Z648" s="508"/>
    </row>
    <row r="649" ht="13.5" customHeight="1">
      <c r="A649" s="508"/>
      <c r="B649" s="508"/>
      <c r="C649" s="508"/>
      <c r="D649" s="508"/>
      <c r="E649" s="508"/>
      <c r="F649" s="508"/>
      <c r="G649" s="508"/>
      <c r="H649" s="508"/>
      <c r="I649" s="508"/>
      <c r="J649" s="508"/>
      <c r="K649" s="508"/>
      <c r="L649" s="508"/>
      <c r="M649" s="508"/>
      <c r="N649" s="508"/>
      <c r="O649" s="508"/>
      <c r="P649" s="508"/>
      <c r="Q649" s="508"/>
      <c r="R649" s="508"/>
      <c r="S649" s="508"/>
      <c r="T649" s="508"/>
      <c r="U649" s="508"/>
      <c r="V649" s="508"/>
      <c r="W649" s="508"/>
      <c r="X649" s="508"/>
      <c r="Y649" s="508"/>
      <c r="Z649" s="508"/>
    </row>
    <row r="650" ht="13.5" customHeight="1">
      <c r="A650" s="508"/>
      <c r="B650" s="508"/>
      <c r="C650" s="508"/>
      <c r="D650" s="508"/>
      <c r="E650" s="508"/>
      <c r="F650" s="508"/>
      <c r="G650" s="508"/>
      <c r="H650" s="508"/>
      <c r="I650" s="508"/>
      <c r="J650" s="508"/>
      <c r="K650" s="508"/>
      <c r="L650" s="508"/>
      <c r="M650" s="508"/>
      <c r="N650" s="508"/>
      <c r="O650" s="508"/>
      <c r="P650" s="508"/>
      <c r="Q650" s="508"/>
      <c r="R650" s="508"/>
      <c r="S650" s="508"/>
      <c r="T650" s="508"/>
      <c r="U650" s="508"/>
      <c r="V650" s="508"/>
      <c r="W650" s="508"/>
      <c r="X650" s="508"/>
      <c r="Y650" s="508"/>
      <c r="Z650" s="508"/>
    </row>
    <row r="651" ht="13.5" customHeight="1">
      <c r="A651" s="508"/>
      <c r="B651" s="508"/>
      <c r="C651" s="508"/>
      <c r="D651" s="508"/>
      <c r="E651" s="508"/>
      <c r="F651" s="508"/>
      <c r="G651" s="508"/>
      <c r="H651" s="508"/>
      <c r="I651" s="508"/>
      <c r="J651" s="508"/>
      <c r="K651" s="508"/>
      <c r="L651" s="508"/>
      <c r="M651" s="508"/>
      <c r="N651" s="508"/>
      <c r="O651" s="508"/>
      <c r="P651" s="508"/>
      <c r="Q651" s="508"/>
      <c r="R651" s="508"/>
      <c r="S651" s="508"/>
      <c r="T651" s="508"/>
      <c r="U651" s="508"/>
      <c r="V651" s="508"/>
      <c r="W651" s="508"/>
      <c r="X651" s="508"/>
      <c r="Y651" s="508"/>
      <c r="Z651" s="508"/>
    </row>
    <row r="652" ht="13.5" customHeight="1">
      <c r="A652" s="508"/>
      <c r="B652" s="508"/>
      <c r="C652" s="508"/>
      <c r="D652" s="508"/>
      <c r="E652" s="508"/>
      <c r="F652" s="508"/>
      <c r="G652" s="508"/>
      <c r="H652" s="508"/>
      <c r="I652" s="508"/>
      <c r="J652" s="508"/>
      <c r="K652" s="508"/>
      <c r="L652" s="508"/>
      <c r="M652" s="508"/>
      <c r="N652" s="508"/>
      <c r="O652" s="508"/>
      <c r="P652" s="508"/>
      <c r="Q652" s="508"/>
      <c r="R652" s="508"/>
      <c r="S652" s="508"/>
      <c r="T652" s="508"/>
      <c r="U652" s="508"/>
      <c r="V652" s="508"/>
      <c r="W652" s="508"/>
      <c r="X652" s="508"/>
      <c r="Y652" s="508"/>
      <c r="Z652" s="508"/>
    </row>
    <row r="653" ht="13.5" customHeight="1">
      <c r="A653" s="508"/>
      <c r="B653" s="508"/>
      <c r="C653" s="508"/>
      <c r="D653" s="508"/>
      <c r="E653" s="508"/>
      <c r="F653" s="508"/>
      <c r="G653" s="508"/>
      <c r="H653" s="508"/>
      <c r="I653" s="508"/>
      <c r="J653" s="508"/>
      <c r="K653" s="508"/>
      <c r="L653" s="508"/>
      <c r="M653" s="508"/>
      <c r="N653" s="508"/>
      <c r="O653" s="508"/>
      <c r="P653" s="508"/>
      <c r="Q653" s="508"/>
      <c r="R653" s="508"/>
      <c r="S653" s="508"/>
      <c r="T653" s="508"/>
      <c r="U653" s="508"/>
      <c r="V653" s="508"/>
      <c r="W653" s="508"/>
      <c r="X653" s="508"/>
      <c r="Y653" s="508"/>
      <c r="Z653" s="508"/>
    </row>
    <row r="654" ht="13.5" customHeight="1">
      <c r="A654" s="508"/>
      <c r="B654" s="508"/>
      <c r="C654" s="508"/>
      <c r="D654" s="508"/>
      <c r="E654" s="508"/>
      <c r="F654" s="508"/>
      <c r="G654" s="508"/>
      <c r="H654" s="508"/>
      <c r="I654" s="508"/>
      <c r="J654" s="508"/>
      <c r="K654" s="508"/>
      <c r="L654" s="508"/>
      <c r="M654" s="508"/>
      <c r="N654" s="508"/>
      <c r="O654" s="508"/>
      <c r="P654" s="508"/>
      <c r="Q654" s="508"/>
      <c r="R654" s="508"/>
      <c r="S654" s="508"/>
      <c r="T654" s="508"/>
      <c r="U654" s="508"/>
      <c r="V654" s="508"/>
      <c r="W654" s="508"/>
      <c r="X654" s="508"/>
      <c r="Y654" s="508"/>
      <c r="Z654" s="508"/>
    </row>
    <row r="655" ht="13.5" customHeight="1">
      <c r="A655" s="508"/>
      <c r="B655" s="508"/>
      <c r="C655" s="508"/>
      <c r="D655" s="508"/>
      <c r="E655" s="508"/>
      <c r="F655" s="508"/>
      <c r="G655" s="508"/>
      <c r="H655" s="508"/>
      <c r="I655" s="508"/>
      <c r="J655" s="508"/>
      <c r="K655" s="508"/>
      <c r="L655" s="508"/>
      <c r="M655" s="508"/>
      <c r="N655" s="508"/>
      <c r="O655" s="508"/>
      <c r="P655" s="508"/>
      <c r="Q655" s="508"/>
      <c r="R655" s="508"/>
      <c r="S655" s="508"/>
      <c r="T655" s="508"/>
      <c r="U655" s="508"/>
      <c r="V655" s="508"/>
      <c r="W655" s="508"/>
      <c r="X655" s="508"/>
      <c r="Y655" s="508"/>
      <c r="Z655" s="508"/>
    </row>
    <row r="656" ht="13.5" customHeight="1">
      <c r="A656" s="508"/>
      <c r="B656" s="508"/>
      <c r="C656" s="508"/>
      <c r="D656" s="508"/>
      <c r="E656" s="508"/>
      <c r="F656" s="508"/>
      <c r="G656" s="508"/>
      <c r="H656" s="508"/>
      <c r="I656" s="508"/>
      <c r="J656" s="508"/>
      <c r="K656" s="508"/>
      <c r="L656" s="508"/>
      <c r="M656" s="508"/>
      <c r="N656" s="508"/>
      <c r="O656" s="508"/>
      <c r="P656" s="508"/>
      <c r="Q656" s="508"/>
      <c r="R656" s="508"/>
      <c r="S656" s="508"/>
      <c r="T656" s="508"/>
      <c r="U656" s="508"/>
      <c r="V656" s="508"/>
      <c r="W656" s="508"/>
      <c r="X656" s="508"/>
      <c r="Y656" s="508"/>
      <c r="Z656" s="508"/>
    </row>
    <row r="657" ht="13.5" customHeight="1">
      <c r="A657" s="508"/>
      <c r="B657" s="508"/>
      <c r="C657" s="508"/>
      <c r="D657" s="508"/>
      <c r="E657" s="508"/>
      <c r="F657" s="508"/>
      <c r="G657" s="508"/>
      <c r="H657" s="508"/>
      <c r="I657" s="508"/>
      <c r="J657" s="508"/>
      <c r="K657" s="508"/>
      <c r="L657" s="508"/>
      <c r="M657" s="508"/>
      <c r="N657" s="508"/>
      <c r="O657" s="508"/>
      <c r="P657" s="508"/>
      <c r="Q657" s="508"/>
      <c r="R657" s="508"/>
      <c r="S657" s="508"/>
      <c r="T657" s="508"/>
      <c r="U657" s="508"/>
      <c r="V657" s="508"/>
      <c r="W657" s="508"/>
      <c r="X657" s="508"/>
      <c r="Y657" s="508"/>
      <c r="Z657" s="508"/>
    </row>
    <row r="658" ht="13.5" customHeight="1">
      <c r="A658" s="508"/>
      <c r="B658" s="508"/>
      <c r="C658" s="508"/>
      <c r="D658" s="508"/>
      <c r="E658" s="508"/>
      <c r="F658" s="508"/>
      <c r="G658" s="508"/>
      <c r="H658" s="508"/>
      <c r="I658" s="508"/>
      <c r="J658" s="508"/>
      <c r="K658" s="508"/>
      <c r="L658" s="508"/>
      <c r="M658" s="508"/>
      <c r="N658" s="508"/>
      <c r="O658" s="508"/>
      <c r="P658" s="508"/>
      <c r="Q658" s="508"/>
      <c r="R658" s="508"/>
      <c r="S658" s="508"/>
      <c r="T658" s="508"/>
      <c r="U658" s="508"/>
      <c r="V658" s="508"/>
      <c r="W658" s="508"/>
      <c r="X658" s="508"/>
      <c r="Y658" s="508"/>
      <c r="Z658" s="508"/>
    </row>
    <row r="659" ht="13.5" customHeight="1">
      <c r="A659" s="508"/>
      <c r="B659" s="508"/>
      <c r="C659" s="508"/>
      <c r="D659" s="508"/>
      <c r="E659" s="508"/>
      <c r="F659" s="508"/>
      <c r="G659" s="508"/>
      <c r="H659" s="508"/>
      <c r="I659" s="508"/>
      <c r="J659" s="508"/>
      <c r="K659" s="508"/>
      <c r="L659" s="508"/>
      <c r="M659" s="508"/>
      <c r="N659" s="508"/>
      <c r="O659" s="508"/>
      <c r="P659" s="508"/>
      <c r="Q659" s="508"/>
      <c r="R659" s="508"/>
      <c r="S659" s="508"/>
      <c r="T659" s="508"/>
      <c r="U659" s="508"/>
      <c r="V659" s="508"/>
      <c r="W659" s="508"/>
      <c r="X659" s="508"/>
      <c r="Y659" s="508"/>
      <c r="Z659" s="508"/>
    </row>
    <row r="660" ht="13.5" customHeight="1">
      <c r="A660" s="508"/>
      <c r="B660" s="508"/>
      <c r="C660" s="508"/>
      <c r="D660" s="508"/>
      <c r="E660" s="508"/>
      <c r="F660" s="508"/>
      <c r="G660" s="508"/>
      <c r="H660" s="508"/>
      <c r="I660" s="508"/>
      <c r="J660" s="508"/>
      <c r="K660" s="508"/>
      <c r="L660" s="508"/>
      <c r="M660" s="508"/>
      <c r="N660" s="508"/>
      <c r="O660" s="508"/>
      <c r="P660" s="508"/>
      <c r="Q660" s="508"/>
      <c r="R660" s="508"/>
      <c r="S660" s="508"/>
      <c r="T660" s="508"/>
      <c r="U660" s="508"/>
      <c r="V660" s="508"/>
      <c r="W660" s="508"/>
      <c r="X660" s="508"/>
      <c r="Y660" s="508"/>
      <c r="Z660" s="508"/>
    </row>
    <row r="661" ht="13.5" customHeight="1">
      <c r="A661" s="508"/>
      <c r="B661" s="508"/>
      <c r="C661" s="508"/>
      <c r="D661" s="508"/>
      <c r="E661" s="508"/>
      <c r="F661" s="508"/>
      <c r="G661" s="508"/>
      <c r="H661" s="508"/>
      <c r="I661" s="508"/>
      <c r="J661" s="508"/>
      <c r="K661" s="508"/>
      <c r="L661" s="508"/>
      <c r="M661" s="508"/>
      <c r="N661" s="508"/>
      <c r="O661" s="508"/>
      <c r="P661" s="508"/>
      <c r="Q661" s="508"/>
      <c r="R661" s="508"/>
      <c r="S661" s="508"/>
      <c r="T661" s="508"/>
      <c r="U661" s="508"/>
      <c r="V661" s="508"/>
      <c r="W661" s="508"/>
      <c r="X661" s="508"/>
      <c r="Y661" s="508"/>
      <c r="Z661" s="508"/>
    </row>
    <row r="662" ht="13.5" customHeight="1">
      <c r="A662" s="508"/>
      <c r="B662" s="508"/>
      <c r="C662" s="508"/>
      <c r="D662" s="508"/>
      <c r="E662" s="508"/>
      <c r="F662" s="508"/>
      <c r="G662" s="508"/>
      <c r="H662" s="508"/>
      <c r="I662" s="508"/>
      <c r="J662" s="508"/>
      <c r="K662" s="508"/>
      <c r="L662" s="508"/>
      <c r="M662" s="508"/>
      <c r="N662" s="508"/>
      <c r="O662" s="508"/>
      <c r="P662" s="508"/>
      <c r="Q662" s="508"/>
      <c r="R662" s="508"/>
      <c r="S662" s="508"/>
      <c r="T662" s="508"/>
      <c r="U662" s="508"/>
      <c r="V662" s="508"/>
      <c r="W662" s="508"/>
      <c r="X662" s="508"/>
      <c r="Y662" s="508"/>
      <c r="Z662" s="508"/>
    </row>
    <row r="663" ht="13.5" customHeight="1">
      <c r="A663" s="508"/>
      <c r="B663" s="508"/>
      <c r="C663" s="508"/>
      <c r="D663" s="508"/>
      <c r="E663" s="508"/>
      <c r="F663" s="508"/>
      <c r="G663" s="508"/>
      <c r="H663" s="508"/>
      <c r="I663" s="508"/>
      <c r="J663" s="508"/>
      <c r="K663" s="508"/>
      <c r="L663" s="508"/>
      <c r="M663" s="508"/>
      <c r="N663" s="508"/>
      <c r="O663" s="508"/>
      <c r="P663" s="508"/>
      <c r="Q663" s="508"/>
      <c r="R663" s="508"/>
      <c r="S663" s="508"/>
      <c r="T663" s="508"/>
      <c r="U663" s="508"/>
      <c r="V663" s="508"/>
      <c r="W663" s="508"/>
      <c r="X663" s="508"/>
      <c r="Y663" s="508"/>
      <c r="Z663" s="508"/>
    </row>
    <row r="664" ht="13.5" customHeight="1">
      <c r="A664" s="508"/>
      <c r="B664" s="508"/>
      <c r="C664" s="508"/>
      <c r="D664" s="508"/>
      <c r="E664" s="508"/>
      <c r="F664" s="508"/>
      <c r="G664" s="508"/>
      <c r="H664" s="508"/>
      <c r="I664" s="508"/>
      <c r="J664" s="508"/>
      <c r="K664" s="508"/>
      <c r="L664" s="508"/>
      <c r="M664" s="508"/>
      <c r="N664" s="508"/>
      <c r="O664" s="508"/>
      <c r="P664" s="508"/>
      <c r="Q664" s="508"/>
      <c r="R664" s="508"/>
      <c r="S664" s="508"/>
      <c r="T664" s="508"/>
      <c r="U664" s="508"/>
      <c r="V664" s="508"/>
      <c r="W664" s="508"/>
      <c r="X664" s="508"/>
      <c r="Y664" s="508"/>
      <c r="Z664" s="508"/>
    </row>
    <row r="665" ht="13.5" customHeight="1">
      <c r="A665" s="508"/>
      <c r="B665" s="508"/>
      <c r="C665" s="508"/>
      <c r="D665" s="508"/>
      <c r="E665" s="508"/>
      <c r="F665" s="508"/>
      <c r="G665" s="508"/>
      <c r="H665" s="508"/>
      <c r="I665" s="508"/>
      <c r="J665" s="508"/>
      <c r="K665" s="508"/>
      <c r="L665" s="508"/>
      <c r="M665" s="508"/>
      <c r="N665" s="508"/>
      <c r="O665" s="508"/>
      <c r="P665" s="508"/>
      <c r="Q665" s="508"/>
      <c r="R665" s="508"/>
      <c r="S665" s="508"/>
      <c r="T665" s="508"/>
      <c r="U665" s="508"/>
      <c r="V665" s="508"/>
      <c r="W665" s="508"/>
      <c r="X665" s="508"/>
      <c r="Y665" s="508"/>
      <c r="Z665" s="508"/>
    </row>
    <row r="666" ht="13.5" customHeight="1">
      <c r="A666" s="508"/>
      <c r="B666" s="508"/>
      <c r="C666" s="508"/>
      <c r="D666" s="508"/>
      <c r="E666" s="508"/>
      <c r="F666" s="508"/>
      <c r="G666" s="508"/>
      <c r="H666" s="508"/>
      <c r="I666" s="508"/>
      <c r="J666" s="508"/>
      <c r="K666" s="508"/>
      <c r="L666" s="508"/>
      <c r="M666" s="508"/>
      <c r="N666" s="508"/>
      <c r="O666" s="508"/>
      <c r="P666" s="508"/>
      <c r="Q666" s="508"/>
      <c r="R666" s="508"/>
      <c r="S666" s="508"/>
      <c r="T666" s="508"/>
      <c r="U666" s="508"/>
      <c r="V666" s="508"/>
      <c r="W666" s="508"/>
      <c r="X666" s="508"/>
      <c r="Y666" s="508"/>
      <c r="Z666" s="508"/>
    </row>
    <row r="667" ht="13.5" customHeight="1">
      <c r="A667" s="508"/>
      <c r="B667" s="508"/>
      <c r="C667" s="508"/>
      <c r="D667" s="508"/>
      <c r="E667" s="508"/>
      <c r="F667" s="508"/>
      <c r="G667" s="508"/>
      <c r="H667" s="508"/>
      <c r="I667" s="508"/>
      <c r="J667" s="508"/>
      <c r="K667" s="508"/>
      <c r="L667" s="508"/>
      <c r="M667" s="508"/>
      <c r="N667" s="508"/>
      <c r="O667" s="508"/>
      <c r="P667" s="508"/>
      <c r="Q667" s="508"/>
      <c r="R667" s="508"/>
      <c r="S667" s="508"/>
      <c r="T667" s="508"/>
      <c r="U667" s="508"/>
      <c r="V667" s="508"/>
      <c r="W667" s="508"/>
      <c r="X667" s="508"/>
      <c r="Y667" s="508"/>
      <c r="Z667" s="508"/>
    </row>
    <row r="668" ht="13.5" customHeight="1">
      <c r="A668" s="508"/>
      <c r="B668" s="508"/>
      <c r="C668" s="508"/>
      <c r="D668" s="508"/>
      <c r="E668" s="508"/>
      <c r="F668" s="508"/>
      <c r="G668" s="508"/>
      <c r="H668" s="508"/>
      <c r="I668" s="508"/>
      <c r="J668" s="508"/>
      <c r="K668" s="508"/>
      <c r="L668" s="508"/>
      <c r="M668" s="508"/>
      <c r="N668" s="508"/>
      <c r="O668" s="508"/>
      <c r="P668" s="508"/>
      <c r="Q668" s="508"/>
      <c r="R668" s="508"/>
      <c r="S668" s="508"/>
      <c r="T668" s="508"/>
      <c r="U668" s="508"/>
      <c r="V668" s="508"/>
      <c r="W668" s="508"/>
      <c r="X668" s="508"/>
      <c r="Y668" s="508"/>
      <c r="Z668" s="508"/>
    </row>
    <row r="669" ht="13.5" customHeight="1">
      <c r="A669" s="508"/>
      <c r="B669" s="508"/>
      <c r="C669" s="508"/>
      <c r="D669" s="508"/>
      <c r="E669" s="508"/>
      <c r="F669" s="508"/>
      <c r="G669" s="508"/>
      <c r="H669" s="508"/>
      <c r="I669" s="508"/>
      <c r="J669" s="508"/>
      <c r="K669" s="508"/>
      <c r="L669" s="508"/>
      <c r="M669" s="508"/>
      <c r="N669" s="508"/>
      <c r="O669" s="508"/>
      <c r="P669" s="508"/>
      <c r="Q669" s="508"/>
      <c r="R669" s="508"/>
      <c r="S669" s="508"/>
      <c r="T669" s="508"/>
      <c r="U669" s="508"/>
      <c r="V669" s="508"/>
      <c r="W669" s="508"/>
      <c r="X669" s="508"/>
      <c r="Y669" s="508"/>
      <c r="Z669" s="508"/>
    </row>
    <row r="670" ht="13.5" customHeight="1">
      <c r="A670" s="508"/>
      <c r="B670" s="508"/>
      <c r="C670" s="508"/>
      <c r="D670" s="508"/>
      <c r="E670" s="508"/>
      <c r="F670" s="508"/>
      <c r="G670" s="508"/>
      <c r="H670" s="508"/>
      <c r="I670" s="508"/>
      <c r="J670" s="508"/>
      <c r="K670" s="508"/>
      <c r="L670" s="508"/>
      <c r="M670" s="508"/>
      <c r="N670" s="508"/>
      <c r="O670" s="508"/>
      <c r="P670" s="508"/>
      <c r="Q670" s="508"/>
      <c r="R670" s="508"/>
      <c r="S670" s="508"/>
      <c r="T670" s="508"/>
      <c r="U670" s="508"/>
      <c r="V670" s="508"/>
      <c r="W670" s="508"/>
      <c r="X670" s="508"/>
      <c r="Y670" s="508"/>
      <c r="Z670" s="508"/>
    </row>
    <row r="671" ht="13.5" customHeight="1">
      <c r="A671" s="508"/>
      <c r="B671" s="508"/>
      <c r="C671" s="508"/>
      <c r="D671" s="508"/>
      <c r="E671" s="508"/>
      <c r="F671" s="508"/>
      <c r="G671" s="508"/>
      <c r="H671" s="508"/>
      <c r="I671" s="508"/>
      <c r="J671" s="508"/>
      <c r="K671" s="508"/>
      <c r="L671" s="508"/>
      <c r="M671" s="508"/>
      <c r="N671" s="508"/>
      <c r="O671" s="508"/>
      <c r="P671" s="508"/>
      <c r="Q671" s="508"/>
      <c r="R671" s="508"/>
      <c r="S671" s="508"/>
      <c r="T671" s="508"/>
      <c r="U671" s="508"/>
      <c r="V671" s="508"/>
      <c r="W671" s="508"/>
      <c r="X671" s="508"/>
      <c r="Y671" s="508"/>
      <c r="Z671" s="508"/>
    </row>
    <row r="672" ht="13.5" customHeight="1">
      <c r="A672" s="508"/>
      <c r="B672" s="508"/>
      <c r="C672" s="508"/>
      <c r="D672" s="508"/>
      <c r="E672" s="508"/>
      <c r="F672" s="508"/>
      <c r="G672" s="508"/>
      <c r="H672" s="508"/>
      <c r="I672" s="508"/>
      <c r="J672" s="508"/>
      <c r="K672" s="508"/>
      <c r="L672" s="508"/>
      <c r="M672" s="508"/>
      <c r="N672" s="508"/>
      <c r="O672" s="508"/>
      <c r="P672" s="508"/>
      <c r="Q672" s="508"/>
      <c r="R672" s="508"/>
      <c r="S672" s="508"/>
      <c r="T672" s="508"/>
      <c r="U672" s="508"/>
      <c r="V672" s="508"/>
      <c r="W672" s="508"/>
      <c r="X672" s="508"/>
      <c r="Y672" s="508"/>
      <c r="Z672" s="508"/>
    </row>
    <row r="673" ht="13.5" customHeight="1">
      <c r="A673" s="508"/>
      <c r="B673" s="508"/>
      <c r="C673" s="508"/>
      <c r="D673" s="508"/>
      <c r="E673" s="508"/>
      <c r="F673" s="508"/>
      <c r="G673" s="508"/>
      <c r="H673" s="508"/>
      <c r="I673" s="508"/>
      <c r="J673" s="508"/>
      <c r="K673" s="508"/>
      <c r="L673" s="508"/>
      <c r="M673" s="508"/>
      <c r="N673" s="508"/>
      <c r="O673" s="508"/>
      <c r="P673" s="508"/>
      <c r="Q673" s="508"/>
      <c r="R673" s="508"/>
      <c r="S673" s="508"/>
      <c r="T673" s="508"/>
      <c r="U673" s="508"/>
      <c r="V673" s="508"/>
      <c r="W673" s="508"/>
      <c r="X673" s="508"/>
      <c r="Y673" s="508"/>
      <c r="Z673" s="508"/>
    </row>
    <row r="674" ht="13.5" customHeight="1">
      <c r="A674" s="508"/>
      <c r="B674" s="508"/>
      <c r="C674" s="508"/>
      <c r="D674" s="508"/>
      <c r="E674" s="508"/>
      <c r="F674" s="508"/>
      <c r="G674" s="508"/>
      <c r="H674" s="508"/>
      <c r="I674" s="508"/>
      <c r="J674" s="508"/>
      <c r="K674" s="508"/>
      <c r="L674" s="508"/>
      <c r="M674" s="508"/>
      <c r="N674" s="508"/>
      <c r="O674" s="508"/>
      <c r="P674" s="508"/>
      <c r="Q674" s="508"/>
      <c r="R674" s="508"/>
      <c r="S674" s="508"/>
      <c r="T674" s="508"/>
      <c r="U674" s="508"/>
      <c r="V674" s="508"/>
      <c r="W674" s="508"/>
      <c r="X674" s="508"/>
      <c r="Y674" s="508"/>
      <c r="Z674" s="508"/>
    </row>
    <row r="675" ht="13.5" customHeight="1">
      <c r="A675" s="508"/>
      <c r="B675" s="508"/>
      <c r="C675" s="508"/>
      <c r="D675" s="508"/>
      <c r="E675" s="508"/>
      <c r="F675" s="508"/>
      <c r="G675" s="508"/>
      <c r="H675" s="508"/>
      <c r="I675" s="508"/>
      <c r="J675" s="508"/>
      <c r="K675" s="508"/>
      <c r="L675" s="508"/>
      <c r="M675" s="508"/>
      <c r="N675" s="508"/>
      <c r="O675" s="508"/>
      <c r="P675" s="508"/>
      <c r="Q675" s="508"/>
      <c r="R675" s="508"/>
      <c r="S675" s="508"/>
      <c r="T675" s="508"/>
      <c r="U675" s="508"/>
      <c r="V675" s="508"/>
      <c r="W675" s="508"/>
      <c r="X675" s="508"/>
      <c r="Y675" s="508"/>
      <c r="Z675" s="508"/>
    </row>
    <row r="676" ht="13.5" customHeight="1">
      <c r="A676" s="508"/>
      <c r="B676" s="508"/>
      <c r="C676" s="508"/>
      <c r="D676" s="508"/>
      <c r="E676" s="508"/>
      <c r="F676" s="508"/>
      <c r="G676" s="508"/>
      <c r="H676" s="508"/>
      <c r="I676" s="508"/>
      <c r="J676" s="508"/>
      <c r="K676" s="508"/>
      <c r="L676" s="508"/>
      <c r="M676" s="508"/>
      <c r="N676" s="508"/>
      <c r="O676" s="508"/>
      <c r="P676" s="508"/>
      <c r="Q676" s="508"/>
      <c r="R676" s="508"/>
      <c r="S676" s="508"/>
      <c r="T676" s="508"/>
      <c r="U676" s="508"/>
      <c r="V676" s="508"/>
      <c r="W676" s="508"/>
      <c r="X676" s="508"/>
      <c r="Y676" s="508"/>
      <c r="Z676" s="508"/>
    </row>
    <row r="677" ht="13.5" customHeight="1">
      <c r="A677" s="508"/>
      <c r="B677" s="508"/>
      <c r="C677" s="508"/>
      <c r="D677" s="508"/>
      <c r="E677" s="508"/>
      <c r="F677" s="508"/>
      <c r="G677" s="508"/>
      <c r="H677" s="508"/>
      <c r="I677" s="508"/>
      <c r="J677" s="508"/>
      <c r="K677" s="508"/>
      <c r="L677" s="508"/>
      <c r="M677" s="508"/>
      <c r="N677" s="508"/>
      <c r="O677" s="508"/>
      <c r="P677" s="508"/>
      <c r="Q677" s="508"/>
      <c r="R677" s="508"/>
      <c r="S677" s="508"/>
      <c r="T677" s="508"/>
      <c r="U677" s="508"/>
      <c r="V677" s="508"/>
      <c r="W677" s="508"/>
      <c r="X677" s="508"/>
      <c r="Y677" s="508"/>
      <c r="Z677" s="508"/>
    </row>
    <row r="678" ht="13.5" customHeight="1">
      <c r="A678" s="508"/>
      <c r="B678" s="508"/>
      <c r="C678" s="508"/>
      <c r="D678" s="508"/>
      <c r="E678" s="508"/>
      <c r="F678" s="508"/>
      <c r="G678" s="508"/>
      <c r="H678" s="508"/>
      <c r="I678" s="508"/>
      <c r="J678" s="508"/>
      <c r="K678" s="508"/>
      <c r="L678" s="508"/>
      <c r="M678" s="508"/>
      <c r="N678" s="508"/>
      <c r="O678" s="508"/>
      <c r="P678" s="508"/>
      <c r="Q678" s="508"/>
      <c r="R678" s="508"/>
      <c r="S678" s="508"/>
      <c r="T678" s="508"/>
      <c r="U678" s="508"/>
      <c r="V678" s="508"/>
      <c r="W678" s="508"/>
      <c r="X678" s="508"/>
      <c r="Y678" s="508"/>
      <c r="Z678" s="508"/>
    </row>
    <row r="679" ht="13.5" customHeight="1">
      <c r="A679" s="508"/>
      <c r="B679" s="508"/>
      <c r="C679" s="508"/>
      <c r="D679" s="508"/>
      <c r="E679" s="508"/>
      <c r="F679" s="508"/>
      <c r="G679" s="508"/>
      <c r="H679" s="508"/>
      <c r="I679" s="508"/>
      <c r="J679" s="508"/>
      <c r="K679" s="508"/>
      <c r="L679" s="508"/>
      <c r="M679" s="508"/>
      <c r="N679" s="508"/>
      <c r="O679" s="508"/>
      <c r="P679" s="508"/>
      <c r="Q679" s="508"/>
      <c r="R679" s="508"/>
      <c r="S679" s="508"/>
      <c r="T679" s="508"/>
      <c r="U679" s="508"/>
      <c r="V679" s="508"/>
      <c r="W679" s="508"/>
      <c r="X679" s="508"/>
      <c r="Y679" s="508"/>
      <c r="Z679" s="508"/>
    </row>
    <row r="680" ht="13.5" customHeight="1">
      <c r="A680" s="508"/>
      <c r="B680" s="508"/>
      <c r="C680" s="508"/>
      <c r="D680" s="508"/>
      <c r="E680" s="508"/>
      <c r="F680" s="508"/>
      <c r="G680" s="508"/>
      <c r="H680" s="508"/>
      <c r="I680" s="508"/>
      <c r="J680" s="508"/>
      <c r="K680" s="508"/>
      <c r="L680" s="508"/>
      <c r="M680" s="508"/>
      <c r="N680" s="508"/>
      <c r="O680" s="508"/>
      <c r="P680" s="508"/>
      <c r="Q680" s="508"/>
      <c r="R680" s="508"/>
      <c r="S680" s="508"/>
      <c r="T680" s="508"/>
      <c r="U680" s="508"/>
      <c r="V680" s="508"/>
      <c r="W680" s="508"/>
      <c r="X680" s="508"/>
      <c r="Y680" s="508"/>
      <c r="Z680" s="508"/>
    </row>
    <row r="681" ht="13.5" customHeight="1">
      <c r="A681" s="508"/>
      <c r="B681" s="508"/>
      <c r="C681" s="508"/>
      <c r="D681" s="508"/>
      <c r="E681" s="508"/>
      <c r="F681" s="508"/>
      <c r="G681" s="508"/>
      <c r="H681" s="508"/>
      <c r="I681" s="508"/>
      <c r="J681" s="508"/>
      <c r="K681" s="508"/>
      <c r="L681" s="508"/>
      <c r="M681" s="508"/>
      <c r="N681" s="508"/>
      <c r="O681" s="508"/>
      <c r="P681" s="508"/>
      <c r="Q681" s="508"/>
      <c r="R681" s="508"/>
      <c r="S681" s="508"/>
      <c r="T681" s="508"/>
      <c r="U681" s="508"/>
      <c r="V681" s="508"/>
      <c r="W681" s="508"/>
      <c r="X681" s="508"/>
      <c r="Y681" s="508"/>
      <c r="Z681" s="508"/>
    </row>
    <row r="682" ht="13.5" customHeight="1">
      <c r="A682" s="508"/>
      <c r="B682" s="508"/>
      <c r="C682" s="508"/>
      <c r="D682" s="508"/>
      <c r="E682" s="508"/>
      <c r="F682" s="508"/>
      <c r="G682" s="508"/>
      <c r="H682" s="508"/>
      <c r="I682" s="508"/>
      <c r="J682" s="508"/>
      <c r="K682" s="508"/>
      <c r="L682" s="508"/>
      <c r="M682" s="508"/>
      <c r="N682" s="508"/>
      <c r="O682" s="508"/>
      <c r="P682" s="508"/>
      <c r="Q682" s="508"/>
      <c r="R682" s="508"/>
      <c r="S682" s="508"/>
      <c r="T682" s="508"/>
      <c r="U682" s="508"/>
      <c r="V682" s="508"/>
      <c r="W682" s="508"/>
      <c r="X682" s="508"/>
      <c r="Y682" s="508"/>
      <c r="Z682" s="508"/>
    </row>
    <row r="683" ht="13.5" customHeight="1">
      <c r="A683" s="508"/>
      <c r="B683" s="508"/>
      <c r="C683" s="508"/>
      <c r="D683" s="508"/>
      <c r="E683" s="508"/>
      <c r="F683" s="508"/>
      <c r="G683" s="508"/>
      <c r="H683" s="508"/>
      <c r="I683" s="508"/>
      <c r="J683" s="508"/>
      <c r="K683" s="508"/>
      <c r="L683" s="508"/>
      <c r="M683" s="508"/>
      <c r="N683" s="508"/>
      <c r="O683" s="508"/>
      <c r="P683" s="508"/>
      <c r="Q683" s="508"/>
      <c r="R683" s="508"/>
      <c r="S683" s="508"/>
      <c r="T683" s="508"/>
      <c r="U683" s="508"/>
      <c r="V683" s="508"/>
      <c r="W683" s="508"/>
      <c r="X683" s="508"/>
      <c r="Y683" s="508"/>
      <c r="Z683" s="508"/>
    </row>
    <row r="684" ht="13.5" customHeight="1">
      <c r="A684" s="508"/>
      <c r="B684" s="508"/>
      <c r="C684" s="508"/>
      <c r="D684" s="508"/>
      <c r="E684" s="508"/>
      <c r="F684" s="508"/>
      <c r="G684" s="508"/>
      <c r="H684" s="508"/>
      <c r="I684" s="508"/>
      <c r="J684" s="508"/>
      <c r="K684" s="508"/>
      <c r="L684" s="508"/>
      <c r="M684" s="508"/>
      <c r="N684" s="508"/>
      <c r="O684" s="508"/>
      <c r="P684" s="508"/>
      <c r="Q684" s="508"/>
      <c r="R684" s="508"/>
      <c r="S684" s="508"/>
      <c r="T684" s="508"/>
      <c r="U684" s="508"/>
      <c r="V684" s="508"/>
      <c r="W684" s="508"/>
      <c r="X684" s="508"/>
      <c r="Y684" s="508"/>
      <c r="Z684" s="508"/>
    </row>
    <row r="685" ht="13.5" customHeight="1">
      <c r="A685" s="508"/>
      <c r="B685" s="508"/>
      <c r="C685" s="508"/>
      <c r="D685" s="508"/>
      <c r="E685" s="508"/>
      <c r="F685" s="508"/>
      <c r="G685" s="508"/>
      <c r="H685" s="508"/>
      <c r="I685" s="508"/>
      <c r="J685" s="508"/>
      <c r="K685" s="508"/>
      <c r="L685" s="508"/>
      <c r="M685" s="508"/>
      <c r="N685" s="508"/>
      <c r="O685" s="508"/>
      <c r="P685" s="508"/>
      <c r="Q685" s="508"/>
      <c r="R685" s="508"/>
      <c r="S685" s="508"/>
      <c r="T685" s="508"/>
      <c r="U685" s="508"/>
      <c r="V685" s="508"/>
      <c r="W685" s="508"/>
      <c r="X685" s="508"/>
      <c r="Y685" s="508"/>
      <c r="Z685" s="508"/>
    </row>
    <row r="686" ht="13.5" customHeight="1">
      <c r="A686" s="508"/>
      <c r="B686" s="508"/>
      <c r="C686" s="508"/>
      <c r="D686" s="508"/>
      <c r="E686" s="508"/>
      <c r="F686" s="508"/>
      <c r="G686" s="508"/>
      <c r="H686" s="508"/>
      <c r="I686" s="508"/>
      <c r="J686" s="508"/>
      <c r="K686" s="508"/>
      <c r="L686" s="508"/>
      <c r="M686" s="508"/>
      <c r="N686" s="508"/>
      <c r="O686" s="508"/>
      <c r="P686" s="508"/>
      <c r="Q686" s="508"/>
      <c r="R686" s="508"/>
      <c r="S686" s="508"/>
      <c r="T686" s="508"/>
      <c r="U686" s="508"/>
      <c r="V686" s="508"/>
      <c r="W686" s="508"/>
      <c r="X686" s="508"/>
      <c r="Y686" s="508"/>
      <c r="Z686" s="508"/>
    </row>
    <row r="687" ht="13.5" customHeight="1">
      <c r="A687" s="508"/>
      <c r="B687" s="508"/>
      <c r="C687" s="508"/>
      <c r="D687" s="508"/>
      <c r="E687" s="508"/>
      <c r="F687" s="508"/>
      <c r="G687" s="508"/>
      <c r="H687" s="508"/>
      <c r="I687" s="508"/>
      <c r="J687" s="508"/>
      <c r="K687" s="508"/>
      <c r="L687" s="508"/>
      <c r="M687" s="508"/>
      <c r="N687" s="508"/>
      <c r="O687" s="508"/>
      <c r="P687" s="508"/>
      <c r="Q687" s="508"/>
      <c r="R687" s="508"/>
      <c r="S687" s="508"/>
      <c r="T687" s="508"/>
      <c r="U687" s="508"/>
      <c r="V687" s="508"/>
      <c r="W687" s="508"/>
      <c r="X687" s="508"/>
      <c r="Y687" s="508"/>
      <c r="Z687" s="508"/>
    </row>
    <row r="688" ht="13.5" customHeight="1">
      <c r="A688" s="508"/>
      <c r="B688" s="508"/>
      <c r="C688" s="508"/>
      <c r="D688" s="508"/>
      <c r="E688" s="508"/>
      <c r="F688" s="508"/>
      <c r="G688" s="508"/>
      <c r="H688" s="508"/>
      <c r="I688" s="508"/>
      <c r="J688" s="508"/>
      <c r="K688" s="508"/>
      <c r="L688" s="508"/>
      <c r="M688" s="508"/>
      <c r="N688" s="508"/>
      <c r="O688" s="508"/>
      <c r="P688" s="508"/>
      <c r="Q688" s="508"/>
      <c r="R688" s="508"/>
      <c r="S688" s="508"/>
      <c r="T688" s="508"/>
      <c r="U688" s="508"/>
      <c r="V688" s="508"/>
      <c r="W688" s="508"/>
      <c r="X688" s="508"/>
      <c r="Y688" s="508"/>
      <c r="Z688" s="508"/>
    </row>
    <row r="689" ht="13.5" customHeight="1">
      <c r="A689" s="508"/>
      <c r="B689" s="508"/>
      <c r="C689" s="508"/>
      <c r="D689" s="508"/>
      <c r="E689" s="508"/>
      <c r="F689" s="508"/>
      <c r="G689" s="508"/>
      <c r="H689" s="508"/>
      <c r="I689" s="508"/>
      <c r="J689" s="508"/>
      <c r="K689" s="508"/>
      <c r="L689" s="508"/>
      <c r="M689" s="508"/>
      <c r="N689" s="508"/>
      <c r="O689" s="508"/>
      <c r="P689" s="508"/>
      <c r="Q689" s="508"/>
      <c r="R689" s="508"/>
      <c r="S689" s="508"/>
      <c r="T689" s="508"/>
      <c r="U689" s="508"/>
      <c r="V689" s="508"/>
      <c r="W689" s="508"/>
      <c r="X689" s="508"/>
      <c r="Y689" s="508"/>
      <c r="Z689" s="508"/>
    </row>
    <row r="690" ht="13.5" customHeight="1">
      <c r="A690" s="508"/>
      <c r="B690" s="508"/>
      <c r="C690" s="508"/>
      <c r="D690" s="508"/>
      <c r="E690" s="508"/>
      <c r="F690" s="508"/>
      <c r="G690" s="508"/>
      <c r="H690" s="508"/>
      <c r="I690" s="508"/>
      <c r="J690" s="508"/>
      <c r="K690" s="508"/>
      <c r="L690" s="508"/>
      <c r="M690" s="508"/>
      <c r="N690" s="508"/>
      <c r="O690" s="508"/>
      <c r="P690" s="508"/>
      <c r="Q690" s="508"/>
      <c r="R690" s="508"/>
      <c r="S690" s="508"/>
      <c r="T690" s="508"/>
      <c r="U690" s="508"/>
      <c r="V690" s="508"/>
      <c r="W690" s="508"/>
      <c r="X690" s="508"/>
      <c r="Y690" s="508"/>
      <c r="Z690" s="508"/>
    </row>
    <row r="691" ht="13.5" customHeight="1">
      <c r="A691" s="508"/>
      <c r="B691" s="508"/>
      <c r="C691" s="508"/>
      <c r="D691" s="508"/>
      <c r="E691" s="508"/>
      <c r="F691" s="508"/>
      <c r="G691" s="508"/>
      <c r="H691" s="508"/>
      <c r="I691" s="508"/>
      <c r="J691" s="508"/>
      <c r="K691" s="508"/>
      <c r="L691" s="508"/>
      <c r="M691" s="508"/>
      <c r="N691" s="508"/>
      <c r="O691" s="508"/>
      <c r="P691" s="508"/>
      <c r="Q691" s="508"/>
      <c r="R691" s="508"/>
      <c r="S691" s="508"/>
      <c r="T691" s="508"/>
      <c r="U691" s="508"/>
      <c r="V691" s="508"/>
      <c r="W691" s="508"/>
      <c r="X691" s="508"/>
      <c r="Y691" s="508"/>
      <c r="Z691" s="508"/>
    </row>
    <row r="692" ht="13.5" customHeight="1">
      <c r="A692" s="508"/>
      <c r="B692" s="508"/>
      <c r="C692" s="508"/>
      <c r="D692" s="508"/>
      <c r="E692" s="508"/>
      <c r="F692" s="508"/>
      <c r="G692" s="508"/>
      <c r="H692" s="508"/>
      <c r="I692" s="508"/>
      <c r="J692" s="508"/>
      <c r="K692" s="508"/>
      <c r="L692" s="508"/>
      <c r="M692" s="508"/>
      <c r="N692" s="508"/>
      <c r="O692" s="508"/>
      <c r="P692" s="508"/>
      <c r="Q692" s="508"/>
      <c r="R692" s="508"/>
      <c r="S692" s="508"/>
      <c r="T692" s="508"/>
      <c r="U692" s="508"/>
      <c r="V692" s="508"/>
      <c r="W692" s="508"/>
      <c r="X692" s="508"/>
      <c r="Y692" s="508"/>
      <c r="Z692" s="508"/>
    </row>
    <row r="693" ht="13.5" customHeight="1">
      <c r="A693" s="508"/>
      <c r="B693" s="508"/>
      <c r="C693" s="508"/>
      <c r="D693" s="508"/>
      <c r="E693" s="508"/>
      <c r="F693" s="508"/>
      <c r="G693" s="508"/>
      <c r="H693" s="508"/>
      <c r="I693" s="508"/>
      <c r="J693" s="508"/>
      <c r="K693" s="508"/>
      <c r="L693" s="508"/>
      <c r="M693" s="508"/>
      <c r="N693" s="508"/>
      <c r="O693" s="508"/>
      <c r="P693" s="508"/>
      <c r="Q693" s="508"/>
      <c r="R693" s="508"/>
      <c r="S693" s="508"/>
      <c r="T693" s="508"/>
      <c r="U693" s="508"/>
      <c r="V693" s="508"/>
      <c r="W693" s="508"/>
      <c r="X693" s="508"/>
      <c r="Y693" s="508"/>
      <c r="Z693" s="508"/>
    </row>
    <row r="694" ht="13.5" customHeight="1">
      <c r="A694" s="508"/>
      <c r="B694" s="508"/>
      <c r="C694" s="508"/>
      <c r="D694" s="508"/>
      <c r="E694" s="508"/>
      <c r="F694" s="508"/>
      <c r="G694" s="508"/>
      <c r="H694" s="508"/>
      <c r="I694" s="508"/>
      <c r="J694" s="508"/>
      <c r="K694" s="508"/>
      <c r="L694" s="508"/>
      <c r="M694" s="508"/>
      <c r="N694" s="508"/>
      <c r="O694" s="508"/>
      <c r="P694" s="508"/>
      <c r="Q694" s="508"/>
      <c r="R694" s="508"/>
      <c r="S694" s="508"/>
      <c r="T694" s="508"/>
      <c r="U694" s="508"/>
      <c r="V694" s="508"/>
      <c r="W694" s="508"/>
      <c r="X694" s="508"/>
      <c r="Y694" s="508"/>
      <c r="Z694" s="508"/>
    </row>
    <row r="695" ht="13.5" customHeight="1">
      <c r="A695" s="508"/>
      <c r="B695" s="508"/>
      <c r="C695" s="508"/>
      <c r="D695" s="508"/>
      <c r="E695" s="508"/>
      <c r="F695" s="508"/>
      <c r="G695" s="508"/>
      <c r="H695" s="508"/>
      <c r="I695" s="508"/>
      <c r="J695" s="508"/>
      <c r="K695" s="508"/>
      <c r="L695" s="508"/>
      <c r="M695" s="508"/>
      <c r="N695" s="508"/>
      <c r="O695" s="508"/>
      <c r="P695" s="508"/>
      <c r="Q695" s="508"/>
      <c r="R695" s="508"/>
      <c r="S695" s="508"/>
      <c r="T695" s="508"/>
      <c r="U695" s="508"/>
      <c r="V695" s="508"/>
      <c r="W695" s="508"/>
      <c r="X695" s="508"/>
      <c r="Y695" s="508"/>
      <c r="Z695" s="508"/>
    </row>
    <row r="696" ht="13.5" customHeight="1">
      <c r="A696" s="508"/>
      <c r="B696" s="508"/>
      <c r="C696" s="508"/>
      <c r="D696" s="508"/>
      <c r="E696" s="508"/>
      <c r="F696" s="508"/>
      <c r="G696" s="508"/>
      <c r="H696" s="508"/>
      <c r="I696" s="508"/>
      <c r="J696" s="508"/>
      <c r="K696" s="508"/>
      <c r="L696" s="508"/>
      <c r="M696" s="508"/>
      <c r="N696" s="508"/>
      <c r="O696" s="508"/>
      <c r="P696" s="508"/>
      <c r="Q696" s="508"/>
      <c r="R696" s="508"/>
      <c r="S696" s="508"/>
      <c r="T696" s="508"/>
      <c r="U696" s="508"/>
      <c r="V696" s="508"/>
      <c r="W696" s="508"/>
      <c r="X696" s="508"/>
      <c r="Y696" s="508"/>
      <c r="Z696" s="508"/>
    </row>
    <row r="697" ht="13.5" customHeight="1">
      <c r="A697" s="508"/>
      <c r="B697" s="508"/>
      <c r="C697" s="508"/>
      <c r="D697" s="508"/>
      <c r="E697" s="508"/>
      <c r="F697" s="508"/>
      <c r="G697" s="508"/>
      <c r="H697" s="508"/>
      <c r="I697" s="508"/>
      <c r="J697" s="508"/>
      <c r="K697" s="508"/>
      <c r="L697" s="508"/>
      <c r="M697" s="508"/>
      <c r="N697" s="508"/>
      <c r="O697" s="508"/>
      <c r="P697" s="508"/>
      <c r="Q697" s="508"/>
      <c r="R697" s="508"/>
      <c r="S697" s="508"/>
      <c r="T697" s="508"/>
      <c r="U697" s="508"/>
      <c r="V697" s="508"/>
      <c r="W697" s="508"/>
      <c r="X697" s="508"/>
      <c r="Y697" s="508"/>
      <c r="Z697" s="508"/>
    </row>
    <row r="698" ht="13.5" customHeight="1">
      <c r="A698" s="508"/>
      <c r="B698" s="508"/>
      <c r="C698" s="508"/>
      <c r="D698" s="508"/>
      <c r="E698" s="508"/>
      <c r="F698" s="508"/>
      <c r="G698" s="508"/>
      <c r="H698" s="508"/>
      <c r="I698" s="508"/>
      <c r="J698" s="508"/>
      <c r="K698" s="508"/>
      <c r="L698" s="508"/>
      <c r="M698" s="508"/>
      <c r="N698" s="508"/>
      <c r="O698" s="508"/>
      <c r="P698" s="508"/>
      <c r="Q698" s="508"/>
      <c r="R698" s="508"/>
      <c r="S698" s="508"/>
      <c r="T698" s="508"/>
      <c r="U698" s="508"/>
      <c r="V698" s="508"/>
      <c r="W698" s="508"/>
      <c r="X698" s="508"/>
      <c r="Y698" s="508"/>
      <c r="Z698" s="508"/>
    </row>
    <row r="699" ht="13.5" customHeight="1">
      <c r="A699" s="508"/>
      <c r="B699" s="508"/>
      <c r="C699" s="508"/>
      <c r="D699" s="508"/>
      <c r="E699" s="508"/>
      <c r="F699" s="508"/>
      <c r="G699" s="508"/>
      <c r="H699" s="508"/>
      <c r="I699" s="508"/>
      <c r="J699" s="508"/>
      <c r="K699" s="508"/>
      <c r="L699" s="508"/>
      <c r="M699" s="508"/>
      <c r="N699" s="508"/>
      <c r="O699" s="508"/>
      <c r="P699" s="508"/>
      <c r="Q699" s="508"/>
      <c r="R699" s="508"/>
      <c r="S699" s="508"/>
      <c r="T699" s="508"/>
      <c r="U699" s="508"/>
      <c r="V699" s="508"/>
      <c r="W699" s="508"/>
      <c r="X699" s="508"/>
      <c r="Y699" s="508"/>
      <c r="Z699" s="508"/>
    </row>
    <row r="700" ht="13.5" customHeight="1">
      <c r="A700" s="508"/>
      <c r="B700" s="508"/>
      <c r="C700" s="508"/>
      <c r="D700" s="508"/>
      <c r="E700" s="508"/>
      <c r="F700" s="508"/>
      <c r="G700" s="508"/>
      <c r="H700" s="508"/>
      <c r="I700" s="508"/>
      <c r="J700" s="508"/>
      <c r="K700" s="508"/>
      <c r="L700" s="508"/>
      <c r="M700" s="508"/>
      <c r="N700" s="508"/>
      <c r="O700" s="508"/>
      <c r="P700" s="508"/>
      <c r="Q700" s="508"/>
      <c r="R700" s="508"/>
      <c r="S700" s="508"/>
      <c r="T700" s="508"/>
      <c r="U700" s="508"/>
      <c r="V700" s="508"/>
      <c r="W700" s="508"/>
      <c r="X700" s="508"/>
      <c r="Y700" s="508"/>
      <c r="Z700" s="508"/>
    </row>
    <row r="701" ht="13.5" customHeight="1">
      <c r="A701" s="508"/>
      <c r="B701" s="508"/>
      <c r="C701" s="508"/>
      <c r="D701" s="508"/>
      <c r="E701" s="508"/>
      <c r="F701" s="508"/>
      <c r="G701" s="508"/>
      <c r="H701" s="508"/>
      <c r="I701" s="508"/>
      <c r="J701" s="508"/>
      <c r="K701" s="508"/>
      <c r="L701" s="508"/>
      <c r="M701" s="508"/>
      <c r="N701" s="508"/>
      <c r="O701" s="508"/>
      <c r="P701" s="508"/>
      <c r="Q701" s="508"/>
      <c r="R701" s="508"/>
      <c r="S701" s="508"/>
      <c r="T701" s="508"/>
      <c r="U701" s="508"/>
      <c r="V701" s="508"/>
      <c r="W701" s="508"/>
      <c r="X701" s="508"/>
      <c r="Y701" s="508"/>
      <c r="Z701" s="508"/>
    </row>
    <row r="702" ht="13.5" customHeight="1">
      <c r="A702" s="508"/>
      <c r="B702" s="508"/>
      <c r="C702" s="508"/>
      <c r="D702" s="508"/>
      <c r="E702" s="508"/>
      <c r="F702" s="508"/>
      <c r="G702" s="508"/>
      <c r="H702" s="508"/>
      <c r="I702" s="508"/>
      <c r="J702" s="508"/>
      <c r="K702" s="508"/>
      <c r="L702" s="508"/>
      <c r="M702" s="508"/>
      <c r="N702" s="508"/>
      <c r="O702" s="508"/>
      <c r="P702" s="508"/>
      <c r="Q702" s="508"/>
      <c r="R702" s="508"/>
      <c r="S702" s="508"/>
      <c r="T702" s="508"/>
      <c r="U702" s="508"/>
      <c r="V702" s="508"/>
      <c r="W702" s="508"/>
      <c r="X702" s="508"/>
      <c r="Y702" s="508"/>
      <c r="Z702" s="508"/>
    </row>
    <row r="703" ht="13.5" customHeight="1">
      <c r="A703" s="508"/>
      <c r="B703" s="508"/>
      <c r="C703" s="508"/>
      <c r="D703" s="508"/>
      <c r="E703" s="508"/>
      <c r="F703" s="508"/>
      <c r="G703" s="508"/>
      <c r="H703" s="508"/>
      <c r="I703" s="508"/>
      <c r="J703" s="508"/>
      <c r="K703" s="508"/>
      <c r="L703" s="508"/>
      <c r="M703" s="508"/>
      <c r="N703" s="508"/>
      <c r="O703" s="508"/>
      <c r="P703" s="508"/>
      <c r="Q703" s="508"/>
      <c r="R703" s="508"/>
      <c r="S703" s="508"/>
      <c r="T703" s="508"/>
      <c r="U703" s="508"/>
      <c r="V703" s="508"/>
      <c r="W703" s="508"/>
      <c r="X703" s="508"/>
      <c r="Y703" s="508"/>
      <c r="Z703" s="508"/>
    </row>
    <row r="704" ht="13.5" customHeight="1">
      <c r="A704" s="508"/>
      <c r="B704" s="508"/>
      <c r="C704" s="508"/>
      <c r="D704" s="508"/>
      <c r="E704" s="508"/>
      <c r="F704" s="508"/>
      <c r="G704" s="508"/>
      <c r="H704" s="508"/>
      <c r="I704" s="508"/>
      <c r="J704" s="508"/>
      <c r="K704" s="508"/>
      <c r="L704" s="508"/>
      <c r="M704" s="508"/>
      <c r="N704" s="508"/>
      <c r="O704" s="508"/>
      <c r="P704" s="508"/>
      <c r="Q704" s="508"/>
      <c r="R704" s="508"/>
      <c r="S704" s="508"/>
      <c r="T704" s="508"/>
      <c r="U704" s="508"/>
      <c r="V704" s="508"/>
      <c r="W704" s="508"/>
      <c r="X704" s="508"/>
      <c r="Y704" s="508"/>
      <c r="Z704" s="508"/>
    </row>
    <row r="705" ht="13.5" customHeight="1">
      <c r="A705" s="508"/>
      <c r="B705" s="508"/>
      <c r="C705" s="508"/>
      <c r="D705" s="508"/>
      <c r="E705" s="508"/>
      <c r="F705" s="508"/>
      <c r="G705" s="508"/>
      <c r="H705" s="508"/>
      <c r="I705" s="508"/>
      <c r="J705" s="508"/>
      <c r="K705" s="508"/>
      <c r="L705" s="508"/>
      <c r="M705" s="508"/>
      <c r="N705" s="508"/>
      <c r="O705" s="508"/>
      <c r="P705" s="508"/>
      <c r="Q705" s="508"/>
      <c r="R705" s="508"/>
      <c r="S705" s="508"/>
      <c r="T705" s="508"/>
      <c r="U705" s="508"/>
      <c r="V705" s="508"/>
      <c r="W705" s="508"/>
      <c r="X705" s="508"/>
      <c r="Y705" s="508"/>
      <c r="Z705" s="508"/>
    </row>
    <row r="706" ht="13.5" customHeight="1">
      <c r="A706" s="508"/>
      <c r="B706" s="508"/>
      <c r="C706" s="508"/>
      <c r="D706" s="508"/>
      <c r="E706" s="508"/>
      <c r="F706" s="508"/>
      <c r="G706" s="508"/>
      <c r="H706" s="508"/>
      <c r="I706" s="508"/>
      <c r="J706" s="508"/>
      <c r="K706" s="508"/>
      <c r="L706" s="508"/>
      <c r="M706" s="508"/>
      <c r="N706" s="508"/>
      <c r="O706" s="508"/>
      <c r="P706" s="508"/>
      <c r="Q706" s="508"/>
      <c r="R706" s="508"/>
      <c r="S706" s="508"/>
      <c r="T706" s="508"/>
      <c r="U706" s="508"/>
      <c r="V706" s="508"/>
      <c r="W706" s="508"/>
      <c r="X706" s="508"/>
      <c r="Y706" s="508"/>
      <c r="Z706" s="508"/>
    </row>
    <row r="707" ht="13.5" customHeight="1">
      <c r="A707" s="508"/>
      <c r="B707" s="508"/>
      <c r="C707" s="508"/>
      <c r="D707" s="508"/>
      <c r="E707" s="508"/>
      <c r="F707" s="508"/>
      <c r="G707" s="508"/>
      <c r="H707" s="508"/>
      <c r="I707" s="508"/>
      <c r="J707" s="508"/>
      <c r="K707" s="508"/>
      <c r="L707" s="508"/>
      <c r="M707" s="508"/>
      <c r="N707" s="508"/>
      <c r="O707" s="508"/>
      <c r="P707" s="508"/>
      <c r="Q707" s="508"/>
      <c r="R707" s="508"/>
      <c r="S707" s="508"/>
      <c r="T707" s="508"/>
      <c r="U707" s="508"/>
      <c r="V707" s="508"/>
      <c r="W707" s="508"/>
      <c r="X707" s="508"/>
      <c r="Y707" s="508"/>
      <c r="Z707" s="508"/>
    </row>
    <row r="708" ht="13.5" customHeight="1">
      <c r="A708" s="508"/>
      <c r="B708" s="508"/>
      <c r="C708" s="508"/>
      <c r="D708" s="508"/>
      <c r="E708" s="508"/>
      <c r="F708" s="508"/>
      <c r="G708" s="508"/>
      <c r="H708" s="508"/>
      <c r="I708" s="508"/>
      <c r="J708" s="508"/>
      <c r="K708" s="508"/>
      <c r="L708" s="508"/>
      <c r="M708" s="508"/>
      <c r="N708" s="508"/>
      <c r="O708" s="508"/>
      <c r="P708" s="508"/>
      <c r="Q708" s="508"/>
      <c r="R708" s="508"/>
      <c r="S708" s="508"/>
      <c r="T708" s="508"/>
      <c r="U708" s="508"/>
      <c r="V708" s="508"/>
      <c r="W708" s="508"/>
      <c r="X708" s="508"/>
      <c r="Y708" s="508"/>
      <c r="Z708" s="508"/>
    </row>
    <row r="709" ht="13.5" customHeight="1">
      <c r="A709" s="508"/>
      <c r="B709" s="508"/>
      <c r="C709" s="508"/>
      <c r="D709" s="508"/>
      <c r="E709" s="508"/>
      <c r="F709" s="508"/>
      <c r="G709" s="508"/>
      <c r="H709" s="508"/>
      <c r="I709" s="508"/>
      <c r="J709" s="508"/>
      <c r="K709" s="508"/>
      <c r="L709" s="508"/>
      <c r="M709" s="508"/>
      <c r="N709" s="508"/>
      <c r="O709" s="508"/>
      <c r="P709" s="508"/>
      <c r="Q709" s="508"/>
      <c r="R709" s="508"/>
      <c r="S709" s="508"/>
      <c r="T709" s="508"/>
      <c r="U709" s="508"/>
      <c r="V709" s="508"/>
      <c r="W709" s="508"/>
      <c r="X709" s="508"/>
      <c r="Y709" s="508"/>
      <c r="Z709" s="508"/>
    </row>
    <row r="710" ht="13.5" customHeight="1">
      <c r="A710" s="508"/>
      <c r="B710" s="508"/>
      <c r="C710" s="508"/>
      <c r="D710" s="508"/>
      <c r="E710" s="508"/>
      <c r="F710" s="508"/>
      <c r="G710" s="508"/>
      <c r="H710" s="508"/>
      <c r="I710" s="508"/>
      <c r="J710" s="508"/>
      <c r="K710" s="508"/>
      <c r="L710" s="508"/>
      <c r="M710" s="508"/>
      <c r="N710" s="508"/>
      <c r="O710" s="508"/>
      <c r="P710" s="508"/>
      <c r="Q710" s="508"/>
      <c r="R710" s="508"/>
      <c r="S710" s="508"/>
      <c r="T710" s="508"/>
      <c r="U710" s="508"/>
      <c r="V710" s="508"/>
      <c r="W710" s="508"/>
      <c r="X710" s="508"/>
      <c r="Y710" s="508"/>
      <c r="Z710" s="508"/>
    </row>
    <row r="711" ht="13.5" customHeight="1">
      <c r="A711" s="508"/>
      <c r="B711" s="508"/>
      <c r="C711" s="508"/>
      <c r="D711" s="508"/>
      <c r="E711" s="508"/>
      <c r="F711" s="508"/>
      <c r="G711" s="508"/>
      <c r="H711" s="508"/>
      <c r="I711" s="508"/>
      <c r="J711" s="508"/>
      <c r="K711" s="508"/>
      <c r="L711" s="508"/>
      <c r="M711" s="508"/>
      <c r="N711" s="508"/>
      <c r="O711" s="508"/>
      <c r="P711" s="508"/>
      <c r="Q711" s="508"/>
      <c r="R711" s="508"/>
      <c r="S711" s="508"/>
      <c r="T711" s="508"/>
      <c r="U711" s="508"/>
      <c r="V711" s="508"/>
      <c r="W711" s="508"/>
      <c r="X711" s="508"/>
      <c r="Y711" s="508"/>
      <c r="Z711" s="508"/>
    </row>
    <row r="712" ht="13.5" customHeight="1">
      <c r="A712" s="508"/>
      <c r="B712" s="508"/>
      <c r="C712" s="508"/>
      <c r="D712" s="508"/>
      <c r="E712" s="508"/>
      <c r="F712" s="508"/>
      <c r="G712" s="508"/>
      <c r="H712" s="508"/>
      <c r="I712" s="508"/>
      <c r="J712" s="508"/>
      <c r="K712" s="508"/>
      <c r="L712" s="508"/>
      <c r="M712" s="508"/>
      <c r="N712" s="508"/>
      <c r="O712" s="508"/>
      <c r="P712" s="508"/>
      <c r="Q712" s="508"/>
      <c r="R712" s="508"/>
      <c r="S712" s="508"/>
      <c r="T712" s="508"/>
      <c r="U712" s="508"/>
      <c r="V712" s="508"/>
      <c r="W712" s="508"/>
      <c r="X712" s="508"/>
      <c r="Y712" s="508"/>
      <c r="Z712" s="508"/>
    </row>
    <row r="713" ht="13.5" customHeight="1">
      <c r="A713" s="508"/>
      <c r="B713" s="508"/>
      <c r="C713" s="508"/>
      <c r="D713" s="508"/>
      <c r="E713" s="508"/>
      <c r="F713" s="508"/>
      <c r="G713" s="508"/>
      <c r="H713" s="508"/>
      <c r="I713" s="508"/>
      <c r="J713" s="508"/>
      <c r="K713" s="508"/>
      <c r="L713" s="508"/>
      <c r="M713" s="508"/>
      <c r="N713" s="508"/>
      <c r="O713" s="508"/>
      <c r="P713" s="508"/>
      <c r="Q713" s="508"/>
      <c r="R713" s="508"/>
      <c r="S713" s="508"/>
      <c r="T713" s="508"/>
      <c r="U713" s="508"/>
      <c r="V713" s="508"/>
      <c r="W713" s="508"/>
      <c r="X713" s="508"/>
      <c r="Y713" s="508"/>
      <c r="Z713" s="508"/>
    </row>
    <row r="714" ht="13.5" customHeight="1">
      <c r="A714" s="508"/>
      <c r="B714" s="508"/>
      <c r="C714" s="508"/>
      <c r="D714" s="508"/>
      <c r="E714" s="508"/>
      <c r="F714" s="508"/>
      <c r="G714" s="508"/>
      <c r="H714" s="508"/>
      <c r="I714" s="508"/>
      <c r="J714" s="508"/>
      <c r="K714" s="508"/>
      <c r="L714" s="508"/>
      <c r="M714" s="508"/>
      <c r="N714" s="508"/>
      <c r="O714" s="508"/>
      <c r="P714" s="508"/>
      <c r="Q714" s="508"/>
      <c r="R714" s="508"/>
      <c r="S714" s="508"/>
      <c r="T714" s="508"/>
      <c r="U714" s="508"/>
      <c r="V714" s="508"/>
      <c r="W714" s="508"/>
      <c r="X714" s="508"/>
      <c r="Y714" s="508"/>
      <c r="Z714" s="508"/>
    </row>
    <row r="715" ht="13.5" customHeight="1">
      <c r="A715" s="508"/>
      <c r="B715" s="508"/>
      <c r="C715" s="508"/>
      <c r="D715" s="508"/>
      <c r="E715" s="508"/>
      <c r="F715" s="508"/>
      <c r="G715" s="508"/>
      <c r="H715" s="508"/>
      <c r="I715" s="508"/>
      <c r="J715" s="508"/>
      <c r="K715" s="508"/>
      <c r="L715" s="508"/>
      <c r="M715" s="508"/>
      <c r="N715" s="508"/>
      <c r="O715" s="508"/>
      <c r="P715" s="508"/>
      <c r="Q715" s="508"/>
      <c r="R715" s="508"/>
      <c r="S715" s="508"/>
      <c r="T715" s="508"/>
      <c r="U715" s="508"/>
      <c r="V715" s="508"/>
      <c r="W715" s="508"/>
      <c r="X715" s="508"/>
      <c r="Y715" s="508"/>
      <c r="Z715" s="508"/>
    </row>
    <row r="716" ht="13.5" customHeight="1">
      <c r="A716" s="508"/>
      <c r="B716" s="508"/>
      <c r="C716" s="508"/>
      <c r="D716" s="508"/>
      <c r="E716" s="508"/>
      <c r="F716" s="508"/>
      <c r="G716" s="508"/>
      <c r="H716" s="508"/>
      <c r="I716" s="508"/>
      <c r="J716" s="508"/>
      <c r="K716" s="508"/>
      <c r="L716" s="508"/>
      <c r="M716" s="508"/>
      <c r="N716" s="508"/>
      <c r="O716" s="508"/>
      <c r="P716" s="508"/>
      <c r="Q716" s="508"/>
      <c r="R716" s="508"/>
      <c r="S716" s="508"/>
      <c r="T716" s="508"/>
      <c r="U716" s="508"/>
      <c r="V716" s="508"/>
      <c r="W716" s="508"/>
      <c r="X716" s="508"/>
      <c r="Y716" s="508"/>
      <c r="Z716" s="508"/>
    </row>
    <row r="717" ht="13.5" customHeight="1">
      <c r="A717" s="508"/>
      <c r="B717" s="508"/>
      <c r="C717" s="508"/>
      <c r="D717" s="508"/>
      <c r="E717" s="508"/>
      <c r="F717" s="508"/>
      <c r="G717" s="508"/>
      <c r="H717" s="508"/>
      <c r="I717" s="508"/>
      <c r="J717" s="508"/>
      <c r="K717" s="508"/>
      <c r="L717" s="508"/>
      <c r="M717" s="508"/>
      <c r="N717" s="508"/>
      <c r="O717" s="508"/>
      <c r="P717" s="508"/>
      <c r="Q717" s="508"/>
      <c r="R717" s="508"/>
      <c r="S717" s="508"/>
      <c r="T717" s="508"/>
      <c r="U717" s="508"/>
      <c r="V717" s="508"/>
      <c r="W717" s="508"/>
      <c r="X717" s="508"/>
      <c r="Y717" s="508"/>
      <c r="Z717" s="508"/>
    </row>
    <row r="718" ht="13.5" customHeight="1">
      <c r="A718" s="508"/>
      <c r="B718" s="508"/>
      <c r="C718" s="508"/>
      <c r="D718" s="508"/>
      <c r="E718" s="508"/>
      <c r="F718" s="508"/>
      <c r="G718" s="508"/>
      <c r="H718" s="508"/>
      <c r="I718" s="508"/>
      <c r="J718" s="508"/>
      <c r="K718" s="508"/>
      <c r="L718" s="508"/>
      <c r="M718" s="508"/>
      <c r="N718" s="508"/>
      <c r="O718" s="508"/>
      <c r="P718" s="508"/>
      <c r="Q718" s="508"/>
      <c r="R718" s="508"/>
      <c r="S718" s="508"/>
      <c r="T718" s="508"/>
      <c r="U718" s="508"/>
      <c r="V718" s="508"/>
      <c r="W718" s="508"/>
      <c r="X718" s="508"/>
      <c r="Y718" s="508"/>
      <c r="Z718" s="508"/>
    </row>
    <row r="719" ht="13.5" customHeight="1">
      <c r="A719" s="508"/>
      <c r="B719" s="508"/>
      <c r="C719" s="508"/>
      <c r="D719" s="508"/>
      <c r="E719" s="508"/>
      <c r="F719" s="508"/>
      <c r="G719" s="508"/>
      <c r="H719" s="508"/>
      <c r="I719" s="508"/>
      <c r="J719" s="508"/>
      <c r="K719" s="508"/>
      <c r="L719" s="508"/>
      <c r="M719" s="508"/>
      <c r="N719" s="508"/>
      <c r="O719" s="508"/>
      <c r="P719" s="508"/>
      <c r="Q719" s="508"/>
      <c r="R719" s="508"/>
      <c r="S719" s="508"/>
      <c r="T719" s="508"/>
      <c r="U719" s="508"/>
      <c r="V719" s="508"/>
      <c r="W719" s="508"/>
      <c r="X719" s="508"/>
      <c r="Y719" s="508"/>
      <c r="Z719" s="508"/>
    </row>
    <row r="720" ht="13.5" customHeight="1">
      <c r="A720" s="508"/>
      <c r="B720" s="508"/>
      <c r="C720" s="508"/>
      <c r="D720" s="508"/>
      <c r="E720" s="508"/>
      <c r="F720" s="508"/>
      <c r="G720" s="508"/>
      <c r="H720" s="508"/>
      <c r="I720" s="508"/>
      <c r="J720" s="508"/>
      <c r="K720" s="508"/>
      <c r="L720" s="508"/>
      <c r="M720" s="508"/>
      <c r="N720" s="508"/>
      <c r="O720" s="508"/>
      <c r="P720" s="508"/>
      <c r="Q720" s="508"/>
      <c r="R720" s="508"/>
      <c r="S720" s="508"/>
      <c r="T720" s="508"/>
      <c r="U720" s="508"/>
      <c r="V720" s="508"/>
      <c r="W720" s="508"/>
      <c r="X720" s="508"/>
      <c r="Y720" s="508"/>
      <c r="Z720" s="508"/>
    </row>
    <row r="721" ht="13.5" customHeight="1">
      <c r="A721" s="508"/>
      <c r="B721" s="508"/>
      <c r="C721" s="508"/>
      <c r="D721" s="508"/>
      <c r="E721" s="508"/>
      <c r="F721" s="508"/>
      <c r="G721" s="508"/>
      <c r="H721" s="508"/>
      <c r="I721" s="508"/>
      <c r="J721" s="508"/>
      <c r="K721" s="508"/>
      <c r="L721" s="508"/>
      <c r="M721" s="508"/>
      <c r="N721" s="508"/>
      <c r="O721" s="508"/>
      <c r="P721" s="508"/>
      <c r="Q721" s="508"/>
      <c r="R721" s="508"/>
      <c r="S721" s="508"/>
      <c r="T721" s="508"/>
      <c r="U721" s="508"/>
      <c r="V721" s="508"/>
      <c r="W721" s="508"/>
      <c r="X721" s="508"/>
      <c r="Y721" s="508"/>
      <c r="Z721" s="508"/>
    </row>
    <row r="722" ht="13.5" customHeight="1">
      <c r="A722" s="508"/>
      <c r="B722" s="508"/>
      <c r="C722" s="508"/>
      <c r="D722" s="508"/>
      <c r="E722" s="508"/>
      <c r="F722" s="508"/>
      <c r="G722" s="508"/>
      <c r="H722" s="508"/>
      <c r="I722" s="508"/>
      <c r="J722" s="508"/>
      <c r="K722" s="508"/>
      <c r="L722" s="508"/>
      <c r="M722" s="508"/>
      <c r="N722" s="508"/>
      <c r="O722" s="508"/>
      <c r="P722" s="508"/>
      <c r="Q722" s="508"/>
      <c r="R722" s="508"/>
      <c r="S722" s="508"/>
      <c r="T722" s="508"/>
      <c r="U722" s="508"/>
      <c r="V722" s="508"/>
      <c r="W722" s="508"/>
      <c r="X722" s="508"/>
      <c r="Y722" s="508"/>
      <c r="Z722" s="508"/>
    </row>
    <row r="723" ht="13.5" customHeight="1">
      <c r="A723" s="508"/>
      <c r="B723" s="508"/>
      <c r="C723" s="508"/>
      <c r="D723" s="508"/>
      <c r="E723" s="508"/>
      <c r="F723" s="508"/>
      <c r="G723" s="508"/>
      <c r="H723" s="508"/>
      <c r="I723" s="508"/>
      <c r="J723" s="508"/>
      <c r="K723" s="508"/>
      <c r="L723" s="508"/>
      <c r="M723" s="508"/>
      <c r="N723" s="508"/>
      <c r="O723" s="508"/>
      <c r="P723" s="508"/>
      <c r="Q723" s="508"/>
      <c r="R723" s="508"/>
      <c r="S723" s="508"/>
      <c r="T723" s="508"/>
      <c r="U723" s="508"/>
      <c r="V723" s="508"/>
      <c r="W723" s="508"/>
      <c r="X723" s="508"/>
      <c r="Y723" s="508"/>
      <c r="Z723" s="508"/>
    </row>
    <row r="724" ht="13.5" customHeight="1">
      <c r="A724" s="508"/>
      <c r="B724" s="508"/>
      <c r="C724" s="508"/>
      <c r="D724" s="508"/>
      <c r="E724" s="508"/>
      <c r="F724" s="508"/>
      <c r="G724" s="508"/>
      <c r="H724" s="508"/>
      <c r="I724" s="508"/>
      <c r="J724" s="508"/>
      <c r="K724" s="508"/>
      <c r="L724" s="508"/>
      <c r="M724" s="508"/>
      <c r="N724" s="508"/>
      <c r="O724" s="508"/>
      <c r="P724" s="508"/>
      <c r="Q724" s="508"/>
      <c r="R724" s="508"/>
      <c r="S724" s="508"/>
      <c r="T724" s="508"/>
      <c r="U724" s="508"/>
      <c r="V724" s="508"/>
      <c r="W724" s="508"/>
      <c r="X724" s="508"/>
      <c r="Y724" s="508"/>
      <c r="Z724" s="508"/>
    </row>
    <row r="725" ht="13.5" customHeight="1">
      <c r="A725" s="508"/>
      <c r="B725" s="508"/>
      <c r="C725" s="508"/>
      <c r="D725" s="508"/>
      <c r="E725" s="508"/>
      <c r="F725" s="508"/>
      <c r="G725" s="508"/>
      <c r="H725" s="508"/>
      <c r="I725" s="508"/>
      <c r="J725" s="508"/>
      <c r="K725" s="508"/>
      <c r="L725" s="508"/>
      <c r="M725" s="508"/>
      <c r="N725" s="508"/>
      <c r="O725" s="508"/>
      <c r="P725" s="508"/>
      <c r="Q725" s="508"/>
      <c r="R725" s="508"/>
      <c r="S725" s="508"/>
      <c r="T725" s="508"/>
      <c r="U725" s="508"/>
      <c r="V725" s="508"/>
      <c r="W725" s="508"/>
      <c r="X725" s="508"/>
      <c r="Y725" s="508"/>
      <c r="Z725" s="508"/>
    </row>
    <row r="726" ht="13.5" customHeight="1">
      <c r="A726" s="508"/>
      <c r="B726" s="508"/>
      <c r="C726" s="508"/>
      <c r="D726" s="508"/>
      <c r="E726" s="508"/>
      <c r="F726" s="508"/>
      <c r="G726" s="508"/>
      <c r="H726" s="508"/>
      <c r="I726" s="508"/>
      <c r="J726" s="508"/>
      <c r="K726" s="508"/>
      <c r="L726" s="508"/>
      <c r="M726" s="508"/>
      <c r="N726" s="508"/>
      <c r="O726" s="508"/>
      <c r="P726" s="508"/>
      <c r="Q726" s="508"/>
      <c r="R726" s="508"/>
      <c r="S726" s="508"/>
      <c r="T726" s="508"/>
      <c r="U726" s="508"/>
      <c r="V726" s="508"/>
      <c r="W726" s="508"/>
      <c r="X726" s="508"/>
      <c r="Y726" s="508"/>
      <c r="Z726" s="508"/>
    </row>
    <row r="727" ht="13.5" customHeight="1">
      <c r="A727" s="508"/>
      <c r="B727" s="508"/>
      <c r="C727" s="508"/>
      <c r="D727" s="508"/>
      <c r="E727" s="508"/>
      <c r="F727" s="508"/>
      <c r="G727" s="508"/>
      <c r="H727" s="508"/>
      <c r="I727" s="508"/>
      <c r="J727" s="508"/>
      <c r="K727" s="508"/>
      <c r="L727" s="508"/>
      <c r="M727" s="508"/>
      <c r="N727" s="508"/>
      <c r="O727" s="508"/>
      <c r="P727" s="508"/>
      <c r="Q727" s="508"/>
      <c r="R727" s="508"/>
      <c r="S727" s="508"/>
      <c r="T727" s="508"/>
      <c r="U727" s="508"/>
      <c r="V727" s="508"/>
      <c r="W727" s="508"/>
      <c r="X727" s="508"/>
      <c r="Y727" s="508"/>
      <c r="Z727" s="508"/>
    </row>
    <row r="728" ht="13.5" customHeight="1">
      <c r="A728" s="508"/>
      <c r="B728" s="508"/>
      <c r="C728" s="508"/>
      <c r="D728" s="508"/>
      <c r="E728" s="508"/>
      <c r="F728" s="508"/>
      <c r="G728" s="508"/>
      <c r="H728" s="508"/>
      <c r="I728" s="508"/>
      <c r="J728" s="508"/>
      <c r="K728" s="508"/>
      <c r="L728" s="508"/>
      <c r="M728" s="508"/>
      <c r="N728" s="508"/>
      <c r="O728" s="508"/>
      <c r="P728" s="508"/>
      <c r="Q728" s="508"/>
      <c r="R728" s="508"/>
      <c r="S728" s="508"/>
      <c r="T728" s="508"/>
      <c r="U728" s="508"/>
      <c r="V728" s="508"/>
      <c r="W728" s="508"/>
      <c r="X728" s="508"/>
      <c r="Y728" s="508"/>
      <c r="Z728" s="508"/>
    </row>
    <row r="729" ht="13.5" customHeight="1">
      <c r="A729" s="508"/>
      <c r="B729" s="508"/>
      <c r="C729" s="508"/>
      <c r="D729" s="508"/>
      <c r="E729" s="508"/>
      <c r="F729" s="508"/>
      <c r="G729" s="508"/>
      <c r="H729" s="508"/>
      <c r="I729" s="508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508"/>
      <c r="Y729" s="508"/>
      <c r="Z729" s="508"/>
    </row>
    <row r="730" ht="13.5" customHeight="1">
      <c r="A730" s="508"/>
      <c r="B730" s="508"/>
      <c r="C730" s="508"/>
      <c r="D730" s="508"/>
      <c r="E730" s="508"/>
      <c r="F730" s="508"/>
      <c r="G730" s="508"/>
      <c r="H730" s="508"/>
      <c r="I730" s="508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508"/>
      <c r="Y730" s="508"/>
      <c r="Z730" s="508"/>
    </row>
    <row r="731" ht="13.5" customHeight="1">
      <c r="A731" s="508"/>
      <c r="B731" s="508"/>
      <c r="C731" s="508"/>
      <c r="D731" s="508"/>
      <c r="E731" s="508"/>
      <c r="F731" s="508"/>
      <c r="G731" s="508"/>
      <c r="H731" s="508"/>
      <c r="I731" s="508"/>
      <c r="J731" s="508"/>
      <c r="K731" s="508"/>
      <c r="L731" s="508"/>
      <c r="M731" s="508"/>
      <c r="N731" s="508"/>
      <c r="O731" s="508"/>
      <c r="P731" s="508"/>
      <c r="Q731" s="508"/>
      <c r="R731" s="508"/>
      <c r="S731" s="508"/>
      <c r="T731" s="508"/>
      <c r="U731" s="508"/>
      <c r="V731" s="508"/>
      <c r="W731" s="508"/>
      <c r="X731" s="508"/>
      <c r="Y731" s="508"/>
      <c r="Z731" s="508"/>
    </row>
    <row r="732" ht="13.5" customHeight="1">
      <c r="A732" s="508"/>
      <c r="B732" s="508"/>
      <c r="C732" s="508"/>
      <c r="D732" s="508"/>
      <c r="E732" s="508"/>
      <c r="F732" s="508"/>
      <c r="G732" s="508"/>
      <c r="H732" s="508"/>
      <c r="I732" s="508"/>
      <c r="J732" s="508"/>
      <c r="K732" s="508"/>
      <c r="L732" s="508"/>
      <c r="M732" s="508"/>
      <c r="N732" s="508"/>
      <c r="O732" s="508"/>
      <c r="P732" s="508"/>
      <c r="Q732" s="508"/>
      <c r="R732" s="508"/>
      <c r="S732" s="508"/>
      <c r="T732" s="508"/>
      <c r="U732" s="508"/>
      <c r="V732" s="508"/>
      <c r="W732" s="508"/>
      <c r="X732" s="508"/>
      <c r="Y732" s="508"/>
      <c r="Z732" s="508"/>
    </row>
    <row r="733" ht="13.5" customHeight="1">
      <c r="A733" s="508"/>
      <c r="B733" s="508"/>
      <c r="C733" s="508"/>
      <c r="D733" s="508"/>
      <c r="E733" s="508"/>
      <c r="F733" s="508"/>
      <c r="G733" s="508"/>
      <c r="H733" s="508"/>
      <c r="I733" s="508"/>
      <c r="J733" s="508"/>
      <c r="K733" s="508"/>
      <c r="L733" s="508"/>
      <c r="M733" s="508"/>
      <c r="N733" s="508"/>
      <c r="O733" s="508"/>
      <c r="P733" s="508"/>
      <c r="Q733" s="508"/>
      <c r="R733" s="508"/>
      <c r="S733" s="508"/>
      <c r="T733" s="508"/>
      <c r="U733" s="508"/>
      <c r="V733" s="508"/>
      <c r="W733" s="508"/>
      <c r="X733" s="508"/>
      <c r="Y733" s="508"/>
      <c r="Z733" s="508"/>
    </row>
    <row r="734" ht="13.5" customHeight="1">
      <c r="A734" s="508"/>
      <c r="B734" s="508"/>
      <c r="C734" s="508"/>
      <c r="D734" s="508"/>
      <c r="E734" s="508"/>
      <c r="F734" s="508"/>
      <c r="G734" s="508"/>
      <c r="H734" s="508"/>
      <c r="I734" s="508"/>
      <c r="J734" s="508"/>
      <c r="K734" s="508"/>
      <c r="L734" s="508"/>
      <c r="M734" s="508"/>
      <c r="N734" s="508"/>
      <c r="O734" s="508"/>
      <c r="P734" s="508"/>
      <c r="Q734" s="508"/>
      <c r="R734" s="508"/>
      <c r="S734" s="508"/>
      <c r="T734" s="508"/>
      <c r="U734" s="508"/>
      <c r="V734" s="508"/>
      <c r="W734" s="508"/>
      <c r="X734" s="508"/>
      <c r="Y734" s="508"/>
      <c r="Z734" s="508"/>
    </row>
    <row r="735" ht="13.5" customHeight="1">
      <c r="A735" s="508"/>
      <c r="B735" s="508"/>
      <c r="C735" s="508"/>
      <c r="D735" s="508"/>
      <c r="E735" s="508"/>
      <c r="F735" s="508"/>
      <c r="G735" s="508"/>
      <c r="H735" s="508"/>
      <c r="I735" s="508"/>
      <c r="J735" s="508"/>
      <c r="K735" s="508"/>
      <c r="L735" s="508"/>
      <c r="M735" s="508"/>
      <c r="N735" s="508"/>
      <c r="O735" s="508"/>
      <c r="P735" s="508"/>
      <c r="Q735" s="508"/>
      <c r="R735" s="508"/>
      <c r="S735" s="508"/>
      <c r="T735" s="508"/>
      <c r="U735" s="508"/>
      <c r="V735" s="508"/>
      <c r="W735" s="508"/>
      <c r="X735" s="508"/>
      <c r="Y735" s="508"/>
      <c r="Z735" s="508"/>
    </row>
    <row r="736" ht="13.5" customHeight="1">
      <c r="A736" s="508"/>
      <c r="B736" s="508"/>
      <c r="C736" s="508"/>
      <c r="D736" s="508"/>
      <c r="E736" s="508"/>
      <c r="F736" s="508"/>
      <c r="G736" s="508"/>
      <c r="H736" s="508"/>
      <c r="I736" s="508"/>
      <c r="J736" s="508"/>
      <c r="K736" s="508"/>
      <c r="L736" s="508"/>
      <c r="M736" s="508"/>
      <c r="N736" s="508"/>
      <c r="O736" s="508"/>
      <c r="P736" s="508"/>
      <c r="Q736" s="508"/>
      <c r="R736" s="508"/>
      <c r="S736" s="508"/>
      <c r="T736" s="508"/>
      <c r="U736" s="508"/>
      <c r="V736" s="508"/>
      <c r="W736" s="508"/>
      <c r="X736" s="508"/>
      <c r="Y736" s="508"/>
      <c r="Z736" s="508"/>
    </row>
    <row r="737" ht="13.5" customHeight="1">
      <c r="A737" s="508"/>
      <c r="B737" s="508"/>
      <c r="C737" s="508"/>
      <c r="D737" s="508"/>
      <c r="E737" s="508"/>
      <c r="F737" s="508"/>
      <c r="G737" s="508"/>
      <c r="H737" s="508"/>
      <c r="I737" s="508"/>
      <c r="J737" s="508"/>
      <c r="K737" s="508"/>
      <c r="L737" s="508"/>
      <c r="M737" s="508"/>
      <c r="N737" s="508"/>
      <c r="O737" s="508"/>
      <c r="P737" s="508"/>
      <c r="Q737" s="508"/>
      <c r="R737" s="508"/>
      <c r="S737" s="508"/>
      <c r="T737" s="508"/>
      <c r="U737" s="508"/>
      <c r="V737" s="508"/>
      <c r="W737" s="508"/>
      <c r="X737" s="508"/>
      <c r="Y737" s="508"/>
      <c r="Z737" s="508"/>
    </row>
    <row r="738" ht="13.5" customHeight="1">
      <c r="A738" s="508"/>
      <c r="B738" s="508"/>
      <c r="C738" s="508"/>
      <c r="D738" s="508"/>
      <c r="E738" s="508"/>
      <c r="F738" s="508"/>
      <c r="G738" s="508"/>
      <c r="H738" s="508"/>
      <c r="I738" s="508"/>
      <c r="J738" s="508"/>
      <c r="K738" s="508"/>
      <c r="L738" s="508"/>
      <c r="M738" s="508"/>
      <c r="N738" s="508"/>
      <c r="O738" s="508"/>
      <c r="P738" s="508"/>
      <c r="Q738" s="508"/>
      <c r="R738" s="508"/>
      <c r="S738" s="508"/>
      <c r="T738" s="508"/>
      <c r="U738" s="508"/>
      <c r="V738" s="508"/>
      <c r="W738" s="508"/>
      <c r="X738" s="508"/>
      <c r="Y738" s="508"/>
      <c r="Z738" s="508"/>
    </row>
    <row r="739" ht="13.5" customHeight="1">
      <c r="A739" s="508"/>
      <c r="B739" s="508"/>
      <c r="C739" s="508"/>
      <c r="D739" s="508"/>
      <c r="E739" s="508"/>
      <c r="F739" s="508"/>
      <c r="G739" s="508"/>
      <c r="H739" s="508"/>
      <c r="I739" s="508"/>
      <c r="J739" s="508"/>
      <c r="K739" s="508"/>
      <c r="L739" s="508"/>
      <c r="M739" s="508"/>
      <c r="N739" s="508"/>
      <c r="O739" s="508"/>
      <c r="P739" s="508"/>
      <c r="Q739" s="508"/>
      <c r="R739" s="508"/>
      <c r="S739" s="508"/>
      <c r="T739" s="508"/>
      <c r="U739" s="508"/>
      <c r="V739" s="508"/>
      <c r="W739" s="508"/>
      <c r="X739" s="508"/>
      <c r="Y739" s="508"/>
      <c r="Z739" s="508"/>
    </row>
    <row r="740" ht="13.5" customHeight="1">
      <c r="A740" s="508"/>
      <c r="B740" s="508"/>
      <c r="C740" s="508"/>
      <c r="D740" s="508"/>
      <c r="E740" s="508"/>
      <c r="F740" s="508"/>
      <c r="G740" s="508"/>
      <c r="H740" s="508"/>
      <c r="I740" s="508"/>
      <c r="J740" s="508"/>
      <c r="K740" s="508"/>
      <c r="L740" s="508"/>
      <c r="M740" s="508"/>
      <c r="N740" s="508"/>
      <c r="O740" s="508"/>
      <c r="P740" s="508"/>
      <c r="Q740" s="508"/>
      <c r="R740" s="508"/>
      <c r="S740" s="508"/>
      <c r="T740" s="508"/>
      <c r="U740" s="508"/>
      <c r="V740" s="508"/>
      <c r="W740" s="508"/>
      <c r="X740" s="508"/>
      <c r="Y740" s="508"/>
      <c r="Z740" s="508"/>
    </row>
    <row r="741" ht="13.5" customHeight="1">
      <c r="A741" s="508"/>
      <c r="B741" s="508"/>
      <c r="C741" s="508"/>
      <c r="D741" s="508"/>
      <c r="E741" s="508"/>
      <c r="F741" s="508"/>
      <c r="G741" s="508"/>
      <c r="H741" s="508"/>
      <c r="I741" s="508"/>
      <c r="J741" s="508"/>
      <c r="K741" s="508"/>
      <c r="L741" s="508"/>
      <c r="M741" s="508"/>
      <c r="N741" s="508"/>
      <c r="O741" s="508"/>
      <c r="P741" s="508"/>
      <c r="Q741" s="508"/>
      <c r="R741" s="508"/>
      <c r="S741" s="508"/>
      <c r="T741" s="508"/>
      <c r="U741" s="508"/>
      <c r="V741" s="508"/>
      <c r="W741" s="508"/>
      <c r="X741" s="508"/>
      <c r="Y741" s="508"/>
      <c r="Z741" s="508"/>
    </row>
    <row r="742" ht="13.5" customHeight="1">
      <c r="A742" s="508"/>
      <c r="B742" s="508"/>
      <c r="C742" s="508"/>
      <c r="D742" s="508"/>
      <c r="E742" s="508"/>
      <c r="F742" s="508"/>
      <c r="G742" s="508"/>
      <c r="H742" s="508"/>
      <c r="I742" s="508"/>
      <c r="J742" s="508"/>
      <c r="K742" s="508"/>
      <c r="L742" s="508"/>
      <c r="M742" s="508"/>
      <c r="N742" s="508"/>
      <c r="O742" s="508"/>
      <c r="P742" s="508"/>
      <c r="Q742" s="508"/>
      <c r="R742" s="508"/>
      <c r="S742" s="508"/>
      <c r="T742" s="508"/>
      <c r="U742" s="508"/>
      <c r="V742" s="508"/>
      <c r="W742" s="508"/>
      <c r="X742" s="508"/>
      <c r="Y742" s="508"/>
      <c r="Z742" s="508"/>
    </row>
    <row r="743" ht="13.5" customHeight="1">
      <c r="A743" s="508"/>
      <c r="B743" s="508"/>
      <c r="C743" s="508"/>
      <c r="D743" s="508"/>
      <c r="E743" s="508"/>
      <c r="F743" s="508"/>
      <c r="G743" s="508"/>
      <c r="H743" s="508"/>
      <c r="I743" s="508"/>
      <c r="J743" s="508"/>
      <c r="K743" s="508"/>
      <c r="L743" s="508"/>
      <c r="M743" s="508"/>
      <c r="N743" s="508"/>
      <c r="O743" s="508"/>
      <c r="P743" s="508"/>
      <c r="Q743" s="508"/>
      <c r="R743" s="508"/>
      <c r="S743" s="508"/>
      <c r="T743" s="508"/>
      <c r="U743" s="508"/>
      <c r="V743" s="508"/>
      <c r="W743" s="508"/>
      <c r="X743" s="508"/>
      <c r="Y743" s="508"/>
      <c r="Z743" s="508"/>
    </row>
    <row r="744" ht="13.5" customHeight="1">
      <c r="A744" s="508"/>
      <c r="B744" s="508"/>
      <c r="C744" s="508"/>
      <c r="D744" s="508"/>
      <c r="E744" s="508"/>
      <c r="F744" s="508"/>
      <c r="G744" s="508"/>
      <c r="H744" s="508"/>
      <c r="I744" s="508"/>
      <c r="J744" s="508"/>
      <c r="K744" s="508"/>
      <c r="L744" s="508"/>
      <c r="M744" s="508"/>
      <c r="N744" s="508"/>
      <c r="O744" s="508"/>
      <c r="P744" s="508"/>
      <c r="Q744" s="508"/>
      <c r="R744" s="508"/>
      <c r="S744" s="508"/>
      <c r="T744" s="508"/>
      <c r="U744" s="508"/>
      <c r="V744" s="508"/>
      <c r="W744" s="508"/>
      <c r="X744" s="508"/>
      <c r="Y744" s="508"/>
      <c r="Z744" s="508"/>
    </row>
    <row r="745" ht="13.5" customHeight="1">
      <c r="A745" s="508"/>
      <c r="B745" s="508"/>
      <c r="C745" s="508"/>
      <c r="D745" s="508"/>
      <c r="E745" s="508"/>
      <c r="F745" s="508"/>
      <c r="G745" s="508"/>
      <c r="H745" s="508"/>
      <c r="I745" s="508"/>
      <c r="J745" s="508"/>
      <c r="K745" s="508"/>
      <c r="L745" s="508"/>
      <c r="M745" s="508"/>
      <c r="N745" s="508"/>
      <c r="O745" s="508"/>
      <c r="P745" s="508"/>
      <c r="Q745" s="508"/>
      <c r="R745" s="508"/>
      <c r="S745" s="508"/>
      <c r="T745" s="508"/>
      <c r="U745" s="508"/>
      <c r="V745" s="508"/>
      <c r="W745" s="508"/>
      <c r="X745" s="508"/>
      <c r="Y745" s="508"/>
      <c r="Z745" s="508"/>
    </row>
    <row r="746" ht="13.5" customHeight="1">
      <c r="A746" s="508"/>
      <c r="B746" s="508"/>
      <c r="C746" s="508"/>
      <c r="D746" s="508"/>
      <c r="E746" s="508"/>
      <c r="F746" s="508"/>
      <c r="G746" s="508"/>
      <c r="H746" s="508"/>
      <c r="I746" s="508"/>
      <c r="J746" s="508"/>
      <c r="K746" s="508"/>
      <c r="L746" s="508"/>
      <c r="M746" s="508"/>
      <c r="N746" s="508"/>
      <c r="O746" s="508"/>
      <c r="P746" s="508"/>
      <c r="Q746" s="508"/>
      <c r="R746" s="508"/>
      <c r="S746" s="508"/>
      <c r="T746" s="508"/>
      <c r="U746" s="508"/>
      <c r="V746" s="508"/>
      <c r="W746" s="508"/>
      <c r="X746" s="508"/>
      <c r="Y746" s="508"/>
      <c r="Z746" s="508"/>
    </row>
    <row r="747" ht="13.5" customHeight="1">
      <c r="A747" s="508"/>
      <c r="B747" s="508"/>
      <c r="C747" s="508"/>
      <c r="D747" s="508"/>
      <c r="E747" s="508"/>
      <c r="F747" s="508"/>
      <c r="G747" s="508"/>
      <c r="H747" s="508"/>
      <c r="I747" s="508"/>
      <c r="J747" s="508"/>
      <c r="K747" s="508"/>
      <c r="L747" s="508"/>
      <c r="M747" s="508"/>
      <c r="N747" s="508"/>
      <c r="O747" s="508"/>
      <c r="P747" s="508"/>
      <c r="Q747" s="508"/>
      <c r="R747" s="508"/>
      <c r="S747" s="508"/>
      <c r="T747" s="508"/>
      <c r="U747" s="508"/>
      <c r="V747" s="508"/>
      <c r="W747" s="508"/>
      <c r="X747" s="508"/>
      <c r="Y747" s="508"/>
      <c r="Z747" s="508"/>
    </row>
    <row r="748" ht="13.5" customHeight="1">
      <c r="A748" s="508"/>
      <c r="B748" s="508"/>
      <c r="C748" s="508"/>
      <c r="D748" s="508"/>
      <c r="E748" s="508"/>
      <c r="F748" s="508"/>
      <c r="G748" s="508"/>
      <c r="H748" s="508"/>
      <c r="I748" s="508"/>
      <c r="J748" s="508"/>
      <c r="K748" s="508"/>
      <c r="L748" s="508"/>
      <c r="M748" s="508"/>
      <c r="N748" s="508"/>
      <c r="O748" s="508"/>
      <c r="P748" s="508"/>
      <c r="Q748" s="508"/>
      <c r="R748" s="508"/>
      <c r="S748" s="508"/>
      <c r="T748" s="508"/>
      <c r="U748" s="508"/>
      <c r="V748" s="508"/>
      <c r="W748" s="508"/>
      <c r="X748" s="508"/>
      <c r="Y748" s="508"/>
      <c r="Z748" s="508"/>
    </row>
    <row r="749" ht="13.5" customHeight="1">
      <c r="A749" s="508"/>
      <c r="B749" s="508"/>
      <c r="C749" s="508"/>
      <c r="D749" s="508"/>
      <c r="E749" s="508"/>
      <c r="F749" s="508"/>
      <c r="G749" s="508"/>
      <c r="H749" s="508"/>
      <c r="I749" s="508"/>
      <c r="J749" s="508"/>
      <c r="K749" s="508"/>
      <c r="L749" s="508"/>
      <c r="M749" s="508"/>
      <c r="N749" s="508"/>
      <c r="O749" s="508"/>
      <c r="P749" s="508"/>
      <c r="Q749" s="508"/>
      <c r="R749" s="508"/>
      <c r="S749" s="508"/>
      <c r="T749" s="508"/>
      <c r="U749" s="508"/>
      <c r="V749" s="508"/>
      <c r="W749" s="508"/>
      <c r="X749" s="508"/>
      <c r="Y749" s="508"/>
      <c r="Z749" s="508"/>
    </row>
    <row r="750" ht="13.5" customHeight="1">
      <c r="A750" s="508"/>
      <c r="B750" s="508"/>
      <c r="C750" s="508"/>
      <c r="D750" s="508"/>
      <c r="E750" s="508"/>
      <c r="F750" s="508"/>
      <c r="G750" s="508"/>
      <c r="H750" s="508"/>
      <c r="I750" s="508"/>
      <c r="J750" s="508"/>
      <c r="K750" s="508"/>
      <c r="L750" s="508"/>
      <c r="M750" s="508"/>
      <c r="N750" s="508"/>
      <c r="O750" s="508"/>
      <c r="P750" s="508"/>
      <c r="Q750" s="508"/>
      <c r="R750" s="508"/>
      <c r="S750" s="508"/>
      <c r="T750" s="508"/>
      <c r="U750" s="508"/>
      <c r="V750" s="508"/>
      <c r="W750" s="508"/>
      <c r="X750" s="508"/>
      <c r="Y750" s="508"/>
      <c r="Z750" s="508"/>
    </row>
    <row r="751" ht="13.5" customHeight="1">
      <c r="A751" s="508"/>
      <c r="B751" s="508"/>
      <c r="C751" s="508"/>
      <c r="D751" s="508"/>
      <c r="E751" s="508"/>
      <c r="F751" s="508"/>
      <c r="G751" s="508"/>
      <c r="H751" s="508"/>
      <c r="I751" s="508"/>
      <c r="J751" s="508"/>
      <c r="K751" s="508"/>
      <c r="L751" s="508"/>
      <c r="M751" s="508"/>
      <c r="N751" s="508"/>
      <c r="O751" s="508"/>
      <c r="P751" s="508"/>
      <c r="Q751" s="508"/>
      <c r="R751" s="508"/>
      <c r="S751" s="508"/>
      <c r="T751" s="508"/>
      <c r="U751" s="508"/>
      <c r="V751" s="508"/>
      <c r="W751" s="508"/>
      <c r="X751" s="508"/>
      <c r="Y751" s="508"/>
      <c r="Z751" s="508"/>
    </row>
    <row r="752" ht="13.5" customHeight="1">
      <c r="A752" s="508"/>
      <c r="B752" s="508"/>
      <c r="C752" s="508"/>
      <c r="D752" s="508"/>
      <c r="E752" s="508"/>
      <c r="F752" s="508"/>
      <c r="G752" s="508"/>
      <c r="H752" s="508"/>
      <c r="I752" s="508"/>
      <c r="J752" s="508"/>
      <c r="K752" s="508"/>
      <c r="L752" s="508"/>
      <c r="M752" s="508"/>
      <c r="N752" s="508"/>
      <c r="O752" s="508"/>
      <c r="P752" s="508"/>
      <c r="Q752" s="508"/>
      <c r="R752" s="508"/>
      <c r="S752" s="508"/>
      <c r="T752" s="508"/>
      <c r="U752" s="508"/>
      <c r="V752" s="508"/>
      <c r="W752" s="508"/>
      <c r="X752" s="508"/>
      <c r="Y752" s="508"/>
      <c r="Z752" s="508"/>
    </row>
    <row r="753" ht="13.5" customHeight="1">
      <c r="A753" s="508"/>
      <c r="B753" s="508"/>
      <c r="C753" s="508"/>
      <c r="D753" s="508"/>
      <c r="E753" s="508"/>
      <c r="F753" s="508"/>
      <c r="G753" s="508"/>
      <c r="H753" s="508"/>
      <c r="I753" s="508"/>
      <c r="J753" s="508"/>
      <c r="K753" s="508"/>
      <c r="L753" s="508"/>
      <c r="M753" s="508"/>
      <c r="N753" s="508"/>
      <c r="O753" s="508"/>
      <c r="P753" s="508"/>
      <c r="Q753" s="508"/>
      <c r="R753" s="508"/>
      <c r="S753" s="508"/>
      <c r="T753" s="508"/>
      <c r="U753" s="508"/>
      <c r="V753" s="508"/>
      <c r="W753" s="508"/>
      <c r="X753" s="508"/>
      <c r="Y753" s="508"/>
      <c r="Z753" s="508"/>
    </row>
    <row r="754" ht="13.5" customHeight="1">
      <c r="A754" s="508"/>
      <c r="B754" s="508"/>
      <c r="C754" s="508"/>
      <c r="D754" s="508"/>
      <c r="E754" s="508"/>
      <c r="F754" s="508"/>
      <c r="G754" s="508"/>
      <c r="H754" s="508"/>
      <c r="I754" s="508"/>
      <c r="J754" s="508"/>
      <c r="K754" s="508"/>
      <c r="L754" s="508"/>
      <c r="M754" s="508"/>
      <c r="N754" s="508"/>
      <c r="O754" s="508"/>
      <c r="P754" s="508"/>
      <c r="Q754" s="508"/>
      <c r="R754" s="508"/>
      <c r="S754" s="508"/>
      <c r="T754" s="508"/>
      <c r="U754" s="508"/>
      <c r="V754" s="508"/>
      <c r="W754" s="508"/>
      <c r="X754" s="508"/>
      <c r="Y754" s="508"/>
      <c r="Z754" s="508"/>
    </row>
    <row r="755" ht="13.5" customHeight="1">
      <c r="A755" s="508"/>
      <c r="B755" s="508"/>
      <c r="C755" s="508"/>
      <c r="D755" s="508"/>
      <c r="E755" s="508"/>
      <c r="F755" s="508"/>
      <c r="G755" s="508"/>
      <c r="H755" s="508"/>
      <c r="I755" s="508"/>
      <c r="J755" s="508"/>
      <c r="K755" s="508"/>
      <c r="L755" s="508"/>
      <c r="M755" s="508"/>
      <c r="N755" s="508"/>
      <c r="O755" s="508"/>
      <c r="P755" s="508"/>
      <c r="Q755" s="508"/>
      <c r="R755" s="508"/>
      <c r="S755" s="508"/>
      <c r="T755" s="508"/>
      <c r="U755" s="508"/>
      <c r="V755" s="508"/>
      <c r="W755" s="508"/>
      <c r="X755" s="508"/>
      <c r="Y755" s="508"/>
      <c r="Z755" s="508"/>
    </row>
    <row r="756" ht="13.5" customHeight="1">
      <c r="A756" s="508"/>
      <c r="B756" s="508"/>
      <c r="C756" s="508"/>
      <c r="D756" s="508"/>
      <c r="E756" s="508"/>
      <c r="F756" s="508"/>
      <c r="G756" s="508"/>
      <c r="H756" s="508"/>
      <c r="I756" s="508"/>
      <c r="J756" s="508"/>
      <c r="K756" s="508"/>
      <c r="L756" s="508"/>
      <c r="M756" s="508"/>
      <c r="N756" s="508"/>
      <c r="O756" s="508"/>
      <c r="P756" s="508"/>
      <c r="Q756" s="508"/>
      <c r="R756" s="508"/>
      <c r="S756" s="508"/>
      <c r="T756" s="508"/>
      <c r="U756" s="508"/>
      <c r="V756" s="508"/>
      <c r="W756" s="508"/>
      <c r="X756" s="508"/>
      <c r="Y756" s="508"/>
      <c r="Z756" s="508"/>
    </row>
    <row r="757" ht="13.5" customHeight="1">
      <c r="A757" s="508"/>
      <c r="B757" s="508"/>
      <c r="C757" s="508"/>
      <c r="D757" s="508"/>
      <c r="E757" s="508"/>
      <c r="F757" s="508"/>
      <c r="G757" s="508"/>
      <c r="H757" s="508"/>
      <c r="I757" s="508"/>
      <c r="J757" s="508"/>
      <c r="K757" s="508"/>
      <c r="L757" s="508"/>
      <c r="M757" s="508"/>
      <c r="N757" s="508"/>
      <c r="O757" s="508"/>
      <c r="P757" s="508"/>
      <c r="Q757" s="508"/>
      <c r="R757" s="508"/>
      <c r="S757" s="508"/>
      <c r="T757" s="508"/>
      <c r="U757" s="508"/>
      <c r="V757" s="508"/>
      <c r="W757" s="508"/>
      <c r="X757" s="508"/>
      <c r="Y757" s="508"/>
      <c r="Z757" s="508"/>
    </row>
    <row r="758" ht="13.5" customHeight="1">
      <c r="A758" s="508"/>
      <c r="B758" s="508"/>
      <c r="C758" s="508"/>
      <c r="D758" s="508"/>
      <c r="E758" s="508"/>
      <c r="F758" s="508"/>
      <c r="G758" s="508"/>
      <c r="H758" s="508"/>
      <c r="I758" s="508"/>
      <c r="J758" s="508"/>
      <c r="K758" s="508"/>
      <c r="L758" s="508"/>
      <c r="M758" s="508"/>
      <c r="N758" s="508"/>
      <c r="O758" s="508"/>
      <c r="P758" s="508"/>
      <c r="Q758" s="508"/>
      <c r="R758" s="508"/>
      <c r="S758" s="508"/>
      <c r="T758" s="508"/>
      <c r="U758" s="508"/>
      <c r="V758" s="508"/>
      <c r="W758" s="508"/>
      <c r="X758" s="508"/>
      <c r="Y758" s="508"/>
      <c r="Z758" s="508"/>
    </row>
    <row r="759" ht="13.5" customHeight="1">
      <c r="A759" s="508"/>
      <c r="B759" s="508"/>
      <c r="C759" s="508"/>
      <c r="D759" s="508"/>
      <c r="E759" s="508"/>
      <c r="F759" s="508"/>
      <c r="G759" s="508"/>
      <c r="H759" s="508"/>
      <c r="I759" s="508"/>
      <c r="J759" s="508"/>
      <c r="K759" s="508"/>
      <c r="L759" s="508"/>
      <c r="M759" s="508"/>
      <c r="N759" s="508"/>
      <c r="O759" s="508"/>
      <c r="P759" s="508"/>
      <c r="Q759" s="508"/>
      <c r="R759" s="508"/>
      <c r="S759" s="508"/>
      <c r="T759" s="508"/>
      <c r="U759" s="508"/>
      <c r="V759" s="508"/>
      <c r="W759" s="508"/>
      <c r="X759" s="508"/>
      <c r="Y759" s="508"/>
      <c r="Z759" s="508"/>
    </row>
    <row r="760" ht="13.5" customHeight="1">
      <c r="A760" s="508"/>
      <c r="B760" s="508"/>
      <c r="C760" s="508"/>
      <c r="D760" s="508"/>
      <c r="E760" s="508"/>
      <c r="F760" s="508"/>
      <c r="G760" s="508"/>
      <c r="H760" s="508"/>
      <c r="I760" s="508"/>
      <c r="J760" s="508"/>
      <c r="K760" s="508"/>
      <c r="L760" s="508"/>
      <c r="M760" s="508"/>
      <c r="N760" s="508"/>
      <c r="O760" s="508"/>
      <c r="P760" s="508"/>
      <c r="Q760" s="508"/>
      <c r="R760" s="508"/>
      <c r="S760" s="508"/>
      <c r="T760" s="508"/>
      <c r="U760" s="508"/>
      <c r="V760" s="508"/>
      <c r="W760" s="508"/>
      <c r="X760" s="508"/>
      <c r="Y760" s="508"/>
      <c r="Z760" s="508"/>
    </row>
    <row r="761" ht="13.5" customHeight="1">
      <c r="A761" s="508"/>
      <c r="B761" s="508"/>
      <c r="C761" s="508"/>
      <c r="D761" s="508"/>
      <c r="E761" s="508"/>
      <c r="F761" s="508"/>
      <c r="G761" s="508"/>
      <c r="H761" s="508"/>
      <c r="I761" s="508"/>
      <c r="J761" s="508"/>
      <c r="K761" s="508"/>
      <c r="L761" s="508"/>
      <c r="M761" s="508"/>
      <c r="N761" s="508"/>
      <c r="O761" s="508"/>
      <c r="P761" s="508"/>
      <c r="Q761" s="508"/>
      <c r="R761" s="508"/>
      <c r="S761" s="508"/>
      <c r="T761" s="508"/>
      <c r="U761" s="508"/>
      <c r="V761" s="508"/>
      <c r="W761" s="508"/>
      <c r="X761" s="508"/>
      <c r="Y761" s="508"/>
      <c r="Z761" s="508"/>
    </row>
    <row r="762" ht="13.5" customHeight="1">
      <c r="A762" s="508"/>
      <c r="B762" s="508"/>
      <c r="C762" s="508"/>
      <c r="D762" s="508"/>
      <c r="E762" s="508"/>
      <c r="F762" s="508"/>
      <c r="G762" s="508"/>
      <c r="H762" s="508"/>
      <c r="I762" s="508"/>
      <c r="J762" s="508"/>
      <c r="K762" s="508"/>
      <c r="L762" s="508"/>
      <c r="M762" s="508"/>
      <c r="N762" s="508"/>
      <c r="O762" s="508"/>
      <c r="P762" s="508"/>
      <c r="Q762" s="508"/>
      <c r="R762" s="508"/>
      <c r="S762" s="508"/>
      <c r="T762" s="508"/>
      <c r="U762" s="508"/>
      <c r="V762" s="508"/>
      <c r="W762" s="508"/>
      <c r="X762" s="508"/>
      <c r="Y762" s="508"/>
      <c r="Z762" s="508"/>
    </row>
    <row r="763" ht="13.5" customHeight="1">
      <c r="A763" s="508"/>
      <c r="B763" s="508"/>
      <c r="C763" s="508"/>
      <c r="D763" s="508"/>
      <c r="E763" s="508"/>
      <c r="F763" s="508"/>
      <c r="G763" s="508"/>
      <c r="H763" s="508"/>
      <c r="I763" s="508"/>
      <c r="J763" s="508"/>
      <c r="K763" s="508"/>
      <c r="L763" s="508"/>
      <c r="M763" s="508"/>
      <c r="N763" s="508"/>
      <c r="O763" s="508"/>
      <c r="P763" s="508"/>
      <c r="Q763" s="508"/>
      <c r="R763" s="508"/>
      <c r="S763" s="508"/>
      <c r="T763" s="508"/>
      <c r="U763" s="508"/>
      <c r="V763" s="508"/>
      <c r="W763" s="508"/>
      <c r="X763" s="508"/>
      <c r="Y763" s="508"/>
      <c r="Z763" s="508"/>
    </row>
    <row r="764" ht="13.5" customHeight="1">
      <c r="A764" s="508"/>
      <c r="B764" s="508"/>
      <c r="C764" s="508"/>
      <c r="D764" s="508"/>
      <c r="E764" s="508"/>
      <c r="F764" s="508"/>
      <c r="G764" s="508"/>
      <c r="H764" s="508"/>
      <c r="I764" s="508"/>
      <c r="J764" s="508"/>
      <c r="K764" s="508"/>
      <c r="L764" s="508"/>
      <c r="M764" s="508"/>
      <c r="N764" s="508"/>
      <c r="O764" s="508"/>
      <c r="P764" s="508"/>
      <c r="Q764" s="508"/>
      <c r="R764" s="508"/>
      <c r="S764" s="508"/>
      <c r="T764" s="508"/>
      <c r="U764" s="508"/>
      <c r="V764" s="508"/>
      <c r="W764" s="508"/>
      <c r="X764" s="508"/>
      <c r="Y764" s="508"/>
      <c r="Z764" s="508"/>
    </row>
    <row r="765" ht="13.5" customHeight="1">
      <c r="A765" s="508"/>
      <c r="B765" s="508"/>
      <c r="C765" s="508"/>
      <c r="D765" s="508"/>
      <c r="E765" s="508"/>
      <c r="F765" s="508"/>
      <c r="G765" s="508"/>
      <c r="H765" s="508"/>
      <c r="I765" s="508"/>
      <c r="J765" s="508"/>
      <c r="K765" s="508"/>
      <c r="L765" s="508"/>
      <c r="M765" s="508"/>
      <c r="N765" s="508"/>
      <c r="O765" s="508"/>
      <c r="P765" s="508"/>
      <c r="Q765" s="508"/>
      <c r="R765" s="508"/>
      <c r="S765" s="508"/>
      <c r="T765" s="508"/>
      <c r="U765" s="508"/>
      <c r="V765" s="508"/>
      <c r="W765" s="508"/>
      <c r="X765" s="508"/>
      <c r="Y765" s="508"/>
      <c r="Z765" s="508"/>
    </row>
    <row r="766" ht="13.5" customHeight="1">
      <c r="A766" s="508"/>
      <c r="B766" s="508"/>
      <c r="C766" s="508"/>
      <c r="D766" s="508"/>
      <c r="E766" s="508"/>
      <c r="F766" s="508"/>
      <c r="G766" s="508"/>
      <c r="H766" s="508"/>
      <c r="I766" s="508"/>
      <c r="J766" s="508"/>
      <c r="K766" s="508"/>
      <c r="L766" s="508"/>
      <c r="M766" s="508"/>
      <c r="N766" s="508"/>
      <c r="O766" s="508"/>
      <c r="P766" s="508"/>
      <c r="Q766" s="508"/>
      <c r="R766" s="508"/>
      <c r="S766" s="508"/>
      <c r="T766" s="508"/>
      <c r="U766" s="508"/>
      <c r="V766" s="508"/>
      <c r="W766" s="508"/>
      <c r="X766" s="508"/>
      <c r="Y766" s="508"/>
      <c r="Z766" s="508"/>
    </row>
    <row r="767" ht="13.5" customHeight="1">
      <c r="A767" s="508"/>
      <c r="B767" s="508"/>
      <c r="C767" s="508"/>
      <c r="D767" s="508"/>
      <c r="E767" s="508"/>
      <c r="F767" s="508"/>
      <c r="G767" s="508"/>
      <c r="H767" s="508"/>
      <c r="I767" s="508"/>
      <c r="J767" s="508"/>
      <c r="K767" s="508"/>
      <c r="L767" s="508"/>
      <c r="M767" s="508"/>
      <c r="N767" s="508"/>
      <c r="O767" s="508"/>
      <c r="P767" s="508"/>
      <c r="Q767" s="508"/>
      <c r="R767" s="508"/>
      <c r="S767" s="508"/>
      <c r="T767" s="508"/>
      <c r="U767" s="508"/>
      <c r="V767" s="508"/>
      <c r="W767" s="508"/>
      <c r="X767" s="508"/>
      <c r="Y767" s="508"/>
      <c r="Z767" s="508"/>
    </row>
    <row r="768" ht="13.5" customHeight="1">
      <c r="A768" s="508"/>
      <c r="B768" s="508"/>
      <c r="C768" s="508"/>
      <c r="D768" s="508"/>
      <c r="E768" s="508"/>
      <c r="F768" s="508"/>
      <c r="G768" s="508"/>
      <c r="H768" s="508"/>
      <c r="I768" s="508"/>
      <c r="J768" s="508"/>
      <c r="K768" s="508"/>
      <c r="L768" s="508"/>
      <c r="M768" s="508"/>
      <c r="N768" s="508"/>
      <c r="O768" s="508"/>
      <c r="P768" s="508"/>
      <c r="Q768" s="508"/>
      <c r="R768" s="508"/>
      <c r="S768" s="508"/>
      <c r="T768" s="508"/>
      <c r="U768" s="508"/>
      <c r="V768" s="508"/>
      <c r="W768" s="508"/>
      <c r="X768" s="508"/>
      <c r="Y768" s="508"/>
      <c r="Z768" s="508"/>
    </row>
    <row r="769" ht="13.5" customHeight="1">
      <c r="A769" s="508"/>
      <c r="B769" s="508"/>
      <c r="C769" s="508"/>
      <c r="D769" s="508"/>
      <c r="E769" s="508"/>
      <c r="F769" s="508"/>
      <c r="G769" s="508"/>
      <c r="H769" s="508"/>
      <c r="I769" s="508"/>
      <c r="J769" s="508"/>
      <c r="K769" s="508"/>
      <c r="L769" s="508"/>
      <c r="M769" s="508"/>
      <c r="N769" s="508"/>
      <c r="O769" s="508"/>
      <c r="P769" s="508"/>
      <c r="Q769" s="508"/>
      <c r="R769" s="508"/>
      <c r="S769" s="508"/>
      <c r="T769" s="508"/>
      <c r="U769" s="508"/>
      <c r="V769" s="508"/>
      <c r="W769" s="508"/>
      <c r="X769" s="508"/>
      <c r="Y769" s="508"/>
      <c r="Z769" s="508"/>
    </row>
    <row r="770" ht="13.5" customHeight="1">
      <c r="A770" s="508"/>
      <c r="B770" s="508"/>
      <c r="C770" s="508"/>
      <c r="D770" s="508"/>
      <c r="E770" s="508"/>
      <c r="F770" s="508"/>
      <c r="G770" s="508"/>
      <c r="H770" s="508"/>
      <c r="I770" s="508"/>
      <c r="J770" s="508"/>
      <c r="K770" s="508"/>
      <c r="L770" s="508"/>
      <c r="M770" s="508"/>
      <c r="N770" s="508"/>
      <c r="O770" s="508"/>
      <c r="P770" s="508"/>
      <c r="Q770" s="508"/>
      <c r="R770" s="508"/>
      <c r="S770" s="508"/>
      <c r="T770" s="508"/>
      <c r="U770" s="508"/>
      <c r="V770" s="508"/>
      <c r="W770" s="508"/>
      <c r="X770" s="508"/>
      <c r="Y770" s="508"/>
      <c r="Z770" s="508"/>
    </row>
    <row r="771" ht="13.5" customHeight="1">
      <c r="A771" s="508"/>
      <c r="B771" s="508"/>
      <c r="C771" s="508"/>
      <c r="D771" s="508"/>
      <c r="E771" s="508"/>
      <c r="F771" s="508"/>
      <c r="G771" s="508"/>
      <c r="H771" s="508"/>
      <c r="I771" s="508"/>
      <c r="J771" s="508"/>
      <c r="K771" s="508"/>
      <c r="L771" s="508"/>
      <c r="M771" s="508"/>
      <c r="N771" s="508"/>
      <c r="O771" s="508"/>
      <c r="P771" s="508"/>
      <c r="Q771" s="508"/>
      <c r="R771" s="508"/>
      <c r="S771" s="508"/>
      <c r="T771" s="508"/>
      <c r="U771" s="508"/>
      <c r="V771" s="508"/>
      <c r="W771" s="508"/>
      <c r="X771" s="508"/>
      <c r="Y771" s="508"/>
      <c r="Z771" s="508"/>
    </row>
    <row r="772" ht="13.5" customHeight="1">
      <c r="A772" s="508"/>
      <c r="B772" s="508"/>
      <c r="C772" s="508"/>
      <c r="D772" s="508"/>
      <c r="E772" s="508"/>
      <c r="F772" s="508"/>
      <c r="G772" s="508"/>
      <c r="H772" s="508"/>
      <c r="I772" s="508"/>
      <c r="J772" s="508"/>
      <c r="K772" s="508"/>
      <c r="L772" s="508"/>
      <c r="M772" s="508"/>
      <c r="N772" s="508"/>
      <c r="O772" s="508"/>
      <c r="P772" s="508"/>
      <c r="Q772" s="508"/>
      <c r="R772" s="508"/>
      <c r="S772" s="508"/>
      <c r="T772" s="508"/>
      <c r="U772" s="508"/>
      <c r="V772" s="508"/>
      <c r="W772" s="508"/>
      <c r="X772" s="508"/>
      <c r="Y772" s="508"/>
      <c r="Z772" s="508"/>
    </row>
    <row r="773" ht="13.5" customHeight="1">
      <c r="A773" s="508"/>
      <c r="B773" s="508"/>
      <c r="C773" s="508"/>
      <c r="D773" s="508"/>
      <c r="E773" s="508"/>
      <c r="F773" s="508"/>
      <c r="G773" s="508"/>
      <c r="H773" s="508"/>
      <c r="I773" s="508"/>
      <c r="J773" s="508"/>
      <c r="K773" s="508"/>
      <c r="L773" s="508"/>
      <c r="M773" s="508"/>
      <c r="N773" s="508"/>
      <c r="O773" s="508"/>
      <c r="P773" s="508"/>
      <c r="Q773" s="508"/>
      <c r="R773" s="508"/>
      <c r="S773" s="508"/>
      <c r="T773" s="508"/>
      <c r="U773" s="508"/>
      <c r="V773" s="508"/>
      <c r="W773" s="508"/>
      <c r="X773" s="508"/>
      <c r="Y773" s="508"/>
      <c r="Z773" s="508"/>
    </row>
    <row r="774" ht="13.5" customHeight="1">
      <c r="A774" s="508"/>
      <c r="B774" s="508"/>
      <c r="C774" s="508"/>
      <c r="D774" s="508"/>
      <c r="E774" s="508"/>
      <c r="F774" s="508"/>
      <c r="G774" s="508"/>
      <c r="H774" s="508"/>
      <c r="I774" s="508"/>
      <c r="J774" s="508"/>
      <c r="K774" s="508"/>
      <c r="L774" s="508"/>
      <c r="M774" s="508"/>
      <c r="N774" s="508"/>
      <c r="O774" s="508"/>
      <c r="P774" s="508"/>
      <c r="Q774" s="508"/>
      <c r="R774" s="508"/>
      <c r="S774" s="508"/>
      <c r="T774" s="508"/>
      <c r="U774" s="508"/>
      <c r="V774" s="508"/>
      <c r="W774" s="508"/>
      <c r="X774" s="508"/>
      <c r="Y774" s="508"/>
      <c r="Z774" s="508"/>
    </row>
    <row r="775" ht="13.5" customHeight="1">
      <c r="A775" s="508"/>
      <c r="B775" s="508"/>
      <c r="C775" s="508"/>
      <c r="D775" s="508"/>
      <c r="E775" s="508"/>
      <c r="F775" s="508"/>
      <c r="G775" s="508"/>
      <c r="H775" s="508"/>
      <c r="I775" s="508"/>
      <c r="J775" s="508"/>
      <c r="K775" s="508"/>
      <c r="L775" s="508"/>
      <c r="M775" s="508"/>
      <c r="N775" s="508"/>
      <c r="O775" s="508"/>
      <c r="P775" s="508"/>
      <c r="Q775" s="508"/>
      <c r="R775" s="508"/>
      <c r="S775" s="508"/>
      <c r="T775" s="508"/>
      <c r="U775" s="508"/>
      <c r="V775" s="508"/>
      <c r="W775" s="508"/>
      <c r="X775" s="508"/>
      <c r="Y775" s="508"/>
      <c r="Z775" s="508"/>
    </row>
    <row r="776" ht="13.5" customHeight="1">
      <c r="A776" s="508"/>
      <c r="B776" s="508"/>
      <c r="C776" s="508"/>
      <c r="D776" s="508"/>
      <c r="E776" s="508"/>
      <c r="F776" s="508"/>
      <c r="G776" s="508"/>
      <c r="H776" s="508"/>
      <c r="I776" s="508"/>
      <c r="J776" s="508"/>
      <c r="K776" s="508"/>
      <c r="L776" s="508"/>
      <c r="M776" s="508"/>
      <c r="N776" s="508"/>
      <c r="O776" s="508"/>
      <c r="P776" s="508"/>
      <c r="Q776" s="508"/>
      <c r="R776" s="508"/>
      <c r="S776" s="508"/>
      <c r="T776" s="508"/>
      <c r="U776" s="508"/>
      <c r="V776" s="508"/>
      <c r="W776" s="508"/>
      <c r="X776" s="508"/>
      <c r="Y776" s="508"/>
      <c r="Z776" s="508"/>
    </row>
    <row r="777" ht="13.5" customHeight="1">
      <c r="A777" s="508"/>
      <c r="B777" s="508"/>
      <c r="C777" s="508"/>
      <c r="D777" s="508"/>
      <c r="E777" s="508"/>
      <c r="F777" s="508"/>
      <c r="G777" s="508"/>
      <c r="H777" s="508"/>
      <c r="I777" s="508"/>
      <c r="J777" s="508"/>
      <c r="K777" s="508"/>
      <c r="L777" s="508"/>
      <c r="M777" s="508"/>
      <c r="N777" s="508"/>
      <c r="O777" s="508"/>
      <c r="P777" s="508"/>
      <c r="Q777" s="508"/>
      <c r="R777" s="508"/>
      <c r="S777" s="508"/>
      <c r="T777" s="508"/>
      <c r="U777" s="508"/>
      <c r="V777" s="508"/>
      <c r="W777" s="508"/>
      <c r="X777" s="508"/>
      <c r="Y777" s="508"/>
      <c r="Z777" s="508"/>
    </row>
    <row r="778" ht="13.5" customHeight="1">
      <c r="A778" s="508"/>
      <c r="B778" s="508"/>
      <c r="C778" s="508"/>
      <c r="D778" s="508"/>
      <c r="E778" s="508"/>
      <c r="F778" s="508"/>
      <c r="G778" s="508"/>
      <c r="H778" s="508"/>
      <c r="I778" s="508"/>
      <c r="J778" s="508"/>
      <c r="K778" s="508"/>
      <c r="L778" s="508"/>
      <c r="M778" s="508"/>
      <c r="N778" s="508"/>
      <c r="O778" s="508"/>
      <c r="P778" s="508"/>
      <c r="Q778" s="508"/>
      <c r="R778" s="508"/>
      <c r="S778" s="508"/>
      <c r="T778" s="508"/>
      <c r="U778" s="508"/>
      <c r="V778" s="508"/>
      <c r="W778" s="508"/>
      <c r="X778" s="508"/>
      <c r="Y778" s="508"/>
      <c r="Z778" s="508"/>
    </row>
    <row r="779" ht="13.5" customHeight="1">
      <c r="A779" s="508"/>
      <c r="B779" s="508"/>
      <c r="C779" s="508"/>
      <c r="D779" s="508"/>
      <c r="E779" s="508"/>
      <c r="F779" s="508"/>
      <c r="G779" s="508"/>
      <c r="H779" s="508"/>
      <c r="I779" s="508"/>
      <c r="J779" s="508"/>
      <c r="K779" s="508"/>
      <c r="L779" s="508"/>
      <c r="M779" s="508"/>
      <c r="N779" s="508"/>
      <c r="O779" s="508"/>
      <c r="P779" s="508"/>
      <c r="Q779" s="508"/>
      <c r="R779" s="508"/>
      <c r="S779" s="508"/>
      <c r="T779" s="508"/>
      <c r="U779" s="508"/>
      <c r="V779" s="508"/>
      <c r="W779" s="508"/>
      <c r="X779" s="508"/>
      <c r="Y779" s="508"/>
      <c r="Z779" s="508"/>
    </row>
    <row r="780" ht="13.5" customHeight="1">
      <c r="A780" s="508"/>
      <c r="B780" s="508"/>
      <c r="C780" s="508"/>
      <c r="D780" s="508"/>
      <c r="E780" s="508"/>
      <c r="F780" s="508"/>
      <c r="G780" s="508"/>
      <c r="H780" s="508"/>
      <c r="I780" s="508"/>
      <c r="J780" s="508"/>
      <c r="K780" s="508"/>
      <c r="L780" s="508"/>
      <c r="M780" s="508"/>
      <c r="N780" s="508"/>
      <c r="O780" s="508"/>
      <c r="P780" s="508"/>
      <c r="Q780" s="508"/>
      <c r="R780" s="508"/>
      <c r="S780" s="508"/>
      <c r="T780" s="508"/>
      <c r="U780" s="508"/>
      <c r="V780" s="508"/>
      <c r="W780" s="508"/>
      <c r="X780" s="508"/>
      <c r="Y780" s="508"/>
      <c r="Z780" s="508"/>
    </row>
    <row r="781" ht="13.5" customHeight="1">
      <c r="A781" s="508"/>
      <c r="B781" s="508"/>
      <c r="C781" s="508"/>
      <c r="D781" s="508"/>
      <c r="E781" s="508"/>
      <c r="F781" s="508"/>
      <c r="G781" s="508"/>
      <c r="H781" s="508"/>
      <c r="I781" s="508"/>
      <c r="J781" s="508"/>
      <c r="K781" s="508"/>
      <c r="L781" s="508"/>
      <c r="M781" s="508"/>
      <c r="N781" s="508"/>
      <c r="O781" s="508"/>
      <c r="P781" s="508"/>
      <c r="Q781" s="508"/>
      <c r="R781" s="508"/>
      <c r="S781" s="508"/>
      <c r="T781" s="508"/>
      <c r="U781" s="508"/>
      <c r="V781" s="508"/>
      <c r="W781" s="508"/>
      <c r="X781" s="508"/>
      <c r="Y781" s="508"/>
      <c r="Z781" s="508"/>
    </row>
    <row r="782" ht="13.5" customHeight="1">
      <c r="A782" s="508"/>
      <c r="B782" s="508"/>
      <c r="C782" s="508"/>
      <c r="D782" s="508"/>
      <c r="E782" s="508"/>
      <c r="F782" s="508"/>
      <c r="G782" s="508"/>
      <c r="H782" s="508"/>
      <c r="I782" s="508"/>
      <c r="J782" s="508"/>
      <c r="K782" s="508"/>
      <c r="L782" s="508"/>
      <c r="M782" s="508"/>
      <c r="N782" s="508"/>
      <c r="O782" s="508"/>
      <c r="P782" s="508"/>
      <c r="Q782" s="508"/>
      <c r="R782" s="508"/>
      <c r="S782" s="508"/>
      <c r="T782" s="508"/>
      <c r="U782" s="508"/>
      <c r="V782" s="508"/>
      <c r="W782" s="508"/>
      <c r="X782" s="508"/>
      <c r="Y782" s="508"/>
      <c r="Z782" s="508"/>
    </row>
    <row r="783" ht="13.5" customHeight="1">
      <c r="A783" s="508"/>
      <c r="B783" s="508"/>
      <c r="C783" s="508"/>
      <c r="D783" s="508"/>
      <c r="E783" s="508"/>
      <c r="F783" s="508"/>
      <c r="G783" s="508"/>
      <c r="H783" s="508"/>
      <c r="I783" s="508"/>
      <c r="J783" s="508"/>
      <c r="K783" s="508"/>
      <c r="L783" s="508"/>
      <c r="M783" s="508"/>
      <c r="N783" s="508"/>
      <c r="O783" s="508"/>
      <c r="P783" s="508"/>
      <c r="Q783" s="508"/>
      <c r="R783" s="508"/>
      <c r="S783" s="508"/>
      <c r="T783" s="508"/>
      <c r="U783" s="508"/>
      <c r="V783" s="508"/>
      <c r="W783" s="508"/>
      <c r="X783" s="508"/>
      <c r="Y783" s="508"/>
      <c r="Z783" s="508"/>
    </row>
    <row r="784" ht="13.5" customHeight="1">
      <c r="A784" s="508"/>
      <c r="B784" s="508"/>
      <c r="C784" s="508"/>
      <c r="D784" s="508"/>
      <c r="E784" s="508"/>
      <c r="F784" s="508"/>
      <c r="G784" s="508"/>
      <c r="H784" s="508"/>
      <c r="I784" s="508"/>
      <c r="J784" s="508"/>
      <c r="K784" s="508"/>
      <c r="L784" s="508"/>
      <c r="M784" s="508"/>
      <c r="N784" s="508"/>
      <c r="O784" s="508"/>
      <c r="P784" s="508"/>
      <c r="Q784" s="508"/>
      <c r="R784" s="508"/>
      <c r="S784" s="508"/>
      <c r="T784" s="508"/>
      <c r="U784" s="508"/>
      <c r="V784" s="508"/>
      <c r="W784" s="508"/>
      <c r="X784" s="508"/>
      <c r="Y784" s="508"/>
      <c r="Z784" s="508"/>
    </row>
    <row r="785" ht="13.5" customHeight="1">
      <c r="A785" s="508"/>
      <c r="B785" s="508"/>
      <c r="C785" s="508"/>
      <c r="D785" s="508"/>
      <c r="E785" s="508"/>
      <c r="F785" s="508"/>
      <c r="G785" s="508"/>
      <c r="H785" s="508"/>
      <c r="I785" s="508"/>
      <c r="J785" s="508"/>
      <c r="K785" s="508"/>
      <c r="L785" s="508"/>
      <c r="M785" s="508"/>
      <c r="N785" s="508"/>
      <c r="O785" s="508"/>
      <c r="P785" s="508"/>
      <c r="Q785" s="508"/>
      <c r="R785" s="508"/>
      <c r="S785" s="508"/>
      <c r="T785" s="508"/>
      <c r="U785" s="508"/>
      <c r="V785" s="508"/>
      <c r="W785" s="508"/>
      <c r="X785" s="508"/>
      <c r="Y785" s="508"/>
      <c r="Z785" s="508"/>
    </row>
    <row r="786" ht="13.5" customHeight="1">
      <c r="A786" s="508"/>
      <c r="B786" s="508"/>
      <c r="C786" s="508"/>
      <c r="D786" s="508"/>
      <c r="E786" s="508"/>
      <c r="F786" s="508"/>
      <c r="G786" s="508"/>
      <c r="H786" s="508"/>
      <c r="I786" s="508"/>
      <c r="J786" s="508"/>
      <c r="K786" s="508"/>
      <c r="L786" s="508"/>
      <c r="M786" s="508"/>
      <c r="N786" s="508"/>
      <c r="O786" s="508"/>
      <c r="P786" s="508"/>
      <c r="Q786" s="508"/>
      <c r="R786" s="508"/>
      <c r="S786" s="508"/>
      <c r="T786" s="508"/>
      <c r="U786" s="508"/>
      <c r="V786" s="508"/>
      <c r="W786" s="508"/>
      <c r="X786" s="508"/>
      <c r="Y786" s="508"/>
      <c r="Z786" s="508"/>
    </row>
    <row r="787" ht="13.5" customHeight="1">
      <c r="A787" s="508"/>
      <c r="B787" s="508"/>
      <c r="C787" s="508"/>
      <c r="D787" s="508"/>
      <c r="E787" s="508"/>
      <c r="F787" s="508"/>
      <c r="G787" s="508"/>
      <c r="H787" s="508"/>
      <c r="I787" s="508"/>
      <c r="J787" s="508"/>
      <c r="K787" s="508"/>
      <c r="L787" s="508"/>
      <c r="M787" s="508"/>
      <c r="N787" s="508"/>
      <c r="O787" s="508"/>
      <c r="P787" s="508"/>
      <c r="Q787" s="508"/>
      <c r="R787" s="508"/>
      <c r="S787" s="508"/>
      <c r="T787" s="508"/>
      <c r="U787" s="508"/>
      <c r="V787" s="508"/>
      <c r="W787" s="508"/>
      <c r="X787" s="508"/>
      <c r="Y787" s="508"/>
      <c r="Z787" s="508"/>
    </row>
    <row r="788" ht="13.5" customHeight="1">
      <c r="A788" s="508"/>
      <c r="B788" s="508"/>
      <c r="C788" s="508"/>
      <c r="D788" s="508"/>
      <c r="E788" s="508"/>
      <c r="F788" s="508"/>
      <c r="G788" s="508"/>
      <c r="H788" s="508"/>
      <c r="I788" s="508"/>
      <c r="J788" s="508"/>
      <c r="K788" s="508"/>
      <c r="L788" s="508"/>
      <c r="M788" s="508"/>
      <c r="N788" s="508"/>
      <c r="O788" s="508"/>
      <c r="P788" s="508"/>
      <c r="Q788" s="508"/>
      <c r="R788" s="508"/>
      <c r="S788" s="508"/>
      <c r="T788" s="508"/>
      <c r="U788" s="508"/>
      <c r="V788" s="508"/>
      <c r="W788" s="508"/>
      <c r="X788" s="508"/>
      <c r="Y788" s="508"/>
      <c r="Z788" s="508"/>
    </row>
    <row r="789" ht="13.5" customHeight="1">
      <c r="A789" s="508"/>
      <c r="B789" s="508"/>
      <c r="C789" s="508"/>
      <c r="D789" s="508"/>
      <c r="E789" s="508"/>
      <c r="F789" s="508"/>
      <c r="G789" s="508"/>
      <c r="H789" s="508"/>
      <c r="I789" s="508"/>
      <c r="J789" s="508"/>
      <c r="K789" s="508"/>
      <c r="L789" s="508"/>
      <c r="M789" s="508"/>
      <c r="N789" s="508"/>
      <c r="O789" s="508"/>
      <c r="P789" s="508"/>
      <c r="Q789" s="508"/>
      <c r="R789" s="508"/>
      <c r="S789" s="508"/>
      <c r="T789" s="508"/>
      <c r="U789" s="508"/>
      <c r="V789" s="508"/>
      <c r="W789" s="508"/>
      <c r="X789" s="508"/>
      <c r="Y789" s="508"/>
      <c r="Z789" s="508"/>
    </row>
    <row r="790" ht="13.5" customHeight="1">
      <c r="A790" s="508"/>
      <c r="B790" s="508"/>
      <c r="C790" s="508"/>
      <c r="D790" s="508"/>
      <c r="E790" s="508"/>
      <c r="F790" s="508"/>
      <c r="G790" s="508"/>
      <c r="H790" s="508"/>
      <c r="I790" s="508"/>
      <c r="J790" s="508"/>
      <c r="K790" s="508"/>
      <c r="L790" s="508"/>
      <c r="M790" s="508"/>
      <c r="N790" s="508"/>
      <c r="O790" s="508"/>
      <c r="P790" s="508"/>
      <c r="Q790" s="508"/>
      <c r="R790" s="508"/>
      <c r="S790" s="508"/>
      <c r="T790" s="508"/>
      <c r="U790" s="508"/>
      <c r="V790" s="508"/>
      <c r="W790" s="508"/>
      <c r="X790" s="508"/>
      <c r="Y790" s="508"/>
      <c r="Z790" s="508"/>
    </row>
    <row r="791" ht="13.5" customHeight="1">
      <c r="A791" s="508"/>
      <c r="B791" s="508"/>
      <c r="C791" s="508"/>
      <c r="D791" s="508"/>
      <c r="E791" s="508"/>
      <c r="F791" s="508"/>
      <c r="G791" s="508"/>
      <c r="H791" s="508"/>
      <c r="I791" s="508"/>
      <c r="J791" s="508"/>
      <c r="K791" s="508"/>
      <c r="L791" s="508"/>
      <c r="M791" s="508"/>
      <c r="N791" s="508"/>
      <c r="O791" s="508"/>
      <c r="P791" s="508"/>
      <c r="Q791" s="508"/>
      <c r="R791" s="508"/>
      <c r="S791" s="508"/>
      <c r="T791" s="508"/>
      <c r="U791" s="508"/>
      <c r="V791" s="508"/>
      <c r="W791" s="508"/>
      <c r="X791" s="508"/>
      <c r="Y791" s="508"/>
      <c r="Z791" s="508"/>
    </row>
    <row r="792" ht="13.5" customHeight="1">
      <c r="A792" s="508"/>
      <c r="B792" s="508"/>
      <c r="C792" s="508"/>
      <c r="D792" s="508"/>
      <c r="E792" s="508"/>
      <c r="F792" s="508"/>
      <c r="G792" s="508"/>
      <c r="H792" s="508"/>
      <c r="I792" s="508"/>
      <c r="J792" s="508"/>
      <c r="K792" s="508"/>
      <c r="L792" s="508"/>
      <c r="M792" s="508"/>
      <c r="N792" s="508"/>
      <c r="O792" s="508"/>
      <c r="P792" s="508"/>
      <c r="Q792" s="508"/>
      <c r="R792" s="508"/>
      <c r="S792" s="508"/>
      <c r="T792" s="508"/>
      <c r="U792" s="508"/>
      <c r="V792" s="508"/>
      <c r="W792" s="508"/>
      <c r="X792" s="508"/>
      <c r="Y792" s="508"/>
      <c r="Z792" s="508"/>
    </row>
    <row r="793" ht="13.5" customHeight="1">
      <c r="A793" s="508"/>
      <c r="B793" s="508"/>
      <c r="C793" s="508"/>
      <c r="D793" s="508"/>
      <c r="E793" s="508"/>
      <c r="F793" s="508"/>
      <c r="G793" s="508"/>
      <c r="H793" s="508"/>
      <c r="I793" s="508"/>
      <c r="J793" s="508"/>
      <c r="K793" s="508"/>
      <c r="L793" s="508"/>
      <c r="M793" s="508"/>
      <c r="N793" s="508"/>
      <c r="O793" s="508"/>
      <c r="P793" s="508"/>
      <c r="Q793" s="508"/>
      <c r="R793" s="508"/>
      <c r="S793" s="508"/>
      <c r="T793" s="508"/>
      <c r="U793" s="508"/>
      <c r="V793" s="508"/>
      <c r="W793" s="508"/>
      <c r="X793" s="508"/>
      <c r="Y793" s="508"/>
      <c r="Z793" s="508"/>
    </row>
    <row r="794" ht="13.5" customHeight="1">
      <c r="A794" s="508"/>
      <c r="B794" s="508"/>
      <c r="C794" s="508"/>
      <c r="D794" s="508"/>
      <c r="E794" s="508"/>
      <c r="F794" s="508"/>
      <c r="G794" s="508"/>
      <c r="H794" s="508"/>
      <c r="I794" s="508"/>
      <c r="J794" s="508"/>
      <c r="K794" s="508"/>
      <c r="L794" s="508"/>
      <c r="M794" s="508"/>
      <c r="N794" s="508"/>
      <c r="O794" s="508"/>
      <c r="P794" s="508"/>
      <c r="Q794" s="508"/>
      <c r="R794" s="508"/>
      <c r="S794" s="508"/>
      <c r="T794" s="508"/>
      <c r="U794" s="508"/>
      <c r="V794" s="508"/>
      <c r="W794" s="508"/>
      <c r="X794" s="508"/>
      <c r="Y794" s="508"/>
      <c r="Z794" s="508"/>
    </row>
    <row r="795" ht="13.5" customHeight="1">
      <c r="A795" s="508"/>
      <c r="B795" s="508"/>
      <c r="C795" s="508"/>
      <c r="D795" s="508"/>
      <c r="E795" s="508"/>
      <c r="F795" s="508"/>
      <c r="G795" s="508"/>
      <c r="H795" s="508"/>
      <c r="I795" s="508"/>
      <c r="J795" s="508"/>
      <c r="K795" s="508"/>
      <c r="L795" s="508"/>
      <c r="M795" s="508"/>
      <c r="N795" s="508"/>
      <c r="O795" s="508"/>
      <c r="P795" s="508"/>
      <c r="Q795" s="508"/>
      <c r="R795" s="508"/>
      <c r="S795" s="508"/>
      <c r="T795" s="508"/>
      <c r="U795" s="508"/>
      <c r="V795" s="508"/>
      <c r="W795" s="508"/>
      <c r="X795" s="508"/>
      <c r="Y795" s="508"/>
      <c r="Z795" s="508"/>
    </row>
    <row r="796" ht="13.5" customHeight="1">
      <c r="A796" s="508"/>
      <c r="B796" s="508"/>
      <c r="C796" s="508"/>
      <c r="D796" s="508"/>
      <c r="E796" s="508"/>
      <c r="F796" s="508"/>
      <c r="G796" s="508"/>
      <c r="H796" s="508"/>
      <c r="I796" s="508"/>
      <c r="J796" s="508"/>
      <c r="K796" s="508"/>
      <c r="L796" s="508"/>
      <c r="M796" s="508"/>
      <c r="N796" s="508"/>
      <c r="O796" s="508"/>
      <c r="P796" s="508"/>
      <c r="Q796" s="508"/>
      <c r="R796" s="508"/>
      <c r="S796" s="508"/>
      <c r="T796" s="508"/>
      <c r="U796" s="508"/>
      <c r="V796" s="508"/>
      <c r="W796" s="508"/>
      <c r="X796" s="508"/>
      <c r="Y796" s="508"/>
      <c r="Z796" s="508"/>
    </row>
    <row r="797" ht="13.5" customHeight="1">
      <c r="A797" s="508"/>
      <c r="B797" s="508"/>
      <c r="C797" s="508"/>
      <c r="D797" s="508"/>
      <c r="E797" s="508"/>
      <c r="F797" s="508"/>
      <c r="G797" s="508"/>
      <c r="H797" s="508"/>
      <c r="I797" s="508"/>
      <c r="J797" s="508"/>
      <c r="K797" s="508"/>
      <c r="L797" s="508"/>
      <c r="M797" s="508"/>
      <c r="N797" s="508"/>
      <c r="O797" s="508"/>
      <c r="P797" s="508"/>
      <c r="Q797" s="508"/>
      <c r="R797" s="508"/>
      <c r="S797" s="508"/>
      <c r="T797" s="508"/>
      <c r="U797" s="508"/>
      <c r="V797" s="508"/>
      <c r="W797" s="508"/>
      <c r="X797" s="508"/>
      <c r="Y797" s="508"/>
      <c r="Z797" s="508"/>
    </row>
    <row r="798" ht="13.5" customHeight="1">
      <c r="A798" s="508"/>
      <c r="B798" s="508"/>
      <c r="C798" s="508"/>
      <c r="D798" s="508"/>
      <c r="E798" s="508"/>
      <c r="F798" s="508"/>
      <c r="G798" s="508"/>
      <c r="H798" s="508"/>
      <c r="I798" s="508"/>
      <c r="J798" s="508"/>
      <c r="K798" s="508"/>
      <c r="L798" s="508"/>
      <c r="M798" s="508"/>
      <c r="N798" s="508"/>
      <c r="O798" s="508"/>
      <c r="P798" s="508"/>
      <c r="Q798" s="508"/>
      <c r="R798" s="508"/>
      <c r="S798" s="508"/>
      <c r="T798" s="508"/>
      <c r="U798" s="508"/>
      <c r="V798" s="508"/>
      <c r="W798" s="508"/>
      <c r="X798" s="508"/>
      <c r="Y798" s="508"/>
      <c r="Z798" s="508"/>
    </row>
    <row r="799" ht="13.5" customHeight="1">
      <c r="A799" s="508"/>
      <c r="B799" s="508"/>
      <c r="C799" s="508"/>
      <c r="D799" s="508"/>
      <c r="E799" s="508"/>
      <c r="F799" s="508"/>
      <c r="G799" s="508"/>
      <c r="H799" s="508"/>
      <c r="I799" s="508"/>
      <c r="J799" s="508"/>
      <c r="K799" s="508"/>
      <c r="L799" s="508"/>
      <c r="M799" s="508"/>
      <c r="N799" s="508"/>
      <c r="O799" s="508"/>
      <c r="P799" s="508"/>
      <c r="Q799" s="508"/>
      <c r="R799" s="508"/>
      <c r="S799" s="508"/>
      <c r="T799" s="508"/>
      <c r="U799" s="508"/>
      <c r="V799" s="508"/>
      <c r="W799" s="508"/>
      <c r="X799" s="508"/>
      <c r="Y799" s="508"/>
      <c r="Z799" s="508"/>
    </row>
    <row r="800" ht="13.5" customHeight="1">
      <c r="A800" s="508"/>
      <c r="B800" s="508"/>
      <c r="C800" s="508"/>
      <c r="D800" s="508"/>
      <c r="E800" s="508"/>
      <c r="F800" s="508"/>
      <c r="G800" s="508"/>
      <c r="H800" s="508"/>
      <c r="I800" s="508"/>
      <c r="J800" s="508"/>
      <c r="K800" s="508"/>
      <c r="L800" s="508"/>
      <c r="M800" s="508"/>
      <c r="N800" s="508"/>
      <c r="O800" s="508"/>
      <c r="P800" s="508"/>
      <c r="Q800" s="508"/>
      <c r="R800" s="508"/>
      <c r="S800" s="508"/>
      <c r="T800" s="508"/>
      <c r="U800" s="508"/>
      <c r="V800" s="508"/>
      <c r="W800" s="508"/>
      <c r="X800" s="508"/>
      <c r="Y800" s="508"/>
      <c r="Z800" s="508"/>
    </row>
    <row r="801" ht="13.5" customHeight="1">
      <c r="A801" s="508"/>
      <c r="B801" s="508"/>
      <c r="C801" s="508"/>
      <c r="D801" s="508"/>
      <c r="E801" s="508"/>
      <c r="F801" s="508"/>
      <c r="G801" s="508"/>
      <c r="H801" s="508"/>
      <c r="I801" s="508"/>
      <c r="J801" s="508"/>
      <c r="K801" s="508"/>
      <c r="L801" s="508"/>
      <c r="M801" s="508"/>
      <c r="N801" s="508"/>
      <c r="O801" s="508"/>
      <c r="P801" s="508"/>
      <c r="Q801" s="508"/>
      <c r="R801" s="508"/>
      <c r="S801" s="508"/>
      <c r="T801" s="508"/>
      <c r="U801" s="508"/>
      <c r="V801" s="508"/>
      <c r="W801" s="508"/>
      <c r="X801" s="508"/>
      <c r="Y801" s="508"/>
      <c r="Z801" s="508"/>
    </row>
    <row r="802" ht="13.5" customHeight="1">
      <c r="A802" s="508"/>
      <c r="B802" s="508"/>
      <c r="C802" s="508"/>
      <c r="D802" s="508"/>
      <c r="E802" s="508"/>
      <c r="F802" s="508"/>
      <c r="G802" s="508"/>
      <c r="H802" s="508"/>
      <c r="I802" s="508"/>
      <c r="J802" s="508"/>
      <c r="K802" s="508"/>
      <c r="L802" s="508"/>
      <c r="M802" s="508"/>
      <c r="N802" s="508"/>
      <c r="O802" s="508"/>
      <c r="P802" s="508"/>
      <c r="Q802" s="508"/>
      <c r="R802" s="508"/>
      <c r="S802" s="508"/>
      <c r="T802" s="508"/>
      <c r="U802" s="508"/>
      <c r="V802" s="508"/>
      <c r="W802" s="508"/>
      <c r="X802" s="508"/>
      <c r="Y802" s="508"/>
      <c r="Z802" s="508"/>
    </row>
    <row r="803" ht="13.5" customHeight="1">
      <c r="A803" s="508"/>
      <c r="B803" s="508"/>
      <c r="C803" s="508"/>
      <c r="D803" s="508"/>
      <c r="E803" s="508"/>
      <c r="F803" s="508"/>
      <c r="G803" s="508"/>
      <c r="H803" s="508"/>
      <c r="I803" s="508"/>
      <c r="J803" s="508"/>
      <c r="K803" s="508"/>
      <c r="L803" s="508"/>
      <c r="M803" s="508"/>
      <c r="N803" s="508"/>
      <c r="O803" s="508"/>
      <c r="P803" s="508"/>
      <c r="Q803" s="508"/>
      <c r="R803" s="508"/>
      <c r="S803" s="508"/>
      <c r="T803" s="508"/>
      <c r="U803" s="508"/>
      <c r="V803" s="508"/>
      <c r="W803" s="508"/>
      <c r="X803" s="508"/>
      <c r="Y803" s="508"/>
      <c r="Z803" s="508"/>
    </row>
    <row r="804" ht="13.5" customHeight="1">
      <c r="A804" s="508"/>
      <c r="B804" s="508"/>
      <c r="C804" s="508"/>
      <c r="D804" s="508"/>
      <c r="E804" s="508"/>
      <c r="F804" s="508"/>
      <c r="G804" s="508"/>
      <c r="H804" s="508"/>
      <c r="I804" s="508"/>
      <c r="J804" s="508"/>
      <c r="K804" s="508"/>
      <c r="L804" s="508"/>
      <c r="M804" s="508"/>
      <c r="N804" s="508"/>
      <c r="O804" s="508"/>
      <c r="P804" s="508"/>
      <c r="Q804" s="508"/>
      <c r="R804" s="508"/>
      <c r="S804" s="508"/>
      <c r="T804" s="508"/>
      <c r="U804" s="508"/>
      <c r="V804" s="508"/>
      <c r="W804" s="508"/>
      <c r="X804" s="508"/>
      <c r="Y804" s="508"/>
      <c r="Z804" s="508"/>
    </row>
    <row r="805" ht="13.5" customHeight="1">
      <c r="A805" s="508"/>
      <c r="B805" s="508"/>
      <c r="C805" s="508"/>
      <c r="D805" s="508"/>
      <c r="E805" s="508"/>
      <c r="F805" s="508"/>
      <c r="G805" s="508"/>
      <c r="H805" s="508"/>
      <c r="I805" s="508"/>
      <c r="J805" s="508"/>
      <c r="K805" s="508"/>
      <c r="L805" s="508"/>
      <c r="M805" s="508"/>
      <c r="N805" s="508"/>
      <c r="O805" s="508"/>
      <c r="P805" s="508"/>
      <c r="Q805" s="508"/>
      <c r="R805" s="508"/>
      <c r="S805" s="508"/>
      <c r="T805" s="508"/>
      <c r="U805" s="508"/>
      <c r="V805" s="508"/>
      <c r="W805" s="508"/>
      <c r="X805" s="508"/>
      <c r="Y805" s="508"/>
      <c r="Z805" s="508"/>
    </row>
    <row r="806" ht="13.5" customHeight="1">
      <c r="A806" s="508"/>
      <c r="B806" s="508"/>
      <c r="C806" s="508"/>
      <c r="D806" s="508"/>
      <c r="E806" s="508"/>
      <c r="F806" s="508"/>
      <c r="G806" s="508"/>
      <c r="H806" s="508"/>
      <c r="I806" s="508"/>
      <c r="J806" s="508"/>
      <c r="K806" s="508"/>
      <c r="L806" s="508"/>
      <c r="M806" s="508"/>
      <c r="N806" s="508"/>
      <c r="O806" s="508"/>
      <c r="P806" s="508"/>
      <c r="Q806" s="508"/>
      <c r="R806" s="508"/>
      <c r="S806" s="508"/>
      <c r="T806" s="508"/>
      <c r="U806" s="508"/>
      <c r="V806" s="508"/>
      <c r="W806" s="508"/>
      <c r="X806" s="508"/>
      <c r="Y806" s="508"/>
      <c r="Z806" s="508"/>
    </row>
    <row r="807" ht="13.5" customHeight="1">
      <c r="A807" s="508"/>
      <c r="B807" s="508"/>
      <c r="C807" s="508"/>
      <c r="D807" s="508"/>
      <c r="E807" s="508"/>
      <c r="F807" s="508"/>
      <c r="G807" s="508"/>
      <c r="H807" s="508"/>
      <c r="I807" s="508"/>
      <c r="J807" s="508"/>
      <c r="K807" s="508"/>
      <c r="L807" s="508"/>
      <c r="M807" s="508"/>
      <c r="N807" s="508"/>
      <c r="O807" s="508"/>
      <c r="P807" s="508"/>
      <c r="Q807" s="508"/>
      <c r="R807" s="508"/>
      <c r="S807" s="508"/>
      <c r="T807" s="508"/>
      <c r="U807" s="508"/>
      <c r="V807" s="508"/>
      <c r="W807" s="508"/>
      <c r="X807" s="508"/>
      <c r="Y807" s="508"/>
      <c r="Z807" s="508"/>
    </row>
    <row r="808" ht="13.5" customHeight="1">
      <c r="A808" s="508"/>
      <c r="B808" s="508"/>
      <c r="C808" s="508"/>
      <c r="D808" s="508"/>
      <c r="E808" s="508"/>
      <c r="F808" s="508"/>
      <c r="G808" s="508"/>
      <c r="H808" s="508"/>
      <c r="I808" s="508"/>
      <c r="J808" s="508"/>
      <c r="K808" s="508"/>
      <c r="L808" s="508"/>
      <c r="M808" s="508"/>
      <c r="N808" s="508"/>
      <c r="O808" s="508"/>
      <c r="P808" s="508"/>
      <c r="Q808" s="508"/>
      <c r="R808" s="508"/>
      <c r="S808" s="508"/>
      <c r="T808" s="508"/>
      <c r="U808" s="508"/>
      <c r="V808" s="508"/>
      <c r="W808" s="508"/>
      <c r="X808" s="508"/>
      <c r="Y808" s="508"/>
      <c r="Z808" s="508"/>
    </row>
    <row r="809" ht="13.5" customHeight="1">
      <c r="A809" s="508"/>
      <c r="B809" s="508"/>
      <c r="C809" s="508"/>
      <c r="D809" s="508"/>
      <c r="E809" s="508"/>
      <c r="F809" s="508"/>
      <c r="G809" s="508"/>
      <c r="H809" s="508"/>
      <c r="I809" s="508"/>
      <c r="J809" s="508"/>
      <c r="K809" s="508"/>
      <c r="L809" s="508"/>
      <c r="M809" s="508"/>
      <c r="N809" s="508"/>
      <c r="O809" s="508"/>
      <c r="P809" s="508"/>
      <c r="Q809" s="508"/>
      <c r="R809" s="508"/>
      <c r="S809" s="508"/>
      <c r="T809" s="508"/>
      <c r="U809" s="508"/>
      <c r="V809" s="508"/>
      <c r="W809" s="508"/>
      <c r="X809" s="508"/>
      <c r="Y809" s="508"/>
      <c r="Z809" s="508"/>
    </row>
    <row r="810" ht="13.5" customHeight="1">
      <c r="A810" s="508"/>
      <c r="B810" s="508"/>
      <c r="C810" s="508"/>
      <c r="D810" s="508"/>
      <c r="E810" s="508"/>
      <c r="F810" s="508"/>
      <c r="G810" s="508"/>
      <c r="H810" s="508"/>
      <c r="I810" s="508"/>
      <c r="J810" s="508"/>
      <c r="K810" s="508"/>
      <c r="L810" s="508"/>
      <c r="M810" s="508"/>
      <c r="N810" s="508"/>
      <c r="O810" s="508"/>
      <c r="P810" s="508"/>
      <c r="Q810" s="508"/>
      <c r="R810" s="508"/>
      <c r="S810" s="508"/>
      <c r="T810" s="508"/>
      <c r="U810" s="508"/>
      <c r="V810" s="508"/>
      <c r="W810" s="508"/>
      <c r="X810" s="508"/>
      <c r="Y810" s="508"/>
      <c r="Z810" s="508"/>
    </row>
    <row r="811" ht="13.5" customHeight="1">
      <c r="A811" s="508"/>
      <c r="B811" s="508"/>
      <c r="C811" s="508"/>
      <c r="D811" s="508"/>
      <c r="E811" s="508"/>
      <c r="F811" s="508"/>
      <c r="G811" s="508"/>
      <c r="H811" s="508"/>
      <c r="I811" s="508"/>
      <c r="J811" s="508"/>
      <c r="K811" s="508"/>
      <c r="L811" s="508"/>
      <c r="M811" s="508"/>
      <c r="N811" s="508"/>
      <c r="O811" s="508"/>
      <c r="P811" s="508"/>
      <c r="Q811" s="508"/>
      <c r="R811" s="508"/>
      <c r="S811" s="508"/>
      <c r="T811" s="508"/>
      <c r="U811" s="508"/>
      <c r="V811" s="508"/>
      <c r="W811" s="508"/>
      <c r="X811" s="508"/>
      <c r="Y811" s="508"/>
      <c r="Z811" s="508"/>
    </row>
    <row r="812" ht="13.5" customHeight="1">
      <c r="A812" s="508"/>
      <c r="B812" s="508"/>
      <c r="C812" s="508"/>
      <c r="D812" s="508"/>
      <c r="E812" s="508"/>
      <c r="F812" s="508"/>
      <c r="G812" s="508"/>
      <c r="H812" s="508"/>
      <c r="I812" s="508"/>
      <c r="J812" s="508"/>
      <c r="K812" s="508"/>
      <c r="L812" s="508"/>
      <c r="M812" s="508"/>
      <c r="N812" s="508"/>
      <c r="O812" s="508"/>
      <c r="P812" s="508"/>
      <c r="Q812" s="508"/>
      <c r="R812" s="508"/>
      <c r="S812" s="508"/>
      <c r="T812" s="508"/>
      <c r="U812" s="508"/>
      <c r="V812" s="508"/>
      <c r="W812" s="508"/>
      <c r="X812" s="508"/>
      <c r="Y812" s="508"/>
      <c r="Z812" s="508"/>
    </row>
    <row r="813" ht="13.5" customHeight="1">
      <c r="A813" s="508"/>
      <c r="B813" s="508"/>
      <c r="C813" s="508"/>
      <c r="D813" s="508"/>
      <c r="E813" s="508"/>
      <c r="F813" s="508"/>
      <c r="G813" s="508"/>
      <c r="H813" s="508"/>
      <c r="I813" s="508"/>
      <c r="J813" s="508"/>
      <c r="K813" s="508"/>
      <c r="L813" s="508"/>
      <c r="M813" s="508"/>
      <c r="N813" s="508"/>
      <c r="O813" s="508"/>
      <c r="P813" s="508"/>
      <c r="Q813" s="508"/>
      <c r="R813" s="508"/>
      <c r="S813" s="508"/>
      <c r="T813" s="508"/>
      <c r="U813" s="508"/>
      <c r="V813" s="508"/>
      <c r="W813" s="508"/>
      <c r="X813" s="508"/>
      <c r="Y813" s="508"/>
      <c r="Z813" s="508"/>
    </row>
    <row r="814" ht="13.5" customHeight="1">
      <c r="A814" s="508"/>
      <c r="B814" s="508"/>
      <c r="C814" s="508"/>
      <c r="D814" s="508"/>
      <c r="E814" s="508"/>
      <c r="F814" s="508"/>
      <c r="G814" s="508"/>
      <c r="H814" s="508"/>
      <c r="I814" s="508"/>
      <c r="J814" s="508"/>
      <c r="K814" s="508"/>
      <c r="L814" s="508"/>
      <c r="M814" s="508"/>
      <c r="N814" s="508"/>
      <c r="O814" s="508"/>
      <c r="P814" s="508"/>
      <c r="Q814" s="508"/>
      <c r="R814" s="508"/>
      <c r="S814" s="508"/>
      <c r="T814" s="508"/>
      <c r="U814" s="508"/>
      <c r="V814" s="508"/>
      <c r="W814" s="508"/>
      <c r="X814" s="508"/>
      <c r="Y814" s="508"/>
      <c r="Z814" s="508"/>
    </row>
    <row r="815" ht="13.5" customHeight="1">
      <c r="A815" s="508"/>
      <c r="B815" s="508"/>
      <c r="C815" s="508"/>
      <c r="D815" s="508"/>
      <c r="E815" s="508"/>
      <c r="F815" s="508"/>
      <c r="G815" s="508"/>
      <c r="H815" s="508"/>
      <c r="I815" s="508"/>
      <c r="J815" s="508"/>
      <c r="K815" s="508"/>
      <c r="L815" s="508"/>
      <c r="M815" s="508"/>
      <c r="N815" s="508"/>
      <c r="O815" s="508"/>
      <c r="P815" s="508"/>
      <c r="Q815" s="508"/>
      <c r="R815" s="508"/>
      <c r="S815" s="508"/>
      <c r="T815" s="508"/>
      <c r="U815" s="508"/>
      <c r="V815" s="508"/>
      <c r="W815" s="508"/>
      <c r="X815" s="508"/>
      <c r="Y815" s="508"/>
      <c r="Z815" s="508"/>
    </row>
    <row r="816" ht="13.5" customHeight="1">
      <c r="A816" s="508"/>
      <c r="B816" s="508"/>
      <c r="C816" s="508"/>
      <c r="D816" s="508"/>
      <c r="E816" s="508"/>
      <c r="F816" s="508"/>
      <c r="G816" s="508"/>
      <c r="H816" s="508"/>
      <c r="I816" s="508"/>
      <c r="J816" s="508"/>
      <c r="K816" s="508"/>
      <c r="L816" s="508"/>
      <c r="M816" s="508"/>
      <c r="N816" s="508"/>
      <c r="O816" s="508"/>
      <c r="P816" s="508"/>
      <c r="Q816" s="508"/>
      <c r="R816" s="508"/>
      <c r="S816" s="508"/>
      <c r="T816" s="508"/>
      <c r="U816" s="508"/>
      <c r="V816" s="508"/>
      <c r="W816" s="508"/>
      <c r="X816" s="508"/>
      <c r="Y816" s="508"/>
      <c r="Z816" s="508"/>
    </row>
    <row r="817" ht="13.5" customHeight="1">
      <c r="A817" s="508"/>
      <c r="B817" s="508"/>
      <c r="C817" s="508"/>
      <c r="D817" s="508"/>
      <c r="E817" s="508"/>
      <c r="F817" s="508"/>
      <c r="G817" s="508"/>
      <c r="H817" s="508"/>
      <c r="I817" s="508"/>
      <c r="J817" s="508"/>
      <c r="K817" s="508"/>
      <c r="L817" s="508"/>
      <c r="M817" s="508"/>
      <c r="N817" s="508"/>
      <c r="O817" s="508"/>
      <c r="P817" s="508"/>
      <c r="Q817" s="508"/>
      <c r="R817" s="508"/>
      <c r="S817" s="508"/>
      <c r="T817" s="508"/>
      <c r="U817" s="508"/>
      <c r="V817" s="508"/>
      <c r="W817" s="508"/>
      <c r="X817" s="508"/>
      <c r="Y817" s="508"/>
      <c r="Z817" s="508"/>
    </row>
    <row r="818" ht="13.5" customHeight="1">
      <c r="A818" s="508"/>
      <c r="B818" s="508"/>
      <c r="C818" s="508"/>
      <c r="D818" s="508"/>
      <c r="E818" s="508"/>
      <c r="F818" s="508"/>
      <c r="G818" s="508"/>
      <c r="H818" s="508"/>
      <c r="I818" s="508"/>
      <c r="J818" s="508"/>
      <c r="K818" s="508"/>
      <c r="L818" s="508"/>
      <c r="M818" s="508"/>
      <c r="N818" s="508"/>
      <c r="O818" s="508"/>
      <c r="P818" s="508"/>
      <c r="Q818" s="508"/>
      <c r="R818" s="508"/>
      <c r="S818" s="508"/>
      <c r="T818" s="508"/>
      <c r="U818" s="508"/>
      <c r="V818" s="508"/>
      <c r="W818" s="508"/>
      <c r="X818" s="508"/>
      <c r="Y818" s="508"/>
      <c r="Z818" s="508"/>
    </row>
    <row r="819" ht="13.5" customHeight="1">
      <c r="A819" s="508"/>
      <c r="B819" s="508"/>
      <c r="C819" s="508"/>
      <c r="D819" s="508"/>
      <c r="E819" s="508"/>
      <c r="F819" s="508"/>
      <c r="G819" s="508"/>
      <c r="H819" s="508"/>
      <c r="I819" s="508"/>
      <c r="J819" s="508"/>
      <c r="K819" s="508"/>
      <c r="L819" s="508"/>
      <c r="M819" s="508"/>
      <c r="N819" s="508"/>
      <c r="O819" s="508"/>
      <c r="P819" s="508"/>
      <c r="Q819" s="508"/>
      <c r="R819" s="508"/>
      <c r="S819" s="508"/>
      <c r="T819" s="508"/>
      <c r="U819" s="508"/>
      <c r="V819" s="508"/>
      <c r="W819" s="508"/>
      <c r="X819" s="508"/>
      <c r="Y819" s="508"/>
      <c r="Z819" s="508"/>
    </row>
    <row r="820" ht="13.5" customHeight="1">
      <c r="A820" s="508"/>
      <c r="B820" s="508"/>
      <c r="C820" s="508"/>
      <c r="D820" s="508"/>
      <c r="E820" s="508"/>
      <c r="F820" s="508"/>
      <c r="G820" s="508"/>
      <c r="H820" s="508"/>
      <c r="I820" s="508"/>
      <c r="J820" s="508"/>
      <c r="K820" s="508"/>
      <c r="L820" s="508"/>
      <c r="M820" s="508"/>
      <c r="N820" s="508"/>
      <c r="O820" s="508"/>
      <c r="P820" s="508"/>
      <c r="Q820" s="508"/>
      <c r="R820" s="508"/>
      <c r="S820" s="508"/>
      <c r="T820" s="508"/>
      <c r="U820" s="508"/>
      <c r="V820" s="508"/>
      <c r="W820" s="508"/>
      <c r="X820" s="508"/>
      <c r="Y820" s="508"/>
      <c r="Z820" s="508"/>
    </row>
    <row r="821" ht="13.5" customHeight="1">
      <c r="A821" s="508"/>
      <c r="B821" s="508"/>
      <c r="C821" s="508"/>
      <c r="D821" s="508"/>
      <c r="E821" s="508"/>
      <c r="F821" s="508"/>
      <c r="G821" s="508"/>
      <c r="H821" s="508"/>
      <c r="I821" s="508"/>
      <c r="J821" s="508"/>
      <c r="K821" s="508"/>
      <c r="L821" s="508"/>
      <c r="M821" s="508"/>
      <c r="N821" s="508"/>
      <c r="O821" s="508"/>
      <c r="P821" s="508"/>
      <c r="Q821" s="508"/>
      <c r="R821" s="508"/>
      <c r="S821" s="508"/>
      <c r="T821" s="508"/>
      <c r="U821" s="508"/>
      <c r="V821" s="508"/>
      <c r="W821" s="508"/>
      <c r="X821" s="508"/>
      <c r="Y821" s="508"/>
      <c r="Z821" s="508"/>
    </row>
    <row r="822" ht="13.5" customHeight="1">
      <c r="A822" s="508"/>
      <c r="B822" s="508"/>
      <c r="C822" s="508"/>
      <c r="D822" s="508"/>
      <c r="E822" s="508"/>
      <c r="F822" s="508"/>
      <c r="G822" s="508"/>
      <c r="H822" s="508"/>
      <c r="I822" s="508"/>
      <c r="J822" s="508"/>
      <c r="K822" s="508"/>
      <c r="L822" s="508"/>
      <c r="M822" s="508"/>
      <c r="N822" s="508"/>
      <c r="O822" s="508"/>
      <c r="P822" s="508"/>
      <c r="Q822" s="508"/>
      <c r="R822" s="508"/>
      <c r="S822" s="508"/>
      <c r="T822" s="508"/>
      <c r="U822" s="508"/>
      <c r="V822" s="508"/>
      <c r="W822" s="508"/>
      <c r="X822" s="508"/>
      <c r="Y822" s="508"/>
      <c r="Z822" s="508"/>
    </row>
    <row r="823" ht="13.5" customHeight="1">
      <c r="A823" s="508"/>
      <c r="B823" s="508"/>
      <c r="C823" s="508"/>
      <c r="D823" s="508"/>
      <c r="E823" s="508"/>
      <c r="F823" s="508"/>
      <c r="G823" s="508"/>
      <c r="H823" s="508"/>
      <c r="I823" s="508"/>
      <c r="J823" s="508"/>
      <c r="K823" s="508"/>
      <c r="L823" s="508"/>
      <c r="M823" s="508"/>
      <c r="N823" s="508"/>
      <c r="O823" s="508"/>
      <c r="P823" s="508"/>
      <c r="Q823" s="508"/>
      <c r="R823" s="508"/>
      <c r="S823" s="508"/>
      <c r="T823" s="508"/>
      <c r="U823" s="508"/>
      <c r="V823" s="508"/>
      <c r="W823" s="508"/>
      <c r="X823" s="508"/>
      <c r="Y823" s="508"/>
      <c r="Z823" s="508"/>
    </row>
    <row r="824" ht="13.5" customHeight="1">
      <c r="A824" s="508"/>
      <c r="B824" s="508"/>
      <c r="C824" s="508"/>
      <c r="D824" s="508"/>
      <c r="E824" s="508"/>
      <c r="F824" s="508"/>
      <c r="G824" s="508"/>
      <c r="H824" s="508"/>
      <c r="I824" s="508"/>
      <c r="J824" s="508"/>
      <c r="K824" s="508"/>
      <c r="L824" s="508"/>
      <c r="M824" s="508"/>
      <c r="N824" s="508"/>
      <c r="O824" s="508"/>
      <c r="P824" s="508"/>
      <c r="Q824" s="508"/>
      <c r="R824" s="508"/>
      <c r="S824" s="508"/>
      <c r="T824" s="508"/>
      <c r="U824" s="508"/>
      <c r="V824" s="508"/>
      <c r="W824" s="508"/>
      <c r="X824" s="508"/>
      <c r="Y824" s="508"/>
      <c r="Z824" s="508"/>
    </row>
    <row r="825" ht="13.5" customHeight="1">
      <c r="A825" s="508"/>
      <c r="B825" s="508"/>
      <c r="C825" s="508"/>
      <c r="D825" s="508"/>
      <c r="E825" s="508"/>
      <c r="F825" s="508"/>
      <c r="G825" s="508"/>
      <c r="H825" s="508"/>
      <c r="I825" s="508"/>
      <c r="J825" s="508"/>
      <c r="K825" s="508"/>
      <c r="L825" s="508"/>
      <c r="M825" s="508"/>
      <c r="N825" s="508"/>
      <c r="O825" s="508"/>
      <c r="P825" s="508"/>
      <c r="Q825" s="508"/>
      <c r="R825" s="508"/>
      <c r="S825" s="508"/>
      <c r="T825" s="508"/>
      <c r="U825" s="508"/>
      <c r="V825" s="508"/>
      <c r="W825" s="508"/>
      <c r="X825" s="508"/>
      <c r="Y825" s="508"/>
      <c r="Z825" s="508"/>
    </row>
    <row r="826" ht="13.5" customHeight="1">
      <c r="A826" s="508"/>
      <c r="B826" s="508"/>
      <c r="C826" s="508"/>
      <c r="D826" s="508"/>
      <c r="E826" s="508"/>
      <c r="F826" s="508"/>
      <c r="G826" s="508"/>
      <c r="H826" s="508"/>
      <c r="I826" s="508"/>
      <c r="J826" s="508"/>
      <c r="K826" s="508"/>
      <c r="L826" s="508"/>
      <c r="M826" s="508"/>
      <c r="N826" s="508"/>
      <c r="O826" s="508"/>
      <c r="P826" s="508"/>
      <c r="Q826" s="508"/>
      <c r="R826" s="508"/>
      <c r="S826" s="508"/>
      <c r="T826" s="508"/>
      <c r="U826" s="508"/>
      <c r="V826" s="508"/>
      <c r="W826" s="508"/>
      <c r="X826" s="508"/>
      <c r="Y826" s="508"/>
      <c r="Z826" s="508"/>
    </row>
    <row r="827" ht="13.5" customHeight="1">
      <c r="A827" s="508"/>
      <c r="B827" s="508"/>
      <c r="C827" s="508"/>
      <c r="D827" s="508"/>
      <c r="E827" s="508"/>
      <c r="F827" s="508"/>
      <c r="G827" s="508"/>
      <c r="H827" s="508"/>
      <c r="I827" s="508"/>
      <c r="J827" s="508"/>
      <c r="K827" s="508"/>
      <c r="L827" s="508"/>
      <c r="M827" s="508"/>
      <c r="N827" s="508"/>
      <c r="O827" s="508"/>
      <c r="P827" s="508"/>
      <c r="Q827" s="508"/>
      <c r="R827" s="508"/>
      <c r="S827" s="508"/>
      <c r="T827" s="508"/>
      <c r="U827" s="508"/>
      <c r="V827" s="508"/>
      <c r="W827" s="508"/>
      <c r="X827" s="508"/>
      <c r="Y827" s="508"/>
      <c r="Z827" s="508"/>
    </row>
    <row r="828" ht="13.5" customHeight="1">
      <c r="A828" s="508"/>
      <c r="B828" s="508"/>
      <c r="C828" s="508"/>
      <c r="D828" s="508"/>
      <c r="E828" s="508"/>
      <c r="F828" s="508"/>
      <c r="G828" s="508"/>
      <c r="H828" s="508"/>
      <c r="I828" s="508"/>
      <c r="J828" s="508"/>
      <c r="K828" s="508"/>
      <c r="L828" s="508"/>
      <c r="M828" s="508"/>
      <c r="N828" s="508"/>
      <c r="O828" s="508"/>
      <c r="P828" s="508"/>
      <c r="Q828" s="508"/>
      <c r="R828" s="508"/>
      <c r="S828" s="508"/>
      <c r="T828" s="508"/>
      <c r="U828" s="508"/>
      <c r="V828" s="508"/>
      <c r="W828" s="508"/>
      <c r="X828" s="508"/>
      <c r="Y828" s="508"/>
      <c r="Z828" s="508"/>
    </row>
    <row r="829" ht="13.5" customHeight="1">
      <c r="A829" s="508"/>
      <c r="B829" s="508"/>
      <c r="C829" s="508"/>
      <c r="D829" s="508"/>
      <c r="E829" s="508"/>
      <c r="F829" s="508"/>
      <c r="G829" s="508"/>
      <c r="H829" s="508"/>
      <c r="I829" s="508"/>
      <c r="J829" s="508"/>
      <c r="K829" s="508"/>
      <c r="L829" s="508"/>
      <c r="M829" s="508"/>
      <c r="N829" s="508"/>
      <c r="O829" s="508"/>
      <c r="P829" s="508"/>
      <c r="Q829" s="508"/>
      <c r="R829" s="508"/>
      <c r="S829" s="508"/>
      <c r="T829" s="508"/>
      <c r="U829" s="508"/>
      <c r="V829" s="508"/>
      <c r="W829" s="508"/>
      <c r="X829" s="508"/>
      <c r="Y829" s="508"/>
      <c r="Z829" s="508"/>
    </row>
    <row r="830" ht="13.5" customHeight="1">
      <c r="A830" s="508"/>
      <c r="B830" s="508"/>
      <c r="C830" s="508"/>
      <c r="D830" s="508"/>
      <c r="E830" s="508"/>
      <c r="F830" s="508"/>
      <c r="G830" s="508"/>
      <c r="H830" s="508"/>
      <c r="I830" s="508"/>
      <c r="J830" s="508"/>
      <c r="K830" s="508"/>
      <c r="L830" s="508"/>
      <c r="M830" s="508"/>
      <c r="N830" s="508"/>
      <c r="O830" s="508"/>
      <c r="P830" s="508"/>
      <c r="Q830" s="508"/>
      <c r="R830" s="508"/>
      <c r="S830" s="508"/>
      <c r="T830" s="508"/>
      <c r="U830" s="508"/>
      <c r="V830" s="508"/>
      <c r="W830" s="508"/>
      <c r="X830" s="508"/>
      <c r="Y830" s="508"/>
      <c r="Z830" s="508"/>
    </row>
    <row r="831" ht="13.5" customHeight="1">
      <c r="A831" s="508"/>
      <c r="B831" s="508"/>
      <c r="C831" s="508"/>
      <c r="D831" s="508"/>
      <c r="E831" s="508"/>
      <c r="F831" s="508"/>
      <c r="G831" s="508"/>
      <c r="H831" s="508"/>
      <c r="I831" s="508"/>
      <c r="J831" s="508"/>
      <c r="K831" s="508"/>
      <c r="L831" s="508"/>
      <c r="M831" s="508"/>
      <c r="N831" s="508"/>
      <c r="O831" s="508"/>
      <c r="P831" s="508"/>
      <c r="Q831" s="508"/>
      <c r="R831" s="508"/>
      <c r="S831" s="508"/>
      <c r="T831" s="508"/>
      <c r="U831" s="508"/>
      <c r="V831" s="508"/>
      <c r="W831" s="508"/>
      <c r="X831" s="508"/>
      <c r="Y831" s="508"/>
      <c r="Z831" s="508"/>
    </row>
    <row r="832" ht="13.5" customHeight="1">
      <c r="A832" s="508"/>
      <c r="B832" s="508"/>
      <c r="C832" s="508"/>
      <c r="D832" s="508"/>
      <c r="E832" s="508"/>
      <c r="F832" s="508"/>
      <c r="G832" s="508"/>
      <c r="H832" s="508"/>
      <c r="I832" s="508"/>
      <c r="J832" s="508"/>
      <c r="K832" s="508"/>
      <c r="L832" s="508"/>
      <c r="M832" s="508"/>
      <c r="N832" s="508"/>
      <c r="O832" s="508"/>
      <c r="P832" s="508"/>
      <c r="Q832" s="508"/>
      <c r="R832" s="508"/>
      <c r="S832" s="508"/>
      <c r="T832" s="508"/>
      <c r="U832" s="508"/>
      <c r="V832" s="508"/>
      <c r="W832" s="508"/>
      <c r="X832" s="508"/>
      <c r="Y832" s="508"/>
      <c r="Z832" s="508"/>
    </row>
    <row r="833" ht="13.5" customHeight="1">
      <c r="A833" s="508"/>
      <c r="B833" s="508"/>
      <c r="C833" s="508"/>
      <c r="D833" s="508"/>
      <c r="E833" s="508"/>
      <c r="F833" s="508"/>
      <c r="G833" s="508"/>
      <c r="H833" s="508"/>
      <c r="I833" s="508"/>
      <c r="J833" s="508"/>
      <c r="K833" s="508"/>
      <c r="L833" s="508"/>
      <c r="M833" s="508"/>
      <c r="N833" s="508"/>
      <c r="O833" s="508"/>
      <c r="P833" s="508"/>
      <c r="Q833" s="508"/>
      <c r="R833" s="508"/>
      <c r="S833" s="508"/>
      <c r="T833" s="508"/>
      <c r="U833" s="508"/>
      <c r="V833" s="508"/>
      <c r="W833" s="508"/>
      <c r="X833" s="508"/>
      <c r="Y833" s="508"/>
      <c r="Z833" s="508"/>
    </row>
    <row r="834" ht="13.5" customHeight="1">
      <c r="A834" s="508"/>
      <c r="B834" s="508"/>
      <c r="C834" s="508"/>
      <c r="D834" s="508"/>
      <c r="E834" s="508"/>
      <c r="F834" s="508"/>
      <c r="G834" s="508"/>
      <c r="H834" s="508"/>
      <c r="I834" s="508"/>
      <c r="J834" s="508"/>
      <c r="K834" s="508"/>
      <c r="L834" s="508"/>
      <c r="M834" s="508"/>
      <c r="N834" s="508"/>
      <c r="O834" s="508"/>
      <c r="P834" s="508"/>
      <c r="Q834" s="508"/>
      <c r="R834" s="508"/>
      <c r="S834" s="508"/>
      <c r="T834" s="508"/>
      <c r="U834" s="508"/>
      <c r="V834" s="508"/>
      <c r="W834" s="508"/>
      <c r="X834" s="508"/>
      <c r="Y834" s="508"/>
      <c r="Z834" s="508"/>
    </row>
    <row r="835" ht="13.5" customHeight="1">
      <c r="A835" s="508"/>
      <c r="B835" s="508"/>
      <c r="C835" s="508"/>
      <c r="D835" s="508"/>
      <c r="E835" s="508"/>
      <c r="F835" s="508"/>
      <c r="G835" s="508"/>
      <c r="H835" s="508"/>
      <c r="I835" s="508"/>
      <c r="J835" s="508"/>
      <c r="K835" s="508"/>
      <c r="L835" s="508"/>
      <c r="M835" s="508"/>
      <c r="N835" s="508"/>
      <c r="O835" s="508"/>
      <c r="P835" s="508"/>
      <c r="Q835" s="508"/>
      <c r="R835" s="508"/>
      <c r="S835" s="508"/>
      <c r="T835" s="508"/>
      <c r="U835" s="508"/>
      <c r="V835" s="508"/>
      <c r="W835" s="508"/>
      <c r="X835" s="508"/>
      <c r="Y835" s="508"/>
      <c r="Z835" s="508"/>
    </row>
    <row r="836" ht="13.5" customHeight="1">
      <c r="A836" s="508"/>
      <c r="B836" s="508"/>
      <c r="C836" s="508"/>
      <c r="D836" s="508"/>
      <c r="E836" s="508"/>
      <c r="F836" s="508"/>
      <c r="G836" s="508"/>
      <c r="H836" s="508"/>
      <c r="I836" s="508"/>
      <c r="J836" s="508"/>
      <c r="K836" s="508"/>
      <c r="L836" s="508"/>
      <c r="M836" s="508"/>
      <c r="N836" s="508"/>
      <c r="O836" s="508"/>
      <c r="P836" s="508"/>
      <c r="Q836" s="508"/>
      <c r="R836" s="508"/>
      <c r="S836" s="508"/>
      <c r="T836" s="508"/>
      <c r="U836" s="508"/>
      <c r="V836" s="508"/>
      <c r="W836" s="508"/>
      <c r="X836" s="508"/>
      <c r="Y836" s="508"/>
      <c r="Z836" s="508"/>
    </row>
    <row r="837" ht="13.5" customHeight="1">
      <c r="A837" s="508"/>
      <c r="B837" s="508"/>
      <c r="C837" s="508"/>
      <c r="D837" s="508"/>
      <c r="E837" s="508"/>
      <c r="F837" s="508"/>
      <c r="G837" s="508"/>
      <c r="H837" s="508"/>
      <c r="I837" s="508"/>
      <c r="J837" s="508"/>
      <c r="K837" s="508"/>
      <c r="L837" s="508"/>
      <c r="M837" s="508"/>
      <c r="N837" s="508"/>
      <c r="O837" s="508"/>
      <c r="P837" s="508"/>
      <c r="Q837" s="508"/>
      <c r="R837" s="508"/>
      <c r="S837" s="508"/>
      <c r="T837" s="508"/>
      <c r="U837" s="508"/>
      <c r="V837" s="508"/>
      <c r="W837" s="508"/>
      <c r="X837" s="508"/>
      <c r="Y837" s="508"/>
      <c r="Z837" s="508"/>
    </row>
    <row r="838" ht="13.5" customHeight="1">
      <c r="A838" s="508"/>
      <c r="B838" s="508"/>
      <c r="C838" s="508"/>
      <c r="D838" s="508"/>
      <c r="E838" s="508"/>
      <c r="F838" s="508"/>
      <c r="G838" s="508"/>
      <c r="H838" s="508"/>
      <c r="I838" s="508"/>
      <c r="J838" s="508"/>
      <c r="K838" s="508"/>
      <c r="L838" s="508"/>
      <c r="M838" s="508"/>
      <c r="N838" s="508"/>
      <c r="O838" s="508"/>
      <c r="P838" s="508"/>
      <c r="Q838" s="508"/>
      <c r="R838" s="508"/>
      <c r="S838" s="508"/>
      <c r="T838" s="508"/>
      <c r="U838" s="508"/>
      <c r="V838" s="508"/>
      <c r="W838" s="508"/>
      <c r="X838" s="508"/>
      <c r="Y838" s="508"/>
      <c r="Z838" s="508"/>
    </row>
    <row r="839" ht="13.5" customHeight="1">
      <c r="A839" s="508"/>
      <c r="B839" s="508"/>
      <c r="C839" s="508"/>
      <c r="D839" s="508"/>
      <c r="E839" s="508"/>
      <c r="F839" s="508"/>
      <c r="G839" s="508"/>
      <c r="H839" s="508"/>
      <c r="I839" s="508"/>
      <c r="J839" s="508"/>
      <c r="K839" s="508"/>
      <c r="L839" s="508"/>
      <c r="M839" s="508"/>
      <c r="N839" s="508"/>
      <c r="O839" s="508"/>
      <c r="P839" s="508"/>
      <c r="Q839" s="508"/>
      <c r="R839" s="508"/>
      <c r="S839" s="508"/>
      <c r="T839" s="508"/>
      <c r="U839" s="508"/>
      <c r="V839" s="508"/>
      <c r="W839" s="508"/>
      <c r="X839" s="508"/>
      <c r="Y839" s="508"/>
      <c r="Z839" s="508"/>
    </row>
    <row r="840" ht="13.5" customHeight="1">
      <c r="A840" s="508"/>
      <c r="B840" s="508"/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8"/>
      <c r="Z840" s="508"/>
    </row>
    <row r="841" ht="13.5" customHeight="1">
      <c r="A841" s="508"/>
      <c r="B841" s="508"/>
      <c r="C841" s="508"/>
      <c r="D841" s="508"/>
      <c r="E841" s="508"/>
      <c r="F841" s="508"/>
      <c r="G841" s="508"/>
      <c r="H841" s="508"/>
      <c r="I841" s="508"/>
      <c r="J841" s="508"/>
      <c r="K841" s="508"/>
      <c r="L841" s="508"/>
      <c r="M841" s="508"/>
      <c r="N841" s="508"/>
      <c r="O841" s="508"/>
      <c r="P841" s="508"/>
      <c r="Q841" s="508"/>
      <c r="R841" s="508"/>
      <c r="S841" s="508"/>
      <c r="T841" s="508"/>
      <c r="U841" s="508"/>
      <c r="V841" s="508"/>
      <c r="W841" s="508"/>
      <c r="X841" s="508"/>
      <c r="Y841" s="508"/>
      <c r="Z841" s="508"/>
    </row>
    <row r="842" ht="13.5" customHeight="1">
      <c r="A842" s="508"/>
      <c r="B842" s="508"/>
      <c r="C842" s="508"/>
      <c r="D842" s="508"/>
      <c r="E842" s="508"/>
      <c r="F842" s="508"/>
      <c r="G842" s="508"/>
      <c r="H842" s="508"/>
      <c r="I842" s="508"/>
      <c r="J842" s="508"/>
      <c r="K842" s="508"/>
      <c r="L842" s="508"/>
      <c r="M842" s="508"/>
      <c r="N842" s="508"/>
      <c r="O842" s="508"/>
      <c r="P842" s="508"/>
      <c r="Q842" s="508"/>
      <c r="R842" s="508"/>
      <c r="S842" s="508"/>
      <c r="T842" s="508"/>
      <c r="U842" s="508"/>
      <c r="V842" s="508"/>
      <c r="W842" s="508"/>
      <c r="X842" s="508"/>
      <c r="Y842" s="508"/>
      <c r="Z842" s="508"/>
    </row>
    <row r="843" ht="13.5" customHeight="1">
      <c r="A843" s="508"/>
      <c r="B843" s="508"/>
      <c r="C843" s="508"/>
      <c r="D843" s="508"/>
      <c r="E843" s="508"/>
      <c r="F843" s="508"/>
      <c r="G843" s="508"/>
      <c r="H843" s="508"/>
      <c r="I843" s="508"/>
      <c r="J843" s="508"/>
      <c r="K843" s="508"/>
      <c r="L843" s="508"/>
      <c r="M843" s="508"/>
      <c r="N843" s="508"/>
      <c r="O843" s="508"/>
      <c r="P843" s="508"/>
      <c r="Q843" s="508"/>
      <c r="R843" s="508"/>
      <c r="S843" s="508"/>
      <c r="T843" s="508"/>
      <c r="U843" s="508"/>
      <c r="V843" s="508"/>
      <c r="W843" s="508"/>
      <c r="X843" s="508"/>
      <c r="Y843" s="508"/>
      <c r="Z843" s="508"/>
    </row>
    <row r="844" ht="13.5" customHeight="1">
      <c r="A844" s="508"/>
      <c r="B844" s="508"/>
      <c r="C844" s="508"/>
      <c r="D844" s="508"/>
      <c r="E844" s="508"/>
      <c r="F844" s="508"/>
      <c r="G844" s="508"/>
      <c r="H844" s="508"/>
      <c r="I844" s="508"/>
      <c r="J844" s="508"/>
      <c r="K844" s="508"/>
      <c r="L844" s="508"/>
      <c r="M844" s="508"/>
      <c r="N844" s="508"/>
      <c r="O844" s="508"/>
      <c r="P844" s="508"/>
      <c r="Q844" s="508"/>
      <c r="R844" s="508"/>
      <c r="S844" s="508"/>
      <c r="T844" s="508"/>
      <c r="U844" s="508"/>
      <c r="V844" s="508"/>
      <c r="W844" s="508"/>
      <c r="X844" s="508"/>
      <c r="Y844" s="508"/>
      <c r="Z844" s="508"/>
    </row>
    <row r="845" ht="13.5" customHeight="1">
      <c r="A845" s="508"/>
      <c r="B845" s="508"/>
      <c r="C845" s="508"/>
      <c r="D845" s="508"/>
      <c r="E845" s="508"/>
      <c r="F845" s="508"/>
      <c r="G845" s="508"/>
      <c r="H845" s="508"/>
      <c r="I845" s="508"/>
      <c r="J845" s="508"/>
      <c r="K845" s="508"/>
      <c r="L845" s="508"/>
      <c r="M845" s="508"/>
      <c r="N845" s="508"/>
      <c r="O845" s="508"/>
      <c r="P845" s="508"/>
      <c r="Q845" s="508"/>
      <c r="R845" s="508"/>
      <c r="S845" s="508"/>
      <c r="T845" s="508"/>
      <c r="U845" s="508"/>
      <c r="V845" s="508"/>
      <c r="W845" s="508"/>
      <c r="X845" s="508"/>
      <c r="Y845" s="508"/>
      <c r="Z845" s="508"/>
    </row>
    <row r="846" ht="13.5" customHeight="1">
      <c r="A846" s="508"/>
      <c r="B846" s="508"/>
      <c r="C846" s="508"/>
      <c r="D846" s="508"/>
      <c r="E846" s="508"/>
      <c r="F846" s="508"/>
      <c r="G846" s="508"/>
      <c r="H846" s="508"/>
      <c r="I846" s="508"/>
      <c r="J846" s="508"/>
      <c r="K846" s="508"/>
      <c r="L846" s="508"/>
      <c r="M846" s="508"/>
      <c r="N846" s="508"/>
      <c r="O846" s="508"/>
      <c r="P846" s="508"/>
      <c r="Q846" s="508"/>
      <c r="R846" s="508"/>
      <c r="S846" s="508"/>
      <c r="T846" s="508"/>
      <c r="U846" s="508"/>
      <c r="V846" s="508"/>
      <c r="W846" s="508"/>
      <c r="X846" s="508"/>
      <c r="Y846" s="508"/>
      <c r="Z846" s="508"/>
    </row>
    <row r="847" ht="13.5" customHeight="1">
      <c r="A847" s="508"/>
      <c r="B847" s="508"/>
      <c r="C847" s="508"/>
      <c r="D847" s="508"/>
      <c r="E847" s="508"/>
      <c r="F847" s="508"/>
      <c r="G847" s="508"/>
      <c r="H847" s="508"/>
      <c r="I847" s="508"/>
      <c r="J847" s="508"/>
      <c r="K847" s="508"/>
      <c r="L847" s="508"/>
      <c r="M847" s="508"/>
      <c r="N847" s="508"/>
      <c r="O847" s="508"/>
      <c r="P847" s="508"/>
      <c r="Q847" s="508"/>
      <c r="R847" s="508"/>
      <c r="S847" s="508"/>
      <c r="T847" s="508"/>
      <c r="U847" s="508"/>
      <c r="V847" s="508"/>
      <c r="W847" s="508"/>
      <c r="X847" s="508"/>
      <c r="Y847" s="508"/>
      <c r="Z847" s="508"/>
    </row>
    <row r="848" ht="13.5" customHeight="1">
      <c r="A848" s="508"/>
      <c r="B848" s="508"/>
      <c r="C848" s="508"/>
      <c r="D848" s="508"/>
      <c r="E848" s="508"/>
      <c r="F848" s="508"/>
      <c r="G848" s="508"/>
      <c r="H848" s="508"/>
      <c r="I848" s="508"/>
      <c r="J848" s="508"/>
      <c r="K848" s="508"/>
      <c r="L848" s="508"/>
      <c r="M848" s="508"/>
      <c r="N848" s="508"/>
      <c r="O848" s="508"/>
      <c r="P848" s="508"/>
      <c r="Q848" s="508"/>
      <c r="R848" s="508"/>
      <c r="S848" s="508"/>
      <c r="T848" s="508"/>
      <c r="U848" s="508"/>
      <c r="V848" s="508"/>
      <c r="W848" s="508"/>
      <c r="X848" s="508"/>
      <c r="Y848" s="508"/>
      <c r="Z848" s="508"/>
    </row>
    <row r="849" ht="13.5" customHeight="1">
      <c r="A849" s="508"/>
      <c r="B849" s="508"/>
      <c r="C849" s="508"/>
      <c r="D849" s="508"/>
      <c r="E849" s="508"/>
      <c r="F849" s="508"/>
      <c r="G849" s="508"/>
      <c r="H849" s="508"/>
      <c r="I849" s="508"/>
      <c r="J849" s="508"/>
      <c r="K849" s="508"/>
      <c r="L849" s="508"/>
      <c r="M849" s="508"/>
      <c r="N849" s="508"/>
      <c r="O849" s="508"/>
      <c r="P849" s="508"/>
      <c r="Q849" s="508"/>
      <c r="R849" s="508"/>
      <c r="S849" s="508"/>
      <c r="T849" s="508"/>
      <c r="U849" s="508"/>
      <c r="V849" s="508"/>
      <c r="W849" s="508"/>
      <c r="X849" s="508"/>
      <c r="Y849" s="508"/>
      <c r="Z849" s="508"/>
    </row>
    <row r="850" ht="13.5" customHeight="1">
      <c r="A850" s="508"/>
      <c r="B850" s="508"/>
      <c r="C850" s="508"/>
      <c r="D850" s="508"/>
      <c r="E850" s="508"/>
      <c r="F850" s="508"/>
      <c r="G850" s="508"/>
      <c r="H850" s="508"/>
      <c r="I850" s="508"/>
      <c r="J850" s="508"/>
      <c r="K850" s="508"/>
      <c r="L850" s="508"/>
      <c r="M850" s="508"/>
      <c r="N850" s="508"/>
      <c r="O850" s="508"/>
      <c r="P850" s="508"/>
      <c r="Q850" s="508"/>
      <c r="R850" s="508"/>
      <c r="S850" s="508"/>
      <c r="T850" s="508"/>
      <c r="U850" s="508"/>
      <c r="V850" s="508"/>
      <c r="W850" s="508"/>
      <c r="X850" s="508"/>
      <c r="Y850" s="508"/>
      <c r="Z850" s="508"/>
    </row>
    <row r="851" ht="13.5" customHeight="1">
      <c r="A851" s="508"/>
      <c r="B851" s="508"/>
      <c r="C851" s="508"/>
      <c r="D851" s="508"/>
      <c r="E851" s="508"/>
      <c r="F851" s="508"/>
      <c r="G851" s="508"/>
      <c r="H851" s="508"/>
      <c r="I851" s="508"/>
      <c r="J851" s="508"/>
      <c r="K851" s="508"/>
      <c r="L851" s="508"/>
      <c r="M851" s="508"/>
      <c r="N851" s="508"/>
      <c r="O851" s="508"/>
      <c r="P851" s="508"/>
      <c r="Q851" s="508"/>
      <c r="R851" s="508"/>
      <c r="S851" s="508"/>
      <c r="T851" s="508"/>
      <c r="U851" s="508"/>
      <c r="V851" s="508"/>
      <c r="W851" s="508"/>
      <c r="X851" s="508"/>
      <c r="Y851" s="508"/>
      <c r="Z851" s="508"/>
    </row>
    <row r="852" ht="13.5" customHeight="1">
      <c r="A852" s="508"/>
      <c r="B852" s="508"/>
      <c r="C852" s="508"/>
      <c r="D852" s="508"/>
      <c r="E852" s="508"/>
      <c r="F852" s="508"/>
      <c r="G852" s="508"/>
      <c r="H852" s="508"/>
      <c r="I852" s="508"/>
      <c r="J852" s="508"/>
      <c r="K852" s="508"/>
      <c r="L852" s="508"/>
      <c r="M852" s="508"/>
      <c r="N852" s="508"/>
      <c r="O852" s="508"/>
      <c r="P852" s="508"/>
      <c r="Q852" s="508"/>
      <c r="R852" s="508"/>
      <c r="S852" s="508"/>
      <c r="T852" s="508"/>
      <c r="U852" s="508"/>
      <c r="V852" s="508"/>
      <c r="W852" s="508"/>
      <c r="X852" s="508"/>
      <c r="Y852" s="508"/>
      <c r="Z852" s="508"/>
    </row>
    <row r="853" ht="13.5" customHeight="1">
      <c r="A853" s="508"/>
      <c r="B853" s="508"/>
      <c r="C853" s="508"/>
      <c r="D853" s="508"/>
      <c r="E853" s="508"/>
      <c r="F853" s="508"/>
      <c r="G853" s="508"/>
      <c r="H853" s="508"/>
      <c r="I853" s="508"/>
      <c r="J853" s="508"/>
      <c r="K853" s="508"/>
      <c r="L853" s="508"/>
      <c r="M853" s="508"/>
      <c r="N853" s="508"/>
      <c r="O853" s="508"/>
      <c r="P853" s="508"/>
      <c r="Q853" s="508"/>
      <c r="R853" s="508"/>
      <c r="S853" s="508"/>
      <c r="T853" s="508"/>
      <c r="U853" s="508"/>
      <c r="V853" s="508"/>
      <c r="W853" s="508"/>
      <c r="X853" s="508"/>
      <c r="Y853" s="508"/>
      <c r="Z853" s="508"/>
    </row>
    <row r="854" ht="13.5" customHeight="1">
      <c r="A854" s="508"/>
      <c r="B854" s="508"/>
      <c r="C854" s="508"/>
      <c r="D854" s="508"/>
      <c r="E854" s="508"/>
      <c r="F854" s="508"/>
      <c r="G854" s="508"/>
      <c r="H854" s="508"/>
      <c r="I854" s="508"/>
      <c r="J854" s="508"/>
      <c r="K854" s="508"/>
      <c r="L854" s="508"/>
      <c r="M854" s="508"/>
      <c r="N854" s="508"/>
      <c r="O854" s="508"/>
      <c r="P854" s="508"/>
      <c r="Q854" s="508"/>
      <c r="R854" s="508"/>
      <c r="S854" s="508"/>
      <c r="T854" s="508"/>
      <c r="U854" s="508"/>
      <c r="V854" s="508"/>
      <c r="W854" s="508"/>
      <c r="X854" s="508"/>
      <c r="Y854" s="508"/>
      <c r="Z854" s="508"/>
    </row>
    <row r="855" ht="13.5" customHeight="1">
      <c r="A855" s="508"/>
      <c r="B855" s="508"/>
      <c r="C855" s="508"/>
      <c r="D855" s="508"/>
      <c r="E855" s="508"/>
      <c r="F855" s="508"/>
      <c r="G855" s="508"/>
      <c r="H855" s="508"/>
      <c r="I855" s="508"/>
      <c r="J855" s="508"/>
      <c r="K855" s="508"/>
      <c r="L855" s="508"/>
      <c r="M855" s="508"/>
      <c r="N855" s="508"/>
      <c r="O855" s="508"/>
      <c r="P855" s="508"/>
      <c r="Q855" s="508"/>
      <c r="R855" s="508"/>
      <c r="S855" s="508"/>
      <c r="T855" s="508"/>
      <c r="U855" s="508"/>
      <c r="V855" s="508"/>
      <c r="W855" s="508"/>
      <c r="X855" s="508"/>
      <c r="Y855" s="508"/>
      <c r="Z855" s="508"/>
    </row>
    <row r="856" ht="13.5" customHeight="1">
      <c r="A856" s="508"/>
      <c r="B856" s="508"/>
      <c r="C856" s="508"/>
      <c r="D856" s="508"/>
      <c r="E856" s="508"/>
      <c r="F856" s="508"/>
      <c r="G856" s="508"/>
      <c r="H856" s="508"/>
      <c r="I856" s="508"/>
      <c r="J856" s="508"/>
      <c r="K856" s="508"/>
      <c r="L856" s="508"/>
      <c r="M856" s="508"/>
      <c r="N856" s="508"/>
      <c r="O856" s="508"/>
      <c r="P856" s="508"/>
      <c r="Q856" s="508"/>
      <c r="R856" s="508"/>
      <c r="S856" s="508"/>
      <c r="T856" s="508"/>
      <c r="U856" s="508"/>
      <c r="V856" s="508"/>
      <c r="W856" s="508"/>
      <c r="X856" s="508"/>
      <c r="Y856" s="508"/>
      <c r="Z856" s="508"/>
    </row>
    <row r="857" ht="13.5" customHeight="1">
      <c r="A857" s="508"/>
      <c r="B857" s="508"/>
      <c r="C857" s="508"/>
      <c r="D857" s="508"/>
      <c r="E857" s="508"/>
      <c r="F857" s="508"/>
      <c r="G857" s="508"/>
      <c r="H857" s="508"/>
      <c r="I857" s="508"/>
      <c r="J857" s="508"/>
      <c r="K857" s="508"/>
      <c r="L857" s="508"/>
      <c r="M857" s="508"/>
      <c r="N857" s="508"/>
      <c r="O857" s="508"/>
      <c r="P857" s="508"/>
      <c r="Q857" s="508"/>
      <c r="R857" s="508"/>
      <c r="S857" s="508"/>
      <c r="T857" s="508"/>
      <c r="U857" s="508"/>
      <c r="V857" s="508"/>
      <c r="W857" s="508"/>
      <c r="X857" s="508"/>
      <c r="Y857" s="508"/>
      <c r="Z857" s="508"/>
    </row>
    <row r="858" ht="13.5" customHeight="1">
      <c r="A858" s="508"/>
      <c r="B858" s="508"/>
      <c r="C858" s="508"/>
      <c r="D858" s="508"/>
      <c r="E858" s="508"/>
      <c r="F858" s="508"/>
      <c r="G858" s="508"/>
      <c r="H858" s="508"/>
      <c r="I858" s="508"/>
      <c r="J858" s="508"/>
      <c r="K858" s="508"/>
      <c r="L858" s="508"/>
      <c r="M858" s="508"/>
      <c r="N858" s="508"/>
      <c r="O858" s="508"/>
      <c r="P858" s="508"/>
      <c r="Q858" s="508"/>
      <c r="R858" s="508"/>
      <c r="S858" s="508"/>
      <c r="T858" s="508"/>
      <c r="U858" s="508"/>
      <c r="V858" s="508"/>
      <c r="W858" s="508"/>
      <c r="X858" s="508"/>
      <c r="Y858" s="508"/>
      <c r="Z858" s="508"/>
    </row>
    <row r="859" ht="13.5" customHeight="1">
      <c r="A859" s="508"/>
      <c r="B859" s="508"/>
      <c r="C859" s="508"/>
      <c r="D859" s="508"/>
      <c r="E859" s="508"/>
      <c r="F859" s="508"/>
      <c r="G859" s="508"/>
      <c r="H859" s="508"/>
      <c r="I859" s="508"/>
      <c r="J859" s="508"/>
      <c r="K859" s="508"/>
      <c r="L859" s="508"/>
      <c r="M859" s="508"/>
      <c r="N859" s="508"/>
      <c r="O859" s="508"/>
      <c r="P859" s="508"/>
      <c r="Q859" s="508"/>
      <c r="R859" s="508"/>
      <c r="S859" s="508"/>
      <c r="T859" s="508"/>
      <c r="U859" s="508"/>
      <c r="V859" s="508"/>
      <c r="W859" s="508"/>
      <c r="X859" s="508"/>
      <c r="Y859" s="508"/>
      <c r="Z859" s="508"/>
    </row>
    <row r="860" ht="13.5" customHeight="1">
      <c r="A860" s="508"/>
      <c r="B860" s="508"/>
      <c r="C860" s="508"/>
      <c r="D860" s="508"/>
      <c r="E860" s="508"/>
      <c r="F860" s="508"/>
      <c r="G860" s="508"/>
      <c r="H860" s="508"/>
      <c r="I860" s="508"/>
      <c r="J860" s="508"/>
      <c r="K860" s="508"/>
      <c r="L860" s="508"/>
      <c r="M860" s="508"/>
      <c r="N860" s="508"/>
      <c r="O860" s="508"/>
      <c r="P860" s="508"/>
      <c r="Q860" s="508"/>
      <c r="R860" s="508"/>
      <c r="S860" s="508"/>
      <c r="T860" s="508"/>
      <c r="U860" s="508"/>
      <c r="V860" s="508"/>
      <c r="W860" s="508"/>
      <c r="X860" s="508"/>
      <c r="Y860" s="508"/>
      <c r="Z860" s="508"/>
    </row>
    <row r="861" ht="13.5" customHeight="1">
      <c r="A861" s="508"/>
      <c r="B861" s="508"/>
      <c r="C861" s="508"/>
      <c r="D861" s="508"/>
      <c r="E861" s="508"/>
      <c r="F861" s="508"/>
      <c r="G861" s="508"/>
      <c r="H861" s="508"/>
      <c r="I861" s="508"/>
      <c r="J861" s="508"/>
      <c r="K861" s="508"/>
      <c r="L861" s="508"/>
      <c r="M861" s="508"/>
      <c r="N861" s="508"/>
      <c r="O861" s="508"/>
      <c r="P861" s="508"/>
      <c r="Q861" s="508"/>
      <c r="R861" s="508"/>
      <c r="S861" s="508"/>
      <c r="T861" s="508"/>
      <c r="U861" s="508"/>
      <c r="V861" s="508"/>
      <c r="W861" s="508"/>
      <c r="X861" s="508"/>
      <c r="Y861" s="508"/>
      <c r="Z861" s="508"/>
    </row>
    <row r="862" ht="13.5" customHeight="1">
      <c r="A862" s="508"/>
      <c r="B862" s="508"/>
      <c r="C862" s="508"/>
      <c r="D862" s="508"/>
      <c r="E862" s="508"/>
      <c r="F862" s="508"/>
      <c r="G862" s="508"/>
      <c r="H862" s="508"/>
      <c r="I862" s="508"/>
      <c r="J862" s="508"/>
      <c r="K862" s="508"/>
      <c r="L862" s="508"/>
      <c r="M862" s="508"/>
      <c r="N862" s="508"/>
      <c r="O862" s="508"/>
      <c r="P862" s="508"/>
      <c r="Q862" s="508"/>
      <c r="R862" s="508"/>
      <c r="S862" s="508"/>
      <c r="T862" s="508"/>
      <c r="U862" s="508"/>
      <c r="V862" s="508"/>
      <c r="W862" s="508"/>
      <c r="X862" s="508"/>
      <c r="Y862" s="508"/>
      <c r="Z862" s="508"/>
    </row>
    <row r="863" ht="13.5" customHeight="1">
      <c r="A863" s="508"/>
      <c r="B863" s="508"/>
      <c r="C863" s="508"/>
      <c r="D863" s="508"/>
      <c r="E863" s="508"/>
      <c r="F863" s="508"/>
      <c r="G863" s="508"/>
      <c r="H863" s="508"/>
      <c r="I863" s="508"/>
      <c r="J863" s="508"/>
      <c r="K863" s="508"/>
      <c r="L863" s="508"/>
      <c r="M863" s="508"/>
      <c r="N863" s="508"/>
      <c r="O863" s="508"/>
      <c r="P863" s="508"/>
      <c r="Q863" s="508"/>
      <c r="R863" s="508"/>
      <c r="S863" s="508"/>
      <c r="T863" s="508"/>
      <c r="U863" s="508"/>
      <c r="V863" s="508"/>
      <c r="W863" s="508"/>
      <c r="X863" s="508"/>
      <c r="Y863" s="508"/>
      <c r="Z863" s="508"/>
    </row>
    <row r="864" ht="13.5" customHeight="1">
      <c r="A864" s="508"/>
      <c r="B864" s="508"/>
      <c r="C864" s="508"/>
      <c r="D864" s="508"/>
      <c r="E864" s="508"/>
      <c r="F864" s="508"/>
      <c r="G864" s="508"/>
      <c r="H864" s="508"/>
      <c r="I864" s="508"/>
      <c r="J864" s="508"/>
      <c r="K864" s="508"/>
      <c r="L864" s="508"/>
      <c r="M864" s="508"/>
      <c r="N864" s="508"/>
      <c r="O864" s="508"/>
      <c r="P864" s="508"/>
      <c r="Q864" s="508"/>
      <c r="R864" s="508"/>
      <c r="S864" s="508"/>
      <c r="T864" s="508"/>
      <c r="U864" s="508"/>
      <c r="V864" s="508"/>
      <c r="W864" s="508"/>
      <c r="X864" s="508"/>
      <c r="Y864" s="508"/>
      <c r="Z864" s="508"/>
    </row>
    <row r="865" ht="13.5" customHeight="1">
      <c r="A865" s="508"/>
      <c r="B865" s="508"/>
      <c r="C865" s="508"/>
      <c r="D865" s="508"/>
      <c r="E865" s="508"/>
      <c r="F865" s="508"/>
      <c r="G865" s="508"/>
      <c r="H865" s="508"/>
      <c r="I865" s="508"/>
      <c r="J865" s="508"/>
      <c r="K865" s="508"/>
      <c r="L865" s="508"/>
      <c r="M865" s="508"/>
      <c r="N865" s="508"/>
      <c r="O865" s="508"/>
      <c r="P865" s="508"/>
      <c r="Q865" s="508"/>
      <c r="R865" s="508"/>
      <c r="S865" s="508"/>
      <c r="T865" s="508"/>
      <c r="U865" s="508"/>
      <c r="V865" s="508"/>
      <c r="W865" s="508"/>
      <c r="X865" s="508"/>
      <c r="Y865" s="508"/>
      <c r="Z865" s="508"/>
    </row>
    <row r="866" ht="13.5" customHeight="1">
      <c r="A866" s="508"/>
      <c r="B866" s="508"/>
      <c r="C866" s="508"/>
      <c r="D866" s="508"/>
      <c r="E866" s="508"/>
      <c r="F866" s="508"/>
      <c r="G866" s="508"/>
      <c r="H866" s="508"/>
      <c r="I866" s="508"/>
      <c r="J866" s="508"/>
      <c r="K866" s="508"/>
      <c r="L866" s="508"/>
      <c r="M866" s="508"/>
      <c r="N866" s="508"/>
      <c r="O866" s="508"/>
      <c r="P866" s="508"/>
      <c r="Q866" s="508"/>
      <c r="R866" s="508"/>
      <c r="S866" s="508"/>
      <c r="T866" s="508"/>
      <c r="U866" s="508"/>
      <c r="V866" s="508"/>
      <c r="W866" s="508"/>
      <c r="X866" s="508"/>
      <c r="Y866" s="508"/>
      <c r="Z866" s="508"/>
    </row>
    <row r="867" ht="13.5" customHeight="1">
      <c r="A867" s="508"/>
      <c r="B867" s="508"/>
      <c r="C867" s="508"/>
      <c r="D867" s="508"/>
      <c r="E867" s="508"/>
      <c r="F867" s="508"/>
      <c r="G867" s="508"/>
      <c r="H867" s="508"/>
      <c r="I867" s="508"/>
      <c r="J867" s="508"/>
      <c r="K867" s="508"/>
      <c r="L867" s="508"/>
      <c r="M867" s="508"/>
      <c r="N867" s="508"/>
      <c r="O867" s="508"/>
      <c r="P867" s="508"/>
      <c r="Q867" s="508"/>
      <c r="R867" s="508"/>
      <c r="S867" s="508"/>
      <c r="T867" s="508"/>
      <c r="U867" s="508"/>
      <c r="V867" s="508"/>
      <c r="W867" s="508"/>
      <c r="X867" s="508"/>
      <c r="Y867" s="508"/>
      <c r="Z867" s="508"/>
    </row>
    <row r="868" ht="13.5" customHeight="1">
      <c r="A868" s="508"/>
      <c r="B868" s="508"/>
      <c r="C868" s="508"/>
      <c r="D868" s="508"/>
      <c r="E868" s="508"/>
      <c r="F868" s="508"/>
      <c r="G868" s="508"/>
      <c r="H868" s="508"/>
      <c r="I868" s="508"/>
      <c r="J868" s="508"/>
      <c r="K868" s="508"/>
      <c r="L868" s="508"/>
      <c r="M868" s="508"/>
      <c r="N868" s="508"/>
      <c r="O868" s="508"/>
      <c r="P868" s="508"/>
      <c r="Q868" s="508"/>
      <c r="R868" s="508"/>
      <c r="S868" s="508"/>
      <c r="T868" s="508"/>
      <c r="U868" s="508"/>
      <c r="V868" s="508"/>
      <c r="W868" s="508"/>
      <c r="X868" s="508"/>
      <c r="Y868" s="508"/>
      <c r="Z868" s="508"/>
    </row>
    <row r="869" ht="13.5" customHeight="1">
      <c r="A869" s="508"/>
      <c r="B869" s="508"/>
      <c r="C869" s="508"/>
      <c r="D869" s="508"/>
      <c r="E869" s="508"/>
      <c r="F869" s="508"/>
      <c r="G869" s="508"/>
      <c r="H869" s="508"/>
      <c r="I869" s="508"/>
      <c r="J869" s="508"/>
      <c r="K869" s="508"/>
      <c r="L869" s="508"/>
      <c r="M869" s="508"/>
      <c r="N869" s="508"/>
      <c r="O869" s="508"/>
      <c r="P869" s="508"/>
      <c r="Q869" s="508"/>
      <c r="R869" s="508"/>
      <c r="S869" s="508"/>
      <c r="T869" s="508"/>
      <c r="U869" s="508"/>
      <c r="V869" s="508"/>
      <c r="W869" s="508"/>
      <c r="X869" s="508"/>
      <c r="Y869" s="508"/>
      <c r="Z869" s="508"/>
    </row>
    <row r="870" ht="13.5" customHeight="1">
      <c r="A870" s="508"/>
      <c r="B870" s="508"/>
      <c r="C870" s="508"/>
      <c r="D870" s="508"/>
      <c r="E870" s="508"/>
      <c r="F870" s="508"/>
      <c r="G870" s="508"/>
      <c r="H870" s="508"/>
      <c r="I870" s="508"/>
      <c r="J870" s="508"/>
      <c r="K870" s="508"/>
      <c r="L870" s="508"/>
      <c r="M870" s="508"/>
      <c r="N870" s="508"/>
      <c r="O870" s="508"/>
      <c r="P870" s="508"/>
      <c r="Q870" s="508"/>
      <c r="R870" s="508"/>
      <c r="S870" s="508"/>
      <c r="T870" s="508"/>
      <c r="U870" s="508"/>
      <c r="V870" s="508"/>
      <c r="W870" s="508"/>
      <c r="X870" s="508"/>
      <c r="Y870" s="508"/>
      <c r="Z870" s="508"/>
    </row>
    <row r="871" ht="13.5" customHeight="1">
      <c r="A871" s="508"/>
      <c r="B871" s="508"/>
      <c r="C871" s="508"/>
      <c r="D871" s="508"/>
      <c r="E871" s="508"/>
      <c r="F871" s="508"/>
      <c r="G871" s="508"/>
      <c r="H871" s="508"/>
      <c r="I871" s="508"/>
      <c r="J871" s="508"/>
      <c r="K871" s="508"/>
      <c r="L871" s="508"/>
      <c r="M871" s="508"/>
      <c r="N871" s="508"/>
      <c r="O871" s="508"/>
      <c r="P871" s="508"/>
      <c r="Q871" s="508"/>
      <c r="R871" s="508"/>
      <c r="S871" s="508"/>
      <c r="T871" s="508"/>
      <c r="U871" s="508"/>
      <c r="V871" s="508"/>
      <c r="W871" s="508"/>
      <c r="X871" s="508"/>
      <c r="Y871" s="508"/>
      <c r="Z871" s="508"/>
    </row>
    <row r="872" ht="13.5" customHeight="1">
      <c r="A872" s="508"/>
      <c r="B872" s="508"/>
      <c r="C872" s="508"/>
      <c r="D872" s="508"/>
      <c r="E872" s="508"/>
      <c r="F872" s="508"/>
      <c r="G872" s="508"/>
      <c r="H872" s="508"/>
      <c r="I872" s="508"/>
      <c r="J872" s="508"/>
      <c r="K872" s="508"/>
      <c r="L872" s="508"/>
      <c r="M872" s="508"/>
      <c r="N872" s="508"/>
      <c r="O872" s="508"/>
      <c r="P872" s="508"/>
      <c r="Q872" s="508"/>
      <c r="R872" s="508"/>
      <c r="S872" s="508"/>
      <c r="T872" s="508"/>
      <c r="U872" s="508"/>
      <c r="V872" s="508"/>
      <c r="W872" s="508"/>
      <c r="X872" s="508"/>
      <c r="Y872" s="508"/>
      <c r="Z872" s="508"/>
    </row>
    <row r="873" ht="13.5" customHeight="1">
      <c r="A873" s="508"/>
      <c r="B873" s="508"/>
      <c r="C873" s="508"/>
      <c r="D873" s="508"/>
      <c r="E873" s="508"/>
      <c r="F873" s="508"/>
      <c r="G873" s="508"/>
      <c r="H873" s="508"/>
      <c r="I873" s="508"/>
      <c r="J873" s="508"/>
      <c r="K873" s="508"/>
      <c r="L873" s="508"/>
      <c r="M873" s="508"/>
      <c r="N873" s="508"/>
      <c r="O873" s="508"/>
      <c r="P873" s="508"/>
      <c r="Q873" s="508"/>
      <c r="R873" s="508"/>
      <c r="S873" s="508"/>
      <c r="T873" s="508"/>
      <c r="U873" s="508"/>
      <c r="V873" s="508"/>
      <c r="W873" s="508"/>
      <c r="X873" s="508"/>
      <c r="Y873" s="508"/>
      <c r="Z873" s="508"/>
    </row>
    <row r="874" ht="13.5" customHeight="1">
      <c r="A874" s="508"/>
      <c r="B874" s="508"/>
      <c r="C874" s="508"/>
      <c r="D874" s="508"/>
      <c r="E874" s="508"/>
      <c r="F874" s="508"/>
      <c r="G874" s="508"/>
      <c r="H874" s="508"/>
      <c r="I874" s="508"/>
      <c r="J874" s="508"/>
      <c r="K874" s="508"/>
      <c r="L874" s="508"/>
      <c r="M874" s="508"/>
      <c r="N874" s="508"/>
      <c r="O874" s="508"/>
      <c r="P874" s="508"/>
      <c r="Q874" s="508"/>
      <c r="R874" s="508"/>
      <c r="S874" s="508"/>
      <c r="T874" s="508"/>
      <c r="U874" s="508"/>
      <c r="V874" s="508"/>
      <c r="W874" s="508"/>
      <c r="X874" s="508"/>
      <c r="Y874" s="508"/>
      <c r="Z874" s="508"/>
    </row>
    <row r="875" ht="13.5" customHeight="1">
      <c r="A875" s="508"/>
      <c r="B875" s="508"/>
      <c r="C875" s="508"/>
      <c r="D875" s="508"/>
      <c r="E875" s="508"/>
      <c r="F875" s="508"/>
      <c r="G875" s="508"/>
      <c r="H875" s="508"/>
      <c r="I875" s="508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508"/>
      <c r="Y875" s="508"/>
      <c r="Z875" s="508"/>
    </row>
    <row r="876" ht="13.5" customHeight="1">
      <c r="A876" s="508"/>
      <c r="B876" s="508"/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8"/>
      <c r="Z876" s="508"/>
    </row>
    <row r="877" ht="13.5" customHeight="1">
      <c r="A877" s="508"/>
      <c r="B877" s="508"/>
      <c r="C877" s="508"/>
      <c r="D877" s="508"/>
      <c r="E877" s="508"/>
      <c r="F877" s="508"/>
      <c r="G877" s="508"/>
      <c r="H877" s="508"/>
      <c r="I877" s="508"/>
      <c r="J877" s="508"/>
      <c r="K877" s="508"/>
      <c r="L877" s="508"/>
      <c r="M877" s="508"/>
      <c r="N877" s="508"/>
      <c r="O877" s="508"/>
      <c r="P877" s="508"/>
      <c r="Q877" s="508"/>
      <c r="R877" s="508"/>
      <c r="S877" s="508"/>
      <c r="T877" s="508"/>
      <c r="U877" s="508"/>
      <c r="V877" s="508"/>
      <c r="W877" s="508"/>
      <c r="X877" s="508"/>
      <c r="Y877" s="508"/>
      <c r="Z877" s="508"/>
    </row>
    <row r="878" ht="13.5" customHeight="1">
      <c r="A878" s="508"/>
      <c r="B878" s="508"/>
      <c r="C878" s="508"/>
      <c r="D878" s="508"/>
      <c r="E878" s="508"/>
      <c r="F878" s="508"/>
      <c r="G878" s="508"/>
      <c r="H878" s="508"/>
      <c r="I878" s="508"/>
      <c r="J878" s="508"/>
      <c r="K878" s="508"/>
      <c r="L878" s="508"/>
      <c r="M878" s="508"/>
      <c r="N878" s="508"/>
      <c r="O878" s="508"/>
      <c r="P878" s="508"/>
      <c r="Q878" s="508"/>
      <c r="R878" s="508"/>
      <c r="S878" s="508"/>
      <c r="T878" s="508"/>
      <c r="U878" s="508"/>
      <c r="V878" s="508"/>
      <c r="W878" s="508"/>
      <c r="X878" s="508"/>
      <c r="Y878" s="508"/>
      <c r="Z878" s="508"/>
    </row>
    <row r="879" ht="13.5" customHeight="1">
      <c r="A879" s="508"/>
      <c r="B879" s="508"/>
      <c r="C879" s="508"/>
      <c r="D879" s="508"/>
      <c r="E879" s="508"/>
      <c r="F879" s="508"/>
      <c r="G879" s="508"/>
      <c r="H879" s="508"/>
      <c r="I879" s="508"/>
      <c r="J879" s="508"/>
      <c r="K879" s="508"/>
      <c r="L879" s="508"/>
      <c r="M879" s="508"/>
      <c r="N879" s="508"/>
      <c r="O879" s="508"/>
      <c r="P879" s="508"/>
      <c r="Q879" s="508"/>
      <c r="R879" s="508"/>
      <c r="S879" s="508"/>
      <c r="T879" s="508"/>
      <c r="U879" s="508"/>
      <c r="V879" s="508"/>
      <c r="W879" s="508"/>
      <c r="X879" s="508"/>
      <c r="Y879" s="508"/>
      <c r="Z879" s="508"/>
    </row>
    <row r="880" ht="13.5" customHeight="1">
      <c r="A880" s="508"/>
      <c r="B880" s="508"/>
      <c r="C880" s="508"/>
      <c r="D880" s="508"/>
      <c r="E880" s="508"/>
      <c r="F880" s="508"/>
      <c r="G880" s="508"/>
      <c r="H880" s="508"/>
      <c r="I880" s="508"/>
      <c r="J880" s="508"/>
      <c r="K880" s="508"/>
      <c r="L880" s="508"/>
      <c r="M880" s="508"/>
      <c r="N880" s="508"/>
      <c r="O880" s="508"/>
      <c r="P880" s="508"/>
      <c r="Q880" s="508"/>
      <c r="R880" s="508"/>
      <c r="S880" s="508"/>
      <c r="T880" s="508"/>
      <c r="U880" s="508"/>
      <c r="V880" s="508"/>
      <c r="W880" s="508"/>
      <c r="X880" s="508"/>
      <c r="Y880" s="508"/>
      <c r="Z880" s="508"/>
    </row>
    <row r="881" ht="13.5" customHeight="1">
      <c r="A881" s="508"/>
      <c r="B881" s="508"/>
      <c r="C881" s="508"/>
      <c r="D881" s="508"/>
      <c r="E881" s="508"/>
      <c r="F881" s="508"/>
      <c r="G881" s="508"/>
      <c r="H881" s="508"/>
      <c r="I881" s="508"/>
      <c r="J881" s="508"/>
      <c r="K881" s="508"/>
      <c r="L881" s="508"/>
      <c r="M881" s="508"/>
      <c r="N881" s="508"/>
      <c r="O881" s="508"/>
      <c r="P881" s="508"/>
      <c r="Q881" s="508"/>
      <c r="R881" s="508"/>
      <c r="S881" s="508"/>
      <c r="T881" s="508"/>
      <c r="U881" s="508"/>
      <c r="V881" s="508"/>
      <c r="W881" s="508"/>
      <c r="X881" s="508"/>
      <c r="Y881" s="508"/>
      <c r="Z881" s="508"/>
    </row>
    <row r="882" ht="13.5" customHeight="1">
      <c r="A882" s="508"/>
      <c r="B882" s="508"/>
      <c r="C882" s="508"/>
      <c r="D882" s="508"/>
      <c r="E882" s="508"/>
      <c r="F882" s="508"/>
      <c r="G882" s="508"/>
      <c r="H882" s="508"/>
      <c r="I882" s="508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U882" s="508"/>
      <c r="V882" s="508"/>
      <c r="W882" s="508"/>
      <c r="X882" s="508"/>
      <c r="Y882" s="508"/>
      <c r="Z882" s="508"/>
    </row>
    <row r="883" ht="13.5" customHeight="1">
      <c r="A883" s="508"/>
      <c r="B883" s="508"/>
      <c r="C883" s="508"/>
      <c r="D883" s="508"/>
      <c r="E883" s="508"/>
      <c r="F883" s="508"/>
      <c r="G883" s="508"/>
      <c r="H883" s="508"/>
      <c r="I883" s="508"/>
      <c r="J883" s="508"/>
      <c r="K883" s="508"/>
      <c r="L883" s="508"/>
      <c r="M883" s="508"/>
      <c r="N883" s="508"/>
      <c r="O883" s="508"/>
      <c r="P883" s="508"/>
      <c r="Q883" s="508"/>
      <c r="R883" s="508"/>
      <c r="S883" s="508"/>
      <c r="T883" s="508"/>
      <c r="U883" s="508"/>
      <c r="V883" s="508"/>
      <c r="W883" s="508"/>
      <c r="X883" s="508"/>
      <c r="Y883" s="508"/>
      <c r="Z883" s="508"/>
    </row>
    <row r="884" ht="13.5" customHeight="1">
      <c r="A884" s="508"/>
      <c r="B884" s="508"/>
      <c r="C884" s="508"/>
      <c r="D884" s="508"/>
      <c r="E884" s="508"/>
      <c r="F884" s="508"/>
      <c r="G884" s="508"/>
      <c r="H884" s="508"/>
      <c r="I884" s="508"/>
      <c r="J884" s="508"/>
      <c r="K884" s="508"/>
      <c r="L884" s="508"/>
      <c r="M884" s="508"/>
      <c r="N884" s="508"/>
      <c r="O884" s="508"/>
      <c r="P884" s="508"/>
      <c r="Q884" s="508"/>
      <c r="R884" s="508"/>
      <c r="S884" s="508"/>
      <c r="T884" s="508"/>
      <c r="U884" s="508"/>
      <c r="V884" s="508"/>
      <c r="W884" s="508"/>
      <c r="X884" s="508"/>
      <c r="Y884" s="508"/>
      <c r="Z884" s="508"/>
    </row>
    <row r="885" ht="13.5" customHeight="1">
      <c r="A885" s="508"/>
      <c r="B885" s="508"/>
      <c r="C885" s="508"/>
      <c r="D885" s="508"/>
      <c r="E885" s="508"/>
      <c r="F885" s="508"/>
      <c r="G885" s="508"/>
      <c r="H885" s="508"/>
      <c r="I885" s="508"/>
      <c r="J885" s="508"/>
      <c r="K885" s="508"/>
      <c r="L885" s="508"/>
      <c r="M885" s="508"/>
      <c r="N885" s="508"/>
      <c r="O885" s="508"/>
      <c r="P885" s="508"/>
      <c r="Q885" s="508"/>
      <c r="R885" s="508"/>
      <c r="S885" s="508"/>
      <c r="T885" s="508"/>
      <c r="U885" s="508"/>
      <c r="V885" s="508"/>
      <c r="W885" s="508"/>
      <c r="X885" s="508"/>
      <c r="Y885" s="508"/>
      <c r="Z885" s="508"/>
    </row>
    <row r="886" ht="13.5" customHeight="1">
      <c r="A886" s="508"/>
      <c r="B886" s="508"/>
      <c r="C886" s="508"/>
      <c r="D886" s="508"/>
      <c r="E886" s="508"/>
      <c r="F886" s="508"/>
      <c r="G886" s="508"/>
      <c r="H886" s="508"/>
      <c r="I886" s="508"/>
      <c r="J886" s="508"/>
      <c r="K886" s="508"/>
      <c r="L886" s="508"/>
      <c r="M886" s="508"/>
      <c r="N886" s="508"/>
      <c r="O886" s="508"/>
      <c r="P886" s="508"/>
      <c r="Q886" s="508"/>
      <c r="R886" s="508"/>
      <c r="S886" s="508"/>
      <c r="T886" s="508"/>
      <c r="U886" s="508"/>
      <c r="V886" s="508"/>
      <c r="W886" s="508"/>
      <c r="X886" s="508"/>
      <c r="Y886" s="508"/>
      <c r="Z886" s="508"/>
    </row>
    <row r="887" ht="13.5" customHeight="1">
      <c r="A887" s="508"/>
      <c r="B887" s="508"/>
      <c r="C887" s="508"/>
      <c r="D887" s="508"/>
      <c r="E887" s="508"/>
      <c r="F887" s="508"/>
      <c r="G887" s="508"/>
      <c r="H887" s="508"/>
      <c r="I887" s="508"/>
      <c r="J887" s="508"/>
      <c r="K887" s="508"/>
      <c r="L887" s="508"/>
      <c r="M887" s="508"/>
      <c r="N887" s="508"/>
      <c r="O887" s="508"/>
      <c r="P887" s="508"/>
      <c r="Q887" s="508"/>
      <c r="R887" s="508"/>
      <c r="S887" s="508"/>
      <c r="T887" s="508"/>
      <c r="U887" s="508"/>
      <c r="V887" s="508"/>
      <c r="W887" s="508"/>
      <c r="X887" s="508"/>
      <c r="Y887" s="508"/>
      <c r="Z887" s="508"/>
    </row>
    <row r="888" ht="13.5" customHeight="1">
      <c r="A888" s="508"/>
      <c r="B888" s="508"/>
      <c r="C888" s="508"/>
      <c r="D888" s="508"/>
      <c r="E888" s="508"/>
      <c r="F888" s="508"/>
      <c r="G888" s="508"/>
      <c r="H888" s="508"/>
      <c r="I888" s="508"/>
      <c r="J888" s="508"/>
      <c r="K888" s="508"/>
      <c r="L888" s="508"/>
      <c r="M888" s="508"/>
      <c r="N888" s="508"/>
      <c r="O888" s="508"/>
      <c r="P888" s="508"/>
      <c r="Q888" s="508"/>
      <c r="R888" s="508"/>
      <c r="S888" s="508"/>
      <c r="T888" s="508"/>
      <c r="U888" s="508"/>
      <c r="V888" s="508"/>
      <c r="W888" s="508"/>
      <c r="X888" s="508"/>
      <c r="Y888" s="508"/>
      <c r="Z888" s="508"/>
    </row>
    <row r="889" ht="13.5" customHeight="1">
      <c r="A889" s="508"/>
      <c r="B889" s="508"/>
      <c r="C889" s="508"/>
      <c r="D889" s="508"/>
      <c r="E889" s="508"/>
      <c r="F889" s="508"/>
      <c r="G889" s="508"/>
      <c r="H889" s="508"/>
      <c r="I889" s="508"/>
      <c r="J889" s="508"/>
      <c r="K889" s="508"/>
      <c r="L889" s="508"/>
      <c r="M889" s="508"/>
      <c r="N889" s="508"/>
      <c r="O889" s="508"/>
      <c r="P889" s="508"/>
      <c r="Q889" s="508"/>
      <c r="R889" s="508"/>
      <c r="S889" s="508"/>
      <c r="T889" s="508"/>
      <c r="U889" s="508"/>
      <c r="V889" s="508"/>
      <c r="W889" s="508"/>
      <c r="X889" s="508"/>
      <c r="Y889" s="508"/>
      <c r="Z889" s="508"/>
    </row>
    <row r="890" ht="13.5" customHeight="1">
      <c r="A890" s="508"/>
      <c r="B890" s="508"/>
      <c r="C890" s="508"/>
      <c r="D890" s="508"/>
      <c r="E890" s="508"/>
      <c r="F890" s="508"/>
      <c r="G890" s="508"/>
      <c r="H890" s="508"/>
      <c r="I890" s="508"/>
      <c r="J890" s="508"/>
      <c r="K890" s="508"/>
      <c r="L890" s="508"/>
      <c r="M890" s="508"/>
      <c r="N890" s="508"/>
      <c r="O890" s="508"/>
      <c r="P890" s="508"/>
      <c r="Q890" s="508"/>
      <c r="R890" s="508"/>
      <c r="S890" s="508"/>
      <c r="T890" s="508"/>
      <c r="U890" s="508"/>
      <c r="V890" s="508"/>
      <c r="W890" s="508"/>
      <c r="X890" s="508"/>
      <c r="Y890" s="508"/>
      <c r="Z890" s="508"/>
    </row>
    <row r="891" ht="13.5" customHeight="1">
      <c r="A891" s="508"/>
      <c r="B891" s="508"/>
      <c r="C891" s="508"/>
      <c r="D891" s="508"/>
      <c r="E891" s="508"/>
      <c r="F891" s="508"/>
      <c r="G891" s="508"/>
      <c r="H891" s="508"/>
      <c r="I891" s="508"/>
      <c r="J891" s="508"/>
      <c r="K891" s="508"/>
      <c r="L891" s="508"/>
      <c r="M891" s="508"/>
      <c r="N891" s="508"/>
      <c r="O891" s="508"/>
      <c r="P891" s="508"/>
      <c r="Q891" s="508"/>
      <c r="R891" s="508"/>
      <c r="S891" s="508"/>
      <c r="T891" s="508"/>
      <c r="U891" s="508"/>
      <c r="V891" s="508"/>
      <c r="W891" s="508"/>
      <c r="X891" s="508"/>
      <c r="Y891" s="508"/>
      <c r="Z891" s="508"/>
    </row>
    <row r="892" ht="13.5" customHeight="1">
      <c r="A892" s="508"/>
      <c r="B892" s="508"/>
      <c r="C892" s="508"/>
      <c r="D892" s="508"/>
      <c r="E892" s="508"/>
      <c r="F892" s="508"/>
      <c r="G892" s="508"/>
      <c r="H892" s="508"/>
      <c r="I892" s="508"/>
      <c r="J892" s="508"/>
      <c r="K892" s="508"/>
      <c r="L892" s="508"/>
      <c r="M892" s="508"/>
      <c r="N892" s="508"/>
      <c r="O892" s="508"/>
      <c r="P892" s="508"/>
      <c r="Q892" s="508"/>
      <c r="R892" s="508"/>
      <c r="S892" s="508"/>
      <c r="T892" s="508"/>
      <c r="U892" s="508"/>
      <c r="V892" s="508"/>
      <c r="W892" s="508"/>
      <c r="X892" s="508"/>
      <c r="Y892" s="508"/>
      <c r="Z892" s="508"/>
    </row>
    <row r="893" ht="13.5" customHeight="1">
      <c r="A893" s="508"/>
      <c r="B893" s="508"/>
      <c r="C893" s="508"/>
      <c r="D893" s="508"/>
      <c r="E893" s="508"/>
      <c r="F893" s="508"/>
      <c r="G893" s="508"/>
      <c r="H893" s="508"/>
      <c r="I893" s="508"/>
      <c r="J893" s="508"/>
      <c r="K893" s="508"/>
      <c r="L893" s="508"/>
      <c r="M893" s="508"/>
      <c r="N893" s="508"/>
      <c r="O893" s="508"/>
      <c r="P893" s="508"/>
      <c r="Q893" s="508"/>
      <c r="R893" s="508"/>
      <c r="S893" s="508"/>
      <c r="T893" s="508"/>
      <c r="U893" s="508"/>
      <c r="V893" s="508"/>
      <c r="W893" s="508"/>
      <c r="X893" s="508"/>
      <c r="Y893" s="508"/>
      <c r="Z893" s="508"/>
    </row>
    <row r="894" ht="13.5" customHeight="1">
      <c r="A894" s="508"/>
      <c r="B894" s="508"/>
      <c r="C894" s="508"/>
      <c r="D894" s="508"/>
      <c r="E894" s="508"/>
      <c r="F894" s="508"/>
      <c r="G894" s="508"/>
      <c r="H894" s="508"/>
      <c r="I894" s="508"/>
      <c r="J894" s="508"/>
      <c r="K894" s="508"/>
      <c r="L894" s="508"/>
      <c r="M894" s="508"/>
      <c r="N894" s="508"/>
      <c r="O894" s="508"/>
      <c r="P894" s="508"/>
      <c r="Q894" s="508"/>
      <c r="R894" s="508"/>
      <c r="S894" s="508"/>
      <c r="T894" s="508"/>
      <c r="U894" s="508"/>
      <c r="V894" s="508"/>
      <c r="W894" s="508"/>
      <c r="X894" s="508"/>
      <c r="Y894" s="508"/>
      <c r="Z894" s="508"/>
    </row>
    <row r="895" ht="13.5" customHeight="1">
      <c r="A895" s="508"/>
      <c r="B895" s="508"/>
      <c r="C895" s="508"/>
      <c r="D895" s="508"/>
      <c r="E895" s="508"/>
      <c r="F895" s="508"/>
      <c r="G895" s="508"/>
      <c r="H895" s="508"/>
      <c r="I895" s="508"/>
      <c r="J895" s="508"/>
      <c r="K895" s="508"/>
      <c r="L895" s="508"/>
      <c r="M895" s="508"/>
      <c r="N895" s="508"/>
      <c r="O895" s="508"/>
      <c r="P895" s="508"/>
      <c r="Q895" s="508"/>
      <c r="R895" s="508"/>
      <c r="S895" s="508"/>
      <c r="T895" s="508"/>
      <c r="U895" s="508"/>
      <c r="V895" s="508"/>
      <c r="W895" s="508"/>
      <c r="X895" s="508"/>
      <c r="Y895" s="508"/>
      <c r="Z895" s="508"/>
    </row>
    <row r="896" ht="13.5" customHeight="1">
      <c r="A896" s="508"/>
      <c r="B896" s="508"/>
      <c r="C896" s="508"/>
      <c r="D896" s="508"/>
      <c r="E896" s="508"/>
      <c r="F896" s="508"/>
      <c r="G896" s="508"/>
      <c r="H896" s="508"/>
      <c r="I896" s="508"/>
      <c r="J896" s="508"/>
      <c r="K896" s="508"/>
      <c r="L896" s="508"/>
      <c r="M896" s="508"/>
      <c r="N896" s="508"/>
      <c r="O896" s="508"/>
      <c r="P896" s="508"/>
      <c r="Q896" s="508"/>
      <c r="R896" s="508"/>
      <c r="S896" s="508"/>
      <c r="T896" s="508"/>
      <c r="U896" s="508"/>
      <c r="V896" s="508"/>
      <c r="W896" s="508"/>
      <c r="X896" s="508"/>
      <c r="Y896" s="508"/>
      <c r="Z896" s="508"/>
    </row>
    <row r="897" ht="13.5" customHeight="1">
      <c r="A897" s="508"/>
      <c r="B897" s="508"/>
      <c r="C897" s="508"/>
      <c r="D897" s="508"/>
      <c r="E897" s="508"/>
      <c r="F897" s="508"/>
      <c r="G897" s="508"/>
      <c r="H897" s="508"/>
      <c r="I897" s="508"/>
      <c r="J897" s="508"/>
      <c r="K897" s="508"/>
      <c r="L897" s="508"/>
      <c r="M897" s="508"/>
      <c r="N897" s="508"/>
      <c r="O897" s="508"/>
      <c r="P897" s="508"/>
      <c r="Q897" s="508"/>
      <c r="R897" s="508"/>
      <c r="S897" s="508"/>
      <c r="T897" s="508"/>
      <c r="U897" s="508"/>
      <c r="V897" s="508"/>
      <c r="W897" s="508"/>
      <c r="X897" s="508"/>
      <c r="Y897" s="508"/>
      <c r="Z897" s="508"/>
    </row>
    <row r="898" ht="13.5" customHeight="1">
      <c r="A898" s="508"/>
      <c r="B898" s="508"/>
      <c r="C898" s="508"/>
      <c r="D898" s="508"/>
      <c r="E898" s="508"/>
      <c r="F898" s="508"/>
      <c r="G898" s="508"/>
      <c r="H898" s="508"/>
      <c r="I898" s="508"/>
      <c r="J898" s="508"/>
      <c r="K898" s="508"/>
      <c r="L898" s="508"/>
      <c r="M898" s="508"/>
      <c r="N898" s="508"/>
      <c r="O898" s="508"/>
      <c r="P898" s="508"/>
      <c r="Q898" s="508"/>
      <c r="R898" s="508"/>
      <c r="S898" s="508"/>
      <c r="T898" s="508"/>
      <c r="U898" s="508"/>
      <c r="V898" s="508"/>
      <c r="W898" s="508"/>
      <c r="X898" s="508"/>
      <c r="Y898" s="508"/>
      <c r="Z898" s="508"/>
    </row>
    <row r="899" ht="13.5" customHeight="1">
      <c r="A899" s="508"/>
      <c r="B899" s="508"/>
      <c r="C899" s="508"/>
      <c r="D899" s="508"/>
      <c r="E899" s="508"/>
      <c r="F899" s="508"/>
      <c r="G899" s="508"/>
      <c r="H899" s="508"/>
      <c r="I899" s="508"/>
      <c r="J899" s="508"/>
      <c r="K899" s="508"/>
      <c r="L899" s="508"/>
      <c r="M899" s="508"/>
      <c r="N899" s="508"/>
      <c r="O899" s="508"/>
      <c r="P899" s="508"/>
      <c r="Q899" s="508"/>
      <c r="R899" s="508"/>
      <c r="S899" s="508"/>
      <c r="T899" s="508"/>
      <c r="U899" s="508"/>
      <c r="V899" s="508"/>
      <c r="W899" s="508"/>
      <c r="X899" s="508"/>
      <c r="Y899" s="508"/>
      <c r="Z899" s="508"/>
    </row>
    <row r="900" ht="13.5" customHeight="1">
      <c r="A900" s="508"/>
      <c r="B900" s="508"/>
      <c r="C900" s="508"/>
      <c r="D900" s="508"/>
      <c r="E900" s="508"/>
      <c r="F900" s="508"/>
      <c r="G900" s="508"/>
      <c r="H900" s="508"/>
      <c r="I900" s="508"/>
      <c r="J900" s="508"/>
      <c r="K900" s="508"/>
      <c r="L900" s="508"/>
      <c r="M900" s="508"/>
      <c r="N900" s="508"/>
      <c r="O900" s="508"/>
      <c r="P900" s="508"/>
      <c r="Q900" s="508"/>
      <c r="R900" s="508"/>
      <c r="S900" s="508"/>
      <c r="T900" s="508"/>
      <c r="U900" s="508"/>
      <c r="V900" s="508"/>
      <c r="W900" s="508"/>
      <c r="X900" s="508"/>
      <c r="Y900" s="508"/>
      <c r="Z900" s="508"/>
    </row>
    <row r="901" ht="13.5" customHeight="1">
      <c r="A901" s="508"/>
      <c r="B901" s="508"/>
      <c r="C901" s="508"/>
      <c r="D901" s="508"/>
      <c r="E901" s="508"/>
      <c r="F901" s="508"/>
      <c r="G901" s="508"/>
      <c r="H901" s="508"/>
      <c r="I901" s="508"/>
      <c r="J901" s="508"/>
      <c r="K901" s="508"/>
      <c r="L901" s="508"/>
      <c r="M901" s="508"/>
      <c r="N901" s="508"/>
      <c r="O901" s="508"/>
      <c r="P901" s="508"/>
      <c r="Q901" s="508"/>
      <c r="R901" s="508"/>
      <c r="S901" s="508"/>
      <c r="T901" s="508"/>
      <c r="U901" s="508"/>
      <c r="V901" s="508"/>
      <c r="W901" s="508"/>
      <c r="X901" s="508"/>
      <c r="Y901" s="508"/>
      <c r="Z901" s="508"/>
    </row>
    <row r="902" ht="13.5" customHeight="1">
      <c r="A902" s="508"/>
      <c r="B902" s="508"/>
      <c r="C902" s="508"/>
      <c r="D902" s="508"/>
      <c r="E902" s="508"/>
      <c r="F902" s="508"/>
      <c r="G902" s="508"/>
      <c r="H902" s="508"/>
      <c r="I902" s="508"/>
      <c r="J902" s="508"/>
      <c r="K902" s="508"/>
      <c r="L902" s="508"/>
      <c r="M902" s="508"/>
      <c r="N902" s="508"/>
      <c r="O902" s="508"/>
      <c r="P902" s="508"/>
      <c r="Q902" s="508"/>
      <c r="R902" s="508"/>
      <c r="S902" s="508"/>
      <c r="T902" s="508"/>
      <c r="U902" s="508"/>
      <c r="V902" s="508"/>
      <c r="W902" s="508"/>
      <c r="X902" s="508"/>
      <c r="Y902" s="508"/>
      <c r="Z902" s="508"/>
    </row>
    <row r="903" ht="13.5" customHeight="1">
      <c r="A903" s="508"/>
      <c r="B903" s="508"/>
      <c r="C903" s="508"/>
      <c r="D903" s="508"/>
      <c r="E903" s="508"/>
      <c r="F903" s="508"/>
      <c r="G903" s="508"/>
      <c r="H903" s="508"/>
      <c r="I903" s="508"/>
      <c r="J903" s="508"/>
      <c r="K903" s="508"/>
      <c r="L903" s="508"/>
      <c r="M903" s="508"/>
      <c r="N903" s="508"/>
      <c r="O903" s="508"/>
      <c r="P903" s="508"/>
      <c r="Q903" s="508"/>
      <c r="R903" s="508"/>
      <c r="S903" s="508"/>
      <c r="T903" s="508"/>
      <c r="U903" s="508"/>
      <c r="V903" s="508"/>
      <c r="W903" s="508"/>
      <c r="X903" s="508"/>
      <c r="Y903" s="508"/>
      <c r="Z903" s="508"/>
    </row>
    <row r="904" ht="13.5" customHeight="1">
      <c r="A904" s="508"/>
      <c r="B904" s="508"/>
      <c r="C904" s="508"/>
      <c r="D904" s="508"/>
      <c r="E904" s="508"/>
      <c r="F904" s="508"/>
      <c r="G904" s="508"/>
      <c r="H904" s="508"/>
      <c r="I904" s="508"/>
      <c r="J904" s="508"/>
      <c r="K904" s="508"/>
      <c r="L904" s="508"/>
      <c r="M904" s="508"/>
      <c r="N904" s="508"/>
      <c r="O904" s="508"/>
      <c r="P904" s="508"/>
      <c r="Q904" s="508"/>
      <c r="R904" s="508"/>
      <c r="S904" s="508"/>
      <c r="T904" s="508"/>
      <c r="U904" s="508"/>
      <c r="V904" s="508"/>
      <c r="W904" s="508"/>
      <c r="X904" s="508"/>
      <c r="Y904" s="508"/>
      <c r="Z904" s="508"/>
    </row>
    <row r="905" ht="13.5" customHeight="1">
      <c r="A905" s="508"/>
      <c r="B905" s="508"/>
      <c r="C905" s="508"/>
      <c r="D905" s="508"/>
      <c r="E905" s="508"/>
      <c r="F905" s="508"/>
      <c r="G905" s="508"/>
      <c r="H905" s="508"/>
      <c r="I905" s="508"/>
      <c r="J905" s="508"/>
      <c r="K905" s="508"/>
      <c r="L905" s="508"/>
      <c r="M905" s="508"/>
      <c r="N905" s="508"/>
      <c r="O905" s="508"/>
      <c r="P905" s="508"/>
      <c r="Q905" s="508"/>
      <c r="R905" s="508"/>
      <c r="S905" s="508"/>
      <c r="T905" s="508"/>
      <c r="U905" s="508"/>
      <c r="V905" s="508"/>
      <c r="W905" s="508"/>
      <c r="X905" s="508"/>
      <c r="Y905" s="508"/>
      <c r="Z905" s="508"/>
    </row>
    <row r="906" ht="13.5" customHeight="1">
      <c r="A906" s="508"/>
      <c r="B906" s="508"/>
      <c r="C906" s="508"/>
      <c r="D906" s="508"/>
      <c r="E906" s="508"/>
      <c r="F906" s="508"/>
      <c r="G906" s="508"/>
      <c r="H906" s="508"/>
      <c r="I906" s="508"/>
      <c r="J906" s="508"/>
      <c r="K906" s="508"/>
      <c r="L906" s="508"/>
      <c r="M906" s="508"/>
      <c r="N906" s="508"/>
      <c r="O906" s="508"/>
      <c r="P906" s="508"/>
      <c r="Q906" s="508"/>
      <c r="R906" s="508"/>
      <c r="S906" s="508"/>
      <c r="T906" s="508"/>
      <c r="U906" s="508"/>
      <c r="V906" s="508"/>
      <c r="W906" s="508"/>
      <c r="X906" s="508"/>
      <c r="Y906" s="508"/>
      <c r="Z906" s="508"/>
    </row>
    <row r="907" ht="13.5" customHeight="1">
      <c r="A907" s="508"/>
      <c r="B907" s="508"/>
      <c r="C907" s="508"/>
      <c r="D907" s="508"/>
      <c r="E907" s="508"/>
      <c r="F907" s="508"/>
      <c r="G907" s="508"/>
      <c r="H907" s="508"/>
      <c r="I907" s="508"/>
      <c r="J907" s="508"/>
      <c r="K907" s="508"/>
      <c r="L907" s="508"/>
      <c r="M907" s="508"/>
      <c r="N907" s="508"/>
      <c r="O907" s="508"/>
      <c r="P907" s="508"/>
      <c r="Q907" s="508"/>
      <c r="R907" s="508"/>
      <c r="S907" s="508"/>
      <c r="T907" s="508"/>
      <c r="U907" s="508"/>
      <c r="V907" s="508"/>
      <c r="W907" s="508"/>
      <c r="X907" s="508"/>
      <c r="Y907" s="508"/>
      <c r="Z907" s="508"/>
    </row>
    <row r="908" ht="13.5" customHeight="1">
      <c r="A908" s="508"/>
      <c r="B908" s="508"/>
      <c r="C908" s="508"/>
      <c r="D908" s="508"/>
      <c r="E908" s="508"/>
      <c r="F908" s="508"/>
      <c r="G908" s="508"/>
      <c r="H908" s="508"/>
      <c r="I908" s="508"/>
      <c r="J908" s="508"/>
      <c r="K908" s="508"/>
      <c r="L908" s="508"/>
      <c r="M908" s="508"/>
      <c r="N908" s="508"/>
      <c r="O908" s="508"/>
      <c r="P908" s="508"/>
      <c r="Q908" s="508"/>
      <c r="R908" s="508"/>
      <c r="S908" s="508"/>
      <c r="T908" s="508"/>
      <c r="U908" s="508"/>
      <c r="V908" s="508"/>
      <c r="W908" s="508"/>
      <c r="X908" s="508"/>
      <c r="Y908" s="508"/>
      <c r="Z908" s="508"/>
    </row>
    <row r="909" ht="13.5" customHeight="1">
      <c r="A909" s="508"/>
      <c r="B909" s="508"/>
      <c r="C909" s="508"/>
      <c r="D909" s="508"/>
      <c r="E909" s="508"/>
      <c r="F909" s="508"/>
      <c r="G909" s="508"/>
      <c r="H909" s="508"/>
      <c r="I909" s="508"/>
      <c r="J909" s="508"/>
      <c r="K909" s="508"/>
      <c r="L909" s="508"/>
      <c r="M909" s="508"/>
      <c r="N909" s="508"/>
      <c r="O909" s="508"/>
      <c r="P909" s="508"/>
      <c r="Q909" s="508"/>
      <c r="R909" s="508"/>
      <c r="S909" s="508"/>
      <c r="T909" s="508"/>
      <c r="U909" s="508"/>
      <c r="V909" s="508"/>
      <c r="W909" s="508"/>
      <c r="X909" s="508"/>
      <c r="Y909" s="508"/>
      <c r="Z909" s="508"/>
    </row>
    <row r="910" ht="13.5" customHeight="1">
      <c r="A910" s="508"/>
      <c r="B910" s="508"/>
      <c r="C910" s="508"/>
      <c r="D910" s="508"/>
      <c r="E910" s="508"/>
      <c r="F910" s="508"/>
      <c r="G910" s="508"/>
      <c r="H910" s="508"/>
      <c r="I910" s="508"/>
      <c r="J910" s="508"/>
      <c r="K910" s="508"/>
      <c r="L910" s="508"/>
      <c r="M910" s="508"/>
      <c r="N910" s="508"/>
      <c r="O910" s="508"/>
      <c r="P910" s="508"/>
      <c r="Q910" s="508"/>
      <c r="R910" s="508"/>
      <c r="S910" s="508"/>
      <c r="T910" s="508"/>
      <c r="U910" s="508"/>
      <c r="V910" s="508"/>
      <c r="W910" s="508"/>
      <c r="X910" s="508"/>
      <c r="Y910" s="508"/>
      <c r="Z910" s="508"/>
    </row>
    <row r="911" ht="13.5" customHeight="1">
      <c r="A911" s="508"/>
      <c r="B911" s="508"/>
      <c r="C911" s="508"/>
      <c r="D911" s="508"/>
      <c r="E911" s="508"/>
      <c r="F911" s="508"/>
      <c r="G911" s="508"/>
      <c r="H911" s="508"/>
      <c r="I911" s="508"/>
      <c r="J911" s="508"/>
      <c r="K911" s="508"/>
      <c r="L911" s="508"/>
      <c r="M911" s="508"/>
      <c r="N911" s="508"/>
      <c r="O911" s="508"/>
      <c r="P911" s="508"/>
      <c r="Q911" s="508"/>
      <c r="R911" s="508"/>
      <c r="S911" s="508"/>
      <c r="T911" s="508"/>
      <c r="U911" s="508"/>
      <c r="V911" s="508"/>
      <c r="W911" s="508"/>
      <c r="X911" s="508"/>
      <c r="Y911" s="508"/>
      <c r="Z911" s="508"/>
    </row>
    <row r="912" ht="13.5" customHeight="1">
      <c r="A912" s="508"/>
      <c r="B912" s="508"/>
      <c r="C912" s="508"/>
      <c r="D912" s="508"/>
      <c r="E912" s="508"/>
      <c r="F912" s="508"/>
      <c r="G912" s="508"/>
      <c r="H912" s="508"/>
      <c r="I912" s="508"/>
      <c r="J912" s="508"/>
      <c r="K912" s="508"/>
      <c r="L912" s="508"/>
      <c r="M912" s="508"/>
      <c r="N912" s="508"/>
      <c r="O912" s="508"/>
      <c r="P912" s="508"/>
      <c r="Q912" s="508"/>
      <c r="R912" s="508"/>
      <c r="S912" s="508"/>
      <c r="T912" s="508"/>
      <c r="U912" s="508"/>
      <c r="V912" s="508"/>
      <c r="W912" s="508"/>
      <c r="X912" s="508"/>
      <c r="Y912" s="508"/>
      <c r="Z912" s="508"/>
    </row>
    <row r="913" ht="13.5" customHeight="1">
      <c r="A913" s="508"/>
      <c r="B913" s="508"/>
      <c r="C913" s="508"/>
      <c r="D913" s="508"/>
      <c r="E913" s="508"/>
      <c r="F913" s="508"/>
      <c r="G913" s="508"/>
      <c r="H913" s="508"/>
      <c r="I913" s="508"/>
      <c r="J913" s="508"/>
      <c r="K913" s="508"/>
      <c r="L913" s="508"/>
      <c r="M913" s="508"/>
      <c r="N913" s="508"/>
      <c r="O913" s="508"/>
      <c r="P913" s="508"/>
      <c r="Q913" s="508"/>
      <c r="R913" s="508"/>
      <c r="S913" s="508"/>
      <c r="T913" s="508"/>
      <c r="U913" s="508"/>
      <c r="V913" s="508"/>
      <c r="W913" s="508"/>
      <c r="X913" s="508"/>
      <c r="Y913" s="508"/>
      <c r="Z913" s="508"/>
    </row>
    <row r="914" ht="13.5" customHeight="1">
      <c r="A914" s="508"/>
      <c r="B914" s="508"/>
      <c r="C914" s="508"/>
      <c r="D914" s="508"/>
      <c r="E914" s="508"/>
      <c r="F914" s="508"/>
      <c r="G914" s="508"/>
      <c r="H914" s="508"/>
      <c r="I914" s="508"/>
      <c r="J914" s="508"/>
      <c r="K914" s="508"/>
      <c r="L914" s="508"/>
      <c r="M914" s="508"/>
      <c r="N914" s="508"/>
      <c r="O914" s="508"/>
      <c r="P914" s="508"/>
      <c r="Q914" s="508"/>
      <c r="R914" s="508"/>
      <c r="S914" s="508"/>
      <c r="T914" s="508"/>
      <c r="U914" s="508"/>
      <c r="V914" s="508"/>
      <c r="W914" s="508"/>
      <c r="X914" s="508"/>
      <c r="Y914" s="508"/>
      <c r="Z914" s="508"/>
    </row>
    <row r="915" ht="13.5" customHeight="1">
      <c r="A915" s="508"/>
      <c r="B915" s="508"/>
      <c r="C915" s="508"/>
      <c r="D915" s="508"/>
      <c r="E915" s="508"/>
      <c r="F915" s="508"/>
      <c r="G915" s="508"/>
      <c r="H915" s="508"/>
      <c r="I915" s="508"/>
      <c r="J915" s="508"/>
      <c r="K915" s="508"/>
      <c r="L915" s="508"/>
      <c r="M915" s="508"/>
      <c r="N915" s="508"/>
      <c r="O915" s="508"/>
      <c r="P915" s="508"/>
      <c r="Q915" s="508"/>
      <c r="R915" s="508"/>
      <c r="S915" s="508"/>
      <c r="T915" s="508"/>
      <c r="U915" s="508"/>
      <c r="V915" s="508"/>
      <c r="W915" s="508"/>
      <c r="X915" s="508"/>
      <c r="Y915" s="508"/>
      <c r="Z915" s="508"/>
    </row>
    <row r="916" ht="13.5" customHeight="1">
      <c r="A916" s="508"/>
      <c r="B916" s="508"/>
      <c r="C916" s="508"/>
      <c r="D916" s="508"/>
      <c r="E916" s="508"/>
      <c r="F916" s="508"/>
      <c r="G916" s="508"/>
      <c r="H916" s="508"/>
      <c r="I916" s="508"/>
      <c r="J916" s="508"/>
      <c r="K916" s="508"/>
      <c r="L916" s="508"/>
      <c r="M916" s="508"/>
      <c r="N916" s="508"/>
      <c r="O916" s="508"/>
      <c r="P916" s="508"/>
      <c r="Q916" s="508"/>
      <c r="R916" s="508"/>
      <c r="S916" s="508"/>
      <c r="T916" s="508"/>
      <c r="U916" s="508"/>
      <c r="V916" s="508"/>
      <c r="W916" s="508"/>
      <c r="X916" s="508"/>
      <c r="Y916" s="508"/>
      <c r="Z916" s="508"/>
    </row>
    <row r="917" ht="13.5" customHeight="1">
      <c r="A917" s="508"/>
      <c r="B917" s="508"/>
      <c r="C917" s="508"/>
      <c r="D917" s="508"/>
      <c r="E917" s="508"/>
      <c r="F917" s="508"/>
      <c r="G917" s="508"/>
      <c r="H917" s="508"/>
      <c r="I917" s="508"/>
      <c r="J917" s="508"/>
      <c r="K917" s="508"/>
      <c r="L917" s="508"/>
      <c r="M917" s="508"/>
      <c r="N917" s="508"/>
      <c r="O917" s="508"/>
      <c r="P917" s="508"/>
      <c r="Q917" s="508"/>
      <c r="R917" s="508"/>
      <c r="S917" s="508"/>
      <c r="T917" s="508"/>
      <c r="U917" s="508"/>
      <c r="V917" s="508"/>
      <c r="W917" s="508"/>
      <c r="X917" s="508"/>
      <c r="Y917" s="508"/>
      <c r="Z917" s="508"/>
    </row>
    <row r="918" ht="13.5" customHeight="1">
      <c r="A918" s="508"/>
      <c r="B918" s="508"/>
      <c r="C918" s="508"/>
      <c r="D918" s="508"/>
      <c r="E918" s="508"/>
      <c r="F918" s="508"/>
      <c r="G918" s="508"/>
      <c r="H918" s="508"/>
      <c r="I918" s="508"/>
      <c r="J918" s="508"/>
      <c r="K918" s="508"/>
      <c r="L918" s="508"/>
      <c r="M918" s="508"/>
      <c r="N918" s="508"/>
      <c r="O918" s="508"/>
      <c r="P918" s="508"/>
      <c r="Q918" s="508"/>
      <c r="R918" s="508"/>
      <c r="S918" s="508"/>
      <c r="T918" s="508"/>
      <c r="U918" s="508"/>
      <c r="V918" s="508"/>
      <c r="W918" s="508"/>
      <c r="X918" s="508"/>
      <c r="Y918" s="508"/>
      <c r="Z918" s="508"/>
    </row>
    <row r="919" ht="13.5" customHeight="1">
      <c r="A919" s="508"/>
      <c r="B919" s="508"/>
      <c r="C919" s="508"/>
      <c r="D919" s="508"/>
      <c r="E919" s="508"/>
      <c r="F919" s="508"/>
      <c r="G919" s="508"/>
      <c r="H919" s="508"/>
      <c r="I919" s="508"/>
      <c r="J919" s="508"/>
      <c r="K919" s="508"/>
      <c r="L919" s="508"/>
      <c r="M919" s="508"/>
      <c r="N919" s="508"/>
      <c r="O919" s="508"/>
      <c r="P919" s="508"/>
      <c r="Q919" s="508"/>
      <c r="R919" s="508"/>
      <c r="S919" s="508"/>
      <c r="T919" s="508"/>
      <c r="U919" s="508"/>
      <c r="V919" s="508"/>
      <c r="W919" s="508"/>
      <c r="X919" s="508"/>
      <c r="Y919" s="508"/>
      <c r="Z919" s="508"/>
    </row>
    <row r="920" ht="13.5" customHeight="1">
      <c r="A920" s="508"/>
      <c r="B920" s="508"/>
      <c r="C920" s="508"/>
      <c r="D920" s="508"/>
      <c r="E920" s="508"/>
      <c r="F920" s="508"/>
      <c r="G920" s="508"/>
      <c r="H920" s="508"/>
      <c r="I920" s="508"/>
      <c r="J920" s="508"/>
      <c r="K920" s="508"/>
      <c r="L920" s="508"/>
      <c r="M920" s="508"/>
      <c r="N920" s="508"/>
      <c r="O920" s="508"/>
      <c r="P920" s="508"/>
      <c r="Q920" s="508"/>
      <c r="R920" s="508"/>
      <c r="S920" s="508"/>
      <c r="T920" s="508"/>
      <c r="U920" s="508"/>
      <c r="V920" s="508"/>
      <c r="W920" s="508"/>
      <c r="X920" s="508"/>
      <c r="Y920" s="508"/>
      <c r="Z920" s="508"/>
    </row>
    <row r="921" ht="13.5" customHeight="1">
      <c r="A921" s="508"/>
      <c r="B921" s="508"/>
      <c r="C921" s="508"/>
      <c r="D921" s="508"/>
      <c r="E921" s="508"/>
      <c r="F921" s="508"/>
      <c r="G921" s="508"/>
      <c r="H921" s="508"/>
      <c r="I921" s="508"/>
      <c r="J921" s="508"/>
      <c r="K921" s="508"/>
      <c r="L921" s="508"/>
      <c r="M921" s="508"/>
      <c r="N921" s="508"/>
      <c r="O921" s="508"/>
      <c r="P921" s="508"/>
      <c r="Q921" s="508"/>
      <c r="R921" s="508"/>
      <c r="S921" s="508"/>
      <c r="T921" s="508"/>
      <c r="U921" s="508"/>
      <c r="V921" s="508"/>
      <c r="W921" s="508"/>
      <c r="X921" s="508"/>
      <c r="Y921" s="508"/>
      <c r="Z921" s="508"/>
    </row>
    <row r="922" ht="13.5" customHeight="1">
      <c r="A922" s="508"/>
      <c r="B922" s="508"/>
      <c r="C922" s="508"/>
      <c r="D922" s="508"/>
      <c r="E922" s="508"/>
      <c r="F922" s="508"/>
      <c r="G922" s="508"/>
      <c r="H922" s="508"/>
      <c r="I922" s="508"/>
      <c r="J922" s="508"/>
      <c r="K922" s="508"/>
      <c r="L922" s="508"/>
      <c r="M922" s="508"/>
      <c r="N922" s="508"/>
      <c r="O922" s="508"/>
      <c r="P922" s="508"/>
      <c r="Q922" s="508"/>
      <c r="R922" s="508"/>
      <c r="S922" s="508"/>
      <c r="T922" s="508"/>
      <c r="U922" s="508"/>
      <c r="V922" s="508"/>
      <c r="W922" s="508"/>
      <c r="X922" s="508"/>
      <c r="Y922" s="508"/>
      <c r="Z922" s="508"/>
    </row>
    <row r="923" ht="13.5" customHeight="1">
      <c r="A923" s="508"/>
      <c r="B923" s="508"/>
      <c r="C923" s="508"/>
      <c r="D923" s="508"/>
      <c r="E923" s="508"/>
      <c r="F923" s="508"/>
      <c r="G923" s="508"/>
      <c r="H923" s="508"/>
      <c r="I923" s="508"/>
      <c r="J923" s="508"/>
      <c r="K923" s="508"/>
      <c r="L923" s="508"/>
      <c r="M923" s="508"/>
      <c r="N923" s="508"/>
      <c r="O923" s="508"/>
      <c r="P923" s="508"/>
      <c r="Q923" s="508"/>
      <c r="R923" s="508"/>
      <c r="S923" s="508"/>
      <c r="T923" s="508"/>
      <c r="U923" s="508"/>
      <c r="V923" s="508"/>
      <c r="W923" s="508"/>
      <c r="X923" s="508"/>
      <c r="Y923" s="508"/>
      <c r="Z923" s="508"/>
    </row>
    <row r="924" ht="13.5" customHeight="1">
      <c r="A924" s="508"/>
      <c r="B924" s="508"/>
      <c r="C924" s="508"/>
      <c r="D924" s="508"/>
      <c r="E924" s="508"/>
      <c r="F924" s="508"/>
      <c r="G924" s="508"/>
      <c r="H924" s="508"/>
      <c r="I924" s="508"/>
      <c r="J924" s="508"/>
      <c r="K924" s="508"/>
      <c r="L924" s="508"/>
      <c r="M924" s="508"/>
      <c r="N924" s="508"/>
      <c r="O924" s="508"/>
      <c r="P924" s="508"/>
      <c r="Q924" s="508"/>
      <c r="R924" s="508"/>
      <c r="S924" s="508"/>
      <c r="T924" s="508"/>
      <c r="U924" s="508"/>
      <c r="V924" s="508"/>
      <c r="W924" s="508"/>
      <c r="X924" s="508"/>
      <c r="Y924" s="508"/>
      <c r="Z924" s="508"/>
    </row>
    <row r="925" ht="13.5" customHeight="1">
      <c r="A925" s="508"/>
      <c r="B925" s="508"/>
      <c r="C925" s="508"/>
      <c r="D925" s="508"/>
      <c r="E925" s="508"/>
      <c r="F925" s="508"/>
      <c r="G925" s="508"/>
      <c r="H925" s="508"/>
      <c r="I925" s="508"/>
      <c r="J925" s="508"/>
      <c r="K925" s="508"/>
      <c r="L925" s="508"/>
      <c r="M925" s="508"/>
      <c r="N925" s="508"/>
      <c r="O925" s="508"/>
      <c r="P925" s="508"/>
      <c r="Q925" s="508"/>
      <c r="R925" s="508"/>
      <c r="S925" s="508"/>
      <c r="T925" s="508"/>
      <c r="U925" s="508"/>
      <c r="V925" s="508"/>
      <c r="W925" s="508"/>
      <c r="X925" s="508"/>
      <c r="Y925" s="508"/>
      <c r="Z925" s="508"/>
    </row>
    <row r="926" ht="13.5" customHeight="1">
      <c r="A926" s="508"/>
      <c r="B926" s="508"/>
      <c r="C926" s="508"/>
      <c r="D926" s="508"/>
      <c r="E926" s="508"/>
      <c r="F926" s="508"/>
      <c r="G926" s="508"/>
      <c r="H926" s="508"/>
      <c r="I926" s="508"/>
      <c r="J926" s="508"/>
      <c r="K926" s="508"/>
      <c r="L926" s="508"/>
      <c r="M926" s="508"/>
      <c r="N926" s="508"/>
      <c r="O926" s="508"/>
      <c r="P926" s="508"/>
      <c r="Q926" s="508"/>
      <c r="R926" s="508"/>
      <c r="S926" s="508"/>
      <c r="T926" s="508"/>
      <c r="U926" s="508"/>
      <c r="V926" s="508"/>
      <c r="W926" s="508"/>
      <c r="X926" s="508"/>
      <c r="Y926" s="508"/>
      <c r="Z926" s="508"/>
    </row>
    <row r="927" ht="13.5" customHeight="1">
      <c r="A927" s="508"/>
      <c r="B927" s="508"/>
      <c r="C927" s="508"/>
      <c r="D927" s="508"/>
      <c r="E927" s="508"/>
      <c r="F927" s="508"/>
      <c r="G927" s="508"/>
      <c r="H927" s="508"/>
      <c r="I927" s="508"/>
      <c r="J927" s="508"/>
      <c r="K927" s="508"/>
      <c r="L927" s="508"/>
      <c r="M927" s="508"/>
      <c r="N927" s="508"/>
      <c r="O927" s="508"/>
      <c r="P927" s="508"/>
      <c r="Q927" s="508"/>
      <c r="R927" s="508"/>
      <c r="S927" s="508"/>
      <c r="T927" s="508"/>
      <c r="U927" s="508"/>
      <c r="V927" s="508"/>
      <c r="W927" s="508"/>
      <c r="X927" s="508"/>
      <c r="Y927" s="508"/>
      <c r="Z927" s="508"/>
    </row>
    <row r="928" ht="13.5" customHeight="1">
      <c r="A928" s="508"/>
      <c r="B928" s="508"/>
      <c r="C928" s="508"/>
      <c r="D928" s="508"/>
      <c r="E928" s="508"/>
      <c r="F928" s="508"/>
      <c r="G928" s="508"/>
      <c r="H928" s="508"/>
      <c r="I928" s="508"/>
      <c r="J928" s="508"/>
      <c r="K928" s="508"/>
      <c r="L928" s="508"/>
      <c r="M928" s="508"/>
      <c r="N928" s="508"/>
      <c r="O928" s="508"/>
      <c r="P928" s="508"/>
      <c r="Q928" s="508"/>
      <c r="R928" s="508"/>
      <c r="S928" s="508"/>
      <c r="T928" s="508"/>
      <c r="U928" s="508"/>
      <c r="V928" s="508"/>
      <c r="W928" s="508"/>
      <c r="X928" s="508"/>
      <c r="Y928" s="508"/>
      <c r="Z928" s="508"/>
    </row>
    <row r="929" ht="13.5" customHeight="1">
      <c r="A929" s="508"/>
      <c r="B929" s="508"/>
      <c r="C929" s="508"/>
      <c r="D929" s="508"/>
      <c r="E929" s="508"/>
      <c r="F929" s="508"/>
      <c r="G929" s="508"/>
      <c r="H929" s="508"/>
      <c r="I929" s="508"/>
      <c r="J929" s="508"/>
      <c r="K929" s="508"/>
      <c r="L929" s="508"/>
      <c r="M929" s="508"/>
      <c r="N929" s="508"/>
      <c r="O929" s="508"/>
      <c r="P929" s="508"/>
      <c r="Q929" s="508"/>
      <c r="R929" s="508"/>
      <c r="S929" s="508"/>
      <c r="T929" s="508"/>
      <c r="U929" s="508"/>
      <c r="V929" s="508"/>
      <c r="W929" s="508"/>
      <c r="X929" s="508"/>
      <c r="Y929" s="508"/>
      <c r="Z929" s="508"/>
    </row>
    <row r="930" ht="13.5" customHeight="1">
      <c r="A930" s="508"/>
      <c r="B930" s="508"/>
      <c r="C930" s="508"/>
      <c r="D930" s="508"/>
      <c r="E930" s="508"/>
      <c r="F930" s="508"/>
      <c r="G930" s="508"/>
      <c r="H930" s="508"/>
      <c r="I930" s="508"/>
      <c r="J930" s="508"/>
      <c r="K930" s="508"/>
      <c r="L930" s="508"/>
      <c r="M930" s="508"/>
      <c r="N930" s="508"/>
      <c r="O930" s="508"/>
      <c r="P930" s="508"/>
      <c r="Q930" s="508"/>
      <c r="R930" s="508"/>
      <c r="S930" s="508"/>
      <c r="T930" s="508"/>
      <c r="U930" s="508"/>
      <c r="V930" s="508"/>
      <c r="W930" s="508"/>
      <c r="X930" s="508"/>
      <c r="Y930" s="508"/>
      <c r="Z930" s="508"/>
    </row>
    <row r="931" ht="13.5" customHeight="1">
      <c r="A931" s="508"/>
      <c r="B931" s="508"/>
      <c r="C931" s="508"/>
      <c r="D931" s="508"/>
      <c r="E931" s="508"/>
      <c r="F931" s="508"/>
      <c r="G931" s="508"/>
      <c r="H931" s="508"/>
      <c r="I931" s="508"/>
      <c r="J931" s="508"/>
      <c r="K931" s="508"/>
      <c r="L931" s="508"/>
      <c r="M931" s="508"/>
      <c r="N931" s="508"/>
      <c r="O931" s="508"/>
      <c r="P931" s="508"/>
      <c r="Q931" s="508"/>
      <c r="R931" s="508"/>
      <c r="S931" s="508"/>
      <c r="T931" s="508"/>
      <c r="U931" s="508"/>
      <c r="V931" s="508"/>
      <c r="W931" s="508"/>
      <c r="X931" s="508"/>
      <c r="Y931" s="508"/>
      <c r="Z931" s="508"/>
    </row>
    <row r="932" ht="13.5" customHeight="1">
      <c r="A932" s="508"/>
      <c r="B932" s="508"/>
      <c r="C932" s="508"/>
      <c r="D932" s="508"/>
      <c r="E932" s="508"/>
      <c r="F932" s="508"/>
      <c r="G932" s="508"/>
      <c r="H932" s="508"/>
      <c r="I932" s="508"/>
      <c r="J932" s="508"/>
      <c r="K932" s="508"/>
      <c r="L932" s="508"/>
      <c r="M932" s="508"/>
      <c r="N932" s="508"/>
      <c r="O932" s="508"/>
      <c r="P932" s="508"/>
      <c r="Q932" s="508"/>
      <c r="R932" s="508"/>
      <c r="S932" s="508"/>
      <c r="T932" s="508"/>
      <c r="U932" s="508"/>
      <c r="V932" s="508"/>
      <c r="W932" s="508"/>
      <c r="X932" s="508"/>
      <c r="Y932" s="508"/>
      <c r="Z932" s="508"/>
    </row>
    <row r="933" ht="13.5" customHeight="1">
      <c r="A933" s="508"/>
      <c r="B933" s="508"/>
      <c r="C933" s="508"/>
      <c r="D933" s="508"/>
      <c r="E933" s="508"/>
      <c r="F933" s="508"/>
      <c r="G933" s="508"/>
      <c r="H933" s="508"/>
      <c r="I933" s="508"/>
      <c r="J933" s="508"/>
      <c r="K933" s="508"/>
      <c r="L933" s="508"/>
      <c r="M933" s="508"/>
      <c r="N933" s="508"/>
      <c r="O933" s="508"/>
      <c r="P933" s="508"/>
      <c r="Q933" s="508"/>
      <c r="R933" s="508"/>
      <c r="S933" s="508"/>
      <c r="T933" s="508"/>
      <c r="U933" s="508"/>
      <c r="V933" s="508"/>
      <c r="W933" s="508"/>
      <c r="X933" s="508"/>
      <c r="Y933" s="508"/>
      <c r="Z933" s="508"/>
    </row>
    <row r="934" ht="13.5" customHeight="1">
      <c r="A934" s="508"/>
      <c r="B934" s="508"/>
      <c r="C934" s="508"/>
      <c r="D934" s="508"/>
      <c r="E934" s="508"/>
      <c r="F934" s="508"/>
      <c r="G934" s="508"/>
      <c r="H934" s="508"/>
      <c r="I934" s="508"/>
      <c r="J934" s="508"/>
      <c r="K934" s="508"/>
      <c r="L934" s="508"/>
      <c r="M934" s="508"/>
      <c r="N934" s="508"/>
      <c r="O934" s="508"/>
      <c r="P934" s="508"/>
      <c r="Q934" s="508"/>
      <c r="R934" s="508"/>
      <c r="S934" s="508"/>
      <c r="T934" s="508"/>
      <c r="U934" s="508"/>
      <c r="V934" s="508"/>
      <c r="W934" s="508"/>
      <c r="X934" s="508"/>
      <c r="Y934" s="508"/>
      <c r="Z934" s="508"/>
    </row>
    <row r="935" ht="13.5" customHeight="1">
      <c r="A935" s="508"/>
      <c r="B935" s="508"/>
      <c r="C935" s="508"/>
      <c r="D935" s="508"/>
      <c r="E935" s="508"/>
      <c r="F935" s="508"/>
      <c r="G935" s="508"/>
      <c r="H935" s="508"/>
      <c r="I935" s="508"/>
      <c r="J935" s="508"/>
      <c r="K935" s="508"/>
      <c r="L935" s="508"/>
      <c r="M935" s="508"/>
      <c r="N935" s="508"/>
      <c r="O935" s="508"/>
      <c r="P935" s="508"/>
      <c r="Q935" s="508"/>
      <c r="R935" s="508"/>
      <c r="S935" s="508"/>
      <c r="T935" s="508"/>
      <c r="U935" s="508"/>
      <c r="V935" s="508"/>
      <c r="W935" s="508"/>
      <c r="X935" s="508"/>
      <c r="Y935" s="508"/>
      <c r="Z935" s="508"/>
    </row>
    <row r="936" ht="13.5" customHeight="1">
      <c r="A936" s="508"/>
      <c r="B936" s="508"/>
      <c r="C936" s="508"/>
      <c r="D936" s="508"/>
      <c r="E936" s="508"/>
      <c r="F936" s="508"/>
      <c r="G936" s="508"/>
      <c r="H936" s="508"/>
      <c r="I936" s="508"/>
      <c r="J936" s="508"/>
      <c r="K936" s="508"/>
      <c r="L936" s="508"/>
      <c r="M936" s="508"/>
      <c r="N936" s="508"/>
      <c r="O936" s="508"/>
      <c r="P936" s="508"/>
      <c r="Q936" s="508"/>
      <c r="R936" s="508"/>
      <c r="S936" s="508"/>
      <c r="T936" s="508"/>
      <c r="U936" s="508"/>
      <c r="V936" s="508"/>
      <c r="W936" s="508"/>
      <c r="X936" s="508"/>
      <c r="Y936" s="508"/>
      <c r="Z936" s="508"/>
    </row>
    <row r="937" ht="13.5" customHeight="1">
      <c r="A937" s="508"/>
      <c r="B937" s="508"/>
      <c r="C937" s="508"/>
      <c r="D937" s="508"/>
      <c r="E937" s="508"/>
      <c r="F937" s="508"/>
      <c r="G937" s="508"/>
      <c r="H937" s="508"/>
      <c r="I937" s="508"/>
      <c r="J937" s="508"/>
      <c r="K937" s="508"/>
      <c r="L937" s="508"/>
      <c r="M937" s="508"/>
      <c r="N937" s="508"/>
      <c r="O937" s="508"/>
      <c r="P937" s="508"/>
      <c r="Q937" s="508"/>
      <c r="R937" s="508"/>
      <c r="S937" s="508"/>
      <c r="T937" s="508"/>
      <c r="U937" s="508"/>
      <c r="V937" s="508"/>
      <c r="W937" s="508"/>
      <c r="X937" s="508"/>
      <c r="Y937" s="508"/>
      <c r="Z937" s="508"/>
    </row>
    <row r="938" ht="13.5" customHeight="1">
      <c r="A938" s="508"/>
      <c r="B938" s="508"/>
      <c r="C938" s="508"/>
      <c r="D938" s="508"/>
      <c r="E938" s="508"/>
      <c r="F938" s="508"/>
      <c r="G938" s="508"/>
      <c r="H938" s="508"/>
      <c r="I938" s="508"/>
      <c r="J938" s="508"/>
      <c r="K938" s="508"/>
      <c r="L938" s="508"/>
      <c r="M938" s="508"/>
      <c r="N938" s="508"/>
      <c r="O938" s="508"/>
      <c r="P938" s="508"/>
      <c r="Q938" s="508"/>
      <c r="R938" s="508"/>
      <c r="S938" s="508"/>
      <c r="T938" s="508"/>
      <c r="U938" s="508"/>
      <c r="V938" s="508"/>
      <c r="W938" s="508"/>
      <c r="X938" s="508"/>
      <c r="Y938" s="508"/>
      <c r="Z938" s="508"/>
    </row>
    <row r="939" ht="13.5" customHeight="1">
      <c r="A939" s="508"/>
      <c r="B939" s="508"/>
      <c r="C939" s="508"/>
      <c r="D939" s="508"/>
      <c r="E939" s="508"/>
      <c r="F939" s="508"/>
      <c r="G939" s="508"/>
      <c r="H939" s="508"/>
      <c r="I939" s="508"/>
      <c r="J939" s="508"/>
      <c r="K939" s="508"/>
      <c r="L939" s="508"/>
      <c r="M939" s="508"/>
      <c r="N939" s="508"/>
      <c r="O939" s="508"/>
      <c r="P939" s="508"/>
      <c r="Q939" s="508"/>
      <c r="R939" s="508"/>
      <c r="S939" s="508"/>
      <c r="T939" s="508"/>
      <c r="U939" s="508"/>
      <c r="V939" s="508"/>
      <c r="W939" s="508"/>
      <c r="X939" s="508"/>
      <c r="Y939" s="508"/>
      <c r="Z939" s="508"/>
    </row>
    <row r="940" ht="13.5" customHeight="1">
      <c r="A940" s="508"/>
      <c r="B940" s="508"/>
      <c r="C940" s="508"/>
      <c r="D940" s="508"/>
      <c r="E940" s="508"/>
      <c r="F940" s="508"/>
      <c r="G940" s="508"/>
      <c r="H940" s="508"/>
      <c r="I940" s="508"/>
      <c r="J940" s="508"/>
      <c r="K940" s="508"/>
      <c r="L940" s="508"/>
      <c r="M940" s="508"/>
      <c r="N940" s="508"/>
      <c r="O940" s="508"/>
      <c r="P940" s="508"/>
      <c r="Q940" s="508"/>
      <c r="R940" s="508"/>
      <c r="S940" s="508"/>
      <c r="T940" s="508"/>
      <c r="U940" s="508"/>
      <c r="V940" s="508"/>
      <c r="W940" s="508"/>
      <c r="X940" s="508"/>
      <c r="Y940" s="508"/>
      <c r="Z940" s="508"/>
    </row>
    <row r="941" ht="13.5" customHeight="1">
      <c r="A941" s="508"/>
      <c r="B941" s="508"/>
      <c r="C941" s="508"/>
      <c r="D941" s="508"/>
      <c r="E941" s="508"/>
      <c r="F941" s="508"/>
      <c r="G941" s="508"/>
      <c r="H941" s="508"/>
      <c r="I941" s="508"/>
      <c r="J941" s="508"/>
      <c r="K941" s="508"/>
      <c r="L941" s="508"/>
      <c r="M941" s="508"/>
      <c r="N941" s="508"/>
      <c r="O941" s="508"/>
      <c r="P941" s="508"/>
      <c r="Q941" s="508"/>
      <c r="R941" s="508"/>
      <c r="S941" s="508"/>
      <c r="T941" s="508"/>
      <c r="U941" s="508"/>
      <c r="V941" s="508"/>
      <c r="W941" s="508"/>
      <c r="X941" s="508"/>
      <c r="Y941" s="508"/>
      <c r="Z941" s="508"/>
    </row>
    <row r="942" ht="13.5" customHeight="1">
      <c r="A942" s="508"/>
      <c r="B942" s="508"/>
      <c r="C942" s="508"/>
      <c r="D942" s="508"/>
      <c r="E942" s="508"/>
      <c r="F942" s="508"/>
      <c r="G942" s="508"/>
      <c r="H942" s="508"/>
      <c r="I942" s="508"/>
      <c r="J942" s="508"/>
      <c r="K942" s="508"/>
      <c r="L942" s="508"/>
      <c r="M942" s="508"/>
      <c r="N942" s="508"/>
      <c r="O942" s="508"/>
      <c r="P942" s="508"/>
      <c r="Q942" s="508"/>
      <c r="R942" s="508"/>
      <c r="S942" s="508"/>
      <c r="T942" s="508"/>
      <c r="U942" s="508"/>
      <c r="V942" s="508"/>
      <c r="W942" s="508"/>
      <c r="X942" s="508"/>
      <c r="Y942" s="508"/>
      <c r="Z942" s="508"/>
    </row>
    <row r="943" ht="13.5" customHeight="1">
      <c r="A943" s="508"/>
      <c r="B943" s="508"/>
      <c r="C943" s="508"/>
      <c r="D943" s="508"/>
      <c r="E943" s="508"/>
      <c r="F943" s="508"/>
      <c r="G943" s="508"/>
      <c r="H943" s="508"/>
      <c r="I943" s="508"/>
      <c r="J943" s="508"/>
      <c r="K943" s="508"/>
      <c r="L943" s="508"/>
      <c r="M943" s="508"/>
      <c r="N943" s="508"/>
      <c r="O943" s="508"/>
      <c r="P943" s="508"/>
      <c r="Q943" s="508"/>
      <c r="R943" s="508"/>
      <c r="S943" s="508"/>
      <c r="T943" s="508"/>
      <c r="U943" s="508"/>
      <c r="V943" s="508"/>
      <c r="W943" s="508"/>
      <c r="X943" s="508"/>
      <c r="Y943" s="508"/>
      <c r="Z943" s="508"/>
    </row>
    <row r="944" ht="13.5" customHeight="1">
      <c r="A944" s="508"/>
      <c r="B944" s="508"/>
      <c r="C944" s="508"/>
      <c r="D944" s="508"/>
      <c r="E944" s="508"/>
      <c r="F944" s="508"/>
      <c r="G944" s="508"/>
      <c r="H944" s="508"/>
      <c r="I944" s="508"/>
      <c r="J944" s="508"/>
      <c r="K944" s="508"/>
      <c r="L944" s="508"/>
      <c r="M944" s="508"/>
      <c r="N944" s="508"/>
      <c r="O944" s="508"/>
      <c r="P944" s="508"/>
      <c r="Q944" s="508"/>
      <c r="R944" s="508"/>
      <c r="S944" s="508"/>
      <c r="T944" s="508"/>
      <c r="U944" s="508"/>
      <c r="V944" s="508"/>
      <c r="W944" s="508"/>
      <c r="X944" s="508"/>
      <c r="Y944" s="508"/>
      <c r="Z944" s="508"/>
    </row>
    <row r="945" ht="13.5" customHeight="1">
      <c r="A945" s="508"/>
      <c r="B945" s="508"/>
      <c r="C945" s="508"/>
      <c r="D945" s="508"/>
      <c r="E945" s="508"/>
      <c r="F945" s="508"/>
      <c r="G945" s="508"/>
      <c r="H945" s="508"/>
      <c r="I945" s="508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508"/>
      <c r="Y945" s="508"/>
      <c r="Z945" s="508"/>
    </row>
    <row r="946" ht="13.5" customHeight="1">
      <c r="A946" s="508"/>
      <c r="B946" s="508"/>
      <c r="C946" s="508"/>
      <c r="D946" s="508"/>
      <c r="E946" s="508"/>
      <c r="F946" s="508"/>
      <c r="G946" s="508"/>
      <c r="H946" s="508"/>
      <c r="I946" s="508"/>
      <c r="J946" s="508"/>
      <c r="K946" s="508"/>
      <c r="L946" s="508"/>
      <c r="M946" s="508"/>
      <c r="N946" s="508"/>
      <c r="O946" s="508"/>
      <c r="P946" s="508"/>
      <c r="Q946" s="508"/>
      <c r="R946" s="508"/>
      <c r="S946" s="508"/>
      <c r="T946" s="508"/>
      <c r="U946" s="508"/>
      <c r="V946" s="508"/>
      <c r="W946" s="508"/>
      <c r="X946" s="508"/>
      <c r="Y946" s="508"/>
      <c r="Z946" s="508"/>
    </row>
    <row r="947" ht="13.5" customHeight="1">
      <c r="A947" s="508"/>
      <c r="B947" s="508"/>
      <c r="C947" s="508"/>
      <c r="D947" s="508"/>
      <c r="E947" s="508"/>
      <c r="F947" s="508"/>
      <c r="G947" s="508"/>
      <c r="H947" s="508"/>
      <c r="I947" s="508"/>
      <c r="J947" s="508"/>
      <c r="K947" s="508"/>
      <c r="L947" s="508"/>
      <c r="M947" s="508"/>
      <c r="N947" s="508"/>
      <c r="O947" s="508"/>
      <c r="P947" s="508"/>
      <c r="Q947" s="508"/>
      <c r="R947" s="508"/>
      <c r="S947" s="508"/>
      <c r="T947" s="508"/>
      <c r="U947" s="508"/>
      <c r="V947" s="508"/>
      <c r="W947" s="508"/>
      <c r="X947" s="508"/>
      <c r="Y947" s="508"/>
      <c r="Z947" s="508"/>
    </row>
    <row r="948" ht="13.5" customHeight="1">
      <c r="A948" s="508"/>
      <c r="B948" s="508"/>
      <c r="C948" s="508"/>
      <c r="D948" s="508"/>
      <c r="E948" s="508"/>
      <c r="F948" s="508"/>
      <c r="G948" s="508"/>
      <c r="H948" s="508"/>
      <c r="I948" s="508"/>
      <c r="J948" s="508"/>
      <c r="K948" s="508"/>
      <c r="L948" s="508"/>
      <c r="M948" s="508"/>
      <c r="N948" s="508"/>
      <c r="O948" s="508"/>
      <c r="P948" s="508"/>
      <c r="Q948" s="508"/>
      <c r="R948" s="508"/>
      <c r="S948" s="508"/>
      <c r="T948" s="508"/>
      <c r="U948" s="508"/>
      <c r="V948" s="508"/>
      <c r="W948" s="508"/>
      <c r="X948" s="508"/>
      <c r="Y948" s="508"/>
      <c r="Z948" s="508"/>
    </row>
    <row r="949" ht="13.5" customHeight="1">
      <c r="A949" s="508"/>
      <c r="B949" s="508"/>
      <c r="C949" s="508"/>
      <c r="D949" s="508"/>
      <c r="E949" s="508"/>
      <c r="F949" s="508"/>
      <c r="G949" s="508"/>
      <c r="H949" s="508"/>
      <c r="I949" s="508"/>
      <c r="J949" s="508"/>
      <c r="K949" s="508"/>
      <c r="L949" s="508"/>
      <c r="M949" s="508"/>
      <c r="N949" s="508"/>
      <c r="O949" s="508"/>
      <c r="P949" s="508"/>
      <c r="Q949" s="508"/>
      <c r="R949" s="508"/>
      <c r="S949" s="508"/>
      <c r="T949" s="508"/>
      <c r="U949" s="508"/>
      <c r="V949" s="508"/>
      <c r="W949" s="508"/>
      <c r="X949" s="508"/>
      <c r="Y949" s="508"/>
      <c r="Z949" s="508"/>
    </row>
    <row r="950" ht="13.5" customHeight="1">
      <c r="A950" s="508"/>
      <c r="B950" s="508"/>
      <c r="C950" s="508"/>
      <c r="D950" s="508"/>
      <c r="E950" s="508"/>
      <c r="F950" s="508"/>
      <c r="G950" s="508"/>
      <c r="H950" s="508"/>
      <c r="I950" s="508"/>
      <c r="J950" s="508"/>
      <c r="K950" s="508"/>
      <c r="L950" s="508"/>
      <c r="M950" s="508"/>
      <c r="N950" s="508"/>
      <c r="O950" s="508"/>
      <c r="P950" s="508"/>
      <c r="Q950" s="508"/>
      <c r="R950" s="508"/>
      <c r="S950" s="508"/>
      <c r="T950" s="508"/>
      <c r="U950" s="508"/>
      <c r="V950" s="508"/>
      <c r="W950" s="508"/>
      <c r="X950" s="508"/>
      <c r="Y950" s="508"/>
      <c r="Z950" s="508"/>
    </row>
    <row r="951" ht="13.5" customHeight="1">
      <c r="A951" s="508"/>
      <c r="B951" s="508"/>
      <c r="C951" s="508"/>
      <c r="D951" s="508"/>
      <c r="E951" s="508"/>
      <c r="F951" s="508"/>
      <c r="G951" s="508"/>
      <c r="H951" s="508"/>
      <c r="I951" s="508"/>
      <c r="J951" s="508"/>
      <c r="K951" s="508"/>
      <c r="L951" s="508"/>
      <c r="M951" s="508"/>
      <c r="N951" s="508"/>
      <c r="O951" s="508"/>
      <c r="P951" s="508"/>
      <c r="Q951" s="508"/>
      <c r="R951" s="508"/>
      <c r="S951" s="508"/>
      <c r="T951" s="508"/>
      <c r="U951" s="508"/>
      <c r="V951" s="508"/>
      <c r="W951" s="508"/>
      <c r="X951" s="508"/>
      <c r="Y951" s="508"/>
      <c r="Z951" s="508"/>
    </row>
    <row r="952" ht="13.5" customHeight="1">
      <c r="A952" s="508"/>
      <c r="B952" s="508"/>
      <c r="C952" s="508"/>
      <c r="D952" s="508"/>
      <c r="E952" s="508"/>
      <c r="F952" s="508"/>
      <c r="G952" s="508"/>
      <c r="H952" s="508"/>
      <c r="I952" s="508"/>
      <c r="J952" s="508"/>
      <c r="K952" s="508"/>
      <c r="L952" s="508"/>
      <c r="M952" s="508"/>
      <c r="N952" s="508"/>
      <c r="O952" s="508"/>
      <c r="P952" s="508"/>
      <c r="Q952" s="508"/>
      <c r="R952" s="508"/>
      <c r="S952" s="508"/>
      <c r="T952" s="508"/>
      <c r="U952" s="508"/>
      <c r="V952" s="508"/>
      <c r="W952" s="508"/>
      <c r="X952" s="508"/>
      <c r="Y952" s="508"/>
      <c r="Z952" s="508"/>
    </row>
    <row r="953" ht="13.5" customHeight="1">
      <c r="A953" s="508"/>
      <c r="B953" s="508"/>
      <c r="C953" s="508"/>
      <c r="D953" s="508"/>
      <c r="E953" s="508"/>
      <c r="F953" s="508"/>
      <c r="G953" s="508"/>
      <c r="H953" s="508"/>
      <c r="I953" s="508"/>
      <c r="J953" s="508"/>
      <c r="K953" s="508"/>
      <c r="L953" s="508"/>
      <c r="M953" s="508"/>
      <c r="N953" s="508"/>
      <c r="O953" s="508"/>
      <c r="P953" s="508"/>
      <c r="Q953" s="508"/>
      <c r="R953" s="508"/>
      <c r="S953" s="508"/>
      <c r="T953" s="508"/>
      <c r="U953" s="508"/>
      <c r="V953" s="508"/>
      <c r="W953" s="508"/>
      <c r="X953" s="508"/>
      <c r="Y953" s="508"/>
      <c r="Z953" s="508"/>
    </row>
    <row r="954" ht="13.5" customHeight="1">
      <c r="A954" s="508"/>
      <c r="B954" s="508"/>
      <c r="C954" s="508"/>
      <c r="D954" s="508"/>
      <c r="E954" s="508"/>
      <c r="F954" s="508"/>
      <c r="G954" s="508"/>
      <c r="H954" s="508"/>
      <c r="I954" s="508"/>
      <c r="J954" s="508"/>
      <c r="K954" s="508"/>
      <c r="L954" s="508"/>
      <c r="M954" s="508"/>
      <c r="N954" s="508"/>
      <c r="O954" s="508"/>
      <c r="P954" s="508"/>
      <c r="Q954" s="508"/>
      <c r="R954" s="508"/>
      <c r="S954" s="508"/>
      <c r="T954" s="508"/>
      <c r="U954" s="508"/>
      <c r="V954" s="508"/>
      <c r="W954" s="508"/>
      <c r="X954" s="508"/>
      <c r="Y954" s="508"/>
      <c r="Z954" s="508"/>
    </row>
    <row r="955" ht="13.5" customHeight="1">
      <c r="A955" s="508"/>
      <c r="B955" s="508"/>
      <c r="C955" s="508"/>
      <c r="D955" s="508"/>
      <c r="E955" s="508"/>
      <c r="F955" s="508"/>
      <c r="G955" s="508"/>
      <c r="H955" s="508"/>
      <c r="I955" s="508"/>
      <c r="J955" s="508"/>
      <c r="K955" s="508"/>
      <c r="L955" s="508"/>
      <c r="M955" s="508"/>
      <c r="N955" s="508"/>
      <c r="O955" s="508"/>
      <c r="P955" s="508"/>
      <c r="Q955" s="508"/>
      <c r="R955" s="508"/>
      <c r="S955" s="508"/>
      <c r="T955" s="508"/>
      <c r="U955" s="508"/>
      <c r="V955" s="508"/>
      <c r="W955" s="508"/>
      <c r="X955" s="508"/>
      <c r="Y955" s="508"/>
      <c r="Z955" s="508"/>
    </row>
    <row r="956" ht="13.5" customHeight="1">
      <c r="A956" s="508"/>
      <c r="B956" s="508"/>
      <c r="C956" s="508"/>
      <c r="D956" s="508"/>
      <c r="E956" s="508"/>
      <c r="F956" s="508"/>
      <c r="G956" s="508"/>
      <c r="H956" s="508"/>
      <c r="I956" s="508"/>
      <c r="J956" s="508"/>
      <c r="K956" s="508"/>
      <c r="L956" s="508"/>
      <c r="M956" s="508"/>
      <c r="N956" s="508"/>
      <c r="O956" s="508"/>
      <c r="P956" s="508"/>
      <c r="Q956" s="508"/>
      <c r="R956" s="508"/>
      <c r="S956" s="508"/>
      <c r="T956" s="508"/>
      <c r="U956" s="508"/>
      <c r="V956" s="508"/>
      <c r="W956" s="508"/>
      <c r="X956" s="508"/>
      <c r="Y956" s="508"/>
      <c r="Z956" s="508"/>
    </row>
    <row r="957" ht="13.5" customHeight="1">
      <c r="A957" s="508"/>
      <c r="B957" s="508"/>
      <c r="C957" s="508"/>
      <c r="D957" s="508"/>
      <c r="E957" s="508"/>
      <c r="F957" s="508"/>
      <c r="G957" s="508"/>
      <c r="H957" s="508"/>
      <c r="I957" s="508"/>
      <c r="J957" s="508"/>
      <c r="K957" s="508"/>
      <c r="L957" s="508"/>
      <c r="M957" s="508"/>
      <c r="N957" s="508"/>
      <c r="O957" s="508"/>
      <c r="P957" s="508"/>
      <c r="Q957" s="508"/>
      <c r="R957" s="508"/>
      <c r="S957" s="508"/>
      <c r="T957" s="508"/>
      <c r="U957" s="508"/>
      <c r="V957" s="508"/>
      <c r="W957" s="508"/>
      <c r="X957" s="508"/>
      <c r="Y957" s="508"/>
      <c r="Z957" s="508"/>
    </row>
    <row r="958" ht="13.5" customHeight="1">
      <c r="A958" s="508"/>
      <c r="B958" s="508"/>
      <c r="C958" s="508"/>
      <c r="D958" s="508"/>
      <c r="E958" s="508"/>
      <c r="F958" s="508"/>
      <c r="G958" s="508"/>
      <c r="H958" s="508"/>
      <c r="I958" s="508"/>
      <c r="J958" s="508"/>
      <c r="K958" s="508"/>
      <c r="L958" s="508"/>
      <c r="M958" s="508"/>
      <c r="N958" s="508"/>
      <c r="O958" s="508"/>
      <c r="P958" s="508"/>
      <c r="Q958" s="508"/>
      <c r="R958" s="508"/>
      <c r="S958" s="508"/>
      <c r="T958" s="508"/>
      <c r="U958" s="508"/>
      <c r="V958" s="508"/>
      <c r="W958" s="508"/>
      <c r="X958" s="508"/>
      <c r="Y958" s="508"/>
      <c r="Z958" s="508"/>
    </row>
    <row r="959" ht="13.5" customHeight="1">
      <c r="A959" s="508"/>
      <c r="B959" s="508"/>
      <c r="C959" s="508"/>
      <c r="D959" s="508"/>
      <c r="E959" s="508"/>
      <c r="F959" s="508"/>
      <c r="G959" s="508"/>
      <c r="H959" s="508"/>
      <c r="I959" s="508"/>
      <c r="J959" s="508"/>
      <c r="K959" s="508"/>
      <c r="L959" s="508"/>
      <c r="M959" s="508"/>
      <c r="N959" s="508"/>
      <c r="O959" s="508"/>
      <c r="P959" s="508"/>
      <c r="Q959" s="508"/>
      <c r="R959" s="508"/>
      <c r="S959" s="508"/>
      <c r="T959" s="508"/>
      <c r="U959" s="508"/>
      <c r="V959" s="508"/>
      <c r="W959" s="508"/>
      <c r="X959" s="508"/>
      <c r="Y959" s="508"/>
      <c r="Z959" s="508"/>
    </row>
    <row r="960" ht="13.5" customHeight="1">
      <c r="A960" s="508"/>
      <c r="B960" s="508"/>
      <c r="C960" s="508"/>
      <c r="D960" s="508"/>
      <c r="E960" s="508"/>
      <c r="F960" s="508"/>
      <c r="G960" s="508"/>
      <c r="H960" s="508"/>
      <c r="I960" s="508"/>
      <c r="J960" s="508"/>
      <c r="K960" s="508"/>
      <c r="L960" s="508"/>
      <c r="M960" s="508"/>
      <c r="N960" s="508"/>
      <c r="O960" s="508"/>
      <c r="P960" s="508"/>
      <c r="Q960" s="508"/>
      <c r="R960" s="508"/>
      <c r="S960" s="508"/>
      <c r="T960" s="508"/>
      <c r="U960" s="508"/>
      <c r="V960" s="508"/>
      <c r="W960" s="508"/>
      <c r="X960" s="508"/>
      <c r="Y960" s="508"/>
      <c r="Z960" s="508"/>
    </row>
    <row r="961" ht="13.5" customHeight="1">
      <c r="A961" s="508"/>
      <c r="B961" s="508"/>
      <c r="C961" s="508"/>
      <c r="D961" s="508"/>
      <c r="E961" s="508"/>
      <c r="F961" s="508"/>
      <c r="G961" s="508"/>
      <c r="H961" s="508"/>
      <c r="I961" s="508"/>
      <c r="J961" s="508"/>
      <c r="K961" s="508"/>
      <c r="L961" s="508"/>
      <c r="M961" s="508"/>
      <c r="N961" s="508"/>
      <c r="O961" s="508"/>
      <c r="P961" s="508"/>
      <c r="Q961" s="508"/>
      <c r="R961" s="508"/>
      <c r="S961" s="508"/>
      <c r="T961" s="508"/>
      <c r="U961" s="508"/>
      <c r="V961" s="508"/>
      <c r="W961" s="508"/>
      <c r="X961" s="508"/>
      <c r="Y961" s="508"/>
      <c r="Z961" s="508"/>
    </row>
    <row r="962" ht="13.5" customHeight="1">
      <c r="A962" s="508"/>
      <c r="B962" s="508"/>
      <c r="C962" s="508"/>
      <c r="D962" s="508"/>
      <c r="E962" s="508"/>
      <c r="F962" s="508"/>
      <c r="G962" s="508"/>
      <c r="H962" s="508"/>
      <c r="I962" s="508"/>
      <c r="J962" s="508"/>
      <c r="K962" s="508"/>
      <c r="L962" s="508"/>
      <c r="M962" s="508"/>
      <c r="N962" s="508"/>
      <c r="O962" s="508"/>
      <c r="P962" s="508"/>
      <c r="Q962" s="508"/>
      <c r="R962" s="508"/>
      <c r="S962" s="508"/>
      <c r="T962" s="508"/>
      <c r="U962" s="508"/>
      <c r="V962" s="508"/>
      <c r="W962" s="508"/>
      <c r="X962" s="508"/>
      <c r="Y962" s="508"/>
      <c r="Z962" s="508"/>
    </row>
    <row r="963" ht="13.5" customHeight="1">
      <c r="A963" s="508"/>
      <c r="B963" s="508"/>
      <c r="C963" s="508"/>
      <c r="D963" s="508"/>
      <c r="E963" s="508"/>
      <c r="F963" s="508"/>
      <c r="G963" s="508"/>
      <c r="H963" s="508"/>
      <c r="I963" s="508"/>
      <c r="J963" s="508"/>
      <c r="K963" s="508"/>
      <c r="L963" s="508"/>
      <c r="M963" s="508"/>
      <c r="N963" s="508"/>
      <c r="O963" s="508"/>
      <c r="P963" s="508"/>
      <c r="Q963" s="508"/>
      <c r="R963" s="508"/>
      <c r="S963" s="508"/>
      <c r="T963" s="508"/>
      <c r="U963" s="508"/>
      <c r="V963" s="508"/>
      <c r="W963" s="508"/>
      <c r="X963" s="508"/>
      <c r="Y963" s="508"/>
      <c r="Z963" s="508"/>
    </row>
    <row r="964" ht="13.5" customHeight="1">
      <c r="A964" s="508"/>
      <c r="B964" s="508"/>
      <c r="C964" s="508"/>
      <c r="D964" s="508"/>
      <c r="E964" s="508"/>
      <c r="F964" s="508"/>
      <c r="G964" s="508"/>
      <c r="H964" s="508"/>
      <c r="I964" s="508"/>
      <c r="J964" s="508"/>
      <c r="K964" s="508"/>
      <c r="L964" s="508"/>
      <c r="M964" s="508"/>
      <c r="N964" s="508"/>
      <c r="O964" s="508"/>
      <c r="P964" s="508"/>
      <c r="Q964" s="508"/>
      <c r="R964" s="508"/>
      <c r="S964" s="508"/>
      <c r="T964" s="508"/>
      <c r="U964" s="508"/>
      <c r="V964" s="508"/>
      <c r="W964" s="508"/>
      <c r="X964" s="508"/>
      <c r="Y964" s="508"/>
      <c r="Z964" s="508"/>
    </row>
    <row r="965" ht="13.5" customHeight="1">
      <c r="A965" s="508"/>
      <c r="B965" s="508"/>
      <c r="C965" s="508"/>
      <c r="D965" s="508"/>
      <c r="E965" s="508"/>
      <c r="F965" s="508"/>
      <c r="G965" s="508"/>
      <c r="H965" s="508"/>
      <c r="I965" s="508"/>
      <c r="J965" s="508"/>
      <c r="K965" s="508"/>
      <c r="L965" s="508"/>
      <c r="M965" s="508"/>
      <c r="N965" s="508"/>
      <c r="O965" s="508"/>
      <c r="P965" s="508"/>
      <c r="Q965" s="508"/>
      <c r="R965" s="508"/>
      <c r="S965" s="508"/>
      <c r="T965" s="508"/>
      <c r="U965" s="508"/>
      <c r="V965" s="508"/>
      <c r="W965" s="508"/>
      <c r="X965" s="508"/>
      <c r="Y965" s="508"/>
      <c r="Z965" s="508"/>
    </row>
    <row r="966" ht="13.5" customHeight="1">
      <c r="A966" s="508"/>
      <c r="B966" s="508"/>
      <c r="C966" s="508"/>
      <c r="D966" s="508"/>
      <c r="E966" s="508"/>
      <c r="F966" s="508"/>
      <c r="G966" s="508"/>
      <c r="H966" s="508"/>
      <c r="I966" s="508"/>
      <c r="J966" s="508"/>
      <c r="K966" s="508"/>
      <c r="L966" s="508"/>
      <c r="M966" s="508"/>
      <c r="N966" s="508"/>
      <c r="O966" s="508"/>
      <c r="P966" s="508"/>
      <c r="Q966" s="508"/>
      <c r="R966" s="508"/>
      <c r="S966" s="508"/>
      <c r="T966" s="508"/>
      <c r="U966" s="508"/>
      <c r="V966" s="508"/>
      <c r="W966" s="508"/>
      <c r="X966" s="508"/>
      <c r="Y966" s="508"/>
      <c r="Z966" s="508"/>
    </row>
    <row r="967" ht="13.5" customHeight="1">
      <c r="A967" s="508"/>
      <c r="B967" s="508"/>
      <c r="C967" s="508"/>
      <c r="D967" s="508"/>
      <c r="E967" s="508"/>
      <c r="F967" s="508"/>
      <c r="G967" s="508"/>
      <c r="H967" s="508"/>
      <c r="I967" s="508"/>
      <c r="J967" s="508"/>
      <c r="K967" s="508"/>
      <c r="L967" s="508"/>
      <c r="M967" s="508"/>
      <c r="N967" s="508"/>
      <c r="O967" s="508"/>
      <c r="P967" s="508"/>
      <c r="Q967" s="508"/>
      <c r="R967" s="508"/>
      <c r="S967" s="508"/>
      <c r="T967" s="508"/>
      <c r="U967" s="508"/>
      <c r="V967" s="508"/>
      <c r="W967" s="508"/>
      <c r="X967" s="508"/>
      <c r="Y967" s="508"/>
      <c r="Z967" s="508"/>
    </row>
    <row r="968" ht="13.5" customHeight="1">
      <c r="A968" s="508"/>
      <c r="B968" s="508"/>
      <c r="C968" s="508"/>
      <c r="D968" s="508"/>
      <c r="E968" s="508"/>
      <c r="F968" s="508"/>
      <c r="G968" s="508"/>
      <c r="H968" s="508"/>
      <c r="I968" s="508"/>
      <c r="J968" s="508"/>
      <c r="K968" s="508"/>
      <c r="L968" s="508"/>
      <c r="M968" s="508"/>
      <c r="N968" s="508"/>
      <c r="O968" s="508"/>
      <c r="P968" s="508"/>
      <c r="Q968" s="508"/>
      <c r="R968" s="508"/>
      <c r="S968" s="508"/>
      <c r="T968" s="508"/>
      <c r="U968" s="508"/>
      <c r="V968" s="508"/>
      <c r="W968" s="508"/>
      <c r="X968" s="508"/>
      <c r="Y968" s="508"/>
      <c r="Z968" s="508"/>
    </row>
    <row r="969" ht="13.5" customHeight="1">
      <c r="A969" s="508"/>
      <c r="B969" s="508"/>
      <c r="C969" s="508"/>
      <c r="D969" s="508"/>
      <c r="E969" s="508"/>
      <c r="F969" s="508"/>
      <c r="G969" s="508"/>
      <c r="H969" s="508"/>
      <c r="I969" s="508"/>
      <c r="J969" s="508"/>
      <c r="K969" s="508"/>
      <c r="L969" s="508"/>
      <c r="M969" s="508"/>
      <c r="N969" s="508"/>
      <c r="O969" s="508"/>
      <c r="P969" s="508"/>
      <c r="Q969" s="508"/>
      <c r="R969" s="508"/>
      <c r="S969" s="508"/>
      <c r="T969" s="508"/>
      <c r="U969" s="508"/>
      <c r="V969" s="508"/>
      <c r="W969" s="508"/>
      <c r="X969" s="508"/>
      <c r="Y969" s="508"/>
      <c r="Z969" s="508"/>
    </row>
    <row r="970" ht="13.5" customHeight="1">
      <c r="A970" s="508"/>
      <c r="B970" s="508"/>
      <c r="C970" s="508"/>
      <c r="D970" s="508"/>
      <c r="E970" s="508"/>
      <c r="F970" s="508"/>
      <c r="G970" s="508"/>
      <c r="H970" s="508"/>
      <c r="I970" s="508"/>
      <c r="J970" s="508"/>
      <c r="K970" s="508"/>
      <c r="L970" s="508"/>
      <c r="M970" s="508"/>
      <c r="N970" s="508"/>
      <c r="O970" s="508"/>
      <c r="P970" s="508"/>
      <c r="Q970" s="508"/>
      <c r="R970" s="508"/>
      <c r="S970" s="508"/>
      <c r="T970" s="508"/>
      <c r="U970" s="508"/>
      <c r="V970" s="508"/>
      <c r="W970" s="508"/>
      <c r="X970" s="508"/>
      <c r="Y970" s="508"/>
      <c r="Z970" s="508"/>
    </row>
    <row r="971" ht="13.5" customHeight="1">
      <c r="A971" s="508"/>
      <c r="B971" s="508"/>
      <c r="C971" s="508"/>
      <c r="D971" s="508"/>
      <c r="E971" s="508"/>
      <c r="F971" s="508"/>
      <c r="G971" s="508"/>
      <c r="H971" s="508"/>
      <c r="I971" s="508"/>
      <c r="J971" s="508"/>
      <c r="K971" s="508"/>
      <c r="L971" s="508"/>
      <c r="M971" s="508"/>
      <c r="N971" s="508"/>
      <c r="O971" s="508"/>
      <c r="P971" s="508"/>
      <c r="Q971" s="508"/>
      <c r="R971" s="508"/>
      <c r="S971" s="508"/>
      <c r="T971" s="508"/>
      <c r="U971" s="508"/>
      <c r="V971" s="508"/>
      <c r="W971" s="508"/>
      <c r="X971" s="508"/>
      <c r="Y971" s="508"/>
      <c r="Z971" s="508"/>
    </row>
    <row r="972" ht="13.5" customHeight="1">
      <c r="A972" s="508"/>
      <c r="B972" s="508"/>
      <c r="C972" s="508"/>
      <c r="D972" s="508"/>
      <c r="E972" s="508"/>
      <c r="F972" s="508"/>
      <c r="G972" s="508"/>
      <c r="H972" s="508"/>
      <c r="I972" s="508"/>
      <c r="J972" s="508"/>
      <c r="K972" s="508"/>
      <c r="L972" s="508"/>
      <c r="M972" s="508"/>
      <c r="N972" s="508"/>
      <c r="O972" s="508"/>
      <c r="P972" s="508"/>
      <c r="Q972" s="508"/>
      <c r="R972" s="508"/>
      <c r="S972" s="508"/>
      <c r="T972" s="508"/>
      <c r="U972" s="508"/>
      <c r="V972" s="508"/>
      <c r="W972" s="508"/>
      <c r="X972" s="508"/>
      <c r="Y972" s="508"/>
      <c r="Z972" s="508"/>
    </row>
    <row r="973" ht="13.5" customHeight="1">
      <c r="A973" s="508"/>
      <c r="B973" s="508"/>
      <c r="C973" s="508"/>
      <c r="D973" s="508"/>
      <c r="E973" s="508"/>
      <c r="F973" s="508"/>
      <c r="G973" s="508"/>
      <c r="H973" s="508"/>
      <c r="I973" s="508"/>
      <c r="J973" s="508"/>
      <c r="K973" s="508"/>
      <c r="L973" s="508"/>
      <c r="M973" s="508"/>
      <c r="N973" s="508"/>
      <c r="O973" s="508"/>
      <c r="P973" s="508"/>
      <c r="Q973" s="508"/>
      <c r="R973" s="508"/>
      <c r="S973" s="508"/>
      <c r="T973" s="508"/>
      <c r="U973" s="508"/>
      <c r="V973" s="508"/>
      <c r="W973" s="508"/>
      <c r="X973" s="508"/>
      <c r="Y973" s="508"/>
      <c r="Z973" s="508"/>
    </row>
    <row r="974" ht="13.5" customHeight="1">
      <c r="A974" s="508"/>
      <c r="B974" s="508"/>
      <c r="C974" s="508"/>
      <c r="D974" s="508"/>
      <c r="E974" s="508"/>
      <c r="F974" s="508"/>
      <c r="G974" s="508"/>
      <c r="H974" s="508"/>
      <c r="I974" s="508"/>
      <c r="J974" s="508"/>
      <c r="K974" s="508"/>
      <c r="L974" s="508"/>
      <c r="M974" s="508"/>
      <c r="N974" s="508"/>
      <c r="O974" s="508"/>
      <c r="P974" s="508"/>
      <c r="Q974" s="508"/>
      <c r="R974" s="508"/>
      <c r="S974" s="508"/>
      <c r="T974" s="508"/>
      <c r="U974" s="508"/>
      <c r="V974" s="508"/>
      <c r="W974" s="508"/>
      <c r="X974" s="508"/>
      <c r="Y974" s="508"/>
      <c r="Z974" s="508"/>
    </row>
    <row r="975" ht="13.5" customHeight="1">
      <c r="A975" s="508"/>
      <c r="B975" s="508"/>
      <c r="C975" s="508"/>
      <c r="D975" s="508"/>
      <c r="E975" s="508"/>
      <c r="F975" s="508"/>
      <c r="G975" s="508"/>
      <c r="H975" s="508"/>
      <c r="I975" s="508"/>
      <c r="J975" s="508"/>
      <c r="K975" s="508"/>
      <c r="L975" s="508"/>
      <c r="M975" s="508"/>
      <c r="N975" s="508"/>
      <c r="O975" s="508"/>
      <c r="P975" s="508"/>
      <c r="Q975" s="508"/>
      <c r="R975" s="508"/>
      <c r="S975" s="508"/>
      <c r="T975" s="508"/>
      <c r="U975" s="508"/>
      <c r="V975" s="508"/>
      <c r="W975" s="508"/>
      <c r="X975" s="508"/>
      <c r="Y975" s="508"/>
      <c r="Z975" s="508"/>
    </row>
    <row r="976" ht="13.5" customHeight="1">
      <c r="A976" s="508"/>
      <c r="B976" s="508"/>
      <c r="C976" s="508"/>
      <c r="D976" s="508"/>
      <c r="E976" s="508"/>
      <c r="F976" s="508"/>
      <c r="G976" s="508"/>
      <c r="H976" s="508"/>
      <c r="I976" s="508"/>
      <c r="J976" s="508"/>
      <c r="K976" s="508"/>
      <c r="L976" s="508"/>
      <c r="M976" s="508"/>
      <c r="N976" s="508"/>
      <c r="O976" s="508"/>
      <c r="P976" s="508"/>
      <c r="Q976" s="508"/>
      <c r="R976" s="508"/>
      <c r="S976" s="508"/>
      <c r="T976" s="508"/>
      <c r="U976" s="508"/>
      <c r="V976" s="508"/>
      <c r="W976" s="508"/>
      <c r="X976" s="508"/>
      <c r="Y976" s="508"/>
      <c r="Z976" s="508"/>
    </row>
    <row r="977" ht="13.5" customHeight="1">
      <c r="A977" s="508"/>
      <c r="B977" s="508"/>
      <c r="C977" s="508"/>
      <c r="D977" s="508"/>
      <c r="E977" s="508"/>
      <c r="F977" s="508"/>
      <c r="G977" s="508"/>
      <c r="H977" s="508"/>
      <c r="I977" s="508"/>
      <c r="J977" s="508"/>
      <c r="K977" s="508"/>
      <c r="L977" s="508"/>
      <c r="M977" s="508"/>
      <c r="N977" s="508"/>
      <c r="O977" s="508"/>
      <c r="P977" s="508"/>
      <c r="Q977" s="508"/>
      <c r="R977" s="508"/>
      <c r="S977" s="508"/>
      <c r="T977" s="508"/>
      <c r="U977" s="508"/>
      <c r="V977" s="508"/>
      <c r="W977" s="508"/>
      <c r="X977" s="508"/>
      <c r="Y977" s="508"/>
      <c r="Z977" s="508"/>
    </row>
    <row r="978" ht="13.5" customHeight="1">
      <c r="A978" s="508"/>
      <c r="B978" s="508"/>
      <c r="C978" s="508"/>
      <c r="D978" s="508"/>
      <c r="E978" s="508"/>
      <c r="F978" s="508"/>
      <c r="G978" s="508"/>
      <c r="H978" s="508"/>
      <c r="I978" s="508"/>
      <c r="J978" s="508"/>
      <c r="K978" s="508"/>
      <c r="L978" s="508"/>
      <c r="M978" s="508"/>
      <c r="N978" s="508"/>
      <c r="O978" s="508"/>
      <c r="P978" s="508"/>
      <c r="Q978" s="508"/>
      <c r="R978" s="508"/>
      <c r="S978" s="508"/>
      <c r="T978" s="508"/>
      <c r="U978" s="508"/>
      <c r="V978" s="508"/>
      <c r="W978" s="508"/>
      <c r="X978" s="508"/>
      <c r="Y978" s="508"/>
      <c r="Z978" s="508"/>
    </row>
    <row r="979" ht="13.5" customHeight="1">
      <c r="A979" s="508"/>
      <c r="B979" s="508"/>
      <c r="C979" s="508"/>
      <c r="D979" s="508"/>
      <c r="E979" s="508"/>
      <c r="F979" s="508"/>
      <c r="G979" s="508"/>
      <c r="H979" s="508"/>
      <c r="I979" s="508"/>
      <c r="J979" s="508"/>
      <c r="K979" s="508"/>
      <c r="L979" s="508"/>
      <c r="M979" s="508"/>
      <c r="N979" s="508"/>
      <c r="O979" s="508"/>
      <c r="P979" s="508"/>
      <c r="Q979" s="508"/>
      <c r="R979" s="508"/>
      <c r="S979" s="508"/>
      <c r="T979" s="508"/>
      <c r="U979" s="508"/>
      <c r="V979" s="508"/>
      <c r="W979" s="508"/>
      <c r="X979" s="508"/>
      <c r="Y979" s="508"/>
      <c r="Z979" s="508"/>
    </row>
    <row r="980" ht="13.5" customHeight="1">
      <c r="A980" s="508"/>
      <c r="B980" s="508"/>
      <c r="C980" s="508"/>
      <c r="D980" s="508"/>
      <c r="E980" s="508"/>
      <c r="F980" s="508"/>
      <c r="G980" s="508"/>
      <c r="H980" s="508"/>
      <c r="I980" s="508"/>
      <c r="J980" s="508"/>
      <c r="K980" s="508"/>
      <c r="L980" s="508"/>
      <c r="M980" s="508"/>
      <c r="N980" s="508"/>
      <c r="O980" s="508"/>
      <c r="P980" s="508"/>
      <c r="Q980" s="508"/>
      <c r="R980" s="508"/>
      <c r="S980" s="508"/>
      <c r="T980" s="508"/>
      <c r="U980" s="508"/>
      <c r="V980" s="508"/>
      <c r="W980" s="508"/>
      <c r="X980" s="508"/>
      <c r="Y980" s="508"/>
      <c r="Z980" s="508"/>
    </row>
    <row r="981" ht="13.5" customHeight="1">
      <c r="A981" s="508"/>
      <c r="B981" s="508"/>
      <c r="C981" s="508"/>
      <c r="D981" s="508"/>
      <c r="E981" s="508"/>
      <c r="F981" s="508"/>
      <c r="G981" s="508"/>
      <c r="H981" s="508"/>
      <c r="I981" s="508"/>
      <c r="J981" s="508"/>
      <c r="K981" s="508"/>
      <c r="L981" s="508"/>
      <c r="M981" s="508"/>
      <c r="N981" s="508"/>
      <c r="O981" s="508"/>
      <c r="P981" s="508"/>
      <c r="Q981" s="508"/>
      <c r="R981" s="508"/>
      <c r="S981" s="508"/>
      <c r="T981" s="508"/>
      <c r="U981" s="508"/>
      <c r="V981" s="508"/>
      <c r="W981" s="508"/>
      <c r="X981" s="508"/>
      <c r="Y981" s="508"/>
      <c r="Z981" s="508"/>
    </row>
    <row r="982" ht="13.5" customHeight="1">
      <c r="A982" s="508"/>
      <c r="B982" s="508"/>
      <c r="C982" s="508"/>
      <c r="D982" s="508"/>
      <c r="E982" s="508"/>
      <c r="F982" s="508"/>
      <c r="G982" s="508"/>
      <c r="H982" s="508"/>
      <c r="I982" s="508"/>
      <c r="J982" s="508"/>
      <c r="K982" s="508"/>
      <c r="L982" s="508"/>
      <c r="M982" s="508"/>
      <c r="N982" s="508"/>
      <c r="O982" s="508"/>
      <c r="P982" s="508"/>
      <c r="Q982" s="508"/>
      <c r="R982" s="508"/>
      <c r="S982" s="508"/>
      <c r="T982" s="508"/>
      <c r="U982" s="508"/>
      <c r="V982" s="508"/>
      <c r="W982" s="508"/>
      <c r="X982" s="508"/>
      <c r="Y982" s="508"/>
      <c r="Z982" s="508"/>
    </row>
    <row r="983" ht="13.5" customHeight="1">
      <c r="A983" s="508"/>
      <c r="B983" s="508"/>
      <c r="C983" s="508"/>
      <c r="D983" s="508"/>
      <c r="E983" s="508"/>
      <c r="F983" s="508"/>
      <c r="G983" s="508"/>
      <c r="H983" s="508"/>
      <c r="I983" s="508"/>
      <c r="J983" s="508"/>
      <c r="K983" s="508"/>
      <c r="L983" s="508"/>
      <c r="M983" s="508"/>
      <c r="N983" s="508"/>
      <c r="O983" s="508"/>
      <c r="P983" s="508"/>
      <c r="Q983" s="508"/>
      <c r="R983" s="508"/>
      <c r="S983" s="508"/>
      <c r="T983" s="508"/>
      <c r="U983" s="508"/>
      <c r="V983" s="508"/>
      <c r="W983" s="508"/>
      <c r="X983" s="508"/>
      <c r="Y983" s="508"/>
      <c r="Z983" s="508"/>
    </row>
    <row r="984" ht="13.5" customHeight="1">
      <c r="A984" s="508"/>
      <c r="B984" s="508"/>
      <c r="C984" s="508"/>
      <c r="D984" s="508"/>
      <c r="E984" s="508"/>
      <c r="F984" s="508"/>
      <c r="G984" s="508"/>
      <c r="H984" s="508"/>
      <c r="I984" s="508"/>
      <c r="J984" s="508"/>
      <c r="K984" s="508"/>
      <c r="L984" s="508"/>
      <c r="M984" s="508"/>
      <c r="N984" s="508"/>
      <c r="O984" s="508"/>
      <c r="P984" s="508"/>
      <c r="Q984" s="508"/>
      <c r="R984" s="508"/>
      <c r="S984" s="508"/>
      <c r="T984" s="508"/>
      <c r="U984" s="508"/>
      <c r="V984" s="508"/>
      <c r="W984" s="508"/>
      <c r="X984" s="508"/>
      <c r="Y984" s="508"/>
      <c r="Z984" s="508"/>
    </row>
    <row r="985" ht="13.5" customHeight="1">
      <c r="A985" s="508"/>
      <c r="B985" s="508"/>
      <c r="C985" s="508"/>
      <c r="D985" s="508"/>
      <c r="E985" s="508"/>
      <c r="F985" s="508"/>
      <c r="G985" s="508"/>
      <c r="H985" s="508"/>
      <c r="I985" s="508"/>
      <c r="J985" s="508"/>
      <c r="K985" s="508"/>
      <c r="L985" s="508"/>
      <c r="M985" s="508"/>
      <c r="N985" s="508"/>
      <c r="O985" s="508"/>
      <c r="P985" s="508"/>
      <c r="Q985" s="508"/>
      <c r="R985" s="508"/>
      <c r="S985" s="508"/>
      <c r="T985" s="508"/>
      <c r="U985" s="508"/>
      <c r="V985" s="508"/>
      <c r="W985" s="508"/>
      <c r="X985" s="508"/>
      <c r="Y985" s="508"/>
      <c r="Z985" s="508"/>
    </row>
    <row r="986" ht="13.5" customHeight="1">
      <c r="A986" s="508"/>
      <c r="B986" s="508"/>
      <c r="C986" s="508"/>
      <c r="D986" s="508"/>
      <c r="E986" s="508"/>
      <c r="F986" s="508"/>
      <c r="G986" s="508"/>
      <c r="H986" s="508"/>
      <c r="I986" s="508"/>
      <c r="J986" s="508"/>
      <c r="K986" s="508"/>
      <c r="L986" s="508"/>
      <c r="M986" s="508"/>
      <c r="N986" s="508"/>
      <c r="O986" s="508"/>
      <c r="P986" s="508"/>
      <c r="Q986" s="508"/>
      <c r="R986" s="508"/>
      <c r="S986" s="508"/>
      <c r="T986" s="508"/>
      <c r="U986" s="508"/>
      <c r="V986" s="508"/>
      <c r="W986" s="508"/>
      <c r="X986" s="508"/>
      <c r="Y986" s="508"/>
      <c r="Z986" s="508"/>
    </row>
    <row r="987" ht="13.5" customHeight="1">
      <c r="A987" s="508"/>
      <c r="B987" s="508"/>
      <c r="C987" s="508"/>
      <c r="D987" s="508"/>
      <c r="E987" s="508"/>
      <c r="F987" s="508"/>
      <c r="G987" s="508"/>
      <c r="H987" s="508"/>
      <c r="I987" s="508"/>
      <c r="J987" s="508"/>
      <c r="K987" s="508"/>
      <c r="L987" s="508"/>
      <c r="M987" s="508"/>
      <c r="N987" s="508"/>
      <c r="O987" s="508"/>
      <c r="P987" s="508"/>
      <c r="Q987" s="508"/>
      <c r="R987" s="508"/>
      <c r="S987" s="508"/>
      <c r="T987" s="508"/>
      <c r="U987" s="508"/>
      <c r="V987" s="508"/>
      <c r="W987" s="508"/>
      <c r="X987" s="508"/>
      <c r="Y987" s="508"/>
      <c r="Z987" s="508"/>
    </row>
    <row r="988" ht="13.5" customHeight="1">
      <c r="A988" s="508"/>
      <c r="B988" s="508"/>
      <c r="C988" s="508"/>
      <c r="D988" s="508"/>
      <c r="E988" s="508"/>
      <c r="F988" s="508"/>
      <c r="G988" s="508"/>
      <c r="H988" s="508"/>
      <c r="I988" s="508"/>
      <c r="J988" s="508"/>
      <c r="K988" s="508"/>
      <c r="L988" s="508"/>
      <c r="M988" s="508"/>
      <c r="N988" s="508"/>
      <c r="O988" s="508"/>
      <c r="P988" s="508"/>
      <c r="Q988" s="508"/>
      <c r="R988" s="508"/>
      <c r="S988" s="508"/>
      <c r="T988" s="508"/>
      <c r="U988" s="508"/>
      <c r="V988" s="508"/>
      <c r="W988" s="508"/>
      <c r="X988" s="508"/>
      <c r="Y988" s="508"/>
      <c r="Z988" s="508"/>
    </row>
    <row r="989" ht="13.5" customHeight="1">
      <c r="A989" s="508"/>
      <c r="B989" s="508"/>
      <c r="C989" s="508"/>
      <c r="D989" s="508"/>
      <c r="E989" s="508"/>
      <c r="F989" s="508"/>
      <c r="G989" s="508"/>
      <c r="H989" s="508"/>
      <c r="I989" s="508"/>
      <c r="J989" s="508"/>
      <c r="K989" s="508"/>
      <c r="L989" s="508"/>
      <c r="M989" s="508"/>
      <c r="N989" s="508"/>
      <c r="O989" s="508"/>
      <c r="P989" s="508"/>
      <c r="Q989" s="508"/>
      <c r="R989" s="508"/>
      <c r="S989" s="508"/>
      <c r="T989" s="508"/>
      <c r="U989" s="508"/>
      <c r="V989" s="508"/>
      <c r="W989" s="508"/>
      <c r="X989" s="508"/>
      <c r="Y989" s="508"/>
      <c r="Z989" s="508"/>
    </row>
    <row r="990" ht="13.5" customHeight="1">
      <c r="A990" s="508"/>
      <c r="B990" s="508"/>
      <c r="C990" s="508"/>
      <c r="D990" s="508"/>
      <c r="E990" s="508"/>
      <c r="F990" s="508"/>
      <c r="G990" s="508"/>
      <c r="H990" s="508"/>
      <c r="I990" s="508"/>
      <c r="J990" s="508"/>
      <c r="K990" s="508"/>
      <c r="L990" s="508"/>
      <c r="M990" s="508"/>
      <c r="N990" s="508"/>
      <c r="O990" s="508"/>
      <c r="P990" s="508"/>
      <c r="Q990" s="508"/>
      <c r="R990" s="508"/>
      <c r="S990" s="508"/>
      <c r="T990" s="508"/>
      <c r="U990" s="508"/>
      <c r="V990" s="508"/>
      <c r="W990" s="508"/>
      <c r="X990" s="508"/>
      <c r="Y990" s="508"/>
      <c r="Z990" s="508"/>
    </row>
    <row r="991" ht="13.5" customHeight="1">
      <c r="A991" s="508"/>
      <c r="B991" s="508"/>
      <c r="C991" s="508"/>
      <c r="D991" s="508"/>
      <c r="E991" s="508"/>
      <c r="F991" s="508"/>
      <c r="G991" s="508"/>
      <c r="H991" s="508"/>
      <c r="I991" s="508"/>
      <c r="J991" s="508"/>
      <c r="K991" s="508"/>
      <c r="L991" s="508"/>
      <c r="M991" s="508"/>
      <c r="N991" s="508"/>
      <c r="O991" s="508"/>
      <c r="P991" s="508"/>
      <c r="Q991" s="508"/>
      <c r="R991" s="508"/>
      <c r="S991" s="508"/>
      <c r="T991" s="508"/>
      <c r="U991" s="508"/>
      <c r="V991" s="508"/>
      <c r="W991" s="508"/>
      <c r="X991" s="508"/>
      <c r="Y991" s="508"/>
      <c r="Z991" s="508"/>
    </row>
    <row r="992" ht="13.5" customHeight="1">
      <c r="A992" s="508"/>
      <c r="B992" s="508"/>
      <c r="C992" s="508"/>
      <c r="D992" s="508"/>
      <c r="E992" s="508"/>
      <c r="F992" s="508"/>
      <c r="G992" s="508"/>
      <c r="H992" s="508"/>
      <c r="I992" s="508"/>
      <c r="J992" s="508"/>
      <c r="K992" s="508"/>
      <c r="L992" s="508"/>
      <c r="M992" s="508"/>
      <c r="N992" s="508"/>
      <c r="O992" s="508"/>
      <c r="P992" s="508"/>
      <c r="Q992" s="508"/>
      <c r="R992" s="508"/>
      <c r="S992" s="508"/>
      <c r="T992" s="508"/>
      <c r="U992" s="508"/>
      <c r="V992" s="508"/>
      <c r="W992" s="508"/>
      <c r="X992" s="508"/>
      <c r="Y992" s="508"/>
      <c r="Z992" s="508"/>
    </row>
    <row r="993" ht="13.5" customHeight="1">
      <c r="A993" s="508"/>
      <c r="B993" s="508"/>
      <c r="C993" s="508"/>
      <c r="D993" s="508"/>
      <c r="E993" s="508"/>
      <c r="F993" s="508"/>
      <c r="G993" s="508"/>
      <c r="H993" s="508"/>
      <c r="I993" s="508"/>
      <c r="J993" s="508"/>
      <c r="K993" s="508"/>
      <c r="L993" s="508"/>
      <c r="M993" s="508"/>
      <c r="N993" s="508"/>
      <c r="O993" s="508"/>
      <c r="P993" s="508"/>
      <c r="Q993" s="508"/>
      <c r="R993" s="508"/>
      <c r="S993" s="508"/>
      <c r="T993" s="508"/>
      <c r="U993" s="508"/>
      <c r="V993" s="508"/>
      <c r="W993" s="508"/>
      <c r="X993" s="508"/>
      <c r="Y993" s="508"/>
      <c r="Z993" s="508"/>
    </row>
    <row r="994" ht="13.5" customHeight="1">
      <c r="A994" s="508"/>
      <c r="B994" s="508"/>
      <c r="C994" s="508"/>
      <c r="D994" s="508"/>
      <c r="E994" s="508"/>
      <c r="F994" s="508"/>
      <c r="G994" s="508"/>
      <c r="H994" s="508"/>
      <c r="I994" s="508"/>
      <c r="J994" s="508"/>
      <c r="K994" s="508"/>
      <c r="L994" s="508"/>
      <c r="M994" s="508"/>
      <c r="N994" s="508"/>
      <c r="O994" s="508"/>
      <c r="P994" s="508"/>
      <c r="Q994" s="508"/>
      <c r="R994" s="508"/>
      <c r="S994" s="508"/>
      <c r="T994" s="508"/>
      <c r="U994" s="508"/>
      <c r="V994" s="508"/>
      <c r="W994" s="508"/>
      <c r="X994" s="508"/>
      <c r="Y994" s="508"/>
      <c r="Z994" s="508"/>
    </row>
    <row r="995" ht="13.5" customHeight="1">
      <c r="A995" s="508"/>
      <c r="B995" s="508"/>
      <c r="C995" s="508"/>
      <c r="D995" s="508"/>
      <c r="E995" s="508"/>
      <c r="F995" s="508"/>
      <c r="G995" s="508"/>
      <c r="H995" s="508"/>
      <c r="I995" s="508"/>
      <c r="J995" s="508"/>
      <c r="K995" s="508"/>
      <c r="L995" s="508"/>
      <c r="M995" s="508"/>
      <c r="N995" s="508"/>
      <c r="O995" s="508"/>
      <c r="P995" s="508"/>
      <c r="Q995" s="508"/>
      <c r="R995" s="508"/>
      <c r="S995" s="508"/>
      <c r="T995" s="508"/>
      <c r="U995" s="508"/>
      <c r="V995" s="508"/>
      <c r="W995" s="508"/>
      <c r="X995" s="508"/>
      <c r="Y995" s="508"/>
      <c r="Z995" s="508"/>
    </row>
    <row r="996" ht="13.5" customHeight="1">
      <c r="A996" s="508"/>
      <c r="B996" s="508"/>
      <c r="C996" s="508"/>
      <c r="D996" s="508"/>
      <c r="E996" s="508"/>
      <c r="F996" s="508"/>
      <c r="G996" s="508"/>
      <c r="H996" s="508"/>
      <c r="I996" s="508"/>
      <c r="J996" s="508"/>
      <c r="K996" s="508"/>
      <c r="L996" s="508"/>
      <c r="M996" s="508"/>
      <c r="N996" s="508"/>
      <c r="O996" s="508"/>
      <c r="P996" s="508"/>
      <c r="Q996" s="508"/>
      <c r="R996" s="508"/>
      <c r="S996" s="508"/>
      <c r="T996" s="508"/>
      <c r="U996" s="508"/>
      <c r="V996" s="508"/>
      <c r="W996" s="508"/>
      <c r="X996" s="508"/>
      <c r="Y996" s="508"/>
      <c r="Z996" s="508"/>
    </row>
    <row r="997" ht="13.5" customHeight="1">
      <c r="A997" s="508"/>
      <c r="B997" s="508"/>
      <c r="C997" s="508"/>
      <c r="D997" s="508"/>
      <c r="E997" s="508"/>
      <c r="F997" s="508"/>
      <c r="G997" s="508"/>
      <c r="H997" s="508"/>
      <c r="I997" s="508"/>
      <c r="J997" s="508"/>
      <c r="K997" s="508"/>
      <c r="L997" s="508"/>
      <c r="M997" s="508"/>
      <c r="N997" s="508"/>
      <c r="O997" s="508"/>
      <c r="P997" s="508"/>
      <c r="Q997" s="508"/>
      <c r="R997" s="508"/>
      <c r="S997" s="508"/>
      <c r="T997" s="508"/>
      <c r="U997" s="508"/>
      <c r="V997" s="508"/>
      <c r="W997" s="508"/>
      <c r="X997" s="508"/>
      <c r="Y997" s="508"/>
      <c r="Z997" s="508"/>
    </row>
    <row r="998" ht="13.5" customHeight="1">
      <c r="A998" s="508"/>
      <c r="B998" s="508"/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8"/>
      <c r="Z998" s="508"/>
    </row>
    <row r="999" ht="13.5" customHeight="1">
      <c r="A999" s="508"/>
      <c r="B999" s="508"/>
      <c r="C999" s="508"/>
      <c r="D999" s="508"/>
      <c r="E999" s="508"/>
      <c r="F999" s="508"/>
      <c r="G999" s="508"/>
      <c r="H999" s="508"/>
      <c r="I999" s="508"/>
      <c r="J999" s="508"/>
      <c r="K999" s="508"/>
      <c r="L999" s="508"/>
      <c r="M999" s="508"/>
      <c r="N999" s="508"/>
      <c r="O999" s="508"/>
      <c r="P999" s="508"/>
      <c r="Q999" s="508"/>
      <c r="R999" s="508"/>
      <c r="S999" s="508"/>
      <c r="T999" s="508"/>
      <c r="U999" s="508"/>
      <c r="V999" s="508"/>
      <c r="W999" s="508"/>
      <c r="X999" s="508"/>
      <c r="Y999" s="508"/>
      <c r="Z999" s="508"/>
    </row>
    <row r="1000" ht="13.5" customHeight="1">
      <c r="A1000" s="508"/>
      <c r="B1000" s="508"/>
      <c r="C1000" s="508"/>
      <c r="D1000" s="508"/>
      <c r="E1000" s="508"/>
      <c r="F1000" s="508"/>
      <c r="G1000" s="508"/>
      <c r="H1000" s="508"/>
      <c r="I1000" s="508"/>
      <c r="J1000" s="508"/>
      <c r="K1000" s="508"/>
      <c r="L1000" s="508"/>
      <c r="M1000" s="508"/>
      <c r="N1000" s="508"/>
      <c r="O1000" s="508"/>
      <c r="P1000" s="508"/>
      <c r="Q1000" s="508"/>
      <c r="R1000" s="508"/>
      <c r="S1000" s="508"/>
      <c r="T1000" s="508"/>
      <c r="U1000" s="508"/>
      <c r="V1000" s="508"/>
      <c r="W1000" s="508"/>
      <c r="X1000" s="508"/>
      <c r="Y1000" s="508"/>
      <c r="Z1000" s="508"/>
    </row>
  </sheetData>
  <mergeCells count="1">
    <mergeCell ref="C1:E1"/>
  </mergeCells>
  <printOptions/>
  <pageMargins bottom="0.75" footer="0.0" header="0.0" left="0.25" right="0.25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30.14"/>
    <col customWidth="1" min="3" max="3" width="9.43"/>
    <col customWidth="1" min="4" max="4" width="11.86"/>
    <col customWidth="1" min="5" max="5" width="15.29"/>
    <col customWidth="1" min="6" max="6" width="12.86"/>
    <col customWidth="1" min="7" max="26" width="8.86"/>
  </cols>
  <sheetData>
    <row r="1" ht="13.5" customHeight="1">
      <c r="A1" s="426"/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</row>
    <row r="2" ht="13.5" customHeight="1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</row>
    <row r="3" ht="13.5" customHeight="1">
      <c r="A3" s="426"/>
      <c r="B3" s="426"/>
      <c r="C3" s="426"/>
      <c r="D3" s="727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</row>
    <row r="4" ht="13.5" customHeight="1">
      <c r="A4" s="426"/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</row>
    <row r="5" ht="13.5" customHeight="1">
      <c r="A5" s="426"/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</row>
    <row r="6" ht="13.5" customHeight="1">
      <c r="A6" s="426"/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</row>
    <row r="7" ht="13.5" customHeight="1">
      <c r="A7" s="426"/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/>
      <c r="X7" s="426"/>
      <c r="Y7" s="426"/>
      <c r="Z7" s="426"/>
    </row>
    <row r="8" ht="13.5" customHeight="1">
      <c r="A8" s="426"/>
      <c r="B8" s="728" t="s">
        <v>859</v>
      </c>
      <c r="C8" s="158"/>
      <c r="D8" s="158"/>
      <c r="E8" s="158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  <c r="Y8" s="426"/>
      <c r="Z8" s="426"/>
    </row>
    <row r="9" ht="13.5" customHeight="1">
      <c r="A9" s="426"/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426"/>
    </row>
    <row r="10" ht="13.5" customHeight="1">
      <c r="A10" s="729"/>
      <c r="B10" s="730" t="s">
        <v>860</v>
      </c>
      <c r="C10" s="730" t="s">
        <v>286</v>
      </c>
      <c r="D10" s="730" t="s">
        <v>861</v>
      </c>
      <c r="E10" s="730" t="s">
        <v>358</v>
      </c>
      <c r="F10" s="729"/>
      <c r="G10" s="729"/>
      <c r="H10" s="729"/>
      <c r="I10" s="729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</row>
    <row r="11" ht="13.5" customHeight="1">
      <c r="A11" s="426"/>
      <c r="B11" s="426" t="s">
        <v>862</v>
      </c>
      <c r="C11" s="731">
        <v>1667.0</v>
      </c>
      <c r="D11" s="731">
        <v>342044.0</v>
      </c>
      <c r="E11" s="732">
        <v>5.70187223E8</v>
      </c>
      <c r="F11" s="426"/>
      <c r="G11" s="426"/>
      <c r="H11" s="426"/>
      <c r="I11" s="426"/>
      <c r="J11" s="508"/>
      <c r="K11" s="50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</row>
    <row r="12" ht="13.5" customHeight="1">
      <c r="A12" s="426"/>
      <c r="B12" s="426" t="s">
        <v>863</v>
      </c>
      <c r="C12" s="732"/>
      <c r="D12" s="732"/>
      <c r="E12" s="732">
        <v>1.47325752E8</v>
      </c>
      <c r="F12" s="426"/>
      <c r="G12" s="426"/>
      <c r="H12" s="426"/>
      <c r="I12" s="426"/>
      <c r="J12" s="508"/>
      <c r="K12" s="508"/>
      <c r="L12" s="508"/>
      <c r="M12" s="508"/>
      <c r="N12" s="508"/>
      <c r="O12" s="508"/>
      <c r="P12" s="508"/>
      <c r="Q12" s="508"/>
      <c r="R12" s="508"/>
      <c r="S12" s="508"/>
      <c r="T12" s="508"/>
      <c r="U12" s="508"/>
      <c r="V12" s="508"/>
      <c r="W12" s="508"/>
      <c r="X12" s="508"/>
      <c r="Y12" s="508"/>
      <c r="Z12" s="508"/>
    </row>
    <row r="13" ht="13.5" customHeight="1">
      <c r="A13" s="426"/>
      <c r="B13" s="733" t="s">
        <v>864</v>
      </c>
      <c r="C13" s="734"/>
      <c r="D13" s="734"/>
      <c r="E13" s="734">
        <v>3.641431E8</v>
      </c>
      <c r="F13" s="70"/>
      <c r="G13" s="426"/>
      <c r="H13" s="426"/>
      <c r="I13" s="426"/>
      <c r="J13" s="508"/>
      <c r="K13" s="508"/>
      <c r="L13" s="508"/>
      <c r="M13" s="508"/>
      <c r="N13" s="508"/>
      <c r="O13" s="508"/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</row>
    <row r="14" ht="13.5" customHeight="1">
      <c r="A14" s="426"/>
      <c r="B14" s="426" t="s">
        <v>865</v>
      </c>
      <c r="C14" s="732"/>
      <c r="D14" s="732"/>
      <c r="E14" s="735">
        <f>+E11-E12-E13</f>
        <v>58718371</v>
      </c>
      <c r="F14" s="426"/>
      <c r="G14" s="426"/>
      <c r="H14" s="426"/>
      <c r="I14" s="426"/>
      <c r="J14" s="508"/>
      <c r="K14" s="508"/>
      <c r="L14" s="508"/>
      <c r="M14" s="508"/>
      <c r="N14" s="508"/>
      <c r="O14" s="508"/>
      <c r="P14" s="508"/>
      <c r="Q14" s="508"/>
      <c r="R14" s="508"/>
      <c r="S14" s="508"/>
      <c r="T14" s="508"/>
      <c r="U14" s="508"/>
      <c r="V14" s="508"/>
      <c r="W14" s="508"/>
      <c r="X14" s="508"/>
      <c r="Y14" s="508"/>
      <c r="Z14" s="508"/>
    </row>
    <row r="15" ht="13.5" customHeight="1">
      <c r="A15" s="426"/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  <c r="Y15" s="426"/>
      <c r="Z15" s="426"/>
    </row>
    <row r="16" ht="13.5" customHeight="1">
      <c r="A16" s="426"/>
      <c r="B16" s="426"/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</row>
    <row r="17" ht="13.5" customHeight="1">
      <c r="A17" s="426"/>
      <c r="B17" s="426"/>
      <c r="C17" s="426"/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</row>
    <row r="18" ht="13.5" customHeight="1">
      <c r="A18" s="426"/>
      <c r="B18" s="426"/>
      <c r="C18" s="426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6"/>
      <c r="S18" s="426"/>
      <c r="T18" s="426"/>
      <c r="U18" s="426"/>
      <c r="V18" s="426"/>
      <c r="W18" s="426"/>
      <c r="X18" s="426"/>
      <c r="Y18" s="426"/>
      <c r="Z18" s="426"/>
    </row>
    <row r="19" ht="13.5" customHeight="1">
      <c r="A19" s="426"/>
      <c r="B19" s="426"/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426"/>
      <c r="S19" s="426"/>
      <c r="T19" s="426"/>
      <c r="U19" s="426"/>
      <c r="V19" s="426"/>
      <c r="W19" s="426"/>
      <c r="X19" s="426"/>
      <c r="Y19" s="426"/>
      <c r="Z19" s="426"/>
    </row>
    <row r="20" ht="13.5" customHeight="1">
      <c r="A20" s="426"/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  <c r="Y20" s="426"/>
      <c r="Z20" s="426"/>
    </row>
    <row r="21" ht="13.5" customHeight="1">
      <c r="A21" s="426"/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</row>
    <row r="22" ht="13.5" customHeight="1">
      <c r="A22" s="426"/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</row>
    <row r="23" ht="13.5" customHeight="1">
      <c r="A23" s="426"/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426"/>
      <c r="S23" s="426"/>
      <c r="T23" s="426"/>
      <c r="U23" s="426"/>
      <c r="V23" s="426"/>
      <c r="W23" s="426"/>
      <c r="X23" s="426"/>
      <c r="Y23" s="426"/>
      <c r="Z23" s="426"/>
    </row>
    <row r="24" ht="13.5" customHeight="1">
      <c r="A24" s="426"/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426"/>
      <c r="S24" s="426"/>
      <c r="T24" s="426"/>
      <c r="U24" s="426"/>
      <c r="V24" s="426"/>
      <c r="W24" s="426"/>
      <c r="X24" s="426"/>
      <c r="Y24" s="426"/>
      <c r="Z24" s="426"/>
    </row>
    <row r="25" ht="13.5" customHeight="1">
      <c r="A25" s="426"/>
      <c r="B25" s="426"/>
      <c r="C25" s="426"/>
      <c r="D25" s="42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426"/>
      <c r="P25" s="426"/>
      <c r="Q25" s="426"/>
      <c r="R25" s="426"/>
      <c r="S25" s="426"/>
      <c r="T25" s="426"/>
      <c r="U25" s="426"/>
      <c r="V25" s="426"/>
      <c r="W25" s="426"/>
      <c r="X25" s="426"/>
      <c r="Y25" s="426"/>
      <c r="Z25" s="426"/>
    </row>
    <row r="26" ht="13.5" customHeight="1">
      <c r="A26" s="426"/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426"/>
      <c r="S26" s="426"/>
      <c r="T26" s="426"/>
      <c r="U26" s="426"/>
      <c r="V26" s="426"/>
      <c r="W26" s="426"/>
      <c r="X26" s="426"/>
      <c r="Y26" s="426"/>
      <c r="Z26" s="426"/>
    </row>
    <row r="27" ht="13.5" customHeight="1">
      <c r="A27" s="426"/>
      <c r="B27" s="426"/>
      <c r="C27" s="426"/>
      <c r="D27" s="426"/>
      <c r="E27" s="426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426"/>
      <c r="S27" s="426"/>
      <c r="T27" s="426"/>
      <c r="U27" s="426"/>
      <c r="V27" s="426"/>
      <c r="W27" s="426"/>
      <c r="X27" s="426"/>
      <c r="Y27" s="426"/>
      <c r="Z27" s="426"/>
    </row>
    <row r="28" ht="13.5" customHeight="1">
      <c r="A28" s="426"/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426"/>
      <c r="S28" s="426"/>
      <c r="T28" s="426"/>
      <c r="U28" s="426"/>
      <c r="V28" s="426"/>
      <c r="W28" s="426"/>
      <c r="X28" s="426"/>
      <c r="Y28" s="426"/>
      <c r="Z28" s="426"/>
    </row>
    <row r="29" ht="13.5" customHeight="1">
      <c r="A29" s="426"/>
      <c r="B29" s="426"/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426"/>
      <c r="S29" s="426"/>
      <c r="T29" s="426"/>
      <c r="U29" s="426"/>
      <c r="V29" s="426"/>
      <c r="W29" s="426"/>
      <c r="X29" s="426"/>
      <c r="Y29" s="426"/>
      <c r="Z29" s="426"/>
    </row>
    <row r="30" ht="13.5" customHeight="1">
      <c r="A30" s="426"/>
      <c r="B30" s="426"/>
      <c r="C30" s="426"/>
      <c r="D30" s="426"/>
      <c r="E30" s="426"/>
      <c r="F30" s="426"/>
      <c r="G30" s="426"/>
      <c r="H30" s="426"/>
      <c r="I30" s="426"/>
      <c r="J30" s="426"/>
      <c r="K30" s="426"/>
      <c r="L30" s="426"/>
      <c r="M30" s="426"/>
      <c r="N30" s="426"/>
      <c r="O30" s="426"/>
      <c r="P30" s="426"/>
      <c r="Q30" s="426"/>
      <c r="R30" s="426"/>
      <c r="S30" s="426"/>
      <c r="T30" s="426"/>
      <c r="U30" s="426"/>
      <c r="V30" s="426"/>
      <c r="W30" s="426"/>
      <c r="X30" s="426"/>
      <c r="Y30" s="426"/>
      <c r="Z30" s="426"/>
    </row>
    <row r="31" ht="13.5" customHeight="1">
      <c r="A31" s="426"/>
      <c r="B31" s="426"/>
      <c r="C31" s="426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  <c r="Y31" s="426"/>
      <c r="Z31" s="426"/>
    </row>
    <row r="32" ht="13.5" customHeight="1">
      <c r="A32" s="426"/>
      <c r="B32" s="426"/>
      <c r="C32" s="426"/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6"/>
    </row>
    <row r="33" ht="13.5" customHeight="1">
      <c r="A33" s="426"/>
      <c r="B33" s="426"/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  <c r="V33" s="426"/>
      <c r="W33" s="426"/>
      <c r="X33" s="426"/>
      <c r="Y33" s="426"/>
      <c r="Z33" s="426"/>
    </row>
    <row r="34" ht="13.5" customHeight="1">
      <c r="A34" s="426"/>
      <c r="B34" s="426"/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  <c r="Y34" s="426"/>
      <c r="Z34" s="426"/>
    </row>
    <row r="35" ht="13.5" customHeight="1">
      <c r="A35" s="426"/>
      <c r="B35" s="426"/>
      <c r="C35" s="426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  <c r="Y35" s="426"/>
      <c r="Z35" s="426"/>
    </row>
    <row r="36" ht="13.5" customHeight="1">
      <c r="A36" s="426"/>
      <c r="B36" s="426"/>
      <c r="C36" s="426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  <c r="Y36" s="426"/>
      <c r="Z36" s="426"/>
    </row>
    <row r="37" ht="13.5" customHeight="1">
      <c r="A37" s="426"/>
      <c r="B37" s="426"/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6"/>
      <c r="T37" s="426"/>
      <c r="U37" s="426"/>
      <c r="V37" s="426"/>
      <c r="W37" s="426"/>
      <c r="X37" s="426"/>
      <c r="Y37" s="426"/>
      <c r="Z37" s="426"/>
    </row>
    <row r="38" ht="13.5" customHeight="1">
      <c r="A38" s="426"/>
      <c r="B38" s="426"/>
      <c r="C38" s="426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426"/>
      <c r="S38" s="426"/>
      <c r="T38" s="426"/>
      <c r="U38" s="426"/>
      <c r="V38" s="426"/>
      <c r="W38" s="426"/>
      <c r="X38" s="426"/>
      <c r="Y38" s="426"/>
      <c r="Z38" s="426"/>
    </row>
    <row r="39" ht="13.5" customHeight="1">
      <c r="A39" s="426"/>
      <c r="B39" s="426"/>
      <c r="C39" s="426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  <c r="Y39" s="426"/>
      <c r="Z39" s="426"/>
    </row>
    <row r="40" ht="13.5" customHeight="1">
      <c r="A40" s="426"/>
      <c r="B40" s="508"/>
      <c r="C40" s="508"/>
      <c r="D40" s="508"/>
      <c r="E40" s="508"/>
      <c r="F40" s="426"/>
      <c r="G40" s="426"/>
      <c r="H40" s="426"/>
      <c r="I40" s="426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</row>
    <row r="41" ht="13.5" customHeight="1">
      <c r="A41" s="426"/>
      <c r="B41" s="508"/>
      <c r="C41" s="508"/>
      <c r="D41" s="508"/>
      <c r="E41" s="508"/>
      <c r="F41" s="426"/>
      <c r="G41" s="426"/>
      <c r="H41" s="426"/>
      <c r="I41" s="426"/>
      <c r="J41" s="508"/>
      <c r="K41" s="508"/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08"/>
      <c r="Y41" s="508"/>
      <c r="Z41" s="508"/>
    </row>
    <row r="42" ht="13.5" customHeight="1">
      <c r="A42" s="426"/>
      <c r="B42" s="508"/>
      <c r="C42" s="508"/>
      <c r="D42" s="508"/>
      <c r="E42" s="508"/>
      <c r="F42" s="426"/>
      <c r="G42" s="426"/>
      <c r="H42" s="426"/>
      <c r="I42" s="426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  <c r="Z42" s="508"/>
    </row>
    <row r="43" ht="13.5" customHeight="1">
      <c r="A43" s="426"/>
      <c r="B43" s="508"/>
      <c r="C43" s="508"/>
      <c r="D43" s="508"/>
      <c r="E43" s="508"/>
      <c r="F43" s="426"/>
      <c r="G43" s="426"/>
      <c r="H43" s="426"/>
      <c r="I43" s="426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  <c r="Z43" s="508"/>
    </row>
    <row r="44" ht="13.5" customHeight="1">
      <c r="A44" s="426"/>
      <c r="B44" s="508"/>
      <c r="C44" s="508"/>
      <c r="D44" s="508"/>
      <c r="E44" s="508"/>
      <c r="F44" s="426"/>
      <c r="G44" s="426"/>
      <c r="H44" s="426"/>
      <c r="I44" s="426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</row>
    <row r="45" ht="13.5" customHeight="1">
      <c r="A45" s="426"/>
      <c r="B45" s="508"/>
      <c r="C45" s="508"/>
      <c r="D45" s="508"/>
      <c r="E45" s="508"/>
      <c r="F45" s="426"/>
      <c r="G45" s="426"/>
      <c r="H45" s="426"/>
      <c r="I45" s="426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508"/>
      <c r="V45" s="508"/>
      <c r="W45" s="508"/>
      <c r="X45" s="508"/>
      <c r="Y45" s="508"/>
      <c r="Z45" s="508"/>
    </row>
    <row r="46" ht="13.5" customHeight="1">
      <c r="A46" s="426"/>
      <c r="B46" s="508"/>
      <c r="C46" s="508"/>
      <c r="D46" s="508"/>
      <c r="E46" s="508"/>
      <c r="F46" s="426"/>
      <c r="G46" s="426"/>
      <c r="H46" s="426"/>
      <c r="I46" s="426"/>
      <c r="J46" s="508"/>
      <c r="K46" s="508"/>
      <c r="L46" s="508"/>
      <c r="M46" s="508"/>
      <c r="N46" s="508"/>
      <c r="O46" s="508"/>
      <c r="P46" s="508"/>
      <c r="Q46" s="508"/>
      <c r="R46" s="508"/>
      <c r="S46" s="508"/>
      <c r="T46" s="508"/>
      <c r="U46" s="508"/>
      <c r="V46" s="508"/>
      <c r="W46" s="508"/>
      <c r="X46" s="508"/>
      <c r="Y46" s="508"/>
      <c r="Z46" s="508"/>
    </row>
    <row r="47" ht="13.5" customHeight="1">
      <c r="A47" s="426"/>
      <c r="B47" s="508"/>
      <c r="C47" s="508"/>
      <c r="D47" s="508"/>
      <c r="E47" s="508"/>
      <c r="F47" s="426"/>
      <c r="G47" s="426"/>
      <c r="H47" s="426"/>
      <c r="I47" s="426"/>
      <c r="J47" s="508"/>
      <c r="K47" s="508"/>
      <c r="L47" s="508"/>
      <c r="M47" s="508"/>
      <c r="N47" s="508"/>
      <c r="O47" s="508"/>
      <c r="P47" s="508"/>
      <c r="Q47" s="508"/>
      <c r="R47" s="508"/>
      <c r="S47" s="508"/>
      <c r="T47" s="508"/>
      <c r="U47" s="508"/>
      <c r="V47" s="508"/>
      <c r="W47" s="508"/>
      <c r="X47" s="508"/>
      <c r="Y47" s="508"/>
      <c r="Z47" s="508"/>
    </row>
    <row r="48" ht="13.5" customHeight="1">
      <c r="A48" s="426"/>
      <c r="B48" s="508"/>
      <c r="C48" s="508"/>
      <c r="D48" s="508"/>
      <c r="E48" s="508"/>
      <c r="F48" s="426"/>
      <c r="G48" s="426"/>
      <c r="H48" s="426"/>
      <c r="I48" s="426"/>
      <c r="J48" s="508"/>
      <c r="K48" s="508"/>
      <c r="L48" s="508"/>
      <c r="M48" s="508"/>
      <c r="N48" s="508"/>
      <c r="O48" s="508"/>
      <c r="P48" s="508"/>
      <c r="Q48" s="508"/>
      <c r="R48" s="508"/>
      <c r="S48" s="508"/>
      <c r="T48" s="508"/>
      <c r="U48" s="508"/>
      <c r="V48" s="508"/>
      <c r="W48" s="508"/>
      <c r="X48" s="508"/>
      <c r="Y48" s="508"/>
      <c r="Z48" s="508"/>
    </row>
    <row r="49" ht="13.5" customHeight="1">
      <c r="A49" s="426"/>
      <c r="B49" s="508"/>
      <c r="C49" s="508"/>
      <c r="D49" s="508"/>
      <c r="E49" s="508"/>
      <c r="F49" s="426"/>
      <c r="G49" s="426"/>
      <c r="H49" s="426"/>
      <c r="I49" s="426"/>
      <c r="J49" s="508"/>
      <c r="K49" s="508"/>
      <c r="L49" s="508"/>
      <c r="M49" s="508"/>
      <c r="N49" s="508"/>
      <c r="O49" s="508"/>
      <c r="P49" s="508"/>
      <c r="Q49" s="508"/>
      <c r="R49" s="508"/>
      <c r="S49" s="508"/>
      <c r="T49" s="508"/>
      <c r="U49" s="508"/>
      <c r="V49" s="508"/>
      <c r="W49" s="508"/>
      <c r="X49" s="508"/>
      <c r="Y49" s="508"/>
      <c r="Z49" s="508"/>
    </row>
    <row r="50" ht="13.5" customHeight="1">
      <c r="A50" s="426"/>
      <c r="B50" s="508"/>
      <c r="C50" s="508"/>
      <c r="D50" s="508"/>
      <c r="E50" s="508"/>
      <c r="F50" s="426"/>
      <c r="G50" s="426"/>
      <c r="H50" s="426"/>
      <c r="I50" s="426"/>
      <c r="J50" s="508"/>
      <c r="K50" s="508"/>
      <c r="L50" s="508"/>
      <c r="M50" s="508"/>
      <c r="N50" s="508"/>
      <c r="O50" s="508"/>
      <c r="P50" s="508"/>
      <c r="Q50" s="508"/>
      <c r="R50" s="508"/>
      <c r="S50" s="508"/>
      <c r="T50" s="508"/>
      <c r="U50" s="508"/>
      <c r="V50" s="508"/>
      <c r="W50" s="508"/>
      <c r="X50" s="508"/>
      <c r="Y50" s="508"/>
      <c r="Z50" s="508"/>
    </row>
    <row r="51" ht="13.5" customHeight="1">
      <c r="A51" s="426"/>
      <c r="B51" s="508"/>
      <c r="C51" s="508"/>
      <c r="D51" s="508"/>
      <c r="E51" s="508"/>
      <c r="F51" s="426"/>
      <c r="G51" s="426"/>
      <c r="H51" s="426"/>
      <c r="I51" s="426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508"/>
      <c r="Y51" s="508"/>
      <c r="Z51" s="508"/>
    </row>
    <row r="52" ht="13.5" customHeight="1">
      <c r="A52" s="426"/>
      <c r="B52" s="508"/>
      <c r="C52" s="508"/>
      <c r="D52" s="508"/>
      <c r="E52" s="508"/>
      <c r="F52" s="426"/>
      <c r="G52" s="426"/>
      <c r="H52" s="426"/>
      <c r="I52" s="426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  <c r="U52" s="508"/>
      <c r="V52" s="508"/>
      <c r="W52" s="508"/>
      <c r="X52" s="508"/>
      <c r="Y52" s="508"/>
      <c r="Z52" s="508"/>
    </row>
    <row r="53" ht="13.5" customHeight="1">
      <c r="A53" s="426"/>
      <c r="B53" s="508"/>
      <c r="C53" s="508"/>
      <c r="D53" s="508"/>
      <c r="E53" s="508"/>
      <c r="F53" s="426"/>
      <c r="G53" s="426"/>
      <c r="H53" s="426"/>
      <c r="I53" s="426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Z53" s="508"/>
    </row>
    <row r="54" ht="13.5" customHeight="1">
      <c r="A54" s="426"/>
      <c r="B54" s="508"/>
      <c r="C54" s="508"/>
      <c r="D54" s="508"/>
      <c r="E54" s="508"/>
      <c r="F54" s="426"/>
      <c r="G54" s="426"/>
      <c r="H54" s="426"/>
      <c r="I54" s="426"/>
      <c r="J54" s="508"/>
      <c r="K54" s="508"/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508"/>
      <c r="W54" s="508"/>
      <c r="X54" s="508"/>
      <c r="Y54" s="508"/>
      <c r="Z54" s="508"/>
    </row>
    <row r="55" ht="13.5" customHeight="1">
      <c r="A55" s="426"/>
      <c r="B55" s="508"/>
      <c r="C55" s="508"/>
      <c r="D55" s="508"/>
      <c r="E55" s="508"/>
      <c r="F55" s="426"/>
      <c r="G55" s="426"/>
      <c r="H55" s="426"/>
      <c r="I55" s="426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08"/>
      <c r="U55" s="508"/>
      <c r="V55" s="508"/>
      <c r="W55" s="508"/>
      <c r="X55" s="508"/>
      <c r="Y55" s="508"/>
      <c r="Z55" s="508"/>
    </row>
    <row r="56" ht="13.5" customHeight="1">
      <c r="A56" s="426"/>
      <c r="B56" s="508"/>
      <c r="C56" s="508"/>
      <c r="D56" s="508"/>
      <c r="E56" s="508"/>
      <c r="F56" s="426"/>
      <c r="G56" s="426"/>
      <c r="H56" s="426"/>
      <c r="I56" s="426"/>
      <c r="J56" s="508"/>
      <c r="K56" s="508"/>
      <c r="L56" s="508"/>
      <c r="M56" s="508"/>
      <c r="N56" s="508"/>
      <c r="O56" s="508"/>
      <c r="P56" s="508"/>
      <c r="Q56" s="508"/>
      <c r="R56" s="508"/>
      <c r="S56" s="508"/>
      <c r="T56" s="508"/>
      <c r="U56" s="508"/>
      <c r="V56" s="508"/>
      <c r="W56" s="508"/>
      <c r="X56" s="508"/>
      <c r="Y56" s="508"/>
      <c r="Z56" s="508"/>
    </row>
    <row r="57" ht="13.5" customHeight="1">
      <c r="A57" s="426"/>
      <c r="B57" s="508"/>
      <c r="C57" s="508"/>
      <c r="D57" s="508"/>
      <c r="E57" s="508"/>
      <c r="F57" s="426"/>
      <c r="G57" s="426"/>
      <c r="H57" s="426"/>
      <c r="I57" s="426"/>
      <c r="J57" s="508"/>
      <c r="K57" s="508"/>
      <c r="L57" s="508"/>
      <c r="M57" s="508"/>
      <c r="N57" s="508"/>
      <c r="O57" s="508"/>
      <c r="P57" s="508"/>
      <c r="Q57" s="508"/>
      <c r="R57" s="508"/>
      <c r="S57" s="508"/>
      <c r="T57" s="508"/>
      <c r="U57" s="508"/>
      <c r="V57" s="508"/>
      <c r="W57" s="508"/>
      <c r="X57" s="508"/>
      <c r="Y57" s="508"/>
      <c r="Z57" s="508"/>
    </row>
    <row r="58" ht="13.5" customHeight="1">
      <c r="A58" s="426"/>
      <c r="B58" s="508"/>
      <c r="C58" s="508"/>
      <c r="D58" s="508"/>
      <c r="E58" s="508"/>
      <c r="F58" s="426"/>
      <c r="G58" s="426"/>
      <c r="H58" s="426"/>
      <c r="I58" s="426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  <c r="Z58" s="508"/>
    </row>
    <row r="59" ht="13.5" customHeight="1">
      <c r="A59" s="426"/>
      <c r="B59" s="508"/>
      <c r="C59" s="508"/>
      <c r="D59" s="508"/>
      <c r="E59" s="508"/>
      <c r="F59" s="426"/>
      <c r="G59" s="426"/>
      <c r="H59" s="426"/>
      <c r="I59" s="426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508"/>
      <c r="W59" s="508"/>
      <c r="X59" s="508"/>
      <c r="Y59" s="508"/>
      <c r="Z59" s="508"/>
    </row>
    <row r="60" ht="13.5" customHeight="1">
      <c r="A60" s="426"/>
      <c r="B60" s="508"/>
      <c r="C60" s="508"/>
      <c r="D60" s="508"/>
      <c r="E60" s="508"/>
      <c r="F60" s="426"/>
      <c r="G60" s="426"/>
      <c r="H60" s="426"/>
      <c r="I60" s="426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</row>
    <row r="61" ht="13.5" customHeight="1">
      <c r="A61" s="426"/>
      <c r="B61" s="508"/>
      <c r="C61" s="508"/>
      <c r="D61" s="508"/>
      <c r="E61" s="508"/>
      <c r="F61" s="426"/>
      <c r="G61" s="426"/>
      <c r="H61" s="426"/>
      <c r="I61" s="426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  <c r="Z61" s="508"/>
    </row>
    <row r="62" ht="13.5" customHeight="1">
      <c r="A62" s="426"/>
      <c r="B62" s="508"/>
      <c r="C62" s="508"/>
      <c r="D62" s="508"/>
      <c r="E62" s="508"/>
      <c r="F62" s="426"/>
      <c r="G62" s="426"/>
      <c r="H62" s="426"/>
      <c r="I62" s="426"/>
      <c r="J62" s="508"/>
      <c r="K62" s="508"/>
      <c r="L62" s="508"/>
      <c r="M62" s="508"/>
      <c r="N62" s="508"/>
      <c r="O62" s="508"/>
      <c r="P62" s="508"/>
      <c r="Q62" s="508"/>
      <c r="R62" s="508"/>
      <c r="S62" s="508"/>
      <c r="T62" s="508"/>
      <c r="U62" s="508"/>
      <c r="V62" s="508"/>
      <c r="W62" s="508"/>
      <c r="X62" s="508"/>
      <c r="Y62" s="508"/>
      <c r="Z62" s="508"/>
    </row>
    <row r="63" ht="13.5" customHeight="1">
      <c r="A63" s="426"/>
      <c r="B63" s="508"/>
      <c r="C63" s="508"/>
      <c r="D63" s="508"/>
      <c r="E63" s="508"/>
      <c r="F63" s="426"/>
      <c r="G63" s="426"/>
      <c r="H63" s="426"/>
      <c r="I63" s="426"/>
      <c r="J63" s="508"/>
      <c r="K63" s="508"/>
      <c r="L63" s="508"/>
      <c r="M63" s="508"/>
      <c r="N63" s="508"/>
      <c r="O63" s="508"/>
      <c r="P63" s="508"/>
      <c r="Q63" s="508"/>
      <c r="R63" s="508"/>
      <c r="S63" s="508"/>
      <c r="T63" s="508"/>
      <c r="U63" s="508"/>
      <c r="V63" s="508"/>
      <c r="W63" s="508"/>
      <c r="X63" s="508"/>
      <c r="Y63" s="508"/>
      <c r="Z63" s="508"/>
    </row>
    <row r="64" ht="13.5" customHeight="1">
      <c r="A64" s="426"/>
      <c r="B64" s="508"/>
      <c r="C64" s="508"/>
      <c r="D64" s="508"/>
      <c r="E64" s="508"/>
      <c r="F64" s="426"/>
      <c r="G64" s="426"/>
      <c r="H64" s="426"/>
      <c r="I64" s="426"/>
      <c r="J64" s="508"/>
      <c r="K64" s="508"/>
      <c r="L64" s="508"/>
      <c r="M64" s="508"/>
      <c r="N64" s="508"/>
      <c r="O64" s="508"/>
      <c r="P64" s="508"/>
      <c r="Q64" s="508"/>
      <c r="R64" s="508"/>
      <c r="S64" s="508"/>
      <c r="T64" s="508"/>
      <c r="U64" s="508"/>
      <c r="V64" s="508"/>
      <c r="W64" s="508"/>
      <c r="X64" s="508"/>
      <c r="Y64" s="508"/>
      <c r="Z64" s="508"/>
    </row>
    <row r="65" ht="13.5" customHeight="1">
      <c r="A65" s="426"/>
      <c r="B65" s="508"/>
      <c r="C65" s="508"/>
      <c r="D65" s="508"/>
      <c r="E65" s="508"/>
      <c r="F65" s="426"/>
      <c r="G65" s="426"/>
      <c r="H65" s="426"/>
      <c r="I65" s="426"/>
      <c r="J65" s="508"/>
      <c r="K65" s="508"/>
      <c r="L65" s="508"/>
      <c r="M65" s="508"/>
      <c r="N65" s="508"/>
      <c r="O65" s="508"/>
      <c r="P65" s="508"/>
      <c r="Q65" s="508"/>
      <c r="R65" s="508"/>
      <c r="S65" s="508"/>
      <c r="T65" s="508"/>
      <c r="U65" s="508"/>
      <c r="V65" s="508"/>
      <c r="W65" s="508"/>
      <c r="X65" s="508"/>
      <c r="Y65" s="508"/>
      <c r="Z65" s="508"/>
    </row>
    <row r="66" ht="13.5" customHeight="1">
      <c r="A66" s="426"/>
      <c r="B66" s="508"/>
      <c r="C66" s="508"/>
      <c r="D66" s="508"/>
      <c r="E66" s="508"/>
      <c r="F66" s="426"/>
      <c r="G66" s="426"/>
      <c r="H66" s="426"/>
      <c r="I66" s="426"/>
      <c r="J66" s="508"/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  <c r="Z66" s="508"/>
    </row>
    <row r="67" ht="13.5" customHeight="1">
      <c r="A67" s="426"/>
      <c r="B67" s="508"/>
      <c r="C67" s="508"/>
      <c r="D67" s="508"/>
      <c r="E67" s="508"/>
      <c r="F67" s="426"/>
      <c r="G67" s="426"/>
      <c r="H67" s="426"/>
      <c r="I67" s="426"/>
      <c r="J67" s="508"/>
      <c r="K67" s="508"/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  <c r="Z67" s="508"/>
    </row>
    <row r="68" ht="13.5" customHeight="1">
      <c r="A68" s="426"/>
      <c r="B68" s="508"/>
      <c r="C68" s="508"/>
      <c r="D68" s="508"/>
      <c r="E68" s="508"/>
      <c r="F68" s="426"/>
      <c r="G68" s="426"/>
      <c r="H68" s="426"/>
      <c r="I68" s="426"/>
      <c r="J68" s="508"/>
      <c r="K68" s="508"/>
      <c r="L68" s="508"/>
      <c r="M68" s="508"/>
      <c r="N68" s="508"/>
      <c r="O68" s="508"/>
      <c r="P68" s="508"/>
      <c r="Q68" s="508"/>
      <c r="R68" s="508"/>
      <c r="S68" s="508"/>
      <c r="T68" s="508"/>
      <c r="U68" s="508"/>
      <c r="V68" s="508"/>
      <c r="W68" s="508"/>
      <c r="X68" s="508"/>
      <c r="Y68" s="508"/>
      <c r="Z68" s="508"/>
    </row>
    <row r="69" ht="13.5" customHeight="1">
      <c r="A69" s="426"/>
      <c r="B69" s="508"/>
      <c r="C69" s="508"/>
      <c r="D69" s="508"/>
      <c r="E69" s="508"/>
      <c r="F69" s="426"/>
      <c r="G69" s="426"/>
      <c r="H69" s="426"/>
      <c r="I69" s="426"/>
      <c r="J69" s="508"/>
      <c r="K69" s="508"/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  <c r="Y69" s="508"/>
      <c r="Z69" s="508"/>
    </row>
    <row r="70" ht="13.5" customHeight="1">
      <c r="A70" s="426"/>
      <c r="B70" s="508"/>
      <c r="C70" s="508"/>
      <c r="D70" s="508"/>
      <c r="E70" s="508"/>
      <c r="F70" s="426"/>
      <c r="G70" s="426"/>
      <c r="H70" s="426"/>
      <c r="I70" s="426"/>
      <c r="J70" s="508"/>
      <c r="K70" s="508"/>
      <c r="L70" s="508"/>
      <c r="M70" s="508"/>
      <c r="N70" s="508"/>
      <c r="O70" s="508"/>
      <c r="P70" s="508"/>
      <c r="Q70" s="508"/>
      <c r="R70" s="508"/>
      <c r="S70" s="508"/>
      <c r="T70" s="508"/>
      <c r="U70" s="508"/>
      <c r="V70" s="508"/>
      <c r="W70" s="508"/>
      <c r="X70" s="508"/>
      <c r="Y70" s="508"/>
      <c r="Z70" s="508"/>
    </row>
    <row r="71" ht="13.5" customHeight="1">
      <c r="A71" s="426"/>
      <c r="B71" s="508"/>
      <c r="C71" s="508"/>
      <c r="D71" s="508"/>
      <c r="E71" s="508"/>
      <c r="F71" s="426"/>
      <c r="G71" s="426"/>
      <c r="H71" s="426"/>
      <c r="I71" s="426"/>
      <c r="J71" s="508"/>
      <c r="K71" s="508"/>
      <c r="L71" s="508"/>
      <c r="M71" s="508"/>
      <c r="N71" s="508"/>
      <c r="O71" s="508"/>
      <c r="P71" s="508"/>
      <c r="Q71" s="508"/>
      <c r="R71" s="508"/>
      <c r="S71" s="508"/>
      <c r="T71" s="508"/>
      <c r="U71" s="508"/>
      <c r="V71" s="508"/>
      <c r="W71" s="508"/>
      <c r="X71" s="508"/>
      <c r="Y71" s="508"/>
      <c r="Z71" s="508"/>
    </row>
    <row r="72" ht="13.5" customHeight="1">
      <c r="A72" s="426"/>
      <c r="B72" s="508"/>
      <c r="C72" s="508"/>
      <c r="D72" s="508"/>
      <c r="E72" s="508"/>
      <c r="F72" s="426"/>
      <c r="G72" s="426"/>
      <c r="H72" s="426"/>
      <c r="I72" s="426"/>
      <c r="J72" s="508"/>
      <c r="K72" s="508"/>
      <c r="L72" s="508"/>
      <c r="M72" s="508"/>
      <c r="N72" s="508"/>
      <c r="O72" s="508"/>
      <c r="P72" s="508"/>
      <c r="Q72" s="508"/>
      <c r="R72" s="508"/>
      <c r="S72" s="508"/>
      <c r="T72" s="508"/>
      <c r="U72" s="508"/>
      <c r="V72" s="508"/>
      <c r="W72" s="508"/>
      <c r="X72" s="508"/>
      <c r="Y72" s="508"/>
      <c r="Z72" s="508"/>
    </row>
    <row r="73" ht="13.5" customHeight="1">
      <c r="A73" s="426"/>
      <c r="B73" s="508"/>
      <c r="C73" s="508"/>
      <c r="D73" s="508"/>
      <c r="E73" s="508"/>
      <c r="F73" s="426"/>
      <c r="G73" s="426"/>
      <c r="H73" s="426"/>
      <c r="I73" s="426"/>
      <c r="J73" s="508"/>
      <c r="K73" s="508"/>
      <c r="L73" s="508"/>
      <c r="M73" s="508"/>
      <c r="N73" s="508"/>
      <c r="O73" s="508"/>
      <c r="P73" s="508"/>
      <c r="Q73" s="508"/>
      <c r="R73" s="508"/>
      <c r="S73" s="508"/>
      <c r="T73" s="508"/>
      <c r="U73" s="508"/>
      <c r="V73" s="508"/>
      <c r="W73" s="508"/>
      <c r="X73" s="508"/>
      <c r="Y73" s="508"/>
      <c r="Z73" s="508"/>
    </row>
    <row r="74" ht="13.5" customHeight="1">
      <c r="A74" s="426"/>
      <c r="B74" s="508"/>
      <c r="C74" s="508"/>
      <c r="D74" s="508"/>
      <c r="E74" s="508"/>
      <c r="F74" s="426"/>
      <c r="G74" s="426"/>
      <c r="H74" s="426"/>
      <c r="I74" s="426"/>
      <c r="J74" s="508"/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  <c r="Z74" s="508"/>
    </row>
    <row r="75" ht="13.5" customHeight="1">
      <c r="A75" s="426"/>
      <c r="B75" s="508"/>
      <c r="C75" s="508"/>
      <c r="D75" s="508"/>
      <c r="E75" s="508"/>
      <c r="F75" s="426"/>
      <c r="G75" s="426"/>
      <c r="H75" s="426"/>
      <c r="I75" s="426"/>
      <c r="J75" s="508"/>
      <c r="K75" s="508"/>
      <c r="L75" s="508"/>
      <c r="M75" s="508"/>
      <c r="N75" s="508"/>
      <c r="O75" s="508"/>
      <c r="P75" s="508"/>
      <c r="Q75" s="508"/>
      <c r="R75" s="508"/>
      <c r="S75" s="508"/>
      <c r="T75" s="508"/>
      <c r="U75" s="508"/>
      <c r="V75" s="508"/>
      <c r="W75" s="508"/>
      <c r="X75" s="508"/>
      <c r="Y75" s="508"/>
      <c r="Z75" s="508"/>
    </row>
    <row r="76" ht="13.5" customHeight="1">
      <c r="A76" s="426"/>
      <c r="B76" s="508"/>
      <c r="C76" s="508"/>
      <c r="D76" s="508"/>
      <c r="E76" s="508"/>
      <c r="F76" s="426"/>
      <c r="G76" s="426"/>
      <c r="H76" s="426"/>
      <c r="I76" s="426"/>
      <c r="J76" s="508"/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</row>
    <row r="77" ht="13.5" customHeight="1">
      <c r="A77" s="426"/>
      <c r="B77" s="508"/>
      <c r="C77" s="508"/>
      <c r="D77" s="508"/>
      <c r="E77" s="508"/>
      <c r="F77" s="426"/>
      <c r="G77" s="426"/>
      <c r="H77" s="426"/>
      <c r="I77" s="426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  <c r="Z77" s="508"/>
    </row>
    <row r="78" ht="13.5" customHeight="1">
      <c r="A78" s="426"/>
      <c r="B78" s="508"/>
      <c r="C78" s="508"/>
      <c r="D78" s="508"/>
      <c r="E78" s="508"/>
      <c r="F78" s="426"/>
      <c r="G78" s="426"/>
      <c r="H78" s="426"/>
      <c r="I78" s="426"/>
      <c r="J78" s="508"/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  <c r="Z78" s="508"/>
    </row>
    <row r="79" ht="13.5" customHeight="1">
      <c r="A79" s="426"/>
      <c r="B79" s="508"/>
      <c r="C79" s="508"/>
      <c r="D79" s="508"/>
      <c r="E79" s="508"/>
      <c r="F79" s="426"/>
      <c r="G79" s="426"/>
      <c r="H79" s="426"/>
      <c r="I79" s="426"/>
      <c r="J79" s="508"/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  <c r="Z79" s="508"/>
    </row>
    <row r="80" ht="13.5" customHeight="1">
      <c r="A80" s="426"/>
      <c r="B80" s="508"/>
      <c r="C80" s="508"/>
      <c r="D80" s="508"/>
      <c r="E80" s="508"/>
      <c r="F80" s="426"/>
      <c r="G80" s="426"/>
      <c r="H80" s="426"/>
      <c r="I80" s="426"/>
      <c r="J80" s="508"/>
      <c r="K80" s="508"/>
      <c r="L80" s="508"/>
      <c r="M80" s="508"/>
      <c r="N80" s="508"/>
      <c r="O80" s="508"/>
      <c r="P80" s="508"/>
      <c r="Q80" s="508"/>
      <c r="R80" s="508"/>
      <c r="S80" s="508"/>
      <c r="T80" s="508"/>
      <c r="U80" s="508"/>
      <c r="V80" s="508"/>
      <c r="W80" s="508"/>
      <c r="X80" s="508"/>
      <c r="Y80" s="508"/>
      <c r="Z80" s="508"/>
    </row>
    <row r="81" ht="13.5" customHeight="1">
      <c r="A81" s="426"/>
      <c r="B81" s="508"/>
      <c r="C81" s="508"/>
      <c r="D81" s="508"/>
      <c r="E81" s="508"/>
      <c r="F81" s="426"/>
      <c r="G81" s="426"/>
      <c r="H81" s="426"/>
      <c r="I81" s="426"/>
      <c r="J81" s="508"/>
      <c r="K81" s="508"/>
      <c r="L81" s="508"/>
      <c r="M81" s="508"/>
      <c r="N81" s="508"/>
      <c r="O81" s="508"/>
      <c r="P81" s="508"/>
      <c r="Q81" s="508"/>
      <c r="R81" s="508"/>
      <c r="S81" s="508"/>
      <c r="T81" s="508"/>
      <c r="U81" s="508"/>
      <c r="V81" s="508"/>
      <c r="W81" s="508"/>
      <c r="X81" s="508"/>
      <c r="Y81" s="508"/>
      <c r="Z81" s="508"/>
    </row>
    <row r="82" ht="13.5" customHeight="1">
      <c r="A82" s="426"/>
      <c r="B82" s="508"/>
      <c r="C82" s="508"/>
      <c r="D82" s="508"/>
      <c r="E82" s="508"/>
      <c r="F82" s="426"/>
      <c r="G82" s="426"/>
      <c r="H82" s="426"/>
      <c r="I82" s="426"/>
      <c r="J82" s="508"/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</row>
    <row r="83" ht="13.5" customHeight="1">
      <c r="A83" s="426"/>
      <c r="B83" s="508"/>
      <c r="C83" s="508"/>
      <c r="D83" s="508"/>
      <c r="E83" s="508"/>
      <c r="F83" s="426"/>
      <c r="G83" s="426"/>
      <c r="H83" s="426"/>
      <c r="I83" s="426"/>
      <c r="J83" s="508"/>
      <c r="K83" s="508"/>
      <c r="L83" s="508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  <c r="Z83" s="508"/>
    </row>
    <row r="84" ht="13.5" customHeight="1">
      <c r="A84" s="426"/>
      <c r="B84" s="508"/>
      <c r="C84" s="508"/>
      <c r="D84" s="508"/>
      <c r="E84" s="508"/>
      <c r="F84" s="426"/>
      <c r="G84" s="426"/>
      <c r="H84" s="426"/>
      <c r="I84" s="426"/>
      <c r="J84" s="508"/>
      <c r="K84" s="508"/>
      <c r="L84" s="508"/>
      <c r="M84" s="508"/>
      <c r="N84" s="508"/>
      <c r="O84" s="508"/>
      <c r="P84" s="508"/>
      <c r="Q84" s="508"/>
      <c r="R84" s="508"/>
      <c r="S84" s="508"/>
      <c r="T84" s="508"/>
      <c r="U84" s="508"/>
      <c r="V84" s="508"/>
      <c r="W84" s="508"/>
      <c r="X84" s="508"/>
      <c r="Y84" s="508"/>
      <c r="Z84" s="508"/>
    </row>
    <row r="85" ht="13.5" customHeight="1">
      <c r="A85" s="426"/>
      <c r="B85" s="508"/>
      <c r="C85" s="508"/>
      <c r="D85" s="508"/>
      <c r="E85" s="508"/>
      <c r="F85" s="426"/>
      <c r="G85" s="426"/>
      <c r="H85" s="426"/>
      <c r="I85" s="426"/>
      <c r="J85" s="508"/>
      <c r="K85" s="508"/>
      <c r="L85" s="508"/>
      <c r="M85" s="508"/>
      <c r="N85" s="508"/>
      <c r="O85" s="508"/>
      <c r="P85" s="508"/>
      <c r="Q85" s="508"/>
      <c r="R85" s="508"/>
      <c r="S85" s="508"/>
      <c r="T85" s="508"/>
      <c r="U85" s="508"/>
      <c r="V85" s="508"/>
      <c r="W85" s="508"/>
      <c r="X85" s="508"/>
      <c r="Y85" s="508"/>
      <c r="Z85" s="508"/>
    </row>
    <row r="86" ht="13.5" customHeight="1">
      <c r="A86" s="426"/>
      <c r="B86" s="508"/>
      <c r="C86" s="508"/>
      <c r="D86" s="508"/>
      <c r="E86" s="508"/>
      <c r="F86" s="426"/>
      <c r="G86" s="426"/>
      <c r="H86" s="426"/>
      <c r="I86" s="426"/>
      <c r="J86" s="508"/>
      <c r="K86" s="508"/>
      <c r="L86" s="508"/>
      <c r="M86" s="508"/>
      <c r="N86" s="508"/>
      <c r="O86" s="508"/>
      <c r="P86" s="508"/>
      <c r="Q86" s="508"/>
      <c r="R86" s="508"/>
      <c r="S86" s="508"/>
      <c r="T86" s="508"/>
      <c r="U86" s="508"/>
      <c r="V86" s="508"/>
      <c r="W86" s="508"/>
      <c r="X86" s="508"/>
      <c r="Y86" s="508"/>
      <c r="Z86" s="508"/>
    </row>
    <row r="87" ht="13.5" customHeight="1">
      <c r="A87" s="426"/>
      <c r="B87" s="508"/>
      <c r="C87" s="508"/>
      <c r="D87" s="508"/>
      <c r="E87" s="508"/>
      <c r="F87" s="426"/>
      <c r="G87" s="426"/>
      <c r="H87" s="426"/>
      <c r="I87" s="426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  <c r="Z87" s="508"/>
    </row>
    <row r="88" ht="13.5" customHeight="1">
      <c r="A88" s="426"/>
      <c r="B88" s="508"/>
      <c r="C88" s="508"/>
      <c r="D88" s="508"/>
      <c r="E88" s="508"/>
      <c r="F88" s="426"/>
      <c r="G88" s="426"/>
      <c r="H88" s="426"/>
      <c r="I88" s="426"/>
      <c r="J88" s="508"/>
      <c r="K88" s="508"/>
      <c r="L88" s="508"/>
      <c r="M88" s="508"/>
      <c r="N88" s="508"/>
      <c r="O88" s="508"/>
      <c r="P88" s="508"/>
      <c r="Q88" s="508"/>
      <c r="R88" s="508"/>
      <c r="S88" s="508"/>
      <c r="T88" s="508"/>
      <c r="U88" s="508"/>
      <c r="V88" s="508"/>
      <c r="W88" s="508"/>
      <c r="X88" s="508"/>
      <c r="Y88" s="508"/>
      <c r="Z88" s="508"/>
    </row>
    <row r="89" ht="13.5" customHeight="1">
      <c r="A89" s="426"/>
      <c r="B89" s="508"/>
      <c r="C89" s="508"/>
      <c r="D89" s="508"/>
      <c r="E89" s="508"/>
      <c r="F89" s="426"/>
      <c r="G89" s="426"/>
      <c r="H89" s="426"/>
      <c r="I89" s="426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508"/>
      <c r="Y89" s="508"/>
      <c r="Z89" s="508"/>
    </row>
    <row r="90" ht="13.5" customHeight="1">
      <c r="A90" s="426"/>
      <c r="B90" s="508"/>
      <c r="C90" s="508"/>
      <c r="D90" s="508"/>
      <c r="E90" s="508"/>
      <c r="F90" s="426"/>
      <c r="G90" s="426"/>
      <c r="H90" s="426"/>
      <c r="I90" s="426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  <c r="Z90" s="508"/>
    </row>
    <row r="91" ht="13.5" customHeight="1">
      <c r="A91" s="426"/>
      <c r="B91" s="508"/>
      <c r="C91" s="508"/>
      <c r="D91" s="508"/>
      <c r="E91" s="508"/>
      <c r="F91" s="426"/>
      <c r="G91" s="426"/>
      <c r="H91" s="426"/>
      <c r="I91" s="426"/>
      <c r="J91" s="508"/>
      <c r="K91" s="508"/>
      <c r="L91" s="508"/>
      <c r="M91" s="508"/>
      <c r="N91" s="508"/>
      <c r="O91" s="508"/>
      <c r="P91" s="508"/>
      <c r="Q91" s="508"/>
      <c r="R91" s="508"/>
      <c r="S91" s="508"/>
      <c r="T91" s="508"/>
      <c r="U91" s="508"/>
      <c r="V91" s="508"/>
      <c r="W91" s="508"/>
      <c r="X91" s="508"/>
      <c r="Y91" s="508"/>
      <c r="Z91" s="508"/>
    </row>
    <row r="92" ht="13.5" customHeight="1">
      <c r="A92" s="426"/>
      <c r="B92" s="508"/>
      <c r="C92" s="508"/>
      <c r="D92" s="508"/>
      <c r="E92" s="508"/>
      <c r="F92" s="426"/>
      <c r="G92" s="426"/>
      <c r="H92" s="426"/>
      <c r="I92" s="426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508"/>
      <c r="Y92" s="508"/>
      <c r="Z92" s="508"/>
    </row>
    <row r="93" ht="13.5" customHeight="1">
      <c r="A93" s="426"/>
      <c r="B93" s="508"/>
      <c r="C93" s="508"/>
      <c r="D93" s="508"/>
      <c r="E93" s="508"/>
      <c r="F93" s="426"/>
      <c r="G93" s="426"/>
      <c r="H93" s="426"/>
      <c r="I93" s="426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  <c r="Z93" s="508"/>
    </row>
    <row r="94" ht="13.5" customHeight="1">
      <c r="A94" s="426"/>
      <c r="B94" s="508"/>
      <c r="C94" s="508"/>
      <c r="D94" s="508"/>
      <c r="E94" s="508"/>
      <c r="F94" s="426"/>
      <c r="G94" s="426"/>
      <c r="H94" s="426"/>
      <c r="I94" s="426"/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  <c r="Z94" s="508"/>
    </row>
    <row r="95" ht="13.5" customHeight="1">
      <c r="A95" s="426"/>
      <c r="B95" s="508"/>
      <c r="C95" s="508"/>
      <c r="D95" s="508"/>
      <c r="E95" s="508"/>
      <c r="F95" s="426"/>
      <c r="G95" s="426"/>
      <c r="H95" s="426"/>
      <c r="I95" s="426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  <c r="Z95" s="508"/>
    </row>
    <row r="96" ht="13.5" customHeight="1">
      <c r="A96" s="426"/>
      <c r="B96" s="508"/>
      <c r="C96" s="508"/>
      <c r="D96" s="508"/>
      <c r="E96" s="508"/>
      <c r="F96" s="426"/>
      <c r="G96" s="426"/>
      <c r="H96" s="426"/>
      <c r="I96" s="426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  <c r="Z96" s="508"/>
    </row>
    <row r="97" ht="13.5" customHeight="1">
      <c r="A97" s="426"/>
      <c r="B97" s="508"/>
      <c r="C97" s="508"/>
      <c r="D97" s="508"/>
      <c r="E97" s="508"/>
      <c r="F97" s="426"/>
      <c r="G97" s="426"/>
      <c r="H97" s="426"/>
      <c r="I97" s="426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</row>
    <row r="98" ht="13.5" customHeight="1">
      <c r="A98" s="426"/>
      <c r="B98" s="508"/>
      <c r="C98" s="508"/>
      <c r="D98" s="508"/>
      <c r="E98" s="508"/>
      <c r="F98" s="426"/>
      <c r="G98" s="426"/>
      <c r="H98" s="426"/>
      <c r="I98" s="426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</row>
    <row r="99" ht="13.5" customHeight="1">
      <c r="A99" s="426"/>
      <c r="B99" s="508"/>
      <c r="C99" s="508"/>
      <c r="D99" s="508"/>
      <c r="E99" s="508"/>
      <c r="F99" s="426"/>
      <c r="G99" s="426"/>
      <c r="H99" s="426"/>
      <c r="I99" s="426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  <c r="Z99" s="508"/>
    </row>
    <row r="100" ht="13.5" customHeight="1">
      <c r="A100" s="426"/>
      <c r="B100" s="508"/>
      <c r="C100" s="508"/>
      <c r="D100" s="508"/>
      <c r="E100" s="508"/>
      <c r="F100" s="426"/>
      <c r="G100" s="426"/>
      <c r="H100" s="426"/>
      <c r="I100" s="426"/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  <c r="Z100" s="508"/>
    </row>
    <row r="101" ht="13.5" customHeight="1">
      <c r="A101" s="426"/>
      <c r="B101" s="508"/>
      <c r="C101" s="508"/>
      <c r="D101" s="508"/>
      <c r="E101" s="508"/>
      <c r="F101" s="426"/>
      <c r="G101" s="426"/>
      <c r="H101" s="426"/>
      <c r="I101" s="426"/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  <c r="Z101" s="508"/>
    </row>
    <row r="102" ht="13.5" customHeight="1">
      <c r="A102" s="426"/>
      <c r="B102" s="508"/>
      <c r="C102" s="508"/>
      <c r="D102" s="508"/>
      <c r="E102" s="508"/>
      <c r="F102" s="426"/>
      <c r="G102" s="426"/>
      <c r="H102" s="426"/>
      <c r="I102" s="426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508"/>
      <c r="Y102" s="508"/>
      <c r="Z102" s="508"/>
    </row>
    <row r="103" ht="13.5" customHeight="1">
      <c r="A103" s="426"/>
      <c r="B103" s="508"/>
      <c r="C103" s="508"/>
      <c r="D103" s="508"/>
      <c r="E103" s="508"/>
      <c r="F103" s="426"/>
      <c r="G103" s="426"/>
      <c r="H103" s="426"/>
      <c r="I103" s="426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</row>
    <row r="104" ht="13.5" customHeight="1">
      <c r="A104" s="426"/>
      <c r="B104" s="508"/>
      <c r="C104" s="508"/>
      <c r="D104" s="508"/>
      <c r="E104" s="508"/>
      <c r="F104" s="426"/>
      <c r="G104" s="426"/>
      <c r="H104" s="426"/>
      <c r="I104" s="426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</row>
    <row r="105" ht="13.5" customHeight="1">
      <c r="A105" s="426"/>
      <c r="B105" s="508"/>
      <c r="C105" s="508"/>
      <c r="D105" s="508"/>
      <c r="E105" s="508"/>
      <c r="F105" s="426"/>
      <c r="G105" s="426"/>
      <c r="H105" s="426"/>
      <c r="I105" s="426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</row>
    <row r="106" ht="13.5" customHeight="1">
      <c r="A106" s="426"/>
      <c r="B106" s="508"/>
      <c r="C106" s="508"/>
      <c r="D106" s="508"/>
      <c r="E106" s="508"/>
      <c r="F106" s="426"/>
      <c r="G106" s="426"/>
      <c r="H106" s="426"/>
      <c r="I106" s="426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508"/>
      <c r="Y106" s="508"/>
      <c r="Z106" s="508"/>
    </row>
    <row r="107" ht="13.5" customHeight="1">
      <c r="A107" s="426"/>
      <c r="B107" s="508"/>
      <c r="C107" s="508"/>
      <c r="D107" s="508"/>
      <c r="E107" s="508"/>
      <c r="F107" s="426"/>
      <c r="G107" s="426"/>
      <c r="H107" s="426"/>
      <c r="I107" s="426"/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  <c r="Z107" s="508"/>
    </row>
    <row r="108" ht="13.5" customHeight="1">
      <c r="A108" s="426"/>
      <c r="B108" s="508"/>
      <c r="C108" s="508"/>
      <c r="D108" s="508"/>
      <c r="E108" s="508"/>
      <c r="F108" s="426"/>
      <c r="G108" s="426"/>
      <c r="H108" s="426"/>
      <c r="I108" s="426"/>
      <c r="J108" s="508"/>
      <c r="K108" s="508"/>
      <c r="L108" s="508"/>
      <c r="M108" s="508"/>
      <c r="N108" s="508"/>
      <c r="O108" s="508"/>
      <c r="P108" s="508"/>
      <c r="Q108" s="508"/>
      <c r="R108" s="508"/>
      <c r="S108" s="508"/>
      <c r="T108" s="508"/>
      <c r="U108" s="508"/>
      <c r="V108" s="508"/>
      <c r="W108" s="508"/>
      <c r="X108" s="508"/>
      <c r="Y108" s="508"/>
      <c r="Z108" s="508"/>
    </row>
    <row r="109" ht="13.5" customHeight="1">
      <c r="A109" s="426"/>
      <c r="B109" s="508"/>
      <c r="C109" s="508"/>
      <c r="D109" s="508"/>
      <c r="E109" s="508"/>
      <c r="F109" s="426"/>
      <c r="G109" s="426"/>
      <c r="H109" s="426"/>
      <c r="I109" s="426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  <c r="Z109" s="508"/>
    </row>
    <row r="110" ht="13.5" customHeight="1">
      <c r="A110" s="426"/>
      <c r="B110" s="508"/>
      <c r="C110" s="508"/>
      <c r="D110" s="508"/>
      <c r="E110" s="508"/>
      <c r="F110" s="426"/>
      <c r="G110" s="426"/>
      <c r="H110" s="426"/>
      <c r="I110" s="426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</row>
    <row r="111" ht="13.5" customHeight="1">
      <c r="A111" s="426"/>
      <c r="B111" s="508"/>
      <c r="C111" s="508"/>
      <c r="D111" s="508"/>
      <c r="E111" s="508"/>
      <c r="F111" s="426"/>
      <c r="G111" s="426"/>
      <c r="H111" s="426"/>
      <c r="I111" s="426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  <c r="Z111" s="508"/>
    </row>
    <row r="112" ht="13.5" customHeight="1">
      <c r="A112" s="426"/>
      <c r="B112" s="508"/>
      <c r="C112" s="508"/>
      <c r="D112" s="508"/>
      <c r="E112" s="508"/>
      <c r="F112" s="426"/>
      <c r="G112" s="426"/>
      <c r="H112" s="426"/>
      <c r="I112" s="426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508"/>
      <c r="Y112" s="508"/>
      <c r="Z112" s="508"/>
    </row>
    <row r="113" ht="13.5" customHeight="1">
      <c r="A113" s="426"/>
      <c r="B113" s="508"/>
      <c r="C113" s="508"/>
      <c r="D113" s="508"/>
      <c r="E113" s="508"/>
      <c r="F113" s="426"/>
      <c r="G113" s="426"/>
      <c r="H113" s="426"/>
      <c r="I113" s="426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  <c r="Z113" s="508"/>
    </row>
    <row r="114" ht="13.5" customHeight="1">
      <c r="A114" s="426"/>
      <c r="B114" s="508"/>
      <c r="C114" s="508"/>
      <c r="D114" s="508"/>
      <c r="E114" s="508"/>
      <c r="F114" s="426"/>
      <c r="G114" s="426"/>
      <c r="H114" s="426"/>
      <c r="I114" s="426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  <c r="Z114" s="508"/>
    </row>
    <row r="115" ht="13.5" customHeight="1">
      <c r="A115" s="426"/>
      <c r="B115" s="508"/>
      <c r="C115" s="508"/>
      <c r="D115" s="508"/>
      <c r="E115" s="508"/>
      <c r="F115" s="426"/>
      <c r="G115" s="426"/>
      <c r="H115" s="426"/>
      <c r="I115" s="426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  <c r="Z115" s="508"/>
    </row>
    <row r="116" ht="13.5" customHeight="1">
      <c r="A116" s="426"/>
      <c r="B116" s="508"/>
      <c r="C116" s="508"/>
      <c r="D116" s="508"/>
      <c r="E116" s="508"/>
      <c r="F116" s="426"/>
      <c r="G116" s="426"/>
      <c r="H116" s="426"/>
      <c r="I116" s="426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  <c r="Z116" s="508"/>
    </row>
    <row r="117" ht="13.5" customHeight="1">
      <c r="A117" s="426"/>
      <c r="B117" s="508"/>
      <c r="C117" s="508"/>
      <c r="D117" s="508"/>
      <c r="E117" s="508"/>
      <c r="F117" s="426"/>
      <c r="G117" s="426"/>
      <c r="H117" s="426"/>
      <c r="I117" s="426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  <c r="Z117" s="508"/>
    </row>
    <row r="118" ht="13.5" customHeight="1">
      <c r="A118" s="426"/>
      <c r="B118" s="508"/>
      <c r="C118" s="508"/>
      <c r="D118" s="508"/>
      <c r="E118" s="508"/>
      <c r="F118" s="426"/>
      <c r="G118" s="426"/>
      <c r="H118" s="426"/>
      <c r="I118" s="426"/>
      <c r="J118" s="508"/>
      <c r="K118" s="508"/>
      <c r="L118" s="508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508"/>
      <c r="Y118" s="508"/>
      <c r="Z118" s="508"/>
    </row>
    <row r="119" ht="13.5" customHeight="1">
      <c r="A119" s="426"/>
      <c r="B119" s="508"/>
      <c r="C119" s="508"/>
      <c r="D119" s="508"/>
      <c r="E119" s="508"/>
      <c r="F119" s="426"/>
      <c r="G119" s="426"/>
      <c r="H119" s="426"/>
      <c r="I119" s="426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508"/>
      <c r="Y119" s="508"/>
      <c r="Z119" s="508"/>
    </row>
    <row r="120" ht="13.5" customHeight="1">
      <c r="A120" s="426"/>
      <c r="B120" s="508"/>
      <c r="C120" s="508"/>
      <c r="D120" s="508"/>
      <c r="E120" s="508"/>
      <c r="F120" s="426"/>
      <c r="G120" s="426"/>
      <c r="H120" s="426"/>
      <c r="I120" s="426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</row>
    <row r="121" ht="13.5" customHeight="1">
      <c r="A121" s="426"/>
      <c r="B121" s="508"/>
      <c r="C121" s="508"/>
      <c r="D121" s="508"/>
      <c r="E121" s="508"/>
      <c r="F121" s="426"/>
      <c r="G121" s="426"/>
      <c r="H121" s="426"/>
      <c r="I121" s="426"/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  <c r="Z121" s="508"/>
    </row>
    <row r="122" ht="13.5" customHeight="1">
      <c r="A122" s="426"/>
      <c r="B122" s="508"/>
      <c r="C122" s="508"/>
      <c r="D122" s="508"/>
      <c r="E122" s="508"/>
      <c r="F122" s="426"/>
      <c r="G122" s="426"/>
      <c r="H122" s="426"/>
      <c r="I122" s="426"/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  <c r="Z122" s="508"/>
    </row>
    <row r="123" ht="13.5" customHeight="1">
      <c r="A123" s="426"/>
      <c r="B123" s="508"/>
      <c r="C123" s="508"/>
      <c r="D123" s="508"/>
      <c r="E123" s="508"/>
      <c r="F123" s="426"/>
      <c r="G123" s="426"/>
      <c r="H123" s="426"/>
      <c r="I123" s="426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  <c r="Z123" s="508"/>
    </row>
    <row r="124" ht="13.5" customHeight="1">
      <c r="A124" s="426"/>
      <c r="B124" s="508"/>
      <c r="C124" s="508"/>
      <c r="D124" s="508"/>
      <c r="E124" s="508"/>
      <c r="F124" s="426"/>
      <c r="G124" s="426"/>
      <c r="H124" s="426"/>
      <c r="I124" s="426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508"/>
      <c r="Y124" s="508"/>
      <c r="Z124" s="508"/>
    </row>
    <row r="125" ht="13.5" customHeight="1">
      <c r="A125" s="426"/>
      <c r="B125" s="508"/>
      <c r="C125" s="508"/>
      <c r="D125" s="508"/>
      <c r="E125" s="508"/>
      <c r="F125" s="426"/>
      <c r="G125" s="426"/>
      <c r="H125" s="426"/>
      <c r="I125" s="426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  <c r="Z125" s="508"/>
    </row>
    <row r="126" ht="13.5" customHeight="1">
      <c r="A126" s="426"/>
      <c r="B126" s="508"/>
      <c r="C126" s="508"/>
      <c r="D126" s="508"/>
      <c r="E126" s="508"/>
      <c r="F126" s="426"/>
      <c r="G126" s="426"/>
      <c r="H126" s="426"/>
      <c r="I126" s="426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508"/>
      <c r="Y126" s="508"/>
      <c r="Z126" s="508"/>
    </row>
    <row r="127" ht="13.5" customHeight="1">
      <c r="A127" s="426"/>
      <c r="B127" s="508"/>
      <c r="C127" s="508"/>
      <c r="D127" s="508"/>
      <c r="E127" s="508"/>
      <c r="F127" s="426"/>
      <c r="G127" s="426"/>
      <c r="H127" s="426"/>
      <c r="I127" s="426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508"/>
      <c r="Y127" s="508"/>
      <c r="Z127" s="508"/>
    </row>
    <row r="128" ht="13.5" customHeight="1">
      <c r="A128" s="426"/>
      <c r="B128" s="508"/>
      <c r="C128" s="508"/>
      <c r="D128" s="508"/>
      <c r="E128" s="508"/>
      <c r="F128" s="426"/>
      <c r="G128" s="426"/>
      <c r="H128" s="426"/>
      <c r="I128" s="426"/>
      <c r="J128" s="508"/>
      <c r="K128" s="508"/>
      <c r="L128" s="508"/>
      <c r="M128" s="508"/>
      <c r="N128" s="508"/>
      <c r="O128" s="508"/>
      <c r="P128" s="508"/>
      <c r="Q128" s="508"/>
      <c r="R128" s="508"/>
      <c r="S128" s="508"/>
      <c r="T128" s="508"/>
      <c r="U128" s="508"/>
      <c r="V128" s="508"/>
      <c r="W128" s="508"/>
      <c r="X128" s="508"/>
      <c r="Y128" s="508"/>
      <c r="Z128" s="508"/>
    </row>
    <row r="129" ht="13.5" customHeight="1">
      <c r="A129" s="426"/>
      <c r="B129" s="508"/>
      <c r="C129" s="508"/>
      <c r="D129" s="508"/>
      <c r="E129" s="508"/>
      <c r="F129" s="426"/>
      <c r="G129" s="426"/>
      <c r="H129" s="426"/>
      <c r="I129" s="426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508"/>
      <c r="Y129" s="508"/>
      <c r="Z129" s="508"/>
    </row>
    <row r="130" ht="13.5" customHeight="1">
      <c r="A130" s="426"/>
      <c r="B130" s="508"/>
      <c r="C130" s="508"/>
      <c r="D130" s="508"/>
      <c r="E130" s="508"/>
      <c r="F130" s="426"/>
      <c r="G130" s="426"/>
      <c r="H130" s="426"/>
      <c r="I130" s="426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508"/>
      <c r="Y130" s="508"/>
      <c r="Z130" s="508"/>
    </row>
    <row r="131" ht="13.5" customHeight="1">
      <c r="A131" s="426"/>
      <c r="B131" s="508"/>
      <c r="C131" s="508"/>
      <c r="D131" s="508"/>
      <c r="E131" s="508"/>
      <c r="F131" s="426"/>
      <c r="G131" s="426"/>
      <c r="H131" s="426"/>
      <c r="I131" s="426"/>
      <c r="J131" s="508"/>
      <c r="K131" s="508"/>
      <c r="L131" s="508"/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508"/>
      <c r="Y131" s="508"/>
      <c r="Z131" s="508"/>
    </row>
    <row r="132" ht="13.5" customHeight="1">
      <c r="A132" s="426"/>
      <c r="B132" s="508"/>
      <c r="C132" s="508"/>
      <c r="D132" s="508"/>
      <c r="E132" s="508"/>
      <c r="F132" s="426"/>
      <c r="G132" s="426"/>
      <c r="H132" s="426"/>
      <c r="I132" s="426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</row>
    <row r="133" ht="13.5" customHeight="1">
      <c r="A133" s="426"/>
      <c r="B133" s="508"/>
      <c r="C133" s="508"/>
      <c r="D133" s="508"/>
      <c r="E133" s="508"/>
      <c r="F133" s="426"/>
      <c r="G133" s="426"/>
      <c r="H133" s="426"/>
      <c r="I133" s="426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508"/>
      <c r="Y133" s="508"/>
      <c r="Z133" s="508"/>
    </row>
    <row r="134" ht="13.5" customHeight="1">
      <c r="A134" s="426"/>
      <c r="B134" s="508"/>
      <c r="C134" s="508"/>
      <c r="D134" s="508"/>
      <c r="E134" s="508"/>
      <c r="F134" s="426"/>
      <c r="G134" s="426"/>
      <c r="H134" s="426"/>
      <c r="I134" s="426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  <c r="Z134" s="508"/>
    </row>
    <row r="135" ht="13.5" customHeight="1">
      <c r="A135" s="426"/>
      <c r="B135" s="508"/>
      <c r="C135" s="508"/>
      <c r="D135" s="508"/>
      <c r="E135" s="508"/>
      <c r="F135" s="426"/>
      <c r="G135" s="426"/>
      <c r="H135" s="426"/>
      <c r="I135" s="426"/>
      <c r="J135" s="508"/>
      <c r="K135" s="508"/>
      <c r="L135" s="508"/>
      <c r="M135" s="508"/>
      <c r="N135" s="508"/>
      <c r="O135" s="508"/>
      <c r="P135" s="508"/>
      <c r="Q135" s="508"/>
      <c r="R135" s="508"/>
      <c r="S135" s="508"/>
      <c r="T135" s="508"/>
      <c r="U135" s="508"/>
      <c r="V135" s="508"/>
      <c r="W135" s="508"/>
      <c r="X135" s="508"/>
      <c r="Y135" s="508"/>
      <c r="Z135" s="508"/>
    </row>
    <row r="136" ht="13.5" customHeight="1">
      <c r="A136" s="426"/>
      <c r="B136" s="508"/>
      <c r="C136" s="508"/>
      <c r="D136" s="508"/>
      <c r="E136" s="508"/>
      <c r="F136" s="426"/>
      <c r="G136" s="426"/>
      <c r="H136" s="426"/>
      <c r="I136" s="426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508"/>
      <c r="Y136" s="508"/>
      <c r="Z136" s="508"/>
    </row>
    <row r="137" ht="13.5" customHeight="1">
      <c r="A137" s="426"/>
      <c r="B137" s="508"/>
      <c r="C137" s="508"/>
      <c r="D137" s="508"/>
      <c r="E137" s="508"/>
      <c r="F137" s="426"/>
      <c r="G137" s="426"/>
      <c r="H137" s="426"/>
      <c r="I137" s="426"/>
      <c r="J137" s="508"/>
      <c r="K137" s="508"/>
      <c r="L137" s="508"/>
      <c r="M137" s="508"/>
      <c r="N137" s="508"/>
      <c r="O137" s="508"/>
      <c r="P137" s="508"/>
      <c r="Q137" s="508"/>
      <c r="R137" s="508"/>
      <c r="S137" s="508"/>
      <c r="T137" s="508"/>
      <c r="U137" s="508"/>
      <c r="V137" s="508"/>
      <c r="W137" s="508"/>
      <c r="X137" s="508"/>
      <c r="Y137" s="508"/>
      <c r="Z137" s="508"/>
    </row>
    <row r="138" ht="13.5" customHeight="1">
      <c r="A138" s="426"/>
      <c r="B138" s="508"/>
      <c r="C138" s="508"/>
      <c r="D138" s="508"/>
      <c r="E138" s="508"/>
      <c r="F138" s="426"/>
      <c r="G138" s="426"/>
      <c r="H138" s="426"/>
      <c r="I138" s="426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  <c r="Z138" s="508"/>
    </row>
    <row r="139" ht="13.5" customHeight="1">
      <c r="A139" s="426"/>
      <c r="B139" s="508"/>
      <c r="C139" s="508"/>
      <c r="D139" s="508"/>
      <c r="E139" s="508"/>
      <c r="F139" s="426"/>
      <c r="G139" s="426"/>
      <c r="H139" s="426"/>
      <c r="I139" s="426"/>
      <c r="J139" s="508"/>
      <c r="K139" s="508"/>
      <c r="L139" s="508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Y139" s="508"/>
      <c r="Z139" s="508"/>
    </row>
    <row r="140" ht="13.5" customHeight="1">
      <c r="A140" s="426"/>
      <c r="B140" s="508"/>
      <c r="C140" s="508"/>
      <c r="D140" s="508"/>
      <c r="E140" s="508"/>
      <c r="F140" s="426"/>
      <c r="G140" s="426"/>
      <c r="H140" s="426"/>
      <c r="I140" s="426"/>
      <c r="J140" s="508"/>
      <c r="K140" s="508"/>
      <c r="L140" s="508"/>
      <c r="M140" s="508"/>
      <c r="N140" s="508"/>
      <c r="O140" s="508"/>
      <c r="P140" s="508"/>
      <c r="Q140" s="508"/>
      <c r="R140" s="508"/>
      <c r="S140" s="508"/>
      <c r="T140" s="508"/>
      <c r="U140" s="508"/>
      <c r="V140" s="508"/>
      <c r="W140" s="508"/>
      <c r="X140" s="508"/>
      <c r="Y140" s="508"/>
      <c r="Z140" s="508"/>
    </row>
    <row r="141" ht="13.5" customHeight="1">
      <c r="A141" s="426"/>
      <c r="B141" s="508"/>
      <c r="C141" s="508"/>
      <c r="D141" s="508"/>
      <c r="E141" s="508"/>
      <c r="F141" s="426"/>
      <c r="G141" s="426"/>
      <c r="H141" s="426"/>
      <c r="I141" s="426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  <c r="Z141" s="508"/>
    </row>
    <row r="142" ht="13.5" customHeight="1">
      <c r="A142" s="426"/>
      <c r="B142" s="508"/>
      <c r="C142" s="508"/>
      <c r="D142" s="508"/>
      <c r="E142" s="508"/>
      <c r="F142" s="426"/>
      <c r="G142" s="426"/>
      <c r="H142" s="426"/>
      <c r="I142" s="426"/>
      <c r="J142" s="508"/>
      <c r="K142" s="508"/>
      <c r="L142" s="508"/>
      <c r="M142" s="508"/>
      <c r="N142" s="508"/>
      <c r="O142" s="508"/>
      <c r="P142" s="508"/>
      <c r="Q142" s="508"/>
      <c r="R142" s="508"/>
      <c r="S142" s="508"/>
      <c r="T142" s="508"/>
      <c r="U142" s="508"/>
      <c r="V142" s="508"/>
      <c r="W142" s="508"/>
      <c r="X142" s="508"/>
      <c r="Y142" s="508"/>
      <c r="Z142" s="508"/>
    </row>
    <row r="143" ht="13.5" customHeight="1">
      <c r="A143" s="426"/>
      <c r="B143" s="508"/>
      <c r="C143" s="508"/>
      <c r="D143" s="508"/>
      <c r="E143" s="508"/>
      <c r="F143" s="426"/>
      <c r="G143" s="426"/>
      <c r="H143" s="426"/>
      <c r="I143" s="426"/>
      <c r="J143" s="508"/>
      <c r="K143" s="508"/>
      <c r="L143" s="508"/>
      <c r="M143" s="508"/>
      <c r="N143" s="508"/>
      <c r="O143" s="508"/>
      <c r="P143" s="508"/>
      <c r="Q143" s="508"/>
      <c r="R143" s="508"/>
      <c r="S143" s="508"/>
      <c r="T143" s="508"/>
      <c r="U143" s="508"/>
      <c r="V143" s="508"/>
      <c r="W143" s="508"/>
      <c r="X143" s="508"/>
      <c r="Y143" s="508"/>
      <c r="Z143" s="508"/>
    </row>
    <row r="144" ht="13.5" customHeight="1">
      <c r="A144" s="426"/>
      <c r="B144" s="508"/>
      <c r="C144" s="508"/>
      <c r="D144" s="508"/>
      <c r="E144" s="508"/>
      <c r="F144" s="426"/>
      <c r="G144" s="426"/>
      <c r="H144" s="426"/>
      <c r="I144" s="426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508"/>
      <c r="Y144" s="508"/>
      <c r="Z144" s="508"/>
    </row>
    <row r="145" ht="13.5" customHeight="1">
      <c r="A145" s="426"/>
      <c r="B145" s="508"/>
      <c r="C145" s="508"/>
      <c r="D145" s="508"/>
      <c r="E145" s="508"/>
      <c r="F145" s="426"/>
      <c r="G145" s="426"/>
      <c r="H145" s="426"/>
      <c r="I145" s="426"/>
      <c r="J145" s="508"/>
      <c r="K145" s="508"/>
      <c r="L145" s="508"/>
      <c r="M145" s="508"/>
      <c r="N145" s="508"/>
      <c r="O145" s="508"/>
      <c r="P145" s="508"/>
      <c r="Q145" s="508"/>
      <c r="R145" s="508"/>
      <c r="S145" s="508"/>
      <c r="T145" s="508"/>
      <c r="U145" s="508"/>
      <c r="V145" s="508"/>
      <c r="W145" s="508"/>
      <c r="X145" s="508"/>
      <c r="Y145" s="508"/>
      <c r="Z145" s="508"/>
    </row>
    <row r="146" ht="13.5" customHeight="1">
      <c r="A146" s="426"/>
      <c r="B146" s="508"/>
      <c r="C146" s="508"/>
      <c r="D146" s="508"/>
      <c r="E146" s="508"/>
      <c r="F146" s="426"/>
      <c r="G146" s="426"/>
      <c r="H146" s="426"/>
      <c r="I146" s="426"/>
      <c r="J146" s="508"/>
      <c r="K146" s="508"/>
      <c r="L146" s="508"/>
      <c r="M146" s="508"/>
      <c r="N146" s="508"/>
      <c r="O146" s="508"/>
      <c r="P146" s="508"/>
      <c r="Q146" s="508"/>
      <c r="R146" s="508"/>
      <c r="S146" s="508"/>
      <c r="T146" s="508"/>
      <c r="U146" s="508"/>
      <c r="V146" s="508"/>
      <c r="W146" s="508"/>
      <c r="X146" s="508"/>
      <c r="Y146" s="508"/>
      <c r="Z146" s="508"/>
    </row>
    <row r="147" ht="13.5" customHeight="1">
      <c r="A147" s="426"/>
      <c r="B147" s="508"/>
      <c r="C147" s="508"/>
      <c r="D147" s="508"/>
      <c r="E147" s="508"/>
      <c r="F147" s="426"/>
      <c r="G147" s="426"/>
      <c r="H147" s="426"/>
      <c r="I147" s="426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508"/>
      <c r="Y147" s="508"/>
      <c r="Z147" s="508"/>
    </row>
    <row r="148" ht="13.5" customHeight="1">
      <c r="A148" s="426"/>
      <c r="B148" s="508"/>
      <c r="C148" s="508"/>
      <c r="D148" s="508"/>
      <c r="E148" s="508"/>
      <c r="F148" s="426"/>
      <c r="G148" s="426"/>
      <c r="H148" s="426"/>
      <c r="I148" s="426"/>
      <c r="J148" s="508"/>
      <c r="K148" s="508"/>
      <c r="L148" s="508"/>
      <c r="M148" s="508"/>
      <c r="N148" s="508"/>
      <c r="O148" s="508"/>
      <c r="P148" s="508"/>
      <c r="Q148" s="508"/>
      <c r="R148" s="508"/>
      <c r="S148" s="508"/>
      <c r="T148" s="508"/>
      <c r="U148" s="508"/>
      <c r="V148" s="508"/>
      <c r="W148" s="508"/>
      <c r="X148" s="508"/>
      <c r="Y148" s="508"/>
      <c r="Z148" s="508"/>
    </row>
    <row r="149" ht="13.5" customHeight="1">
      <c r="A149" s="426"/>
      <c r="B149" s="508"/>
      <c r="C149" s="508"/>
      <c r="D149" s="508"/>
      <c r="E149" s="508"/>
      <c r="F149" s="426"/>
      <c r="G149" s="426"/>
      <c r="H149" s="426"/>
      <c r="I149" s="426"/>
      <c r="J149" s="508"/>
      <c r="K149" s="508"/>
      <c r="L149" s="508"/>
      <c r="M149" s="508"/>
      <c r="N149" s="508"/>
      <c r="O149" s="508"/>
      <c r="P149" s="508"/>
      <c r="Q149" s="508"/>
      <c r="R149" s="508"/>
      <c r="S149" s="508"/>
      <c r="T149" s="508"/>
      <c r="U149" s="508"/>
      <c r="V149" s="508"/>
      <c r="W149" s="508"/>
      <c r="X149" s="508"/>
      <c r="Y149" s="508"/>
      <c r="Z149" s="508"/>
    </row>
    <row r="150" ht="13.5" customHeight="1">
      <c r="A150" s="426"/>
      <c r="B150" s="508"/>
      <c r="C150" s="508"/>
      <c r="D150" s="508"/>
      <c r="E150" s="508"/>
      <c r="F150" s="426"/>
      <c r="G150" s="426"/>
      <c r="H150" s="426"/>
      <c r="I150" s="426"/>
      <c r="J150" s="508"/>
      <c r="K150" s="508"/>
      <c r="L150" s="508"/>
      <c r="M150" s="508"/>
      <c r="N150" s="508"/>
      <c r="O150" s="508"/>
      <c r="P150" s="508"/>
      <c r="Q150" s="508"/>
      <c r="R150" s="508"/>
      <c r="S150" s="508"/>
      <c r="T150" s="508"/>
      <c r="U150" s="508"/>
      <c r="V150" s="508"/>
      <c r="W150" s="508"/>
      <c r="X150" s="508"/>
      <c r="Y150" s="508"/>
      <c r="Z150" s="508"/>
    </row>
    <row r="151" ht="13.5" customHeight="1">
      <c r="A151" s="426"/>
      <c r="B151" s="508"/>
      <c r="C151" s="508"/>
      <c r="D151" s="508"/>
      <c r="E151" s="508"/>
      <c r="F151" s="426"/>
      <c r="G151" s="426"/>
      <c r="H151" s="426"/>
      <c r="I151" s="426"/>
      <c r="J151" s="508"/>
      <c r="K151" s="508"/>
      <c r="L151" s="508"/>
      <c r="M151" s="508"/>
      <c r="N151" s="508"/>
      <c r="O151" s="508"/>
      <c r="P151" s="508"/>
      <c r="Q151" s="508"/>
      <c r="R151" s="508"/>
      <c r="S151" s="508"/>
      <c r="T151" s="508"/>
      <c r="U151" s="508"/>
      <c r="V151" s="508"/>
      <c r="W151" s="508"/>
      <c r="X151" s="508"/>
      <c r="Y151" s="508"/>
      <c r="Z151" s="508"/>
    </row>
    <row r="152" ht="13.5" customHeight="1">
      <c r="A152" s="426"/>
      <c r="B152" s="508"/>
      <c r="C152" s="508"/>
      <c r="D152" s="508"/>
      <c r="E152" s="508"/>
      <c r="F152" s="426"/>
      <c r="G152" s="426"/>
      <c r="H152" s="426"/>
      <c r="I152" s="426"/>
      <c r="J152" s="508"/>
      <c r="K152" s="508"/>
      <c r="L152" s="508"/>
      <c r="M152" s="508"/>
      <c r="N152" s="508"/>
      <c r="O152" s="508"/>
      <c r="P152" s="508"/>
      <c r="Q152" s="508"/>
      <c r="R152" s="508"/>
      <c r="S152" s="508"/>
      <c r="T152" s="508"/>
      <c r="U152" s="508"/>
      <c r="V152" s="508"/>
      <c r="W152" s="508"/>
      <c r="X152" s="508"/>
      <c r="Y152" s="508"/>
      <c r="Z152" s="508"/>
    </row>
    <row r="153" ht="13.5" customHeight="1">
      <c r="A153" s="426"/>
      <c r="B153" s="508"/>
      <c r="C153" s="508"/>
      <c r="D153" s="508"/>
      <c r="E153" s="508"/>
      <c r="F153" s="426"/>
      <c r="G153" s="426"/>
      <c r="H153" s="426"/>
      <c r="I153" s="426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508"/>
      <c r="Y153" s="508"/>
      <c r="Z153" s="508"/>
    </row>
    <row r="154" ht="13.5" customHeight="1">
      <c r="A154" s="426"/>
      <c r="B154" s="508"/>
      <c r="C154" s="508"/>
      <c r="D154" s="508"/>
      <c r="E154" s="508"/>
      <c r="F154" s="426"/>
      <c r="G154" s="426"/>
      <c r="H154" s="426"/>
      <c r="I154" s="426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508"/>
      <c r="Y154" s="508"/>
      <c r="Z154" s="508"/>
    </row>
    <row r="155" ht="13.5" customHeight="1">
      <c r="A155" s="426"/>
      <c r="B155" s="508"/>
      <c r="C155" s="508"/>
      <c r="D155" s="508"/>
      <c r="E155" s="508"/>
      <c r="F155" s="426"/>
      <c r="G155" s="426"/>
      <c r="H155" s="426"/>
      <c r="I155" s="426"/>
      <c r="J155" s="508"/>
      <c r="K155" s="508"/>
      <c r="L155" s="508"/>
      <c r="M155" s="508"/>
      <c r="N155" s="508"/>
      <c r="O155" s="508"/>
      <c r="P155" s="508"/>
      <c r="Q155" s="508"/>
      <c r="R155" s="508"/>
      <c r="S155" s="508"/>
      <c r="T155" s="508"/>
      <c r="U155" s="508"/>
      <c r="V155" s="508"/>
      <c r="W155" s="508"/>
      <c r="X155" s="508"/>
      <c r="Y155" s="508"/>
      <c r="Z155" s="508"/>
    </row>
    <row r="156" ht="13.5" customHeight="1">
      <c r="A156" s="426"/>
      <c r="B156" s="508"/>
      <c r="C156" s="508"/>
      <c r="D156" s="508"/>
      <c r="E156" s="508"/>
      <c r="F156" s="426"/>
      <c r="G156" s="426"/>
      <c r="H156" s="426"/>
      <c r="I156" s="426"/>
      <c r="J156" s="508"/>
      <c r="K156" s="508"/>
      <c r="L156" s="508"/>
      <c r="M156" s="508"/>
      <c r="N156" s="508"/>
      <c r="O156" s="508"/>
      <c r="P156" s="508"/>
      <c r="Q156" s="508"/>
      <c r="R156" s="508"/>
      <c r="S156" s="508"/>
      <c r="T156" s="508"/>
      <c r="U156" s="508"/>
      <c r="V156" s="508"/>
      <c r="W156" s="508"/>
      <c r="X156" s="508"/>
      <c r="Y156" s="508"/>
      <c r="Z156" s="508"/>
    </row>
    <row r="157" ht="13.5" customHeight="1">
      <c r="A157" s="426"/>
      <c r="B157" s="508"/>
      <c r="C157" s="508"/>
      <c r="D157" s="508"/>
      <c r="E157" s="508"/>
      <c r="F157" s="426"/>
      <c r="G157" s="426"/>
      <c r="H157" s="426"/>
      <c r="I157" s="426"/>
      <c r="J157" s="508"/>
      <c r="K157" s="508"/>
      <c r="L157" s="508"/>
      <c r="M157" s="508"/>
      <c r="N157" s="508"/>
      <c r="O157" s="508"/>
      <c r="P157" s="508"/>
      <c r="Q157" s="508"/>
      <c r="R157" s="508"/>
      <c r="S157" s="508"/>
      <c r="T157" s="508"/>
      <c r="U157" s="508"/>
      <c r="V157" s="508"/>
      <c r="W157" s="508"/>
      <c r="X157" s="508"/>
      <c r="Y157" s="508"/>
      <c r="Z157" s="508"/>
    </row>
    <row r="158" ht="13.5" customHeight="1">
      <c r="A158" s="426"/>
      <c r="B158" s="508"/>
      <c r="C158" s="508"/>
      <c r="D158" s="508"/>
      <c r="E158" s="508"/>
      <c r="F158" s="426"/>
      <c r="G158" s="426"/>
      <c r="H158" s="426"/>
      <c r="I158" s="426"/>
      <c r="J158" s="508"/>
      <c r="K158" s="508"/>
      <c r="L158" s="508"/>
      <c r="M158" s="508"/>
      <c r="N158" s="508"/>
      <c r="O158" s="508"/>
      <c r="P158" s="508"/>
      <c r="Q158" s="508"/>
      <c r="R158" s="508"/>
      <c r="S158" s="508"/>
      <c r="T158" s="508"/>
      <c r="U158" s="508"/>
      <c r="V158" s="508"/>
      <c r="W158" s="508"/>
      <c r="X158" s="508"/>
      <c r="Y158" s="508"/>
      <c r="Z158" s="508"/>
    </row>
    <row r="159" ht="13.5" customHeight="1">
      <c r="A159" s="426"/>
      <c r="B159" s="508"/>
      <c r="C159" s="508"/>
      <c r="D159" s="508"/>
      <c r="E159" s="508"/>
      <c r="F159" s="426"/>
      <c r="G159" s="426"/>
      <c r="H159" s="426"/>
      <c r="I159" s="426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508"/>
      <c r="Y159" s="508"/>
      <c r="Z159" s="508"/>
    </row>
    <row r="160" ht="13.5" customHeight="1">
      <c r="A160" s="426"/>
      <c r="B160" s="508"/>
      <c r="C160" s="508"/>
      <c r="D160" s="508"/>
      <c r="E160" s="508"/>
      <c r="F160" s="426"/>
      <c r="G160" s="426"/>
      <c r="H160" s="426"/>
      <c r="I160" s="426"/>
      <c r="J160" s="508"/>
      <c r="K160" s="508"/>
      <c r="L160" s="508"/>
      <c r="M160" s="508"/>
      <c r="N160" s="508"/>
      <c r="O160" s="508"/>
      <c r="P160" s="508"/>
      <c r="Q160" s="508"/>
      <c r="R160" s="508"/>
      <c r="S160" s="508"/>
      <c r="T160" s="508"/>
      <c r="U160" s="508"/>
      <c r="V160" s="508"/>
      <c r="W160" s="508"/>
      <c r="X160" s="508"/>
      <c r="Y160" s="508"/>
      <c r="Z160" s="508"/>
    </row>
    <row r="161" ht="13.5" customHeight="1">
      <c r="A161" s="426"/>
      <c r="B161" s="508"/>
      <c r="C161" s="508"/>
      <c r="D161" s="508"/>
      <c r="E161" s="508"/>
      <c r="F161" s="426"/>
      <c r="G161" s="426"/>
      <c r="H161" s="426"/>
      <c r="I161" s="426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508"/>
      <c r="Y161" s="508"/>
      <c r="Z161" s="508"/>
    </row>
    <row r="162" ht="13.5" customHeight="1">
      <c r="A162" s="426"/>
      <c r="B162" s="508"/>
      <c r="C162" s="508"/>
      <c r="D162" s="508"/>
      <c r="E162" s="508"/>
      <c r="F162" s="426"/>
      <c r="G162" s="426"/>
      <c r="H162" s="426"/>
      <c r="I162" s="426"/>
      <c r="J162" s="508"/>
      <c r="K162" s="508"/>
      <c r="L162" s="508"/>
      <c r="M162" s="508"/>
      <c r="N162" s="508"/>
      <c r="O162" s="508"/>
      <c r="P162" s="508"/>
      <c r="Q162" s="508"/>
      <c r="R162" s="508"/>
      <c r="S162" s="508"/>
      <c r="T162" s="508"/>
      <c r="U162" s="508"/>
      <c r="V162" s="508"/>
      <c r="W162" s="508"/>
      <c r="X162" s="508"/>
      <c r="Y162" s="508"/>
      <c r="Z162" s="508"/>
    </row>
    <row r="163" ht="13.5" customHeight="1">
      <c r="A163" s="426"/>
      <c r="B163" s="508"/>
      <c r="C163" s="508"/>
      <c r="D163" s="508"/>
      <c r="E163" s="508"/>
      <c r="F163" s="426"/>
      <c r="G163" s="426"/>
      <c r="H163" s="426"/>
      <c r="I163" s="426"/>
      <c r="J163" s="508"/>
      <c r="K163" s="508"/>
      <c r="L163" s="508"/>
      <c r="M163" s="508"/>
      <c r="N163" s="508"/>
      <c r="O163" s="508"/>
      <c r="P163" s="508"/>
      <c r="Q163" s="508"/>
      <c r="R163" s="508"/>
      <c r="S163" s="508"/>
      <c r="T163" s="508"/>
      <c r="U163" s="508"/>
      <c r="V163" s="508"/>
      <c r="W163" s="508"/>
      <c r="X163" s="508"/>
      <c r="Y163" s="508"/>
      <c r="Z163" s="508"/>
    </row>
    <row r="164" ht="13.5" customHeight="1">
      <c r="A164" s="426"/>
      <c r="B164" s="508"/>
      <c r="C164" s="508"/>
      <c r="D164" s="508"/>
      <c r="E164" s="508"/>
      <c r="F164" s="426"/>
      <c r="G164" s="426"/>
      <c r="H164" s="426"/>
      <c r="I164" s="426"/>
      <c r="J164" s="508"/>
      <c r="K164" s="508"/>
      <c r="L164" s="508"/>
      <c r="M164" s="508"/>
      <c r="N164" s="508"/>
      <c r="O164" s="508"/>
      <c r="P164" s="508"/>
      <c r="Q164" s="508"/>
      <c r="R164" s="508"/>
      <c r="S164" s="508"/>
      <c r="T164" s="508"/>
      <c r="U164" s="508"/>
      <c r="V164" s="508"/>
      <c r="W164" s="508"/>
      <c r="X164" s="508"/>
      <c r="Y164" s="508"/>
      <c r="Z164" s="508"/>
    </row>
    <row r="165" ht="13.5" customHeight="1">
      <c r="A165" s="426"/>
      <c r="B165" s="508"/>
      <c r="C165" s="508"/>
      <c r="D165" s="508"/>
      <c r="E165" s="508"/>
      <c r="F165" s="426"/>
      <c r="G165" s="426"/>
      <c r="H165" s="426"/>
      <c r="I165" s="426"/>
      <c r="J165" s="508"/>
      <c r="K165" s="508"/>
      <c r="L165" s="508"/>
      <c r="M165" s="508"/>
      <c r="N165" s="508"/>
      <c r="O165" s="508"/>
      <c r="P165" s="508"/>
      <c r="Q165" s="508"/>
      <c r="R165" s="508"/>
      <c r="S165" s="508"/>
      <c r="T165" s="508"/>
      <c r="U165" s="508"/>
      <c r="V165" s="508"/>
      <c r="W165" s="508"/>
      <c r="X165" s="508"/>
      <c r="Y165" s="508"/>
      <c r="Z165" s="508"/>
    </row>
    <row r="166" ht="13.5" customHeight="1">
      <c r="A166" s="426"/>
      <c r="B166" s="508"/>
      <c r="C166" s="508"/>
      <c r="D166" s="508"/>
      <c r="E166" s="508"/>
      <c r="F166" s="426"/>
      <c r="G166" s="426"/>
      <c r="H166" s="426"/>
      <c r="I166" s="426"/>
      <c r="J166" s="508"/>
      <c r="K166" s="508"/>
      <c r="L166" s="508"/>
      <c r="M166" s="508"/>
      <c r="N166" s="508"/>
      <c r="O166" s="508"/>
      <c r="P166" s="508"/>
      <c r="Q166" s="508"/>
      <c r="R166" s="508"/>
      <c r="S166" s="508"/>
      <c r="T166" s="508"/>
      <c r="U166" s="508"/>
      <c r="V166" s="508"/>
      <c r="W166" s="508"/>
      <c r="X166" s="508"/>
      <c r="Y166" s="508"/>
      <c r="Z166" s="508"/>
    </row>
    <row r="167" ht="13.5" customHeight="1">
      <c r="A167" s="426"/>
      <c r="B167" s="508"/>
      <c r="C167" s="508"/>
      <c r="D167" s="508"/>
      <c r="E167" s="508"/>
      <c r="F167" s="426"/>
      <c r="G167" s="426"/>
      <c r="H167" s="426"/>
      <c r="I167" s="426"/>
      <c r="J167" s="508"/>
      <c r="K167" s="508"/>
      <c r="L167" s="508"/>
      <c r="M167" s="508"/>
      <c r="N167" s="508"/>
      <c r="O167" s="508"/>
      <c r="P167" s="508"/>
      <c r="Q167" s="508"/>
      <c r="R167" s="508"/>
      <c r="S167" s="508"/>
      <c r="T167" s="508"/>
      <c r="U167" s="508"/>
      <c r="V167" s="508"/>
      <c r="W167" s="508"/>
      <c r="X167" s="508"/>
      <c r="Y167" s="508"/>
      <c r="Z167" s="508"/>
    </row>
    <row r="168" ht="13.5" customHeight="1">
      <c r="A168" s="426"/>
      <c r="B168" s="508"/>
      <c r="C168" s="508"/>
      <c r="D168" s="508"/>
      <c r="E168" s="508"/>
      <c r="F168" s="426"/>
      <c r="G168" s="426"/>
      <c r="H168" s="426"/>
      <c r="I168" s="426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508"/>
      <c r="Y168" s="508"/>
      <c r="Z168" s="508"/>
    </row>
    <row r="169" ht="13.5" customHeight="1">
      <c r="A169" s="426"/>
      <c r="B169" s="508"/>
      <c r="C169" s="508"/>
      <c r="D169" s="508"/>
      <c r="E169" s="508"/>
      <c r="F169" s="426"/>
      <c r="G169" s="426"/>
      <c r="H169" s="426"/>
      <c r="I169" s="426"/>
      <c r="J169" s="508"/>
      <c r="K169" s="508"/>
      <c r="L169" s="508"/>
      <c r="M169" s="508"/>
      <c r="N169" s="508"/>
      <c r="O169" s="508"/>
      <c r="P169" s="508"/>
      <c r="Q169" s="508"/>
      <c r="R169" s="508"/>
      <c r="S169" s="508"/>
      <c r="T169" s="508"/>
      <c r="U169" s="508"/>
      <c r="V169" s="508"/>
      <c r="W169" s="508"/>
      <c r="X169" s="508"/>
      <c r="Y169" s="508"/>
      <c r="Z169" s="508"/>
    </row>
    <row r="170" ht="13.5" customHeight="1">
      <c r="A170" s="426"/>
      <c r="B170" s="508"/>
      <c r="C170" s="508"/>
      <c r="D170" s="508"/>
      <c r="E170" s="508"/>
      <c r="F170" s="426"/>
      <c r="G170" s="426"/>
      <c r="H170" s="426"/>
      <c r="I170" s="426"/>
      <c r="J170" s="508"/>
      <c r="K170" s="508"/>
      <c r="L170" s="508"/>
      <c r="M170" s="508"/>
      <c r="N170" s="508"/>
      <c r="O170" s="508"/>
      <c r="P170" s="508"/>
      <c r="Q170" s="508"/>
      <c r="R170" s="508"/>
      <c r="S170" s="508"/>
      <c r="T170" s="508"/>
      <c r="U170" s="508"/>
      <c r="V170" s="508"/>
      <c r="W170" s="508"/>
      <c r="X170" s="508"/>
      <c r="Y170" s="508"/>
      <c r="Z170" s="508"/>
    </row>
    <row r="171" ht="13.5" customHeight="1">
      <c r="A171" s="426"/>
      <c r="B171" s="508"/>
      <c r="C171" s="508"/>
      <c r="D171" s="508"/>
      <c r="E171" s="508"/>
      <c r="F171" s="426"/>
      <c r="G171" s="426"/>
      <c r="H171" s="426"/>
      <c r="I171" s="426"/>
      <c r="J171" s="508"/>
      <c r="K171" s="508"/>
      <c r="L171" s="508"/>
      <c r="M171" s="508"/>
      <c r="N171" s="508"/>
      <c r="O171" s="508"/>
      <c r="P171" s="508"/>
      <c r="Q171" s="508"/>
      <c r="R171" s="508"/>
      <c r="S171" s="508"/>
      <c r="T171" s="508"/>
      <c r="U171" s="508"/>
      <c r="V171" s="508"/>
      <c r="W171" s="508"/>
      <c r="X171" s="508"/>
      <c r="Y171" s="508"/>
      <c r="Z171" s="508"/>
    </row>
    <row r="172" ht="13.5" customHeight="1">
      <c r="A172" s="426"/>
      <c r="B172" s="508"/>
      <c r="C172" s="508"/>
      <c r="D172" s="508"/>
      <c r="E172" s="508"/>
      <c r="F172" s="426"/>
      <c r="G172" s="426"/>
      <c r="H172" s="426"/>
      <c r="I172" s="426"/>
      <c r="J172" s="508"/>
      <c r="K172" s="508"/>
      <c r="L172" s="508"/>
      <c r="M172" s="508"/>
      <c r="N172" s="508"/>
      <c r="O172" s="508"/>
      <c r="P172" s="508"/>
      <c r="Q172" s="508"/>
      <c r="R172" s="508"/>
      <c r="S172" s="508"/>
      <c r="T172" s="508"/>
      <c r="U172" s="508"/>
      <c r="V172" s="508"/>
      <c r="W172" s="508"/>
      <c r="X172" s="508"/>
      <c r="Y172" s="508"/>
      <c r="Z172" s="508"/>
    </row>
    <row r="173" ht="13.5" customHeight="1">
      <c r="A173" s="426"/>
      <c r="B173" s="508"/>
      <c r="C173" s="508"/>
      <c r="D173" s="508"/>
      <c r="E173" s="508"/>
      <c r="F173" s="426"/>
      <c r="G173" s="426"/>
      <c r="H173" s="426"/>
      <c r="I173" s="426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  <c r="W173" s="508"/>
      <c r="X173" s="508"/>
      <c r="Y173" s="508"/>
      <c r="Z173" s="508"/>
    </row>
    <row r="174" ht="13.5" customHeight="1">
      <c r="A174" s="426"/>
      <c r="B174" s="508"/>
      <c r="C174" s="508"/>
      <c r="D174" s="508"/>
      <c r="E174" s="508"/>
      <c r="F174" s="426"/>
      <c r="G174" s="426"/>
      <c r="H174" s="426"/>
      <c r="I174" s="426"/>
      <c r="J174" s="508"/>
      <c r="K174" s="508"/>
      <c r="L174" s="508"/>
      <c r="M174" s="508"/>
      <c r="N174" s="508"/>
      <c r="O174" s="508"/>
      <c r="P174" s="508"/>
      <c r="Q174" s="508"/>
      <c r="R174" s="508"/>
      <c r="S174" s="508"/>
      <c r="T174" s="508"/>
      <c r="U174" s="508"/>
      <c r="V174" s="508"/>
      <c r="W174" s="508"/>
      <c r="X174" s="508"/>
      <c r="Y174" s="508"/>
      <c r="Z174" s="508"/>
    </row>
    <row r="175" ht="13.5" customHeight="1">
      <c r="A175" s="426"/>
      <c r="B175" s="508"/>
      <c r="C175" s="508"/>
      <c r="D175" s="508"/>
      <c r="E175" s="508"/>
      <c r="F175" s="426"/>
      <c r="G175" s="426"/>
      <c r="H175" s="426"/>
      <c r="I175" s="426"/>
      <c r="J175" s="508"/>
      <c r="K175" s="508"/>
      <c r="L175" s="508"/>
      <c r="M175" s="508"/>
      <c r="N175" s="508"/>
      <c r="O175" s="508"/>
      <c r="P175" s="508"/>
      <c r="Q175" s="508"/>
      <c r="R175" s="508"/>
      <c r="S175" s="508"/>
      <c r="T175" s="508"/>
      <c r="U175" s="508"/>
      <c r="V175" s="508"/>
      <c r="W175" s="508"/>
      <c r="X175" s="508"/>
      <c r="Y175" s="508"/>
      <c r="Z175" s="508"/>
    </row>
    <row r="176" ht="13.5" customHeight="1">
      <c r="A176" s="426"/>
      <c r="B176" s="508"/>
      <c r="C176" s="508"/>
      <c r="D176" s="508"/>
      <c r="E176" s="508"/>
      <c r="F176" s="426"/>
      <c r="G176" s="426"/>
      <c r="H176" s="426"/>
      <c r="I176" s="426"/>
      <c r="J176" s="508"/>
      <c r="K176" s="508"/>
      <c r="L176" s="508"/>
      <c r="M176" s="508"/>
      <c r="N176" s="508"/>
      <c r="O176" s="508"/>
      <c r="P176" s="508"/>
      <c r="Q176" s="508"/>
      <c r="R176" s="508"/>
      <c r="S176" s="508"/>
      <c r="T176" s="508"/>
      <c r="U176" s="508"/>
      <c r="V176" s="508"/>
      <c r="W176" s="508"/>
      <c r="X176" s="508"/>
      <c r="Y176" s="508"/>
      <c r="Z176" s="508"/>
    </row>
    <row r="177" ht="13.5" customHeight="1">
      <c r="A177" s="426"/>
      <c r="B177" s="508"/>
      <c r="C177" s="508"/>
      <c r="D177" s="508"/>
      <c r="E177" s="508"/>
      <c r="F177" s="426"/>
      <c r="G177" s="426"/>
      <c r="H177" s="426"/>
      <c r="I177" s="426"/>
      <c r="J177" s="508"/>
      <c r="K177" s="508"/>
      <c r="L177" s="508"/>
      <c r="M177" s="508"/>
      <c r="N177" s="508"/>
      <c r="O177" s="508"/>
      <c r="P177" s="508"/>
      <c r="Q177" s="508"/>
      <c r="R177" s="508"/>
      <c r="S177" s="508"/>
      <c r="T177" s="508"/>
      <c r="U177" s="508"/>
      <c r="V177" s="508"/>
      <c r="W177" s="508"/>
      <c r="X177" s="508"/>
      <c r="Y177" s="508"/>
      <c r="Z177" s="508"/>
    </row>
    <row r="178" ht="13.5" customHeight="1">
      <c r="A178" s="426"/>
      <c r="B178" s="508"/>
      <c r="C178" s="508"/>
      <c r="D178" s="508"/>
      <c r="E178" s="508"/>
      <c r="F178" s="426"/>
      <c r="G178" s="426"/>
      <c r="H178" s="426"/>
      <c r="I178" s="426"/>
      <c r="J178" s="508"/>
      <c r="K178" s="508"/>
      <c r="L178" s="508"/>
      <c r="M178" s="508"/>
      <c r="N178" s="508"/>
      <c r="O178" s="508"/>
      <c r="P178" s="508"/>
      <c r="Q178" s="508"/>
      <c r="R178" s="508"/>
      <c r="S178" s="508"/>
      <c r="T178" s="508"/>
      <c r="U178" s="508"/>
      <c r="V178" s="508"/>
      <c r="W178" s="508"/>
      <c r="X178" s="508"/>
      <c r="Y178" s="508"/>
      <c r="Z178" s="508"/>
    </row>
    <row r="179" ht="13.5" customHeight="1">
      <c r="A179" s="426"/>
      <c r="B179" s="508"/>
      <c r="C179" s="508"/>
      <c r="D179" s="508"/>
      <c r="E179" s="508"/>
      <c r="F179" s="426"/>
      <c r="G179" s="426"/>
      <c r="H179" s="426"/>
      <c r="I179" s="426"/>
      <c r="J179" s="508"/>
      <c r="K179" s="508"/>
      <c r="L179" s="508"/>
      <c r="M179" s="508"/>
      <c r="N179" s="508"/>
      <c r="O179" s="508"/>
      <c r="P179" s="508"/>
      <c r="Q179" s="508"/>
      <c r="R179" s="508"/>
      <c r="S179" s="508"/>
      <c r="T179" s="508"/>
      <c r="U179" s="508"/>
      <c r="V179" s="508"/>
      <c r="W179" s="508"/>
      <c r="X179" s="508"/>
      <c r="Y179" s="508"/>
      <c r="Z179" s="508"/>
    </row>
    <row r="180" ht="13.5" customHeight="1">
      <c r="A180" s="426"/>
      <c r="B180" s="508"/>
      <c r="C180" s="508"/>
      <c r="D180" s="508"/>
      <c r="E180" s="508"/>
      <c r="F180" s="426"/>
      <c r="G180" s="426"/>
      <c r="H180" s="426"/>
      <c r="I180" s="426"/>
      <c r="J180" s="508"/>
      <c r="K180" s="508"/>
      <c r="L180" s="508"/>
      <c r="M180" s="508"/>
      <c r="N180" s="508"/>
      <c r="O180" s="508"/>
      <c r="P180" s="508"/>
      <c r="Q180" s="508"/>
      <c r="R180" s="508"/>
      <c r="S180" s="508"/>
      <c r="T180" s="508"/>
      <c r="U180" s="508"/>
      <c r="V180" s="508"/>
      <c r="W180" s="508"/>
      <c r="X180" s="508"/>
      <c r="Y180" s="508"/>
      <c r="Z180" s="508"/>
    </row>
    <row r="181" ht="13.5" customHeight="1">
      <c r="A181" s="426"/>
      <c r="B181" s="508"/>
      <c r="C181" s="508"/>
      <c r="D181" s="508"/>
      <c r="E181" s="508"/>
      <c r="F181" s="426"/>
      <c r="G181" s="426"/>
      <c r="H181" s="426"/>
      <c r="I181" s="426"/>
      <c r="J181" s="508"/>
      <c r="K181" s="508"/>
      <c r="L181" s="508"/>
      <c r="M181" s="508"/>
      <c r="N181" s="508"/>
      <c r="O181" s="508"/>
      <c r="P181" s="508"/>
      <c r="Q181" s="508"/>
      <c r="R181" s="508"/>
      <c r="S181" s="508"/>
      <c r="T181" s="508"/>
      <c r="U181" s="508"/>
      <c r="V181" s="508"/>
      <c r="W181" s="508"/>
      <c r="X181" s="508"/>
      <c r="Y181" s="508"/>
      <c r="Z181" s="508"/>
    </row>
    <row r="182" ht="13.5" customHeight="1">
      <c r="A182" s="426"/>
      <c r="B182" s="508"/>
      <c r="C182" s="508"/>
      <c r="D182" s="508"/>
      <c r="E182" s="508"/>
      <c r="F182" s="426"/>
      <c r="G182" s="426"/>
      <c r="H182" s="426"/>
      <c r="I182" s="426"/>
      <c r="J182" s="508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  <c r="Z182" s="508"/>
    </row>
    <row r="183" ht="13.5" customHeight="1">
      <c r="A183" s="426"/>
      <c r="B183" s="508"/>
      <c r="C183" s="508"/>
      <c r="D183" s="508"/>
      <c r="E183" s="508"/>
      <c r="F183" s="426"/>
      <c r="G183" s="426"/>
      <c r="H183" s="426"/>
      <c r="I183" s="426"/>
      <c r="J183" s="508"/>
      <c r="K183" s="508"/>
      <c r="L183" s="508"/>
      <c r="M183" s="508"/>
      <c r="N183" s="508"/>
      <c r="O183" s="508"/>
      <c r="P183" s="508"/>
      <c r="Q183" s="508"/>
      <c r="R183" s="508"/>
      <c r="S183" s="508"/>
      <c r="T183" s="508"/>
      <c r="U183" s="508"/>
      <c r="V183" s="508"/>
      <c r="W183" s="508"/>
      <c r="X183" s="508"/>
      <c r="Y183" s="508"/>
      <c r="Z183" s="508"/>
    </row>
    <row r="184" ht="13.5" customHeight="1">
      <c r="A184" s="426"/>
      <c r="B184" s="508"/>
      <c r="C184" s="508"/>
      <c r="D184" s="508"/>
      <c r="E184" s="508"/>
      <c r="F184" s="426"/>
      <c r="G184" s="426"/>
      <c r="H184" s="426"/>
      <c r="I184" s="426"/>
      <c r="J184" s="508"/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  <c r="U184" s="508"/>
      <c r="V184" s="508"/>
      <c r="W184" s="508"/>
      <c r="X184" s="508"/>
      <c r="Y184" s="508"/>
      <c r="Z184" s="508"/>
    </row>
    <row r="185" ht="13.5" customHeight="1">
      <c r="A185" s="426"/>
      <c r="B185" s="508"/>
      <c r="C185" s="508"/>
      <c r="D185" s="508"/>
      <c r="E185" s="508"/>
      <c r="F185" s="426"/>
      <c r="G185" s="426"/>
      <c r="H185" s="426"/>
      <c r="I185" s="426"/>
      <c r="J185" s="508"/>
      <c r="K185" s="508"/>
      <c r="L185" s="508"/>
      <c r="M185" s="508"/>
      <c r="N185" s="508"/>
      <c r="O185" s="508"/>
      <c r="P185" s="508"/>
      <c r="Q185" s="508"/>
      <c r="R185" s="508"/>
      <c r="S185" s="508"/>
      <c r="T185" s="508"/>
      <c r="U185" s="508"/>
      <c r="V185" s="508"/>
      <c r="W185" s="508"/>
      <c r="X185" s="508"/>
      <c r="Y185" s="508"/>
      <c r="Z185" s="508"/>
    </row>
    <row r="186" ht="13.5" customHeight="1">
      <c r="A186" s="426"/>
      <c r="B186" s="508"/>
      <c r="C186" s="508"/>
      <c r="D186" s="508"/>
      <c r="E186" s="508"/>
      <c r="F186" s="426"/>
      <c r="G186" s="426"/>
      <c r="H186" s="426"/>
      <c r="I186" s="426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508"/>
      <c r="Y186" s="508"/>
      <c r="Z186" s="508"/>
    </row>
    <row r="187" ht="13.5" customHeight="1">
      <c r="A187" s="426"/>
      <c r="B187" s="508"/>
      <c r="C187" s="508"/>
      <c r="D187" s="508"/>
      <c r="E187" s="508"/>
      <c r="F187" s="426"/>
      <c r="G187" s="426"/>
      <c r="H187" s="426"/>
      <c r="I187" s="426"/>
      <c r="J187" s="508"/>
      <c r="K187" s="508"/>
      <c r="L187" s="508"/>
      <c r="M187" s="508"/>
      <c r="N187" s="508"/>
      <c r="O187" s="508"/>
      <c r="P187" s="508"/>
      <c r="Q187" s="508"/>
      <c r="R187" s="508"/>
      <c r="S187" s="508"/>
      <c r="T187" s="508"/>
      <c r="U187" s="508"/>
      <c r="V187" s="508"/>
      <c r="W187" s="508"/>
      <c r="X187" s="508"/>
      <c r="Y187" s="508"/>
      <c r="Z187" s="508"/>
    </row>
    <row r="188" ht="13.5" customHeight="1">
      <c r="A188" s="426"/>
      <c r="B188" s="508"/>
      <c r="C188" s="508"/>
      <c r="D188" s="508"/>
      <c r="E188" s="508"/>
      <c r="F188" s="426"/>
      <c r="G188" s="426"/>
      <c r="H188" s="426"/>
      <c r="I188" s="426"/>
      <c r="J188" s="508"/>
      <c r="K188" s="508"/>
      <c r="L188" s="508"/>
      <c r="M188" s="508"/>
      <c r="N188" s="508"/>
      <c r="O188" s="508"/>
      <c r="P188" s="508"/>
      <c r="Q188" s="508"/>
      <c r="R188" s="508"/>
      <c r="S188" s="508"/>
      <c r="T188" s="508"/>
      <c r="U188" s="508"/>
      <c r="V188" s="508"/>
      <c r="W188" s="508"/>
      <c r="X188" s="508"/>
      <c r="Y188" s="508"/>
      <c r="Z188" s="508"/>
    </row>
    <row r="189" ht="13.5" customHeight="1">
      <c r="A189" s="426"/>
      <c r="B189" s="508"/>
      <c r="C189" s="508"/>
      <c r="D189" s="508"/>
      <c r="E189" s="508"/>
      <c r="F189" s="426"/>
      <c r="G189" s="426"/>
      <c r="H189" s="426"/>
      <c r="I189" s="426"/>
      <c r="J189" s="508"/>
      <c r="K189" s="508"/>
      <c r="L189" s="508"/>
      <c r="M189" s="508"/>
      <c r="N189" s="508"/>
      <c r="O189" s="508"/>
      <c r="P189" s="508"/>
      <c r="Q189" s="508"/>
      <c r="R189" s="508"/>
      <c r="S189" s="508"/>
      <c r="T189" s="508"/>
      <c r="U189" s="508"/>
      <c r="V189" s="508"/>
      <c r="W189" s="508"/>
      <c r="X189" s="508"/>
      <c r="Y189" s="508"/>
      <c r="Z189" s="508"/>
    </row>
    <row r="190" ht="13.5" customHeight="1">
      <c r="A190" s="426"/>
      <c r="B190" s="508"/>
      <c r="C190" s="508"/>
      <c r="D190" s="508"/>
      <c r="E190" s="508"/>
      <c r="F190" s="426"/>
      <c r="G190" s="426"/>
      <c r="H190" s="426"/>
      <c r="I190" s="426"/>
      <c r="J190" s="508"/>
      <c r="K190" s="508"/>
      <c r="L190" s="508"/>
      <c r="M190" s="508"/>
      <c r="N190" s="508"/>
      <c r="O190" s="508"/>
      <c r="P190" s="508"/>
      <c r="Q190" s="508"/>
      <c r="R190" s="508"/>
      <c r="S190" s="508"/>
      <c r="T190" s="508"/>
      <c r="U190" s="508"/>
      <c r="V190" s="508"/>
      <c r="W190" s="508"/>
      <c r="X190" s="508"/>
      <c r="Y190" s="508"/>
      <c r="Z190" s="508"/>
    </row>
    <row r="191" ht="13.5" customHeight="1">
      <c r="A191" s="426"/>
      <c r="B191" s="508"/>
      <c r="C191" s="508"/>
      <c r="D191" s="508"/>
      <c r="E191" s="508"/>
      <c r="F191" s="426"/>
      <c r="G191" s="426"/>
      <c r="H191" s="426"/>
      <c r="I191" s="426"/>
      <c r="J191" s="508"/>
      <c r="K191" s="508"/>
      <c r="L191" s="508"/>
      <c r="M191" s="508"/>
      <c r="N191" s="508"/>
      <c r="O191" s="508"/>
      <c r="P191" s="508"/>
      <c r="Q191" s="508"/>
      <c r="R191" s="508"/>
      <c r="S191" s="508"/>
      <c r="T191" s="508"/>
      <c r="U191" s="508"/>
      <c r="V191" s="508"/>
      <c r="W191" s="508"/>
      <c r="X191" s="508"/>
      <c r="Y191" s="508"/>
      <c r="Z191" s="508"/>
    </row>
    <row r="192" ht="13.5" customHeight="1">
      <c r="A192" s="426"/>
      <c r="B192" s="508"/>
      <c r="C192" s="508"/>
      <c r="D192" s="508"/>
      <c r="E192" s="508"/>
      <c r="F192" s="426"/>
      <c r="G192" s="426"/>
      <c r="H192" s="426"/>
      <c r="I192" s="426"/>
      <c r="J192" s="508"/>
      <c r="K192" s="508"/>
      <c r="L192" s="508"/>
      <c r="M192" s="508"/>
      <c r="N192" s="508"/>
      <c r="O192" s="508"/>
      <c r="P192" s="508"/>
      <c r="Q192" s="508"/>
      <c r="R192" s="508"/>
      <c r="S192" s="508"/>
      <c r="T192" s="508"/>
      <c r="U192" s="508"/>
      <c r="V192" s="508"/>
      <c r="W192" s="508"/>
      <c r="X192" s="508"/>
      <c r="Y192" s="508"/>
      <c r="Z192" s="508"/>
    </row>
    <row r="193" ht="13.5" customHeight="1">
      <c r="A193" s="426"/>
      <c r="B193" s="508"/>
      <c r="C193" s="508"/>
      <c r="D193" s="508"/>
      <c r="E193" s="508"/>
      <c r="F193" s="426"/>
      <c r="G193" s="426"/>
      <c r="H193" s="426"/>
      <c r="I193" s="426"/>
      <c r="J193" s="508"/>
      <c r="K193" s="508"/>
      <c r="L193" s="508"/>
      <c r="M193" s="508"/>
      <c r="N193" s="508"/>
      <c r="O193" s="508"/>
      <c r="P193" s="508"/>
      <c r="Q193" s="508"/>
      <c r="R193" s="508"/>
      <c r="S193" s="508"/>
      <c r="T193" s="508"/>
      <c r="U193" s="508"/>
      <c r="V193" s="508"/>
      <c r="W193" s="508"/>
      <c r="X193" s="508"/>
      <c r="Y193" s="508"/>
      <c r="Z193" s="508"/>
    </row>
    <row r="194" ht="13.5" customHeight="1">
      <c r="A194" s="426"/>
      <c r="B194" s="508"/>
      <c r="C194" s="508"/>
      <c r="D194" s="508"/>
      <c r="E194" s="508"/>
      <c r="F194" s="426"/>
      <c r="G194" s="426"/>
      <c r="H194" s="426"/>
      <c r="I194" s="426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508"/>
      <c r="Y194" s="508"/>
      <c r="Z194" s="508"/>
    </row>
    <row r="195" ht="13.5" customHeight="1">
      <c r="A195" s="426"/>
      <c r="B195" s="508"/>
      <c r="C195" s="508"/>
      <c r="D195" s="508"/>
      <c r="E195" s="508"/>
      <c r="F195" s="426"/>
      <c r="G195" s="426"/>
      <c r="H195" s="426"/>
      <c r="I195" s="426"/>
      <c r="J195" s="508"/>
      <c r="K195" s="508"/>
      <c r="L195" s="508"/>
      <c r="M195" s="508"/>
      <c r="N195" s="508"/>
      <c r="O195" s="508"/>
      <c r="P195" s="508"/>
      <c r="Q195" s="508"/>
      <c r="R195" s="508"/>
      <c r="S195" s="508"/>
      <c r="T195" s="508"/>
      <c r="U195" s="508"/>
      <c r="V195" s="508"/>
      <c r="W195" s="508"/>
      <c r="X195" s="508"/>
      <c r="Y195" s="508"/>
      <c r="Z195" s="508"/>
    </row>
    <row r="196" ht="13.5" customHeight="1">
      <c r="A196" s="426"/>
      <c r="B196" s="508"/>
      <c r="C196" s="508"/>
      <c r="D196" s="508"/>
      <c r="E196" s="508"/>
      <c r="F196" s="426"/>
      <c r="G196" s="426"/>
      <c r="H196" s="426"/>
      <c r="I196" s="426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508"/>
      <c r="Y196" s="508"/>
      <c r="Z196" s="508"/>
    </row>
    <row r="197" ht="13.5" customHeight="1">
      <c r="A197" s="426"/>
      <c r="B197" s="508"/>
      <c r="C197" s="508"/>
      <c r="D197" s="508"/>
      <c r="E197" s="508"/>
      <c r="F197" s="426"/>
      <c r="G197" s="426"/>
      <c r="H197" s="426"/>
      <c r="I197" s="426"/>
      <c r="J197" s="508"/>
      <c r="K197" s="508"/>
      <c r="L197" s="508"/>
      <c r="M197" s="508"/>
      <c r="N197" s="508"/>
      <c r="O197" s="508"/>
      <c r="P197" s="508"/>
      <c r="Q197" s="508"/>
      <c r="R197" s="508"/>
      <c r="S197" s="508"/>
      <c r="T197" s="508"/>
      <c r="U197" s="508"/>
      <c r="V197" s="508"/>
      <c r="W197" s="508"/>
      <c r="X197" s="508"/>
      <c r="Y197" s="508"/>
      <c r="Z197" s="508"/>
    </row>
    <row r="198" ht="13.5" customHeight="1">
      <c r="A198" s="426"/>
      <c r="B198" s="508"/>
      <c r="C198" s="508"/>
      <c r="D198" s="508"/>
      <c r="E198" s="508"/>
      <c r="F198" s="426"/>
      <c r="G198" s="426"/>
      <c r="H198" s="426"/>
      <c r="I198" s="426"/>
      <c r="J198" s="508"/>
      <c r="K198" s="508"/>
      <c r="L198" s="508"/>
      <c r="M198" s="508"/>
      <c r="N198" s="508"/>
      <c r="O198" s="508"/>
      <c r="P198" s="508"/>
      <c r="Q198" s="508"/>
      <c r="R198" s="508"/>
      <c r="S198" s="508"/>
      <c r="T198" s="508"/>
      <c r="U198" s="508"/>
      <c r="V198" s="508"/>
      <c r="W198" s="508"/>
      <c r="X198" s="508"/>
      <c r="Y198" s="508"/>
      <c r="Z198" s="508"/>
    </row>
    <row r="199" ht="13.5" customHeight="1">
      <c r="A199" s="426"/>
      <c r="B199" s="508"/>
      <c r="C199" s="508"/>
      <c r="D199" s="508"/>
      <c r="E199" s="508"/>
      <c r="F199" s="426"/>
      <c r="G199" s="426"/>
      <c r="H199" s="426"/>
      <c r="I199" s="426"/>
      <c r="J199" s="508"/>
      <c r="K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508"/>
      <c r="V199" s="508"/>
      <c r="W199" s="508"/>
      <c r="X199" s="508"/>
      <c r="Y199" s="508"/>
      <c r="Z199" s="508"/>
    </row>
    <row r="200" ht="13.5" customHeight="1">
      <c r="A200" s="426"/>
      <c r="B200" s="508"/>
      <c r="C200" s="508"/>
      <c r="D200" s="508"/>
      <c r="E200" s="508"/>
      <c r="F200" s="426"/>
      <c r="G200" s="426"/>
      <c r="H200" s="426"/>
      <c r="I200" s="426"/>
      <c r="J200" s="508"/>
      <c r="K200" s="508"/>
      <c r="L200" s="508"/>
      <c r="M200" s="508"/>
      <c r="N200" s="508"/>
      <c r="O200" s="508"/>
      <c r="P200" s="508"/>
      <c r="Q200" s="508"/>
      <c r="R200" s="508"/>
      <c r="S200" s="508"/>
      <c r="T200" s="508"/>
      <c r="U200" s="508"/>
      <c r="V200" s="508"/>
      <c r="W200" s="508"/>
      <c r="X200" s="508"/>
      <c r="Y200" s="508"/>
      <c r="Z200" s="508"/>
    </row>
    <row r="201" ht="13.5" customHeight="1">
      <c r="A201" s="426"/>
      <c r="B201" s="508"/>
      <c r="C201" s="508"/>
      <c r="D201" s="508"/>
      <c r="E201" s="508"/>
      <c r="F201" s="426"/>
      <c r="G201" s="426"/>
      <c r="H201" s="426"/>
      <c r="I201" s="426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508"/>
      <c r="Y201" s="508"/>
      <c r="Z201" s="508"/>
    </row>
    <row r="202" ht="13.5" customHeight="1">
      <c r="A202" s="426"/>
      <c r="B202" s="508"/>
      <c r="C202" s="508"/>
      <c r="D202" s="508"/>
      <c r="E202" s="508"/>
      <c r="F202" s="426"/>
      <c r="G202" s="426"/>
      <c r="H202" s="426"/>
      <c r="I202" s="426"/>
      <c r="J202" s="508"/>
      <c r="K202" s="508"/>
      <c r="L202" s="508"/>
      <c r="M202" s="508"/>
      <c r="N202" s="508"/>
      <c r="O202" s="508"/>
      <c r="P202" s="508"/>
      <c r="Q202" s="508"/>
      <c r="R202" s="508"/>
      <c r="S202" s="508"/>
      <c r="T202" s="508"/>
      <c r="U202" s="508"/>
      <c r="V202" s="508"/>
      <c r="W202" s="508"/>
      <c r="X202" s="508"/>
      <c r="Y202" s="508"/>
      <c r="Z202" s="508"/>
    </row>
    <row r="203" ht="13.5" customHeight="1">
      <c r="A203" s="426"/>
      <c r="B203" s="508"/>
      <c r="C203" s="508"/>
      <c r="D203" s="508"/>
      <c r="E203" s="508"/>
      <c r="F203" s="426"/>
      <c r="G203" s="426"/>
      <c r="H203" s="426"/>
      <c r="I203" s="426"/>
      <c r="J203" s="508"/>
      <c r="K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8"/>
      <c r="V203" s="508"/>
      <c r="W203" s="508"/>
      <c r="X203" s="508"/>
      <c r="Y203" s="508"/>
      <c r="Z203" s="508"/>
    </row>
    <row r="204" ht="13.5" customHeight="1">
      <c r="A204" s="426"/>
      <c r="B204" s="508"/>
      <c r="C204" s="508"/>
      <c r="D204" s="508"/>
      <c r="E204" s="508"/>
      <c r="F204" s="426"/>
      <c r="G204" s="426"/>
      <c r="H204" s="426"/>
      <c r="I204" s="426"/>
      <c r="J204" s="508"/>
      <c r="K204" s="508"/>
      <c r="L204" s="508"/>
      <c r="M204" s="508"/>
      <c r="N204" s="508"/>
      <c r="O204" s="508"/>
      <c r="P204" s="508"/>
      <c r="Q204" s="508"/>
      <c r="R204" s="508"/>
      <c r="S204" s="508"/>
      <c r="T204" s="508"/>
      <c r="U204" s="508"/>
      <c r="V204" s="508"/>
      <c r="W204" s="508"/>
      <c r="X204" s="508"/>
      <c r="Y204" s="508"/>
      <c r="Z204" s="508"/>
    </row>
    <row r="205" ht="13.5" customHeight="1">
      <c r="A205" s="426"/>
      <c r="B205" s="508"/>
      <c r="C205" s="508"/>
      <c r="D205" s="508"/>
      <c r="E205" s="508"/>
      <c r="F205" s="426"/>
      <c r="G205" s="426"/>
      <c r="H205" s="426"/>
      <c r="I205" s="426"/>
      <c r="J205" s="508"/>
      <c r="K205" s="508"/>
      <c r="L205" s="508"/>
      <c r="M205" s="508"/>
      <c r="N205" s="508"/>
      <c r="O205" s="508"/>
      <c r="P205" s="508"/>
      <c r="Q205" s="508"/>
      <c r="R205" s="508"/>
      <c r="S205" s="508"/>
      <c r="T205" s="508"/>
      <c r="U205" s="508"/>
      <c r="V205" s="508"/>
      <c r="W205" s="508"/>
      <c r="X205" s="508"/>
      <c r="Y205" s="508"/>
      <c r="Z205" s="508"/>
    </row>
    <row r="206" ht="13.5" customHeight="1">
      <c r="A206" s="426"/>
      <c r="B206" s="508"/>
      <c r="C206" s="508"/>
      <c r="D206" s="508"/>
      <c r="E206" s="508"/>
      <c r="F206" s="426"/>
      <c r="G206" s="426"/>
      <c r="H206" s="426"/>
      <c r="I206" s="426"/>
      <c r="J206" s="508"/>
      <c r="K206" s="508"/>
      <c r="L206" s="508"/>
      <c r="M206" s="508"/>
      <c r="N206" s="508"/>
      <c r="O206" s="508"/>
      <c r="P206" s="508"/>
      <c r="Q206" s="508"/>
      <c r="R206" s="508"/>
      <c r="S206" s="508"/>
      <c r="T206" s="508"/>
      <c r="U206" s="508"/>
      <c r="V206" s="508"/>
      <c r="W206" s="508"/>
      <c r="X206" s="508"/>
      <c r="Y206" s="508"/>
      <c r="Z206" s="508"/>
    </row>
    <row r="207" ht="13.5" customHeight="1">
      <c r="A207" s="426"/>
      <c r="B207" s="508"/>
      <c r="C207" s="508"/>
      <c r="D207" s="508"/>
      <c r="E207" s="508"/>
      <c r="F207" s="426"/>
      <c r="G207" s="426"/>
      <c r="H207" s="426"/>
      <c r="I207" s="426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</row>
    <row r="208" ht="13.5" customHeight="1">
      <c r="A208" s="426"/>
      <c r="B208" s="508"/>
      <c r="C208" s="508"/>
      <c r="D208" s="508"/>
      <c r="E208" s="508"/>
      <c r="F208" s="426"/>
      <c r="G208" s="426"/>
      <c r="H208" s="426"/>
      <c r="I208" s="426"/>
      <c r="J208" s="508"/>
      <c r="K208" s="508"/>
      <c r="L208" s="508"/>
      <c r="M208" s="508"/>
      <c r="N208" s="508"/>
      <c r="O208" s="508"/>
      <c r="P208" s="508"/>
      <c r="Q208" s="508"/>
      <c r="R208" s="508"/>
      <c r="S208" s="508"/>
      <c r="T208" s="508"/>
      <c r="U208" s="508"/>
      <c r="V208" s="508"/>
      <c r="W208" s="508"/>
      <c r="X208" s="508"/>
      <c r="Y208" s="508"/>
      <c r="Z208" s="508"/>
    </row>
    <row r="209" ht="13.5" customHeight="1">
      <c r="A209" s="426"/>
      <c r="B209" s="508"/>
      <c r="C209" s="508"/>
      <c r="D209" s="508"/>
      <c r="E209" s="508"/>
      <c r="F209" s="426"/>
      <c r="G209" s="426"/>
      <c r="H209" s="426"/>
      <c r="I209" s="426"/>
      <c r="J209" s="508"/>
      <c r="K209" s="508"/>
      <c r="L209" s="508"/>
      <c r="M209" s="508"/>
      <c r="N209" s="508"/>
      <c r="O209" s="508"/>
      <c r="P209" s="508"/>
      <c r="Q209" s="508"/>
      <c r="R209" s="508"/>
      <c r="S209" s="508"/>
      <c r="T209" s="508"/>
      <c r="U209" s="508"/>
      <c r="V209" s="508"/>
      <c r="W209" s="508"/>
      <c r="X209" s="508"/>
      <c r="Y209" s="508"/>
      <c r="Z209" s="508"/>
    </row>
    <row r="210" ht="13.5" customHeight="1">
      <c r="A210" s="426"/>
      <c r="B210" s="508"/>
      <c r="C210" s="508"/>
      <c r="D210" s="508"/>
      <c r="E210" s="508"/>
      <c r="F210" s="426"/>
      <c r="G210" s="426"/>
      <c r="H210" s="426"/>
      <c r="I210" s="426"/>
      <c r="J210" s="508"/>
      <c r="K210" s="508"/>
      <c r="L210" s="508"/>
      <c r="M210" s="508"/>
      <c r="N210" s="508"/>
      <c r="O210" s="508"/>
      <c r="P210" s="508"/>
      <c r="Q210" s="508"/>
      <c r="R210" s="508"/>
      <c r="S210" s="508"/>
      <c r="T210" s="508"/>
      <c r="U210" s="508"/>
      <c r="V210" s="508"/>
      <c r="W210" s="508"/>
      <c r="X210" s="508"/>
      <c r="Y210" s="508"/>
      <c r="Z210" s="508"/>
    </row>
    <row r="211" ht="13.5" customHeight="1">
      <c r="A211" s="426"/>
      <c r="B211" s="508"/>
      <c r="C211" s="508"/>
      <c r="D211" s="508"/>
      <c r="E211" s="508"/>
      <c r="F211" s="426"/>
      <c r="G211" s="426"/>
      <c r="H211" s="426"/>
      <c r="I211" s="426"/>
      <c r="J211" s="508"/>
      <c r="K211" s="508"/>
      <c r="L211" s="508"/>
      <c r="M211" s="508"/>
      <c r="N211" s="508"/>
      <c r="O211" s="508"/>
      <c r="P211" s="508"/>
      <c r="Q211" s="508"/>
      <c r="R211" s="508"/>
      <c r="S211" s="508"/>
      <c r="T211" s="508"/>
      <c r="U211" s="508"/>
      <c r="V211" s="508"/>
      <c r="W211" s="508"/>
      <c r="X211" s="508"/>
      <c r="Y211" s="508"/>
      <c r="Z211" s="508"/>
    </row>
    <row r="212" ht="13.5" customHeight="1">
      <c r="A212" s="426"/>
      <c r="B212" s="508"/>
      <c r="C212" s="508"/>
      <c r="D212" s="508"/>
      <c r="E212" s="508"/>
      <c r="F212" s="426"/>
      <c r="G212" s="426"/>
      <c r="H212" s="426"/>
      <c r="I212" s="426"/>
      <c r="J212" s="508"/>
      <c r="K212" s="508"/>
      <c r="L212" s="508"/>
      <c r="M212" s="508"/>
      <c r="N212" s="508"/>
      <c r="O212" s="508"/>
      <c r="P212" s="508"/>
      <c r="Q212" s="508"/>
      <c r="R212" s="508"/>
      <c r="S212" s="508"/>
      <c r="T212" s="508"/>
      <c r="U212" s="508"/>
      <c r="V212" s="508"/>
      <c r="W212" s="508"/>
      <c r="X212" s="508"/>
      <c r="Y212" s="508"/>
      <c r="Z212" s="508"/>
    </row>
    <row r="213" ht="13.5" customHeight="1">
      <c r="A213" s="426"/>
      <c r="B213" s="508"/>
      <c r="C213" s="508"/>
      <c r="D213" s="508"/>
      <c r="E213" s="508"/>
      <c r="F213" s="426"/>
      <c r="G213" s="426"/>
      <c r="H213" s="426"/>
      <c r="I213" s="426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508"/>
      <c r="Y213" s="508"/>
      <c r="Z213" s="508"/>
    </row>
    <row r="214" ht="13.5" customHeight="1">
      <c r="A214" s="426"/>
      <c r="B214" s="508"/>
      <c r="C214" s="508"/>
      <c r="D214" s="508"/>
      <c r="E214" s="508"/>
      <c r="F214" s="426"/>
      <c r="G214" s="426"/>
      <c r="H214" s="426"/>
      <c r="I214" s="426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508"/>
      <c r="Y214" s="508"/>
      <c r="Z214" s="508"/>
    </row>
    <row r="215" ht="13.5" customHeight="1">
      <c r="A215" s="426"/>
      <c r="B215" s="508"/>
      <c r="C215" s="508"/>
      <c r="D215" s="508"/>
      <c r="E215" s="508"/>
      <c r="F215" s="426"/>
      <c r="G215" s="426"/>
      <c r="H215" s="426"/>
      <c r="I215" s="426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508"/>
      <c r="Y215" s="508"/>
      <c r="Z215" s="508"/>
    </row>
    <row r="216" ht="13.5" customHeight="1">
      <c r="A216" s="426"/>
      <c r="B216" s="508"/>
      <c r="C216" s="508"/>
      <c r="D216" s="508"/>
      <c r="E216" s="508"/>
      <c r="F216" s="426"/>
      <c r="G216" s="426"/>
      <c r="H216" s="426"/>
      <c r="I216" s="426"/>
      <c r="J216" s="508"/>
      <c r="K216" s="508"/>
      <c r="L216" s="508"/>
      <c r="M216" s="508"/>
      <c r="N216" s="508"/>
      <c r="O216" s="508"/>
      <c r="P216" s="508"/>
      <c r="Q216" s="508"/>
      <c r="R216" s="508"/>
      <c r="S216" s="508"/>
      <c r="T216" s="508"/>
      <c r="U216" s="508"/>
      <c r="V216" s="508"/>
      <c r="W216" s="508"/>
      <c r="X216" s="508"/>
      <c r="Y216" s="508"/>
      <c r="Z216" s="508"/>
    </row>
    <row r="217" ht="13.5" customHeight="1">
      <c r="A217" s="426"/>
      <c r="B217" s="508"/>
      <c r="C217" s="508"/>
      <c r="D217" s="508"/>
      <c r="E217" s="508"/>
      <c r="F217" s="426"/>
      <c r="G217" s="426"/>
      <c r="H217" s="426"/>
      <c r="I217" s="426"/>
      <c r="J217" s="508"/>
      <c r="K217" s="508"/>
      <c r="L217" s="508"/>
      <c r="M217" s="508"/>
      <c r="N217" s="508"/>
      <c r="O217" s="508"/>
      <c r="P217" s="508"/>
      <c r="Q217" s="508"/>
      <c r="R217" s="508"/>
      <c r="S217" s="508"/>
      <c r="T217" s="508"/>
      <c r="U217" s="508"/>
      <c r="V217" s="508"/>
      <c r="W217" s="508"/>
      <c r="X217" s="508"/>
      <c r="Y217" s="508"/>
      <c r="Z217" s="508"/>
    </row>
    <row r="218" ht="13.5" customHeight="1">
      <c r="A218" s="426"/>
      <c r="B218" s="508"/>
      <c r="C218" s="508"/>
      <c r="D218" s="508"/>
      <c r="E218" s="508"/>
      <c r="F218" s="426"/>
      <c r="G218" s="426"/>
      <c r="H218" s="426"/>
      <c r="I218" s="426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508"/>
      <c r="W218" s="508"/>
      <c r="X218" s="508"/>
      <c r="Y218" s="508"/>
      <c r="Z218" s="508"/>
    </row>
    <row r="219" ht="13.5" customHeight="1">
      <c r="A219" s="426"/>
      <c r="B219" s="508"/>
      <c r="C219" s="508"/>
      <c r="D219" s="508"/>
      <c r="E219" s="508"/>
      <c r="F219" s="426"/>
      <c r="G219" s="426"/>
      <c r="H219" s="426"/>
      <c r="I219" s="426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508"/>
      <c r="Y219" s="508"/>
      <c r="Z219" s="508"/>
    </row>
    <row r="220" ht="13.5" customHeight="1">
      <c r="A220" s="426"/>
      <c r="B220" s="508"/>
      <c r="C220" s="508"/>
      <c r="D220" s="508"/>
      <c r="E220" s="508"/>
      <c r="F220" s="426"/>
      <c r="G220" s="426"/>
      <c r="H220" s="426"/>
      <c r="I220" s="426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508"/>
      <c r="Y220" s="508"/>
      <c r="Z220" s="508"/>
    </row>
    <row r="221" ht="13.5" customHeight="1">
      <c r="A221" s="426"/>
      <c r="B221" s="508"/>
      <c r="C221" s="508"/>
      <c r="D221" s="508"/>
      <c r="E221" s="508"/>
      <c r="F221" s="426"/>
      <c r="G221" s="426"/>
      <c r="H221" s="426"/>
      <c r="I221" s="426"/>
      <c r="J221" s="508"/>
      <c r="K221" s="508"/>
      <c r="L221" s="508"/>
      <c r="M221" s="508"/>
      <c r="N221" s="508"/>
      <c r="O221" s="508"/>
      <c r="P221" s="508"/>
      <c r="Q221" s="508"/>
      <c r="R221" s="508"/>
      <c r="S221" s="508"/>
      <c r="T221" s="508"/>
      <c r="U221" s="508"/>
      <c r="V221" s="508"/>
      <c r="W221" s="508"/>
      <c r="X221" s="508"/>
      <c r="Y221" s="508"/>
      <c r="Z221" s="508"/>
    </row>
    <row r="222" ht="13.5" customHeight="1">
      <c r="A222" s="426"/>
      <c r="B222" s="508"/>
      <c r="C222" s="508"/>
      <c r="D222" s="508"/>
      <c r="E222" s="508"/>
      <c r="F222" s="426"/>
      <c r="G222" s="426"/>
      <c r="H222" s="426"/>
      <c r="I222" s="426"/>
      <c r="J222" s="508"/>
      <c r="K222" s="508"/>
      <c r="L222" s="508"/>
      <c r="M222" s="508"/>
      <c r="N222" s="508"/>
      <c r="O222" s="508"/>
      <c r="P222" s="508"/>
      <c r="Q222" s="508"/>
      <c r="R222" s="508"/>
      <c r="S222" s="508"/>
      <c r="T222" s="508"/>
      <c r="U222" s="508"/>
      <c r="V222" s="508"/>
      <c r="W222" s="508"/>
      <c r="X222" s="508"/>
      <c r="Y222" s="508"/>
      <c r="Z222" s="508"/>
    </row>
    <row r="223" ht="13.5" customHeight="1">
      <c r="A223" s="426"/>
      <c r="B223" s="508"/>
      <c r="C223" s="508"/>
      <c r="D223" s="508"/>
      <c r="E223" s="508"/>
      <c r="F223" s="426"/>
      <c r="G223" s="426"/>
      <c r="H223" s="426"/>
      <c r="I223" s="426"/>
      <c r="J223" s="508"/>
      <c r="K223" s="508"/>
      <c r="L223" s="508"/>
      <c r="M223" s="508"/>
      <c r="N223" s="508"/>
      <c r="O223" s="508"/>
      <c r="P223" s="508"/>
      <c r="Q223" s="508"/>
      <c r="R223" s="508"/>
      <c r="S223" s="508"/>
      <c r="T223" s="508"/>
      <c r="U223" s="508"/>
      <c r="V223" s="508"/>
      <c r="W223" s="508"/>
      <c r="X223" s="508"/>
      <c r="Y223" s="508"/>
      <c r="Z223" s="508"/>
    </row>
    <row r="224" ht="13.5" customHeight="1">
      <c r="A224" s="426"/>
      <c r="B224" s="508"/>
      <c r="C224" s="508"/>
      <c r="D224" s="508"/>
      <c r="E224" s="508"/>
      <c r="F224" s="426"/>
      <c r="G224" s="426"/>
      <c r="H224" s="426"/>
      <c r="I224" s="426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8"/>
      <c r="Z224" s="508"/>
    </row>
    <row r="225" ht="13.5" customHeight="1">
      <c r="A225" s="426"/>
      <c r="B225" s="508"/>
      <c r="C225" s="508"/>
      <c r="D225" s="508"/>
      <c r="E225" s="508"/>
      <c r="F225" s="426"/>
      <c r="G225" s="426"/>
      <c r="H225" s="426"/>
      <c r="I225" s="426"/>
      <c r="J225" s="508"/>
      <c r="K225" s="508"/>
      <c r="L225" s="508"/>
      <c r="M225" s="508"/>
      <c r="N225" s="508"/>
      <c r="O225" s="508"/>
      <c r="P225" s="508"/>
      <c r="Q225" s="508"/>
      <c r="R225" s="508"/>
      <c r="S225" s="508"/>
      <c r="T225" s="508"/>
      <c r="U225" s="508"/>
      <c r="V225" s="508"/>
      <c r="W225" s="508"/>
      <c r="X225" s="508"/>
      <c r="Y225" s="508"/>
      <c r="Z225" s="508"/>
    </row>
    <row r="226" ht="13.5" customHeight="1">
      <c r="A226" s="426"/>
      <c r="B226" s="508"/>
      <c r="C226" s="508"/>
      <c r="D226" s="508"/>
      <c r="E226" s="508"/>
      <c r="F226" s="426"/>
      <c r="G226" s="426"/>
      <c r="H226" s="426"/>
      <c r="I226" s="426"/>
      <c r="J226" s="508"/>
      <c r="K226" s="508"/>
      <c r="L226" s="508"/>
      <c r="M226" s="508"/>
      <c r="N226" s="508"/>
      <c r="O226" s="508"/>
      <c r="P226" s="508"/>
      <c r="Q226" s="508"/>
      <c r="R226" s="508"/>
      <c r="S226" s="508"/>
      <c r="T226" s="508"/>
      <c r="U226" s="508"/>
      <c r="V226" s="508"/>
      <c r="W226" s="508"/>
      <c r="X226" s="508"/>
      <c r="Y226" s="508"/>
      <c r="Z226" s="508"/>
    </row>
    <row r="227" ht="13.5" customHeight="1">
      <c r="A227" s="426"/>
      <c r="B227" s="508"/>
      <c r="C227" s="508"/>
      <c r="D227" s="508"/>
      <c r="E227" s="508"/>
      <c r="F227" s="426"/>
      <c r="G227" s="426"/>
      <c r="H227" s="426"/>
      <c r="I227" s="426"/>
      <c r="J227" s="508"/>
      <c r="K227" s="508"/>
      <c r="L227" s="508"/>
      <c r="M227" s="508"/>
      <c r="N227" s="508"/>
      <c r="O227" s="508"/>
      <c r="P227" s="508"/>
      <c r="Q227" s="508"/>
      <c r="R227" s="508"/>
      <c r="S227" s="508"/>
      <c r="T227" s="508"/>
      <c r="U227" s="508"/>
      <c r="V227" s="508"/>
      <c r="W227" s="508"/>
      <c r="X227" s="508"/>
      <c r="Y227" s="508"/>
      <c r="Z227" s="508"/>
    </row>
    <row r="228" ht="13.5" customHeight="1">
      <c r="A228" s="426"/>
      <c r="B228" s="508"/>
      <c r="C228" s="508"/>
      <c r="D228" s="508"/>
      <c r="E228" s="508"/>
      <c r="F228" s="426"/>
      <c r="G228" s="426"/>
      <c r="H228" s="426"/>
      <c r="I228" s="426"/>
      <c r="J228" s="508"/>
      <c r="K228" s="508"/>
      <c r="L228" s="508"/>
      <c r="M228" s="508"/>
      <c r="N228" s="508"/>
      <c r="O228" s="508"/>
      <c r="P228" s="508"/>
      <c r="Q228" s="508"/>
      <c r="R228" s="508"/>
      <c r="S228" s="508"/>
      <c r="T228" s="508"/>
      <c r="U228" s="508"/>
      <c r="V228" s="508"/>
      <c r="W228" s="508"/>
      <c r="X228" s="508"/>
      <c r="Y228" s="508"/>
      <c r="Z228" s="508"/>
    </row>
    <row r="229" ht="13.5" customHeight="1">
      <c r="A229" s="426"/>
      <c r="B229" s="508"/>
      <c r="C229" s="508"/>
      <c r="D229" s="508"/>
      <c r="E229" s="508"/>
      <c r="F229" s="426"/>
      <c r="G229" s="426"/>
      <c r="H229" s="426"/>
      <c r="I229" s="426"/>
      <c r="J229" s="508"/>
      <c r="K229" s="508"/>
      <c r="L229" s="508"/>
      <c r="M229" s="508"/>
      <c r="N229" s="508"/>
      <c r="O229" s="508"/>
      <c r="P229" s="508"/>
      <c r="Q229" s="508"/>
      <c r="R229" s="508"/>
      <c r="S229" s="508"/>
      <c r="T229" s="508"/>
      <c r="U229" s="508"/>
      <c r="V229" s="508"/>
      <c r="W229" s="508"/>
      <c r="X229" s="508"/>
      <c r="Y229" s="508"/>
      <c r="Z229" s="508"/>
    </row>
    <row r="230" ht="13.5" customHeight="1">
      <c r="A230" s="426"/>
      <c r="B230" s="508"/>
      <c r="C230" s="508"/>
      <c r="D230" s="508"/>
      <c r="E230" s="508"/>
      <c r="F230" s="426"/>
      <c r="G230" s="426"/>
      <c r="H230" s="426"/>
      <c r="I230" s="426"/>
      <c r="J230" s="508"/>
      <c r="K230" s="508"/>
      <c r="L230" s="508"/>
      <c r="M230" s="508"/>
      <c r="N230" s="508"/>
      <c r="O230" s="508"/>
      <c r="P230" s="508"/>
      <c r="Q230" s="508"/>
      <c r="R230" s="508"/>
      <c r="S230" s="508"/>
      <c r="T230" s="508"/>
      <c r="U230" s="508"/>
      <c r="V230" s="508"/>
      <c r="W230" s="508"/>
      <c r="X230" s="508"/>
      <c r="Y230" s="508"/>
      <c r="Z230" s="508"/>
    </row>
    <row r="231" ht="13.5" customHeight="1">
      <c r="A231" s="426"/>
      <c r="B231" s="508"/>
      <c r="C231" s="508"/>
      <c r="D231" s="508"/>
      <c r="E231" s="508"/>
      <c r="F231" s="426"/>
      <c r="G231" s="426"/>
      <c r="H231" s="426"/>
      <c r="I231" s="426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  <c r="Z231" s="508"/>
    </row>
    <row r="232" ht="13.5" customHeight="1">
      <c r="A232" s="426"/>
      <c r="B232" s="508"/>
      <c r="C232" s="508"/>
      <c r="D232" s="508"/>
      <c r="E232" s="508"/>
      <c r="F232" s="426"/>
      <c r="G232" s="426"/>
      <c r="H232" s="426"/>
      <c r="I232" s="426"/>
      <c r="J232" s="508"/>
      <c r="K232" s="508"/>
      <c r="L232" s="508"/>
      <c r="M232" s="508"/>
      <c r="N232" s="508"/>
      <c r="O232" s="508"/>
      <c r="P232" s="508"/>
      <c r="Q232" s="508"/>
      <c r="R232" s="508"/>
      <c r="S232" s="508"/>
      <c r="T232" s="508"/>
      <c r="U232" s="508"/>
      <c r="V232" s="508"/>
      <c r="W232" s="508"/>
      <c r="X232" s="508"/>
      <c r="Y232" s="508"/>
      <c r="Z232" s="508"/>
    </row>
    <row r="233" ht="13.5" customHeight="1">
      <c r="A233" s="426"/>
      <c r="B233" s="508"/>
      <c r="C233" s="508"/>
      <c r="D233" s="508"/>
      <c r="E233" s="508"/>
      <c r="F233" s="426"/>
      <c r="G233" s="426"/>
      <c r="H233" s="426"/>
      <c r="I233" s="426"/>
      <c r="J233" s="508"/>
      <c r="K233" s="508"/>
      <c r="L233" s="508"/>
      <c r="M233" s="508"/>
      <c r="N233" s="508"/>
      <c r="O233" s="508"/>
      <c r="P233" s="508"/>
      <c r="Q233" s="508"/>
      <c r="R233" s="508"/>
      <c r="S233" s="508"/>
      <c r="T233" s="508"/>
      <c r="U233" s="508"/>
      <c r="V233" s="508"/>
      <c r="W233" s="508"/>
      <c r="X233" s="508"/>
      <c r="Y233" s="508"/>
      <c r="Z233" s="508"/>
    </row>
    <row r="234" ht="13.5" customHeight="1">
      <c r="A234" s="426"/>
      <c r="B234" s="508"/>
      <c r="C234" s="508"/>
      <c r="D234" s="508"/>
      <c r="E234" s="508"/>
      <c r="F234" s="426"/>
      <c r="G234" s="426"/>
      <c r="H234" s="426"/>
      <c r="I234" s="426"/>
      <c r="J234" s="508"/>
      <c r="K234" s="508"/>
      <c r="L234" s="508"/>
      <c r="M234" s="508"/>
      <c r="N234" s="508"/>
      <c r="O234" s="508"/>
      <c r="P234" s="508"/>
      <c r="Q234" s="508"/>
      <c r="R234" s="508"/>
      <c r="S234" s="508"/>
      <c r="T234" s="508"/>
      <c r="U234" s="508"/>
      <c r="V234" s="508"/>
      <c r="W234" s="508"/>
      <c r="X234" s="508"/>
      <c r="Y234" s="508"/>
      <c r="Z234" s="508"/>
    </row>
    <row r="235" ht="13.5" customHeight="1">
      <c r="A235" s="426"/>
      <c r="B235" s="508"/>
      <c r="C235" s="508"/>
      <c r="D235" s="508"/>
      <c r="E235" s="508"/>
      <c r="F235" s="426"/>
      <c r="G235" s="426"/>
      <c r="H235" s="426"/>
      <c r="I235" s="426"/>
      <c r="J235" s="508"/>
      <c r="K235" s="508"/>
      <c r="L235" s="508"/>
      <c r="M235" s="508"/>
      <c r="N235" s="508"/>
      <c r="O235" s="508"/>
      <c r="P235" s="508"/>
      <c r="Q235" s="508"/>
      <c r="R235" s="508"/>
      <c r="S235" s="508"/>
      <c r="T235" s="508"/>
      <c r="U235" s="508"/>
      <c r="V235" s="508"/>
      <c r="W235" s="508"/>
      <c r="X235" s="508"/>
      <c r="Y235" s="508"/>
      <c r="Z235" s="508"/>
    </row>
    <row r="236" ht="13.5" customHeight="1">
      <c r="A236" s="426"/>
      <c r="B236" s="508"/>
      <c r="C236" s="508"/>
      <c r="D236" s="508"/>
      <c r="E236" s="508"/>
      <c r="F236" s="426"/>
      <c r="G236" s="426"/>
      <c r="H236" s="426"/>
      <c r="I236" s="426"/>
      <c r="J236" s="508"/>
      <c r="K236" s="508"/>
      <c r="L236" s="508"/>
      <c r="M236" s="508"/>
      <c r="N236" s="508"/>
      <c r="O236" s="508"/>
      <c r="P236" s="508"/>
      <c r="Q236" s="508"/>
      <c r="R236" s="508"/>
      <c r="S236" s="508"/>
      <c r="T236" s="508"/>
      <c r="U236" s="508"/>
      <c r="V236" s="508"/>
      <c r="W236" s="508"/>
      <c r="X236" s="508"/>
      <c r="Y236" s="508"/>
      <c r="Z236" s="508"/>
    </row>
    <row r="237" ht="13.5" customHeight="1">
      <c r="A237" s="426"/>
      <c r="B237" s="508"/>
      <c r="C237" s="508"/>
      <c r="D237" s="508"/>
      <c r="E237" s="508"/>
      <c r="F237" s="426"/>
      <c r="G237" s="426"/>
      <c r="H237" s="426"/>
      <c r="I237" s="426"/>
      <c r="J237" s="508"/>
      <c r="K237" s="508"/>
      <c r="L237" s="508"/>
      <c r="M237" s="508"/>
      <c r="N237" s="508"/>
      <c r="O237" s="508"/>
      <c r="P237" s="508"/>
      <c r="Q237" s="508"/>
      <c r="R237" s="508"/>
      <c r="S237" s="508"/>
      <c r="T237" s="508"/>
      <c r="U237" s="508"/>
      <c r="V237" s="508"/>
      <c r="W237" s="508"/>
      <c r="X237" s="508"/>
      <c r="Y237" s="508"/>
      <c r="Z237" s="508"/>
    </row>
    <row r="238" ht="13.5" customHeight="1">
      <c r="A238" s="426"/>
      <c r="B238" s="508"/>
      <c r="C238" s="508"/>
      <c r="D238" s="508"/>
      <c r="E238" s="508"/>
      <c r="F238" s="426"/>
      <c r="G238" s="426"/>
      <c r="H238" s="426"/>
      <c r="I238" s="426"/>
      <c r="J238" s="508"/>
      <c r="K238" s="508"/>
      <c r="L238" s="508"/>
      <c r="M238" s="508"/>
      <c r="N238" s="508"/>
      <c r="O238" s="508"/>
      <c r="P238" s="508"/>
      <c r="Q238" s="508"/>
      <c r="R238" s="508"/>
      <c r="S238" s="508"/>
      <c r="T238" s="508"/>
      <c r="U238" s="508"/>
      <c r="V238" s="508"/>
      <c r="W238" s="508"/>
      <c r="X238" s="508"/>
      <c r="Y238" s="508"/>
      <c r="Z238" s="508"/>
    </row>
    <row r="239" ht="13.5" customHeight="1">
      <c r="A239" s="426"/>
      <c r="B239" s="508"/>
      <c r="C239" s="508"/>
      <c r="D239" s="508"/>
      <c r="E239" s="508"/>
      <c r="F239" s="426"/>
      <c r="G239" s="426"/>
      <c r="H239" s="426"/>
      <c r="I239" s="426"/>
      <c r="J239" s="508"/>
      <c r="K239" s="508"/>
      <c r="L239" s="508"/>
      <c r="M239" s="508"/>
      <c r="N239" s="508"/>
      <c r="O239" s="508"/>
      <c r="P239" s="508"/>
      <c r="Q239" s="508"/>
      <c r="R239" s="508"/>
      <c r="S239" s="508"/>
      <c r="T239" s="508"/>
      <c r="U239" s="508"/>
      <c r="V239" s="508"/>
      <c r="W239" s="508"/>
      <c r="X239" s="508"/>
      <c r="Y239" s="508"/>
      <c r="Z239" s="508"/>
    </row>
    <row r="240" ht="13.5" customHeight="1">
      <c r="A240" s="426"/>
      <c r="B240" s="508"/>
      <c r="C240" s="508"/>
      <c r="D240" s="508"/>
      <c r="E240" s="508"/>
      <c r="F240" s="426"/>
      <c r="G240" s="426"/>
      <c r="H240" s="426"/>
      <c r="I240" s="426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508"/>
      <c r="Y240" s="508"/>
      <c r="Z240" s="508"/>
    </row>
    <row r="241" ht="13.5" customHeight="1">
      <c r="A241" s="426"/>
      <c r="B241" s="508"/>
      <c r="C241" s="508"/>
      <c r="D241" s="508"/>
      <c r="E241" s="508"/>
      <c r="F241" s="426"/>
      <c r="G241" s="426"/>
      <c r="H241" s="426"/>
      <c r="I241" s="426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508"/>
      <c r="Y241" s="508"/>
      <c r="Z241" s="508"/>
    </row>
    <row r="242" ht="13.5" customHeight="1">
      <c r="A242" s="426"/>
      <c r="B242" s="508"/>
      <c r="C242" s="508"/>
      <c r="D242" s="508"/>
      <c r="E242" s="508"/>
      <c r="F242" s="426"/>
      <c r="G242" s="426"/>
      <c r="H242" s="426"/>
      <c r="I242" s="426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508"/>
      <c r="Y242" s="508"/>
      <c r="Z242" s="508"/>
    </row>
    <row r="243" ht="13.5" customHeight="1">
      <c r="A243" s="426"/>
      <c r="B243" s="508"/>
      <c r="C243" s="508"/>
      <c r="D243" s="508"/>
      <c r="E243" s="508"/>
      <c r="F243" s="426"/>
      <c r="G243" s="426"/>
      <c r="H243" s="426"/>
      <c r="I243" s="426"/>
      <c r="J243" s="508"/>
      <c r="K243" s="508"/>
      <c r="L243" s="508"/>
      <c r="M243" s="508"/>
      <c r="N243" s="508"/>
      <c r="O243" s="508"/>
      <c r="P243" s="508"/>
      <c r="Q243" s="508"/>
      <c r="R243" s="508"/>
      <c r="S243" s="508"/>
      <c r="T243" s="508"/>
      <c r="U243" s="508"/>
      <c r="V243" s="508"/>
      <c r="W243" s="508"/>
      <c r="X243" s="508"/>
      <c r="Y243" s="508"/>
      <c r="Z243" s="508"/>
    </row>
    <row r="244" ht="13.5" customHeight="1">
      <c r="A244" s="426"/>
      <c r="B244" s="508"/>
      <c r="C244" s="508"/>
      <c r="D244" s="508"/>
      <c r="E244" s="508"/>
      <c r="F244" s="426"/>
      <c r="G244" s="426"/>
      <c r="H244" s="426"/>
      <c r="I244" s="426"/>
      <c r="J244" s="508"/>
      <c r="K244" s="508"/>
      <c r="L244" s="508"/>
      <c r="M244" s="508"/>
      <c r="N244" s="508"/>
      <c r="O244" s="508"/>
      <c r="P244" s="508"/>
      <c r="Q244" s="508"/>
      <c r="R244" s="508"/>
      <c r="S244" s="508"/>
      <c r="T244" s="508"/>
      <c r="U244" s="508"/>
      <c r="V244" s="508"/>
      <c r="W244" s="508"/>
      <c r="X244" s="508"/>
      <c r="Y244" s="508"/>
      <c r="Z244" s="508"/>
    </row>
    <row r="245" ht="13.5" customHeight="1">
      <c r="A245" s="426"/>
      <c r="B245" s="508"/>
      <c r="C245" s="508"/>
      <c r="D245" s="508"/>
      <c r="E245" s="508"/>
      <c r="F245" s="426"/>
      <c r="G245" s="426"/>
      <c r="H245" s="426"/>
      <c r="I245" s="426"/>
      <c r="J245" s="508"/>
      <c r="K245" s="508"/>
      <c r="L245" s="508"/>
      <c r="M245" s="508"/>
      <c r="N245" s="508"/>
      <c r="O245" s="508"/>
      <c r="P245" s="508"/>
      <c r="Q245" s="508"/>
      <c r="R245" s="508"/>
      <c r="S245" s="508"/>
      <c r="T245" s="508"/>
      <c r="U245" s="508"/>
      <c r="V245" s="508"/>
      <c r="W245" s="508"/>
      <c r="X245" s="508"/>
      <c r="Y245" s="508"/>
      <c r="Z245" s="508"/>
    </row>
    <row r="246" ht="13.5" customHeight="1">
      <c r="A246" s="426"/>
      <c r="B246" s="508"/>
      <c r="C246" s="508"/>
      <c r="D246" s="508"/>
      <c r="E246" s="508"/>
      <c r="F246" s="426"/>
      <c r="G246" s="426"/>
      <c r="H246" s="426"/>
      <c r="I246" s="426"/>
      <c r="J246" s="508"/>
      <c r="K246" s="508"/>
      <c r="L246" s="508"/>
      <c r="M246" s="508"/>
      <c r="N246" s="508"/>
      <c r="O246" s="508"/>
      <c r="P246" s="508"/>
      <c r="Q246" s="508"/>
      <c r="R246" s="508"/>
      <c r="S246" s="508"/>
      <c r="T246" s="508"/>
      <c r="U246" s="508"/>
      <c r="V246" s="508"/>
      <c r="W246" s="508"/>
      <c r="X246" s="508"/>
      <c r="Y246" s="508"/>
      <c r="Z246" s="508"/>
    </row>
    <row r="247" ht="13.5" customHeight="1">
      <c r="A247" s="426"/>
      <c r="B247" s="508"/>
      <c r="C247" s="508"/>
      <c r="D247" s="508"/>
      <c r="E247" s="508"/>
      <c r="F247" s="426"/>
      <c r="G247" s="426"/>
      <c r="H247" s="426"/>
      <c r="I247" s="426"/>
      <c r="J247" s="508"/>
      <c r="K247" s="508"/>
      <c r="L247" s="508"/>
      <c r="M247" s="508"/>
      <c r="N247" s="508"/>
      <c r="O247" s="508"/>
      <c r="P247" s="508"/>
      <c r="Q247" s="508"/>
      <c r="R247" s="508"/>
      <c r="S247" s="508"/>
      <c r="T247" s="508"/>
      <c r="U247" s="508"/>
      <c r="V247" s="508"/>
      <c r="W247" s="508"/>
      <c r="X247" s="508"/>
      <c r="Y247" s="508"/>
      <c r="Z247" s="508"/>
    </row>
    <row r="248" ht="13.5" customHeight="1">
      <c r="A248" s="426"/>
      <c r="B248" s="508"/>
      <c r="C248" s="508"/>
      <c r="D248" s="508"/>
      <c r="E248" s="508"/>
      <c r="F248" s="426"/>
      <c r="G248" s="426"/>
      <c r="H248" s="426"/>
      <c r="I248" s="426"/>
      <c r="J248" s="508"/>
      <c r="K248" s="508"/>
      <c r="L248" s="508"/>
      <c r="M248" s="508"/>
      <c r="N248" s="508"/>
      <c r="O248" s="508"/>
      <c r="P248" s="508"/>
      <c r="Q248" s="508"/>
      <c r="R248" s="508"/>
      <c r="S248" s="508"/>
      <c r="T248" s="508"/>
      <c r="U248" s="508"/>
      <c r="V248" s="508"/>
      <c r="W248" s="508"/>
      <c r="X248" s="508"/>
      <c r="Y248" s="508"/>
      <c r="Z248" s="508"/>
    </row>
    <row r="249" ht="13.5" customHeight="1">
      <c r="A249" s="426"/>
      <c r="B249" s="508"/>
      <c r="C249" s="508"/>
      <c r="D249" s="508"/>
      <c r="E249" s="508"/>
      <c r="F249" s="426"/>
      <c r="G249" s="426"/>
      <c r="H249" s="426"/>
      <c r="I249" s="426"/>
      <c r="J249" s="508"/>
      <c r="K249" s="508"/>
      <c r="L249" s="508"/>
      <c r="M249" s="508"/>
      <c r="N249" s="508"/>
      <c r="O249" s="508"/>
      <c r="P249" s="508"/>
      <c r="Q249" s="508"/>
      <c r="R249" s="508"/>
      <c r="S249" s="508"/>
      <c r="T249" s="508"/>
      <c r="U249" s="508"/>
      <c r="V249" s="508"/>
      <c r="W249" s="508"/>
      <c r="X249" s="508"/>
      <c r="Y249" s="508"/>
      <c r="Z249" s="508"/>
    </row>
    <row r="250" ht="13.5" customHeight="1">
      <c r="A250" s="426"/>
      <c r="B250" s="508"/>
      <c r="C250" s="508"/>
      <c r="D250" s="508"/>
      <c r="E250" s="508"/>
      <c r="F250" s="426"/>
      <c r="G250" s="426"/>
      <c r="H250" s="426"/>
      <c r="I250" s="426"/>
      <c r="J250" s="508"/>
      <c r="K250" s="508"/>
      <c r="L250" s="508"/>
      <c r="M250" s="508"/>
      <c r="N250" s="508"/>
      <c r="O250" s="508"/>
      <c r="P250" s="508"/>
      <c r="Q250" s="508"/>
      <c r="R250" s="508"/>
      <c r="S250" s="508"/>
      <c r="T250" s="508"/>
      <c r="U250" s="508"/>
      <c r="V250" s="508"/>
      <c r="W250" s="508"/>
      <c r="X250" s="508"/>
      <c r="Y250" s="508"/>
      <c r="Z250" s="508"/>
    </row>
    <row r="251" ht="13.5" customHeight="1">
      <c r="A251" s="426"/>
      <c r="B251" s="508"/>
      <c r="C251" s="508"/>
      <c r="D251" s="508"/>
      <c r="E251" s="508"/>
      <c r="F251" s="426"/>
      <c r="G251" s="426"/>
      <c r="H251" s="426"/>
      <c r="I251" s="426"/>
      <c r="J251" s="508"/>
      <c r="K251" s="508"/>
      <c r="L251" s="508"/>
      <c r="M251" s="508"/>
      <c r="N251" s="508"/>
      <c r="O251" s="508"/>
      <c r="P251" s="508"/>
      <c r="Q251" s="508"/>
      <c r="R251" s="508"/>
      <c r="S251" s="508"/>
      <c r="T251" s="508"/>
      <c r="U251" s="508"/>
      <c r="V251" s="508"/>
      <c r="W251" s="508"/>
      <c r="X251" s="508"/>
      <c r="Y251" s="508"/>
      <c r="Z251" s="508"/>
    </row>
    <row r="252" ht="13.5" customHeight="1">
      <c r="A252" s="426"/>
      <c r="B252" s="508"/>
      <c r="C252" s="508"/>
      <c r="D252" s="508"/>
      <c r="E252" s="508"/>
      <c r="F252" s="426"/>
      <c r="G252" s="426"/>
      <c r="H252" s="426"/>
      <c r="I252" s="426"/>
      <c r="J252" s="508"/>
      <c r="K252" s="508"/>
      <c r="L252" s="508"/>
      <c r="M252" s="508"/>
      <c r="N252" s="508"/>
      <c r="O252" s="508"/>
      <c r="P252" s="508"/>
      <c r="Q252" s="508"/>
      <c r="R252" s="508"/>
      <c r="S252" s="508"/>
      <c r="T252" s="508"/>
      <c r="U252" s="508"/>
      <c r="V252" s="508"/>
      <c r="W252" s="508"/>
      <c r="X252" s="508"/>
      <c r="Y252" s="508"/>
      <c r="Z252" s="508"/>
    </row>
    <row r="253" ht="13.5" customHeight="1">
      <c r="A253" s="426"/>
      <c r="B253" s="508"/>
      <c r="C253" s="508"/>
      <c r="D253" s="508"/>
      <c r="E253" s="508"/>
      <c r="F253" s="426"/>
      <c r="G253" s="426"/>
      <c r="H253" s="426"/>
      <c r="I253" s="426"/>
      <c r="J253" s="508"/>
      <c r="K253" s="508"/>
      <c r="L253" s="508"/>
      <c r="M253" s="508"/>
      <c r="N253" s="508"/>
      <c r="O253" s="508"/>
      <c r="P253" s="508"/>
      <c r="Q253" s="508"/>
      <c r="R253" s="508"/>
      <c r="S253" s="508"/>
      <c r="T253" s="508"/>
      <c r="U253" s="508"/>
      <c r="V253" s="508"/>
      <c r="W253" s="508"/>
      <c r="X253" s="508"/>
      <c r="Y253" s="508"/>
      <c r="Z253" s="508"/>
    </row>
    <row r="254" ht="13.5" customHeight="1">
      <c r="A254" s="426"/>
      <c r="B254" s="508"/>
      <c r="C254" s="508"/>
      <c r="D254" s="508"/>
      <c r="E254" s="508"/>
      <c r="F254" s="426"/>
      <c r="G254" s="426"/>
      <c r="H254" s="426"/>
      <c r="I254" s="426"/>
      <c r="J254" s="508"/>
      <c r="K254" s="508"/>
      <c r="L254" s="508"/>
      <c r="M254" s="508"/>
      <c r="N254" s="508"/>
      <c r="O254" s="508"/>
      <c r="P254" s="508"/>
      <c r="Q254" s="508"/>
      <c r="R254" s="508"/>
      <c r="S254" s="508"/>
      <c r="T254" s="508"/>
      <c r="U254" s="508"/>
      <c r="V254" s="508"/>
      <c r="W254" s="508"/>
      <c r="X254" s="508"/>
      <c r="Y254" s="508"/>
      <c r="Z254" s="508"/>
    </row>
    <row r="255" ht="13.5" customHeight="1">
      <c r="A255" s="426"/>
      <c r="B255" s="508"/>
      <c r="C255" s="508"/>
      <c r="D255" s="508"/>
      <c r="E255" s="508"/>
      <c r="F255" s="426"/>
      <c r="G255" s="426"/>
      <c r="H255" s="426"/>
      <c r="I255" s="426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508"/>
      <c r="Y255" s="508"/>
      <c r="Z255" s="508"/>
    </row>
    <row r="256" ht="13.5" customHeight="1">
      <c r="A256" s="426"/>
      <c r="B256" s="508"/>
      <c r="C256" s="508"/>
      <c r="D256" s="508"/>
      <c r="E256" s="508"/>
      <c r="F256" s="426"/>
      <c r="G256" s="426"/>
      <c r="H256" s="426"/>
      <c r="I256" s="426"/>
      <c r="J256" s="508"/>
      <c r="K256" s="508"/>
      <c r="L256" s="508"/>
      <c r="M256" s="508"/>
      <c r="N256" s="508"/>
      <c r="O256" s="508"/>
      <c r="P256" s="508"/>
      <c r="Q256" s="508"/>
      <c r="R256" s="508"/>
      <c r="S256" s="508"/>
      <c r="T256" s="508"/>
      <c r="U256" s="508"/>
      <c r="V256" s="508"/>
      <c r="W256" s="508"/>
      <c r="X256" s="508"/>
      <c r="Y256" s="508"/>
      <c r="Z256" s="508"/>
    </row>
    <row r="257" ht="13.5" customHeight="1">
      <c r="A257" s="426"/>
      <c r="B257" s="508"/>
      <c r="C257" s="508"/>
      <c r="D257" s="508"/>
      <c r="E257" s="508"/>
      <c r="F257" s="426"/>
      <c r="G257" s="426"/>
      <c r="H257" s="426"/>
      <c r="I257" s="426"/>
      <c r="J257" s="508"/>
      <c r="K257" s="508"/>
      <c r="L257" s="508"/>
      <c r="M257" s="508"/>
      <c r="N257" s="508"/>
      <c r="O257" s="508"/>
      <c r="P257" s="508"/>
      <c r="Q257" s="508"/>
      <c r="R257" s="508"/>
      <c r="S257" s="508"/>
      <c r="T257" s="508"/>
      <c r="U257" s="508"/>
      <c r="V257" s="508"/>
      <c r="W257" s="508"/>
      <c r="X257" s="508"/>
      <c r="Y257" s="508"/>
      <c r="Z257" s="508"/>
    </row>
    <row r="258" ht="13.5" customHeight="1">
      <c r="A258" s="426"/>
      <c r="B258" s="508"/>
      <c r="C258" s="508"/>
      <c r="D258" s="508"/>
      <c r="E258" s="508"/>
      <c r="F258" s="426"/>
      <c r="G258" s="426"/>
      <c r="H258" s="426"/>
      <c r="I258" s="426"/>
      <c r="J258" s="508"/>
      <c r="K258" s="508"/>
      <c r="L258" s="508"/>
      <c r="M258" s="508"/>
      <c r="N258" s="508"/>
      <c r="O258" s="508"/>
      <c r="P258" s="508"/>
      <c r="Q258" s="508"/>
      <c r="R258" s="508"/>
      <c r="S258" s="508"/>
      <c r="T258" s="508"/>
      <c r="U258" s="508"/>
      <c r="V258" s="508"/>
      <c r="W258" s="508"/>
      <c r="X258" s="508"/>
      <c r="Y258" s="508"/>
      <c r="Z258" s="508"/>
    </row>
    <row r="259" ht="13.5" customHeight="1">
      <c r="A259" s="426"/>
      <c r="B259" s="508"/>
      <c r="C259" s="508"/>
      <c r="D259" s="508"/>
      <c r="E259" s="508"/>
      <c r="F259" s="426"/>
      <c r="G259" s="426"/>
      <c r="H259" s="426"/>
      <c r="I259" s="426"/>
      <c r="J259" s="508"/>
      <c r="K259" s="508"/>
      <c r="L259" s="508"/>
      <c r="M259" s="508"/>
      <c r="N259" s="508"/>
      <c r="O259" s="508"/>
      <c r="P259" s="508"/>
      <c r="Q259" s="508"/>
      <c r="R259" s="508"/>
      <c r="S259" s="508"/>
      <c r="T259" s="508"/>
      <c r="U259" s="508"/>
      <c r="V259" s="508"/>
      <c r="W259" s="508"/>
      <c r="X259" s="508"/>
      <c r="Y259" s="508"/>
      <c r="Z259" s="508"/>
    </row>
    <row r="260" ht="13.5" customHeight="1">
      <c r="A260" s="426"/>
      <c r="B260" s="508"/>
      <c r="C260" s="508"/>
      <c r="D260" s="508"/>
      <c r="E260" s="508"/>
      <c r="F260" s="426"/>
      <c r="G260" s="426"/>
      <c r="H260" s="426"/>
      <c r="I260" s="426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8"/>
      <c r="Z260" s="508"/>
    </row>
    <row r="261" ht="13.5" customHeight="1">
      <c r="A261" s="426"/>
      <c r="B261" s="508"/>
      <c r="C261" s="508"/>
      <c r="D261" s="508"/>
      <c r="E261" s="508"/>
      <c r="F261" s="426"/>
      <c r="G261" s="426"/>
      <c r="H261" s="426"/>
      <c r="I261" s="426"/>
      <c r="J261" s="508"/>
      <c r="K261" s="508"/>
      <c r="L261" s="508"/>
      <c r="M261" s="508"/>
      <c r="N261" s="508"/>
      <c r="O261" s="508"/>
      <c r="P261" s="508"/>
      <c r="Q261" s="508"/>
      <c r="R261" s="508"/>
      <c r="S261" s="508"/>
      <c r="T261" s="508"/>
      <c r="U261" s="508"/>
      <c r="V261" s="508"/>
      <c r="W261" s="508"/>
      <c r="X261" s="508"/>
      <c r="Y261" s="508"/>
      <c r="Z261" s="508"/>
    </row>
    <row r="262" ht="13.5" customHeight="1">
      <c r="A262" s="426"/>
      <c r="B262" s="508"/>
      <c r="C262" s="508"/>
      <c r="D262" s="508"/>
      <c r="E262" s="508"/>
      <c r="F262" s="426"/>
      <c r="G262" s="426"/>
      <c r="H262" s="426"/>
      <c r="I262" s="426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508"/>
      <c r="Y262" s="508"/>
      <c r="Z262" s="508"/>
    </row>
    <row r="263" ht="13.5" customHeight="1">
      <c r="A263" s="426"/>
      <c r="B263" s="508"/>
      <c r="C263" s="508"/>
      <c r="D263" s="508"/>
      <c r="E263" s="508"/>
      <c r="F263" s="426"/>
      <c r="G263" s="426"/>
      <c r="H263" s="426"/>
      <c r="I263" s="426"/>
      <c r="J263" s="508"/>
      <c r="K263" s="508"/>
      <c r="L263" s="508"/>
      <c r="M263" s="508"/>
      <c r="N263" s="508"/>
      <c r="O263" s="508"/>
      <c r="P263" s="508"/>
      <c r="Q263" s="508"/>
      <c r="R263" s="508"/>
      <c r="S263" s="508"/>
      <c r="T263" s="508"/>
      <c r="U263" s="508"/>
      <c r="V263" s="508"/>
      <c r="W263" s="508"/>
      <c r="X263" s="508"/>
      <c r="Y263" s="508"/>
      <c r="Z263" s="508"/>
    </row>
    <row r="264" ht="13.5" customHeight="1">
      <c r="A264" s="426"/>
      <c r="B264" s="508"/>
      <c r="C264" s="508"/>
      <c r="D264" s="508"/>
      <c r="E264" s="508"/>
      <c r="F264" s="426"/>
      <c r="G264" s="426"/>
      <c r="H264" s="426"/>
      <c r="I264" s="426"/>
      <c r="J264" s="508"/>
      <c r="K264" s="508"/>
      <c r="L264" s="508"/>
      <c r="M264" s="508"/>
      <c r="N264" s="508"/>
      <c r="O264" s="508"/>
      <c r="P264" s="508"/>
      <c r="Q264" s="508"/>
      <c r="R264" s="508"/>
      <c r="S264" s="508"/>
      <c r="T264" s="508"/>
      <c r="U264" s="508"/>
      <c r="V264" s="508"/>
      <c r="W264" s="508"/>
      <c r="X264" s="508"/>
      <c r="Y264" s="508"/>
      <c r="Z264" s="508"/>
    </row>
    <row r="265" ht="13.5" customHeight="1">
      <c r="A265" s="426"/>
      <c r="B265" s="508"/>
      <c r="C265" s="508"/>
      <c r="D265" s="508"/>
      <c r="E265" s="508"/>
      <c r="F265" s="426"/>
      <c r="G265" s="426"/>
      <c r="H265" s="426"/>
      <c r="I265" s="426"/>
      <c r="J265" s="508"/>
      <c r="K265" s="508"/>
      <c r="L265" s="508"/>
      <c r="M265" s="508"/>
      <c r="N265" s="508"/>
      <c r="O265" s="508"/>
      <c r="P265" s="508"/>
      <c r="Q265" s="508"/>
      <c r="R265" s="508"/>
      <c r="S265" s="508"/>
      <c r="T265" s="508"/>
      <c r="U265" s="508"/>
      <c r="V265" s="508"/>
      <c r="W265" s="508"/>
      <c r="X265" s="508"/>
      <c r="Y265" s="508"/>
      <c r="Z265" s="508"/>
    </row>
    <row r="266" ht="13.5" customHeight="1">
      <c r="A266" s="426"/>
      <c r="B266" s="508"/>
      <c r="C266" s="508"/>
      <c r="D266" s="508"/>
      <c r="E266" s="508"/>
      <c r="F266" s="426"/>
      <c r="G266" s="426"/>
      <c r="H266" s="426"/>
      <c r="I266" s="426"/>
      <c r="J266" s="508"/>
      <c r="K266" s="508"/>
      <c r="L266" s="508"/>
      <c r="M266" s="508"/>
      <c r="N266" s="508"/>
      <c r="O266" s="508"/>
      <c r="P266" s="508"/>
      <c r="Q266" s="508"/>
      <c r="R266" s="508"/>
      <c r="S266" s="508"/>
      <c r="T266" s="508"/>
      <c r="U266" s="508"/>
      <c r="V266" s="508"/>
      <c r="W266" s="508"/>
      <c r="X266" s="508"/>
      <c r="Y266" s="508"/>
      <c r="Z266" s="508"/>
    </row>
    <row r="267" ht="13.5" customHeight="1">
      <c r="A267" s="426"/>
      <c r="B267" s="508"/>
      <c r="C267" s="508"/>
      <c r="D267" s="508"/>
      <c r="E267" s="508"/>
      <c r="F267" s="426"/>
      <c r="G267" s="426"/>
      <c r="H267" s="426"/>
      <c r="I267" s="426"/>
      <c r="J267" s="508"/>
      <c r="K267" s="508"/>
      <c r="L267" s="508"/>
      <c r="M267" s="508"/>
      <c r="N267" s="508"/>
      <c r="O267" s="508"/>
      <c r="P267" s="508"/>
      <c r="Q267" s="508"/>
      <c r="R267" s="508"/>
      <c r="S267" s="508"/>
      <c r="T267" s="508"/>
      <c r="U267" s="508"/>
      <c r="V267" s="508"/>
      <c r="W267" s="508"/>
      <c r="X267" s="508"/>
      <c r="Y267" s="508"/>
      <c r="Z267" s="508"/>
    </row>
    <row r="268" ht="13.5" customHeight="1">
      <c r="A268" s="426"/>
      <c r="B268" s="508"/>
      <c r="C268" s="508"/>
      <c r="D268" s="508"/>
      <c r="E268" s="508"/>
      <c r="F268" s="426"/>
      <c r="G268" s="426"/>
      <c r="H268" s="426"/>
      <c r="I268" s="426"/>
      <c r="J268" s="508"/>
      <c r="K268" s="508"/>
      <c r="L268" s="508"/>
      <c r="M268" s="508"/>
      <c r="N268" s="508"/>
      <c r="O268" s="508"/>
      <c r="P268" s="508"/>
      <c r="Q268" s="508"/>
      <c r="R268" s="508"/>
      <c r="S268" s="508"/>
      <c r="T268" s="508"/>
      <c r="U268" s="508"/>
      <c r="V268" s="508"/>
      <c r="W268" s="508"/>
      <c r="X268" s="508"/>
      <c r="Y268" s="508"/>
      <c r="Z268" s="508"/>
    </row>
    <row r="269" ht="13.5" customHeight="1">
      <c r="A269" s="426"/>
      <c r="B269" s="508"/>
      <c r="C269" s="508"/>
      <c r="D269" s="508"/>
      <c r="E269" s="508"/>
      <c r="F269" s="426"/>
      <c r="G269" s="426"/>
      <c r="H269" s="426"/>
      <c r="I269" s="426"/>
      <c r="J269" s="508"/>
      <c r="K269" s="508"/>
      <c r="L269" s="508"/>
      <c r="M269" s="508"/>
      <c r="N269" s="508"/>
      <c r="O269" s="508"/>
      <c r="P269" s="508"/>
      <c r="Q269" s="508"/>
      <c r="R269" s="508"/>
      <c r="S269" s="508"/>
      <c r="T269" s="508"/>
      <c r="U269" s="508"/>
      <c r="V269" s="508"/>
      <c r="W269" s="508"/>
      <c r="X269" s="508"/>
      <c r="Y269" s="508"/>
      <c r="Z269" s="508"/>
    </row>
    <row r="270" ht="13.5" customHeight="1">
      <c r="A270" s="426"/>
      <c r="B270" s="508"/>
      <c r="C270" s="508"/>
      <c r="D270" s="508"/>
      <c r="E270" s="508"/>
      <c r="F270" s="426"/>
      <c r="G270" s="426"/>
      <c r="H270" s="426"/>
      <c r="I270" s="426"/>
      <c r="J270" s="508"/>
      <c r="K270" s="508"/>
      <c r="L270" s="508"/>
      <c r="M270" s="508"/>
      <c r="N270" s="508"/>
      <c r="O270" s="508"/>
      <c r="P270" s="508"/>
      <c r="Q270" s="508"/>
      <c r="R270" s="508"/>
      <c r="S270" s="508"/>
      <c r="T270" s="508"/>
      <c r="U270" s="508"/>
      <c r="V270" s="508"/>
      <c r="W270" s="508"/>
      <c r="X270" s="508"/>
      <c r="Y270" s="508"/>
      <c r="Z270" s="508"/>
    </row>
    <row r="271" ht="13.5" customHeight="1">
      <c r="A271" s="426"/>
      <c r="B271" s="508"/>
      <c r="C271" s="508"/>
      <c r="D271" s="508"/>
      <c r="E271" s="508"/>
      <c r="F271" s="426"/>
      <c r="G271" s="426"/>
      <c r="H271" s="426"/>
      <c r="I271" s="426"/>
      <c r="J271" s="508"/>
      <c r="K271" s="508"/>
      <c r="L271" s="508"/>
      <c r="M271" s="508"/>
      <c r="N271" s="508"/>
      <c r="O271" s="508"/>
      <c r="P271" s="508"/>
      <c r="Q271" s="508"/>
      <c r="R271" s="508"/>
      <c r="S271" s="508"/>
      <c r="T271" s="508"/>
      <c r="U271" s="508"/>
      <c r="V271" s="508"/>
      <c r="W271" s="508"/>
      <c r="X271" s="508"/>
      <c r="Y271" s="508"/>
      <c r="Z271" s="508"/>
    </row>
    <row r="272" ht="13.5" customHeight="1">
      <c r="A272" s="426"/>
      <c r="B272" s="508"/>
      <c r="C272" s="508"/>
      <c r="D272" s="508"/>
      <c r="E272" s="508"/>
      <c r="F272" s="426"/>
      <c r="G272" s="426"/>
      <c r="H272" s="426"/>
      <c r="I272" s="426"/>
      <c r="J272" s="508"/>
      <c r="K272" s="508"/>
      <c r="L272" s="508"/>
      <c r="M272" s="508"/>
      <c r="N272" s="508"/>
      <c r="O272" s="508"/>
      <c r="P272" s="508"/>
      <c r="Q272" s="508"/>
      <c r="R272" s="508"/>
      <c r="S272" s="508"/>
      <c r="T272" s="508"/>
      <c r="U272" s="508"/>
      <c r="V272" s="508"/>
      <c r="W272" s="508"/>
      <c r="X272" s="508"/>
      <c r="Y272" s="508"/>
      <c r="Z272" s="508"/>
    </row>
    <row r="273" ht="13.5" customHeight="1">
      <c r="A273" s="426"/>
      <c r="B273" s="508"/>
      <c r="C273" s="508"/>
      <c r="D273" s="508"/>
      <c r="E273" s="508"/>
      <c r="F273" s="426"/>
      <c r="G273" s="426"/>
      <c r="H273" s="426"/>
      <c r="I273" s="426"/>
      <c r="J273" s="508"/>
      <c r="K273" s="508"/>
      <c r="L273" s="508"/>
      <c r="M273" s="508"/>
      <c r="N273" s="508"/>
      <c r="O273" s="508"/>
      <c r="P273" s="508"/>
      <c r="Q273" s="508"/>
      <c r="R273" s="508"/>
      <c r="S273" s="508"/>
      <c r="T273" s="508"/>
      <c r="U273" s="508"/>
      <c r="V273" s="508"/>
      <c r="W273" s="508"/>
      <c r="X273" s="508"/>
      <c r="Y273" s="508"/>
      <c r="Z273" s="508"/>
    </row>
    <row r="274" ht="13.5" customHeight="1">
      <c r="A274" s="426"/>
      <c r="B274" s="508"/>
      <c r="C274" s="508"/>
      <c r="D274" s="508"/>
      <c r="E274" s="508"/>
      <c r="F274" s="426"/>
      <c r="G274" s="426"/>
      <c r="H274" s="426"/>
      <c r="I274" s="426"/>
      <c r="J274" s="508"/>
      <c r="K274" s="508"/>
      <c r="L274" s="508"/>
      <c r="M274" s="508"/>
      <c r="N274" s="508"/>
      <c r="O274" s="508"/>
      <c r="P274" s="508"/>
      <c r="Q274" s="508"/>
      <c r="R274" s="508"/>
      <c r="S274" s="508"/>
      <c r="T274" s="508"/>
      <c r="U274" s="508"/>
      <c r="V274" s="508"/>
      <c r="W274" s="508"/>
      <c r="X274" s="508"/>
      <c r="Y274" s="508"/>
      <c r="Z274" s="508"/>
    </row>
    <row r="275" ht="13.5" customHeight="1">
      <c r="A275" s="426"/>
      <c r="B275" s="508"/>
      <c r="C275" s="508"/>
      <c r="D275" s="508"/>
      <c r="E275" s="508"/>
      <c r="F275" s="426"/>
      <c r="G275" s="426"/>
      <c r="H275" s="426"/>
      <c r="I275" s="426"/>
      <c r="J275" s="508"/>
      <c r="K275" s="508"/>
      <c r="L275" s="508"/>
      <c r="M275" s="508"/>
      <c r="N275" s="508"/>
      <c r="O275" s="508"/>
      <c r="P275" s="508"/>
      <c r="Q275" s="508"/>
      <c r="R275" s="508"/>
      <c r="S275" s="508"/>
      <c r="T275" s="508"/>
      <c r="U275" s="508"/>
      <c r="V275" s="508"/>
      <c r="W275" s="508"/>
      <c r="X275" s="508"/>
      <c r="Y275" s="508"/>
      <c r="Z275" s="508"/>
    </row>
    <row r="276" ht="13.5" customHeight="1">
      <c r="A276" s="426"/>
      <c r="B276" s="508"/>
      <c r="C276" s="508"/>
      <c r="D276" s="508"/>
      <c r="E276" s="508"/>
      <c r="F276" s="426"/>
      <c r="G276" s="426"/>
      <c r="H276" s="426"/>
      <c r="I276" s="426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  <c r="Z276" s="508"/>
    </row>
    <row r="277" ht="13.5" customHeight="1">
      <c r="A277" s="426"/>
      <c r="B277" s="508"/>
      <c r="C277" s="508"/>
      <c r="D277" s="508"/>
      <c r="E277" s="508"/>
      <c r="F277" s="426"/>
      <c r="G277" s="426"/>
      <c r="H277" s="426"/>
      <c r="I277" s="426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</row>
    <row r="278" ht="13.5" customHeight="1">
      <c r="A278" s="426"/>
      <c r="B278" s="508"/>
      <c r="C278" s="508"/>
      <c r="D278" s="508"/>
      <c r="E278" s="508"/>
      <c r="F278" s="426"/>
      <c r="G278" s="426"/>
      <c r="H278" s="426"/>
      <c r="I278" s="426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</row>
    <row r="279" ht="13.5" customHeight="1">
      <c r="A279" s="426"/>
      <c r="B279" s="508"/>
      <c r="C279" s="508"/>
      <c r="D279" s="508"/>
      <c r="E279" s="508"/>
      <c r="F279" s="426"/>
      <c r="G279" s="426"/>
      <c r="H279" s="426"/>
      <c r="I279" s="426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  <c r="Z279" s="508"/>
    </row>
    <row r="280" ht="13.5" customHeight="1">
      <c r="A280" s="426"/>
      <c r="B280" s="508"/>
      <c r="C280" s="508"/>
      <c r="D280" s="508"/>
      <c r="E280" s="508"/>
      <c r="F280" s="426"/>
      <c r="G280" s="426"/>
      <c r="H280" s="426"/>
      <c r="I280" s="426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  <c r="Z280" s="508"/>
    </row>
    <row r="281" ht="13.5" customHeight="1">
      <c r="A281" s="426"/>
      <c r="B281" s="508"/>
      <c r="C281" s="508"/>
      <c r="D281" s="508"/>
      <c r="E281" s="508"/>
      <c r="F281" s="426"/>
      <c r="G281" s="426"/>
      <c r="H281" s="426"/>
      <c r="I281" s="426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</row>
    <row r="282" ht="13.5" customHeight="1">
      <c r="A282" s="426"/>
      <c r="B282" s="508"/>
      <c r="C282" s="508"/>
      <c r="D282" s="508"/>
      <c r="E282" s="508"/>
      <c r="F282" s="426"/>
      <c r="G282" s="426"/>
      <c r="H282" s="426"/>
      <c r="I282" s="426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</row>
    <row r="283" ht="13.5" customHeight="1">
      <c r="A283" s="426"/>
      <c r="B283" s="508"/>
      <c r="C283" s="508"/>
      <c r="D283" s="508"/>
      <c r="E283" s="508"/>
      <c r="F283" s="426"/>
      <c r="G283" s="426"/>
      <c r="H283" s="426"/>
      <c r="I283" s="426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</row>
    <row r="284" ht="13.5" customHeight="1">
      <c r="A284" s="426"/>
      <c r="B284" s="508"/>
      <c r="C284" s="508"/>
      <c r="D284" s="508"/>
      <c r="E284" s="508"/>
      <c r="F284" s="426"/>
      <c r="G284" s="426"/>
      <c r="H284" s="426"/>
      <c r="I284" s="426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</row>
    <row r="285" ht="13.5" customHeight="1">
      <c r="A285" s="426"/>
      <c r="B285" s="508"/>
      <c r="C285" s="508"/>
      <c r="D285" s="508"/>
      <c r="E285" s="508"/>
      <c r="F285" s="426"/>
      <c r="G285" s="426"/>
      <c r="H285" s="426"/>
      <c r="I285" s="426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</row>
    <row r="286" ht="13.5" customHeight="1">
      <c r="A286" s="426"/>
      <c r="B286" s="508"/>
      <c r="C286" s="508"/>
      <c r="D286" s="508"/>
      <c r="E286" s="508"/>
      <c r="F286" s="426"/>
      <c r="G286" s="426"/>
      <c r="H286" s="426"/>
      <c r="I286" s="426"/>
      <c r="J286" s="508"/>
      <c r="K286" s="508"/>
      <c r="L286" s="508"/>
      <c r="M286" s="508"/>
      <c r="N286" s="508"/>
      <c r="O286" s="508"/>
      <c r="P286" s="508"/>
      <c r="Q286" s="508"/>
      <c r="R286" s="508"/>
      <c r="S286" s="508"/>
      <c r="T286" s="508"/>
      <c r="U286" s="508"/>
      <c r="V286" s="508"/>
      <c r="W286" s="508"/>
      <c r="X286" s="508"/>
      <c r="Y286" s="508"/>
      <c r="Z286" s="508"/>
    </row>
    <row r="287" ht="13.5" customHeight="1">
      <c r="A287" s="426"/>
      <c r="B287" s="508"/>
      <c r="C287" s="508"/>
      <c r="D287" s="508"/>
      <c r="E287" s="508"/>
      <c r="F287" s="426"/>
      <c r="G287" s="426"/>
      <c r="H287" s="426"/>
      <c r="I287" s="426"/>
      <c r="J287" s="508"/>
      <c r="K287" s="508"/>
      <c r="L287" s="508"/>
      <c r="M287" s="508"/>
      <c r="N287" s="508"/>
      <c r="O287" s="508"/>
      <c r="P287" s="508"/>
      <c r="Q287" s="508"/>
      <c r="R287" s="508"/>
      <c r="S287" s="508"/>
      <c r="T287" s="508"/>
      <c r="U287" s="508"/>
      <c r="V287" s="508"/>
      <c r="W287" s="508"/>
      <c r="X287" s="508"/>
      <c r="Y287" s="508"/>
      <c r="Z287" s="508"/>
    </row>
    <row r="288" ht="13.5" customHeight="1">
      <c r="A288" s="426"/>
      <c r="B288" s="508"/>
      <c r="C288" s="508"/>
      <c r="D288" s="508"/>
      <c r="E288" s="508"/>
      <c r="F288" s="426"/>
      <c r="G288" s="426"/>
      <c r="H288" s="426"/>
      <c r="I288" s="426"/>
      <c r="J288" s="508"/>
      <c r="K288" s="508"/>
      <c r="L288" s="508"/>
      <c r="M288" s="508"/>
      <c r="N288" s="508"/>
      <c r="O288" s="508"/>
      <c r="P288" s="508"/>
      <c r="Q288" s="508"/>
      <c r="R288" s="508"/>
      <c r="S288" s="508"/>
      <c r="T288" s="508"/>
      <c r="U288" s="508"/>
      <c r="V288" s="508"/>
      <c r="W288" s="508"/>
      <c r="X288" s="508"/>
      <c r="Y288" s="508"/>
      <c r="Z288" s="508"/>
    </row>
    <row r="289" ht="13.5" customHeight="1">
      <c r="A289" s="426"/>
      <c r="B289" s="508"/>
      <c r="C289" s="508"/>
      <c r="D289" s="508"/>
      <c r="E289" s="508"/>
      <c r="F289" s="426"/>
      <c r="G289" s="426"/>
      <c r="H289" s="426"/>
      <c r="I289" s="426"/>
      <c r="J289" s="508"/>
      <c r="K289" s="508"/>
      <c r="L289" s="508"/>
      <c r="M289" s="508"/>
      <c r="N289" s="508"/>
      <c r="O289" s="508"/>
      <c r="P289" s="508"/>
      <c r="Q289" s="508"/>
      <c r="R289" s="508"/>
      <c r="S289" s="508"/>
      <c r="T289" s="508"/>
      <c r="U289" s="508"/>
      <c r="V289" s="508"/>
      <c r="W289" s="508"/>
      <c r="X289" s="508"/>
      <c r="Y289" s="508"/>
      <c r="Z289" s="508"/>
    </row>
    <row r="290" ht="13.5" customHeight="1">
      <c r="A290" s="426"/>
      <c r="B290" s="508"/>
      <c r="C290" s="508"/>
      <c r="D290" s="508"/>
      <c r="E290" s="508"/>
      <c r="F290" s="426"/>
      <c r="G290" s="426"/>
      <c r="H290" s="426"/>
      <c r="I290" s="426"/>
      <c r="J290" s="508"/>
      <c r="K290" s="508"/>
      <c r="L290" s="508"/>
      <c r="M290" s="508"/>
      <c r="N290" s="508"/>
      <c r="O290" s="508"/>
      <c r="P290" s="508"/>
      <c r="Q290" s="508"/>
      <c r="R290" s="508"/>
      <c r="S290" s="508"/>
      <c r="T290" s="508"/>
      <c r="U290" s="508"/>
      <c r="V290" s="508"/>
      <c r="W290" s="508"/>
      <c r="X290" s="508"/>
      <c r="Y290" s="508"/>
      <c r="Z290" s="508"/>
    </row>
    <row r="291" ht="13.5" customHeight="1">
      <c r="A291" s="426"/>
      <c r="B291" s="508"/>
      <c r="C291" s="508"/>
      <c r="D291" s="508"/>
      <c r="E291" s="508"/>
      <c r="F291" s="426"/>
      <c r="G291" s="426"/>
      <c r="H291" s="426"/>
      <c r="I291" s="426"/>
      <c r="J291" s="508"/>
      <c r="K291" s="508"/>
      <c r="L291" s="508"/>
      <c r="M291" s="508"/>
      <c r="N291" s="508"/>
      <c r="O291" s="508"/>
      <c r="P291" s="508"/>
      <c r="Q291" s="508"/>
      <c r="R291" s="508"/>
      <c r="S291" s="508"/>
      <c r="T291" s="508"/>
      <c r="U291" s="508"/>
      <c r="V291" s="508"/>
      <c r="W291" s="508"/>
      <c r="X291" s="508"/>
      <c r="Y291" s="508"/>
      <c r="Z291" s="508"/>
    </row>
    <row r="292" ht="13.5" customHeight="1">
      <c r="A292" s="426"/>
      <c r="B292" s="508"/>
      <c r="C292" s="508"/>
      <c r="D292" s="508"/>
      <c r="E292" s="508"/>
      <c r="F292" s="426"/>
      <c r="G292" s="426"/>
      <c r="H292" s="426"/>
      <c r="I292" s="426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508"/>
      <c r="Y292" s="508"/>
      <c r="Z292" s="508"/>
    </row>
    <row r="293" ht="13.5" customHeight="1">
      <c r="A293" s="426"/>
      <c r="B293" s="508"/>
      <c r="C293" s="508"/>
      <c r="D293" s="508"/>
      <c r="E293" s="508"/>
      <c r="F293" s="426"/>
      <c r="G293" s="426"/>
      <c r="H293" s="426"/>
      <c r="I293" s="426"/>
      <c r="J293" s="508"/>
      <c r="K293" s="508"/>
      <c r="L293" s="508"/>
      <c r="M293" s="508"/>
      <c r="N293" s="508"/>
      <c r="O293" s="508"/>
      <c r="P293" s="508"/>
      <c r="Q293" s="508"/>
      <c r="R293" s="508"/>
      <c r="S293" s="508"/>
      <c r="T293" s="508"/>
      <c r="U293" s="508"/>
      <c r="V293" s="508"/>
      <c r="W293" s="508"/>
      <c r="X293" s="508"/>
      <c r="Y293" s="508"/>
      <c r="Z293" s="508"/>
    </row>
    <row r="294" ht="13.5" customHeight="1">
      <c r="A294" s="426"/>
      <c r="B294" s="508"/>
      <c r="C294" s="508"/>
      <c r="D294" s="508"/>
      <c r="E294" s="508"/>
      <c r="F294" s="426"/>
      <c r="G294" s="426"/>
      <c r="H294" s="426"/>
      <c r="I294" s="426"/>
      <c r="J294" s="508"/>
      <c r="K294" s="508"/>
      <c r="L294" s="508"/>
      <c r="M294" s="508"/>
      <c r="N294" s="508"/>
      <c r="O294" s="508"/>
      <c r="P294" s="508"/>
      <c r="Q294" s="508"/>
      <c r="R294" s="508"/>
      <c r="S294" s="508"/>
      <c r="T294" s="508"/>
      <c r="U294" s="508"/>
      <c r="V294" s="508"/>
      <c r="W294" s="508"/>
      <c r="X294" s="508"/>
      <c r="Y294" s="508"/>
      <c r="Z294" s="508"/>
    </row>
    <row r="295" ht="13.5" customHeight="1">
      <c r="A295" s="426"/>
      <c r="B295" s="508"/>
      <c r="C295" s="508"/>
      <c r="D295" s="508"/>
      <c r="E295" s="508"/>
      <c r="F295" s="426"/>
      <c r="G295" s="426"/>
      <c r="H295" s="426"/>
      <c r="I295" s="426"/>
      <c r="J295" s="508"/>
      <c r="K295" s="508"/>
      <c r="L295" s="508"/>
      <c r="M295" s="508"/>
      <c r="N295" s="508"/>
      <c r="O295" s="508"/>
      <c r="P295" s="508"/>
      <c r="Q295" s="508"/>
      <c r="R295" s="508"/>
      <c r="S295" s="508"/>
      <c r="T295" s="508"/>
      <c r="U295" s="508"/>
      <c r="V295" s="508"/>
      <c r="W295" s="508"/>
      <c r="X295" s="508"/>
      <c r="Y295" s="508"/>
      <c r="Z295" s="508"/>
    </row>
    <row r="296" ht="13.5" customHeight="1">
      <c r="A296" s="426"/>
      <c r="B296" s="508"/>
      <c r="C296" s="508"/>
      <c r="D296" s="508"/>
      <c r="E296" s="508"/>
      <c r="F296" s="426"/>
      <c r="G296" s="426"/>
      <c r="H296" s="426"/>
      <c r="I296" s="426"/>
      <c r="J296" s="508"/>
      <c r="K296" s="508"/>
      <c r="L296" s="508"/>
      <c r="M296" s="508"/>
      <c r="N296" s="508"/>
      <c r="O296" s="508"/>
      <c r="P296" s="508"/>
      <c r="Q296" s="508"/>
      <c r="R296" s="508"/>
      <c r="S296" s="508"/>
      <c r="T296" s="508"/>
      <c r="U296" s="508"/>
      <c r="V296" s="508"/>
      <c r="W296" s="508"/>
      <c r="X296" s="508"/>
      <c r="Y296" s="508"/>
      <c r="Z296" s="508"/>
    </row>
    <row r="297" ht="13.5" customHeight="1">
      <c r="A297" s="426"/>
      <c r="B297" s="508"/>
      <c r="C297" s="508"/>
      <c r="D297" s="508"/>
      <c r="E297" s="508"/>
      <c r="F297" s="426"/>
      <c r="G297" s="426"/>
      <c r="H297" s="426"/>
      <c r="I297" s="426"/>
      <c r="J297" s="508"/>
      <c r="K297" s="508"/>
      <c r="L297" s="508"/>
      <c r="M297" s="508"/>
      <c r="N297" s="508"/>
      <c r="O297" s="508"/>
      <c r="P297" s="508"/>
      <c r="Q297" s="508"/>
      <c r="R297" s="508"/>
      <c r="S297" s="508"/>
      <c r="T297" s="508"/>
      <c r="U297" s="508"/>
      <c r="V297" s="508"/>
      <c r="W297" s="508"/>
      <c r="X297" s="508"/>
      <c r="Y297" s="508"/>
      <c r="Z297" s="508"/>
    </row>
    <row r="298" ht="13.5" customHeight="1">
      <c r="A298" s="426"/>
      <c r="B298" s="508"/>
      <c r="C298" s="508"/>
      <c r="D298" s="508"/>
      <c r="E298" s="508"/>
      <c r="F298" s="426"/>
      <c r="G298" s="426"/>
      <c r="H298" s="426"/>
      <c r="I298" s="426"/>
      <c r="J298" s="508"/>
      <c r="K298" s="508"/>
      <c r="L298" s="508"/>
      <c r="M298" s="508"/>
      <c r="N298" s="508"/>
      <c r="O298" s="508"/>
      <c r="P298" s="508"/>
      <c r="Q298" s="508"/>
      <c r="R298" s="508"/>
      <c r="S298" s="508"/>
      <c r="T298" s="508"/>
      <c r="U298" s="508"/>
      <c r="V298" s="508"/>
      <c r="W298" s="508"/>
      <c r="X298" s="508"/>
      <c r="Y298" s="508"/>
      <c r="Z298" s="508"/>
    </row>
    <row r="299" ht="13.5" customHeight="1">
      <c r="A299" s="426"/>
      <c r="B299" s="508"/>
      <c r="C299" s="508"/>
      <c r="D299" s="508"/>
      <c r="E299" s="508"/>
      <c r="F299" s="426"/>
      <c r="G299" s="426"/>
      <c r="H299" s="426"/>
      <c r="I299" s="426"/>
      <c r="J299" s="508"/>
      <c r="K299" s="508"/>
      <c r="L299" s="508"/>
      <c r="M299" s="508"/>
      <c r="N299" s="508"/>
      <c r="O299" s="508"/>
      <c r="P299" s="508"/>
      <c r="Q299" s="508"/>
      <c r="R299" s="508"/>
      <c r="S299" s="508"/>
      <c r="T299" s="508"/>
      <c r="U299" s="508"/>
      <c r="V299" s="508"/>
      <c r="W299" s="508"/>
      <c r="X299" s="508"/>
      <c r="Y299" s="508"/>
      <c r="Z299" s="508"/>
    </row>
    <row r="300" ht="13.5" customHeight="1">
      <c r="A300" s="426"/>
      <c r="B300" s="508"/>
      <c r="C300" s="508"/>
      <c r="D300" s="508"/>
      <c r="E300" s="508"/>
      <c r="F300" s="426"/>
      <c r="G300" s="426"/>
      <c r="H300" s="426"/>
      <c r="I300" s="426"/>
      <c r="J300" s="508"/>
      <c r="K300" s="508"/>
      <c r="L300" s="508"/>
      <c r="M300" s="508"/>
      <c r="N300" s="508"/>
      <c r="O300" s="508"/>
      <c r="P300" s="508"/>
      <c r="Q300" s="508"/>
      <c r="R300" s="508"/>
      <c r="S300" s="508"/>
      <c r="T300" s="508"/>
      <c r="U300" s="508"/>
      <c r="V300" s="508"/>
      <c r="W300" s="508"/>
      <c r="X300" s="508"/>
      <c r="Y300" s="508"/>
      <c r="Z300" s="508"/>
    </row>
    <row r="301" ht="13.5" customHeight="1">
      <c r="A301" s="426"/>
      <c r="B301" s="508"/>
      <c r="C301" s="508"/>
      <c r="D301" s="508"/>
      <c r="E301" s="508"/>
      <c r="F301" s="426"/>
      <c r="G301" s="426"/>
      <c r="H301" s="426"/>
      <c r="I301" s="426"/>
      <c r="J301" s="508"/>
      <c r="K301" s="508"/>
      <c r="L301" s="508"/>
      <c r="M301" s="508"/>
      <c r="N301" s="508"/>
      <c r="O301" s="508"/>
      <c r="P301" s="508"/>
      <c r="Q301" s="508"/>
      <c r="R301" s="508"/>
      <c r="S301" s="508"/>
      <c r="T301" s="508"/>
      <c r="U301" s="508"/>
      <c r="V301" s="508"/>
      <c r="W301" s="508"/>
      <c r="X301" s="508"/>
      <c r="Y301" s="508"/>
      <c r="Z301" s="508"/>
    </row>
    <row r="302" ht="13.5" customHeight="1">
      <c r="A302" s="426"/>
      <c r="B302" s="508"/>
      <c r="C302" s="508"/>
      <c r="D302" s="508"/>
      <c r="E302" s="508"/>
      <c r="F302" s="426"/>
      <c r="G302" s="426"/>
      <c r="H302" s="426"/>
      <c r="I302" s="426"/>
      <c r="J302" s="508"/>
      <c r="K302" s="508"/>
      <c r="L302" s="508"/>
      <c r="M302" s="508"/>
      <c r="N302" s="508"/>
      <c r="O302" s="508"/>
      <c r="P302" s="508"/>
      <c r="Q302" s="508"/>
      <c r="R302" s="508"/>
      <c r="S302" s="508"/>
      <c r="T302" s="508"/>
      <c r="U302" s="508"/>
      <c r="V302" s="508"/>
      <c r="W302" s="508"/>
      <c r="X302" s="508"/>
      <c r="Y302" s="508"/>
      <c r="Z302" s="508"/>
    </row>
    <row r="303" ht="13.5" customHeight="1">
      <c r="A303" s="426"/>
      <c r="B303" s="508"/>
      <c r="C303" s="508"/>
      <c r="D303" s="508"/>
      <c r="E303" s="508"/>
      <c r="F303" s="426"/>
      <c r="G303" s="426"/>
      <c r="H303" s="426"/>
      <c r="I303" s="426"/>
      <c r="J303" s="508"/>
      <c r="K303" s="508"/>
      <c r="L303" s="508"/>
      <c r="M303" s="508"/>
      <c r="N303" s="508"/>
      <c r="O303" s="508"/>
      <c r="P303" s="508"/>
      <c r="Q303" s="508"/>
      <c r="R303" s="508"/>
      <c r="S303" s="508"/>
      <c r="T303" s="508"/>
      <c r="U303" s="508"/>
      <c r="V303" s="508"/>
      <c r="W303" s="508"/>
      <c r="X303" s="508"/>
      <c r="Y303" s="508"/>
      <c r="Z303" s="508"/>
    </row>
    <row r="304" ht="13.5" customHeight="1">
      <c r="A304" s="426"/>
      <c r="B304" s="508"/>
      <c r="C304" s="508"/>
      <c r="D304" s="508"/>
      <c r="E304" s="508"/>
      <c r="F304" s="426"/>
      <c r="G304" s="426"/>
      <c r="H304" s="426"/>
      <c r="I304" s="426"/>
      <c r="J304" s="508"/>
      <c r="K304" s="508"/>
      <c r="L304" s="508"/>
      <c r="M304" s="508"/>
      <c r="N304" s="508"/>
      <c r="O304" s="508"/>
      <c r="P304" s="508"/>
      <c r="Q304" s="508"/>
      <c r="R304" s="508"/>
      <c r="S304" s="508"/>
      <c r="T304" s="508"/>
      <c r="U304" s="508"/>
      <c r="V304" s="508"/>
      <c r="W304" s="508"/>
      <c r="X304" s="508"/>
      <c r="Y304" s="508"/>
      <c r="Z304" s="508"/>
    </row>
    <row r="305" ht="13.5" customHeight="1">
      <c r="A305" s="426"/>
      <c r="B305" s="508"/>
      <c r="C305" s="508"/>
      <c r="D305" s="508"/>
      <c r="E305" s="508"/>
      <c r="F305" s="426"/>
      <c r="G305" s="426"/>
      <c r="H305" s="426"/>
      <c r="I305" s="426"/>
      <c r="J305" s="508"/>
      <c r="K305" s="508"/>
      <c r="L305" s="508"/>
      <c r="M305" s="508"/>
      <c r="N305" s="508"/>
      <c r="O305" s="508"/>
      <c r="P305" s="508"/>
      <c r="Q305" s="508"/>
      <c r="R305" s="508"/>
      <c r="S305" s="508"/>
      <c r="T305" s="508"/>
      <c r="U305" s="508"/>
      <c r="V305" s="508"/>
      <c r="W305" s="508"/>
      <c r="X305" s="508"/>
      <c r="Y305" s="508"/>
      <c r="Z305" s="508"/>
    </row>
    <row r="306" ht="13.5" customHeight="1">
      <c r="A306" s="426"/>
      <c r="B306" s="508"/>
      <c r="C306" s="508"/>
      <c r="D306" s="508"/>
      <c r="E306" s="508"/>
      <c r="F306" s="426"/>
      <c r="G306" s="426"/>
      <c r="H306" s="426"/>
      <c r="I306" s="426"/>
      <c r="J306" s="508"/>
      <c r="K306" s="508"/>
      <c r="L306" s="508"/>
      <c r="M306" s="508"/>
      <c r="N306" s="508"/>
      <c r="O306" s="508"/>
      <c r="P306" s="508"/>
      <c r="Q306" s="508"/>
      <c r="R306" s="508"/>
      <c r="S306" s="508"/>
      <c r="T306" s="508"/>
      <c r="U306" s="508"/>
      <c r="V306" s="508"/>
      <c r="W306" s="508"/>
      <c r="X306" s="508"/>
      <c r="Y306" s="508"/>
      <c r="Z306" s="508"/>
    </row>
    <row r="307" ht="13.5" customHeight="1">
      <c r="A307" s="426"/>
      <c r="B307" s="508"/>
      <c r="C307" s="508"/>
      <c r="D307" s="508"/>
      <c r="E307" s="508"/>
      <c r="F307" s="426"/>
      <c r="G307" s="426"/>
      <c r="H307" s="426"/>
      <c r="I307" s="426"/>
      <c r="J307" s="508"/>
      <c r="K307" s="508"/>
      <c r="L307" s="508"/>
      <c r="M307" s="508"/>
      <c r="N307" s="508"/>
      <c r="O307" s="508"/>
      <c r="P307" s="508"/>
      <c r="Q307" s="508"/>
      <c r="R307" s="508"/>
      <c r="S307" s="508"/>
      <c r="T307" s="508"/>
      <c r="U307" s="508"/>
      <c r="V307" s="508"/>
      <c r="W307" s="508"/>
      <c r="X307" s="508"/>
      <c r="Y307" s="508"/>
      <c r="Z307" s="508"/>
    </row>
    <row r="308" ht="13.5" customHeight="1">
      <c r="A308" s="426"/>
      <c r="B308" s="508"/>
      <c r="C308" s="508"/>
      <c r="D308" s="508"/>
      <c r="E308" s="508"/>
      <c r="F308" s="426"/>
      <c r="G308" s="426"/>
      <c r="H308" s="426"/>
      <c r="I308" s="426"/>
      <c r="J308" s="508"/>
      <c r="K308" s="508"/>
      <c r="L308" s="508"/>
      <c r="M308" s="508"/>
      <c r="N308" s="508"/>
      <c r="O308" s="508"/>
      <c r="P308" s="508"/>
      <c r="Q308" s="508"/>
      <c r="R308" s="508"/>
      <c r="S308" s="508"/>
      <c r="T308" s="508"/>
      <c r="U308" s="508"/>
      <c r="V308" s="508"/>
      <c r="W308" s="508"/>
      <c r="X308" s="508"/>
      <c r="Y308" s="508"/>
      <c r="Z308" s="508"/>
    </row>
    <row r="309" ht="13.5" customHeight="1">
      <c r="A309" s="426"/>
      <c r="B309" s="508"/>
      <c r="C309" s="508"/>
      <c r="D309" s="508"/>
      <c r="E309" s="508"/>
      <c r="F309" s="426"/>
      <c r="G309" s="426"/>
      <c r="H309" s="426"/>
      <c r="I309" s="426"/>
      <c r="J309" s="508"/>
      <c r="K309" s="508"/>
      <c r="L309" s="508"/>
      <c r="M309" s="508"/>
      <c r="N309" s="508"/>
      <c r="O309" s="508"/>
      <c r="P309" s="508"/>
      <c r="Q309" s="508"/>
      <c r="R309" s="508"/>
      <c r="S309" s="508"/>
      <c r="T309" s="508"/>
      <c r="U309" s="508"/>
      <c r="V309" s="508"/>
      <c r="W309" s="508"/>
      <c r="X309" s="508"/>
      <c r="Y309" s="508"/>
      <c r="Z309" s="508"/>
    </row>
    <row r="310" ht="13.5" customHeight="1">
      <c r="A310" s="426"/>
      <c r="B310" s="508"/>
      <c r="C310" s="508"/>
      <c r="D310" s="508"/>
      <c r="E310" s="508"/>
      <c r="F310" s="426"/>
      <c r="G310" s="426"/>
      <c r="H310" s="426"/>
      <c r="I310" s="426"/>
      <c r="J310" s="508"/>
      <c r="K310" s="508"/>
      <c r="L310" s="508"/>
      <c r="M310" s="508"/>
      <c r="N310" s="508"/>
      <c r="O310" s="508"/>
      <c r="P310" s="508"/>
      <c r="Q310" s="508"/>
      <c r="R310" s="508"/>
      <c r="S310" s="508"/>
      <c r="T310" s="508"/>
      <c r="U310" s="508"/>
      <c r="V310" s="508"/>
      <c r="W310" s="508"/>
      <c r="X310" s="508"/>
      <c r="Y310" s="508"/>
      <c r="Z310" s="508"/>
    </row>
    <row r="311" ht="13.5" customHeight="1">
      <c r="A311" s="426"/>
      <c r="B311" s="508"/>
      <c r="C311" s="508"/>
      <c r="D311" s="508"/>
      <c r="E311" s="508"/>
      <c r="F311" s="426"/>
      <c r="G311" s="426"/>
      <c r="H311" s="426"/>
      <c r="I311" s="426"/>
      <c r="J311" s="508"/>
      <c r="K311" s="508"/>
      <c r="L311" s="508"/>
      <c r="M311" s="508"/>
      <c r="N311" s="508"/>
      <c r="O311" s="508"/>
      <c r="P311" s="508"/>
      <c r="Q311" s="508"/>
      <c r="R311" s="508"/>
      <c r="S311" s="508"/>
      <c r="T311" s="508"/>
      <c r="U311" s="508"/>
      <c r="V311" s="508"/>
      <c r="W311" s="508"/>
      <c r="X311" s="508"/>
      <c r="Y311" s="508"/>
      <c r="Z311" s="508"/>
    </row>
    <row r="312" ht="13.5" customHeight="1">
      <c r="A312" s="426"/>
      <c r="B312" s="508"/>
      <c r="C312" s="508"/>
      <c r="D312" s="508"/>
      <c r="E312" s="508"/>
      <c r="F312" s="426"/>
      <c r="G312" s="426"/>
      <c r="H312" s="426"/>
      <c r="I312" s="426"/>
      <c r="J312" s="508"/>
      <c r="K312" s="508"/>
      <c r="L312" s="508"/>
      <c r="M312" s="508"/>
      <c r="N312" s="508"/>
      <c r="O312" s="508"/>
      <c r="P312" s="508"/>
      <c r="Q312" s="508"/>
      <c r="R312" s="508"/>
      <c r="S312" s="508"/>
      <c r="T312" s="508"/>
      <c r="U312" s="508"/>
      <c r="V312" s="508"/>
      <c r="W312" s="508"/>
      <c r="X312" s="508"/>
      <c r="Y312" s="508"/>
      <c r="Z312" s="508"/>
    </row>
    <row r="313" ht="13.5" customHeight="1">
      <c r="A313" s="426"/>
      <c r="B313" s="508"/>
      <c r="C313" s="508"/>
      <c r="D313" s="508"/>
      <c r="E313" s="508"/>
      <c r="F313" s="426"/>
      <c r="G313" s="426"/>
      <c r="H313" s="426"/>
      <c r="I313" s="426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  <c r="Z313" s="508"/>
    </row>
    <row r="314" ht="13.5" customHeight="1">
      <c r="A314" s="426"/>
      <c r="B314" s="508"/>
      <c r="C314" s="508"/>
      <c r="D314" s="508"/>
      <c r="E314" s="508"/>
      <c r="F314" s="426"/>
      <c r="G314" s="426"/>
      <c r="H314" s="426"/>
      <c r="I314" s="426"/>
      <c r="J314" s="508"/>
      <c r="K314" s="508"/>
      <c r="L314" s="508"/>
      <c r="M314" s="508"/>
      <c r="N314" s="508"/>
      <c r="O314" s="508"/>
      <c r="P314" s="508"/>
      <c r="Q314" s="508"/>
      <c r="R314" s="508"/>
      <c r="S314" s="508"/>
      <c r="T314" s="508"/>
      <c r="U314" s="508"/>
      <c r="V314" s="508"/>
      <c r="W314" s="508"/>
      <c r="X314" s="508"/>
      <c r="Y314" s="508"/>
      <c r="Z314" s="508"/>
    </row>
    <row r="315" ht="13.5" customHeight="1">
      <c r="A315" s="426"/>
      <c r="B315" s="508"/>
      <c r="C315" s="508"/>
      <c r="D315" s="508"/>
      <c r="E315" s="508"/>
      <c r="F315" s="426"/>
      <c r="G315" s="426"/>
      <c r="H315" s="426"/>
      <c r="I315" s="426"/>
      <c r="J315" s="508"/>
      <c r="K315" s="508"/>
      <c r="L315" s="508"/>
      <c r="M315" s="508"/>
      <c r="N315" s="508"/>
      <c r="O315" s="508"/>
      <c r="P315" s="508"/>
      <c r="Q315" s="508"/>
      <c r="R315" s="508"/>
      <c r="S315" s="508"/>
      <c r="T315" s="508"/>
      <c r="U315" s="508"/>
      <c r="V315" s="508"/>
      <c r="W315" s="508"/>
      <c r="X315" s="508"/>
      <c r="Y315" s="508"/>
      <c r="Z315" s="508"/>
    </row>
    <row r="316" ht="13.5" customHeight="1">
      <c r="A316" s="426"/>
      <c r="B316" s="508"/>
      <c r="C316" s="508"/>
      <c r="D316" s="508"/>
      <c r="E316" s="508"/>
      <c r="F316" s="426"/>
      <c r="G316" s="426"/>
      <c r="H316" s="426"/>
      <c r="I316" s="426"/>
      <c r="J316" s="508"/>
      <c r="K316" s="508"/>
      <c r="L316" s="508"/>
      <c r="M316" s="508"/>
      <c r="N316" s="508"/>
      <c r="O316" s="508"/>
      <c r="P316" s="508"/>
      <c r="Q316" s="508"/>
      <c r="R316" s="508"/>
      <c r="S316" s="508"/>
      <c r="T316" s="508"/>
      <c r="U316" s="508"/>
      <c r="V316" s="508"/>
      <c r="W316" s="508"/>
      <c r="X316" s="508"/>
      <c r="Y316" s="508"/>
      <c r="Z316" s="508"/>
    </row>
    <row r="317" ht="13.5" customHeight="1">
      <c r="A317" s="426"/>
      <c r="B317" s="508"/>
      <c r="C317" s="508"/>
      <c r="D317" s="508"/>
      <c r="E317" s="508"/>
      <c r="F317" s="426"/>
      <c r="G317" s="426"/>
      <c r="H317" s="426"/>
      <c r="I317" s="426"/>
      <c r="J317" s="508"/>
      <c r="K317" s="508"/>
      <c r="L317" s="508"/>
      <c r="M317" s="508"/>
      <c r="N317" s="508"/>
      <c r="O317" s="508"/>
      <c r="P317" s="508"/>
      <c r="Q317" s="508"/>
      <c r="R317" s="508"/>
      <c r="S317" s="508"/>
      <c r="T317" s="508"/>
      <c r="U317" s="508"/>
      <c r="V317" s="508"/>
      <c r="W317" s="508"/>
      <c r="X317" s="508"/>
      <c r="Y317" s="508"/>
      <c r="Z317" s="508"/>
    </row>
    <row r="318" ht="13.5" customHeight="1">
      <c r="A318" s="426"/>
      <c r="B318" s="508"/>
      <c r="C318" s="508"/>
      <c r="D318" s="508"/>
      <c r="E318" s="508"/>
      <c r="F318" s="426"/>
      <c r="G318" s="426"/>
      <c r="H318" s="426"/>
      <c r="I318" s="426"/>
      <c r="J318" s="508"/>
      <c r="K318" s="508"/>
      <c r="L318" s="508"/>
      <c r="M318" s="508"/>
      <c r="N318" s="508"/>
      <c r="O318" s="508"/>
      <c r="P318" s="508"/>
      <c r="Q318" s="508"/>
      <c r="R318" s="508"/>
      <c r="S318" s="508"/>
      <c r="T318" s="508"/>
      <c r="U318" s="508"/>
      <c r="V318" s="508"/>
      <c r="W318" s="508"/>
      <c r="X318" s="508"/>
      <c r="Y318" s="508"/>
      <c r="Z318" s="508"/>
    </row>
    <row r="319" ht="13.5" customHeight="1">
      <c r="A319" s="426"/>
      <c r="B319" s="508"/>
      <c r="C319" s="508"/>
      <c r="D319" s="508"/>
      <c r="E319" s="508"/>
      <c r="F319" s="426"/>
      <c r="G319" s="426"/>
      <c r="H319" s="426"/>
      <c r="I319" s="426"/>
      <c r="J319" s="508"/>
      <c r="K319" s="508"/>
      <c r="L319" s="508"/>
      <c r="M319" s="508"/>
      <c r="N319" s="508"/>
      <c r="O319" s="508"/>
      <c r="P319" s="508"/>
      <c r="Q319" s="508"/>
      <c r="R319" s="508"/>
      <c r="S319" s="508"/>
      <c r="T319" s="508"/>
      <c r="U319" s="508"/>
      <c r="V319" s="508"/>
      <c r="W319" s="508"/>
      <c r="X319" s="508"/>
      <c r="Y319" s="508"/>
      <c r="Z319" s="508"/>
    </row>
    <row r="320" ht="13.5" customHeight="1">
      <c r="A320" s="426"/>
      <c r="B320" s="508"/>
      <c r="C320" s="508"/>
      <c r="D320" s="508"/>
      <c r="E320" s="508"/>
      <c r="F320" s="426"/>
      <c r="G320" s="426"/>
      <c r="H320" s="426"/>
      <c r="I320" s="426"/>
      <c r="J320" s="508"/>
      <c r="K320" s="508"/>
      <c r="L320" s="508"/>
      <c r="M320" s="508"/>
      <c r="N320" s="508"/>
      <c r="O320" s="508"/>
      <c r="P320" s="508"/>
      <c r="Q320" s="508"/>
      <c r="R320" s="508"/>
      <c r="S320" s="508"/>
      <c r="T320" s="508"/>
      <c r="U320" s="508"/>
      <c r="V320" s="508"/>
      <c r="W320" s="508"/>
      <c r="X320" s="508"/>
      <c r="Y320" s="508"/>
      <c r="Z320" s="508"/>
    </row>
    <row r="321" ht="13.5" customHeight="1">
      <c r="A321" s="426"/>
      <c r="B321" s="508"/>
      <c r="C321" s="508"/>
      <c r="D321" s="508"/>
      <c r="E321" s="508"/>
      <c r="F321" s="426"/>
      <c r="G321" s="426"/>
      <c r="H321" s="426"/>
      <c r="I321" s="426"/>
      <c r="J321" s="508"/>
      <c r="K321" s="508"/>
      <c r="L321" s="508"/>
      <c r="M321" s="508"/>
      <c r="N321" s="508"/>
      <c r="O321" s="508"/>
      <c r="P321" s="508"/>
      <c r="Q321" s="508"/>
      <c r="R321" s="508"/>
      <c r="S321" s="508"/>
      <c r="T321" s="508"/>
      <c r="U321" s="508"/>
      <c r="V321" s="508"/>
      <c r="W321" s="508"/>
      <c r="X321" s="508"/>
      <c r="Y321" s="508"/>
      <c r="Z321" s="508"/>
    </row>
    <row r="322" ht="13.5" customHeight="1">
      <c r="A322" s="426"/>
      <c r="B322" s="508"/>
      <c r="C322" s="508"/>
      <c r="D322" s="508"/>
      <c r="E322" s="508"/>
      <c r="F322" s="426"/>
      <c r="G322" s="426"/>
      <c r="H322" s="426"/>
      <c r="I322" s="426"/>
      <c r="J322" s="508"/>
      <c r="K322" s="508"/>
      <c r="L322" s="508"/>
      <c r="M322" s="508"/>
      <c r="N322" s="508"/>
      <c r="O322" s="508"/>
      <c r="P322" s="508"/>
      <c r="Q322" s="508"/>
      <c r="R322" s="508"/>
      <c r="S322" s="508"/>
      <c r="T322" s="508"/>
      <c r="U322" s="508"/>
      <c r="V322" s="508"/>
      <c r="W322" s="508"/>
      <c r="X322" s="508"/>
      <c r="Y322" s="508"/>
      <c r="Z322" s="508"/>
    </row>
    <row r="323" ht="13.5" customHeight="1">
      <c r="A323" s="426"/>
      <c r="B323" s="508"/>
      <c r="C323" s="508"/>
      <c r="D323" s="508"/>
      <c r="E323" s="508"/>
      <c r="F323" s="426"/>
      <c r="G323" s="426"/>
      <c r="H323" s="426"/>
      <c r="I323" s="426"/>
      <c r="J323" s="508"/>
      <c r="K323" s="508"/>
      <c r="L323" s="508"/>
      <c r="M323" s="508"/>
      <c r="N323" s="508"/>
      <c r="O323" s="508"/>
      <c r="P323" s="508"/>
      <c r="Q323" s="508"/>
      <c r="R323" s="508"/>
      <c r="S323" s="508"/>
      <c r="T323" s="508"/>
      <c r="U323" s="508"/>
      <c r="V323" s="508"/>
      <c r="W323" s="508"/>
      <c r="X323" s="508"/>
      <c r="Y323" s="508"/>
      <c r="Z323" s="508"/>
    </row>
    <row r="324" ht="13.5" customHeight="1">
      <c r="A324" s="426"/>
      <c r="B324" s="508"/>
      <c r="C324" s="508"/>
      <c r="D324" s="508"/>
      <c r="E324" s="508"/>
      <c r="F324" s="426"/>
      <c r="G324" s="426"/>
      <c r="H324" s="426"/>
      <c r="I324" s="426"/>
      <c r="J324" s="508"/>
      <c r="K324" s="508"/>
      <c r="L324" s="508"/>
      <c r="M324" s="508"/>
      <c r="N324" s="508"/>
      <c r="O324" s="508"/>
      <c r="P324" s="508"/>
      <c r="Q324" s="508"/>
      <c r="R324" s="508"/>
      <c r="S324" s="508"/>
      <c r="T324" s="508"/>
      <c r="U324" s="508"/>
      <c r="V324" s="508"/>
      <c r="W324" s="508"/>
      <c r="X324" s="508"/>
      <c r="Y324" s="508"/>
      <c r="Z324" s="508"/>
    </row>
    <row r="325" ht="13.5" customHeight="1">
      <c r="A325" s="426"/>
      <c r="B325" s="508"/>
      <c r="C325" s="508"/>
      <c r="D325" s="508"/>
      <c r="E325" s="508"/>
      <c r="F325" s="426"/>
      <c r="G325" s="426"/>
      <c r="H325" s="426"/>
      <c r="I325" s="426"/>
      <c r="J325" s="508"/>
      <c r="K325" s="508"/>
      <c r="L325" s="508"/>
      <c r="M325" s="508"/>
      <c r="N325" s="508"/>
      <c r="O325" s="508"/>
      <c r="P325" s="508"/>
      <c r="Q325" s="508"/>
      <c r="R325" s="508"/>
      <c r="S325" s="508"/>
      <c r="T325" s="508"/>
      <c r="U325" s="508"/>
      <c r="V325" s="508"/>
      <c r="W325" s="508"/>
      <c r="X325" s="508"/>
      <c r="Y325" s="508"/>
      <c r="Z325" s="508"/>
    </row>
    <row r="326" ht="13.5" customHeight="1">
      <c r="A326" s="426"/>
      <c r="B326" s="508"/>
      <c r="C326" s="508"/>
      <c r="D326" s="508"/>
      <c r="E326" s="508"/>
      <c r="F326" s="426"/>
      <c r="G326" s="426"/>
      <c r="H326" s="426"/>
      <c r="I326" s="426"/>
      <c r="J326" s="508"/>
      <c r="K326" s="508"/>
      <c r="L326" s="508"/>
      <c r="M326" s="508"/>
      <c r="N326" s="508"/>
      <c r="O326" s="508"/>
      <c r="P326" s="508"/>
      <c r="Q326" s="508"/>
      <c r="R326" s="508"/>
      <c r="S326" s="508"/>
      <c r="T326" s="508"/>
      <c r="U326" s="508"/>
      <c r="V326" s="508"/>
      <c r="W326" s="508"/>
      <c r="X326" s="508"/>
      <c r="Y326" s="508"/>
      <c r="Z326" s="508"/>
    </row>
    <row r="327" ht="13.5" customHeight="1">
      <c r="A327" s="426"/>
      <c r="B327" s="508"/>
      <c r="C327" s="508"/>
      <c r="D327" s="508"/>
      <c r="E327" s="508"/>
      <c r="F327" s="426"/>
      <c r="G327" s="426"/>
      <c r="H327" s="426"/>
      <c r="I327" s="426"/>
      <c r="J327" s="508"/>
      <c r="K327" s="508"/>
      <c r="L327" s="508"/>
      <c r="M327" s="508"/>
      <c r="N327" s="508"/>
      <c r="O327" s="508"/>
      <c r="P327" s="508"/>
      <c r="Q327" s="508"/>
      <c r="R327" s="508"/>
      <c r="S327" s="508"/>
      <c r="T327" s="508"/>
      <c r="U327" s="508"/>
      <c r="V327" s="508"/>
      <c r="W327" s="508"/>
      <c r="X327" s="508"/>
      <c r="Y327" s="508"/>
      <c r="Z327" s="508"/>
    </row>
    <row r="328" ht="13.5" customHeight="1">
      <c r="A328" s="426"/>
      <c r="B328" s="508"/>
      <c r="C328" s="508"/>
      <c r="D328" s="508"/>
      <c r="E328" s="508"/>
      <c r="F328" s="426"/>
      <c r="G328" s="426"/>
      <c r="H328" s="426"/>
      <c r="I328" s="426"/>
      <c r="J328" s="508"/>
      <c r="K328" s="508"/>
      <c r="L328" s="508"/>
      <c r="M328" s="508"/>
      <c r="N328" s="508"/>
      <c r="O328" s="508"/>
      <c r="P328" s="508"/>
      <c r="Q328" s="508"/>
      <c r="R328" s="508"/>
      <c r="S328" s="508"/>
      <c r="T328" s="508"/>
      <c r="U328" s="508"/>
      <c r="V328" s="508"/>
      <c r="W328" s="508"/>
      <c r="X328" s="508"/>
      <c r="Y328" s="508"/>
      <c r="Z328" s="508"/>
    </row>
    <row r="329" ht="13.5" customHeight="1">
      <c r="A329" s="426"/>
      <c r="B329" s="508"/>
      <c r="C329" s="508"/>
      <c r="D329" s="508"/>
      <c r="E329" s="508"/>
      <c r="F329" s="426"/>
      <c r="G329" s="426"/>
      <c r="H329" s="426"/>
      <c r="I329" s="426"/>
      <c r="J329" s="508"/>
      <c r="K329" s="508"/>
      <c r="L329" s="508"/>
      <c r="M329" s="508"/>
      <c r="N329" s="508"/>
      <c r="O329" s="508"/>
      <c r="P329" s="508"/>
      <c r="Q329" s="508"/>
      <c r="R329" s="508"/>
      <c r="S329" s="508"/>
      <c r="T329" s="508"/>
      <c r="U329" s="508"/>
      <c r="V329" s="508"/>
      <c r="W329" s="508"/>
      <c r="X329" s="508"/>
      <c r="Y329" s="508"/>
      <c r="Z329" s="508"/>
    </row>
    <row r="330" ht="13.5" customHeight="1">
      <c r="A330" s="426"/>
      <c r="B330" s="508"/>
      <c r="C330" s="508"/>
      <c r="D330" s="508"/>
      <c r="E330" s="508"/>
      <c r="F330" s="426"/>
      <c r="G330" s="426"/>
      <c r="H330" s="426"/>
      <c r="I330" s="426"/>
      <c r="J330" s="508"/>
      <c r="K330" s="508"/>
      <c r="L330" s="508"/>
      <c r="M330" s="508"/>
      <c r="N330" s="508"/>
      <c r="O330" s="508"/>
      <c r="P330" s="508"/>
      <c r="Q330" s="508"/>
      <c r="R330" s="508"/>
      <c r="S330" s="508"/>
      <c r="T330" s="508"/>
      <c r="U330" s="508"/>
      <c r="V330" s="508"/>
      <c r="W330" s="508"/>
      <c r="X330" s="508"/>
      <c r="Y330" s="508"/>
      <c r="Z330" s="508"/>
    </row>
    <row r="331" ht="13.5" customHeight="1">
      <c r="A331" s="426"/>
      <c r="B331" s="508"/>
      <c r="C331" s="508"/>
      <c r="D331" s="508"/>
      <c r="E331" s="508"/>
      <c r="F331" s="426"/>
      <c r="G331" s="426"/>
      <c r="H331" s="426"/>
      <c r="I331" s="426"/>
      <c r="J331" s="508"/>
      <c r="K331" s="508"/>
      <c r="L331" s="508"/>
      <c r="M331" s="508"/>
      <c r="N331" s="508"/>
      <c r="O331" s="508"/>
      <c r="P331" s="508"/>
      <c r="Q331" s="508"/>
      <c r="R331" s="508"/>
      <c r="S331" s="508"/>
      <c r="T331" s="508"/>
      <c r="U331" s="508"/>
      <c r="V331" s="508"/>
      <c r="W331" s="508"/>
      <c r="X331" s="508"/>
      <c r="Y331" s="508"/>
      <c r="Z331" s="508"/>
    </row>
    <row r="332" ht="13.5" customHeight="1">
      <c r="A332" s="426"/>
      <c r="B332" s="508"/>
      <c r="C332" s="508"/>
      <c r="D332" s="508"/>
      <c r="E332" s="508"/>
      <c r="F332" s="426"/>
      <c r="G332" s="426"/>
      <c r="H332" s="426"/>
      <c r="I332" s="426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508"/>
      <c r="Y332" s="508"/>
      <c r="Z332" s="508"/>
    </row>
    <row r="333" ht="13.5" customHeight="1">
      <c r="A333" s="426"/>
      <c r="B333" s="508"/>
      <c r="C333" s="508"/>
      <c r="D333" s="508"/>
      <c r="E333" s="508"/>
      <c r="F333" s="426"/>
      <c r="G333" s="426"/>
      <c r="H333" s="426"/>
      <c r="I333" s="426"/>
      <c r="J333" s="508"/>
      <c r="K333" s="508"/>
      <c r="L333" s="508"/>
      <c r="M333" s="508"/>
      <c r="N333" s="508"/>
      <c r="O333" s="508"/>
      <c r="P333" s="508"/>
      <c r="Q333" s="508"/>
      <c r="R333" s="508"/>
      <c r="S333" s="508"/>
      <c r="T333" s="508"/>
      <c r="U333" s="508"/>
      <c r="V333" s="508"/>
      <c r="W333" s="508"/>
      <c r="X333" s="508"/>
      <c r="Y333" s="508"/>
      <c r="Z333" s="508"/>
    </row>
    <row r="334" ht="13.5" customHeight="1">
      <c r="A334" s="426"/>
      <c r="B334" s="508"/>
      <c r="C334" s="508"/>
      <c r="D334" s="508"/>
      <c r="E334" s="508"/>
      <c r="F334" s="426"/>
      <c r="G334" s="426"/>
      <c r="H334" s="426"/>
      <c r="I334" s="426"/>
      <c r="J334" s="508"/>
      <c r="K334" s="508"/>
      <c r="L334" s="508"/>
      <c r="M334" s="508"/>
      <c r="N334" s="508"/>
      <c r="O334" s="508"/>
      <c r="P334" s="508"/>
      <c r="Q334" s="508"/>
      <c r="R334" s="508"/>
      <c r="S334" s="508"/>
      <c r="T334" s="508"/>
      <c r="U334" s="508"/>
      <c r="V334" s="508"/>
      <c r="W334" s="508"/>
      <c r="X334" s="508"/>
      <c r="Y334" s="508"/>
      <c r="Z334" s="508"/>
    </row>
    <row r="335" ht="13.5" customHeight="1">
      <c r="A335" s="426"/>
      <c r="B335" s="508"/>
      <c r="C335" s="508"/>
      <c r="D335" s="508"/>
      <c r="E335" s="508"/>
      <c r="F335" s="426"/>
      <c r="G335" s="426"/>
      <c r="H335" s="426"/>
      <c r="I335" s="426"/>
      <c r="J335" s="508"/>
      <c r="K335" s="508"/>
      <c r="L335" s="508"/>
      <c r="M335" s="508"/>
      <c r="N335" s="508"/>
      <c r="O335" s="508"/>
      <c r="P335" s="508"/>
      <c r="Q335" s="508"/>
      <c r="R335" s="508"/>
      <c r="S335" s="508"/>
      <c r="T335" s="508"/>
      <c r="U335" s="508"/>
      <c r="V335" s="508"/>
      <c r="W335" s="508"/>
      <c r="X335" s="508"/>
      <c r="Y335" s="508"/>
      <c r="Z335" s="508"/>
    </row>
    <row r="336" ht="13.5" customHeight="1">
      <c r="A336" s="426"/>
      <c r="B336" s="508"/>
      <c r="C336" s="508"/>
      <c r="D336" s="508"/>
      <c r="E336" s="508"/>
      <c r="F336" s="426"/>
      <c r="G336" s="426"/>
      <c r="H336" s="426"/>
      <c r="I336" s="426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  <c r="Z336" s="508"/>
    </row>
    <row r="337" ht="13.5" customHeight="1">
      <c r="A337" s="426"/>
      <c r="B337" s="508"/>
      <c r="C337" s="508"/>
      <c r="D337" s="508"/>
      <c r="E337" s="508"/>
      <c r="F337" s="426"/>
      <c r="G337" s="426"/>
      <c r="H337" s="426"/>
      <c r="I337" s="426"/>
      <c r="J337" s="508"/>
      <c r="K337" s="508"/>
      <c r="L337" s="508"/>
      <c r="M337" s="508"/>
      <c r="N337" s="508"/>
      <c r="O337" s="508"/>
      <c r="P337" s="508"/>
      <c r="Q337" s="508"/>
      <c r="R337" s="508"/>
      <c r="S337" s="508"/>
      <c r="T337" s="508"/>
      <c r="U337" s="508"/>
      <c r="V337" s="508"/>
      <c r="W337" s="508"/>
      <c r="X337" s="508"/>
      <c r="Y337" s="508"/>
      <c r="Z337" s="508"/>
    </row>
    <row r="338" ht="13.5" customHeight="1">
      <c r="A338" s="426"/>
      <c r="B338" s="508"/>
      <c r="C338" s="508"/>
      <c r="D338" s="508"/>
      <c r="E338" s="508"/>
      <c r="F338" s="426"/>
      <c r="G338" s="426"/>
      <c r="H338" s="426"/>
      <c r="I338" s="426"/>
      <c r="J338" s="508"/>
      <c r="K338" s="508"/>
      <c r="L338" s="508"/>
      <c r="M338" s="508"/>
      <c r="N338" s="508"/>
      <c r="O338" s="508"/>
      <c r="P338" s="508"/>
      <c r="Q338" s="508"/>
      <c r="R338" s="508"/>
      <c r="S338" s="508"/>
      <c r="T338" s="508"/>
      <c r="U338" s="508"/>
      <c r="V338" s="508"/>
      <c r="W338" s="508"/>
      <c r="X338" s="508"/>
      <c r="Y338" s="508"/>
      <c r="Z338" s="508"/>
    </row>
    <row r="339" ht="13.5" customHeight="1">
      <c r="A339" s="426"/>
      <c r="B339" s="508"/>
      <c r="C339" s="508"/>
      <c r="D339" s="508"/>
      <c r="E339" s="508"/>
      <c r="F339" s="426"/>
      <c r="G339" s="426"/>
      <c r="H339" s="426"/>
      <c r="I339" s="426"/>
      <c r="J339" s="508"/>
      <c r="K339" s="508"/>
      <c r="L339" s="508"/>
      <c r="M339" s="508"/>
      <c r="N339" s="508"/>
      <c r="O339" s="508"/>
      <c r="P339" s="508"/>
      <c r="Q339" s="508"/>
      <c r="R339" s="508"/>
      <c r="S339" s="508"/>
      <c r="T339" s="508"/>
      <c r="U339" s="508"/>
      <c r="V339" s="508"/>
      <c r="W339" s="508"/>
      <c r="X339" s="508"/>
      <c r="Y339" s="508"/>
      <c r="Z339" s="508"/>
    </row>
    <row r="340" ht="13.5" customHeight="1">
      <c r="A340" s="426"/>
      <c r="B340" s="508"/>
      <c r="C340" s="508"/>
      <c r="D340" s="508"/>
      <c r="E340" s="508"/>
      <c r="F340" s="426"/>
      <c r="G340" s="426"/>
      <c r="H340" s="426"/>
      <c r="I340" s="426"/>
      <c r="J340" s="508"/>
      <c r="K340" s="508"/>
      <c r="L340" s="508"/>
      <c r="M340" s="508"/>
      <c r="N340" s="508"/>
      <c r="O340" s="508"/>
      <c r="P340" s="508"/>
      <c r="Q340" s="508"/>
      <c r="R340" s="508"/>
      <c r="S340" s="508"/>
      <c r="T340" s="508"/>
      <c r="U340" s="508"/>
      <c r="V340" s="508"/>
      <c r="W340" s="508"/>
      <c r="X340" s="508"/>
      <c r="Y340" s="508"/>
      <c r="Z340" s="508"/>
    </row>
    <row r="341" ht="13.5" customHeight="1">
      <c r="A341" s="426"/>
      <c r="B341" s="508"/>
      <c r="C341" s="508"/>
      <c r="D341" s="508"/>
      <c r="E341" s="508"/>
      <c r="F341" s="426"/>
      <c r="G341" s="426"/>
      <c r="H341" s="426"/>
      <c r="I341" s="426"/>
      <c r="J341" s="508"/>
      <c r="K341" s="508"/>
      <c r="L341" s="508"/>
      <c r="M341" s="508"/>
      <c r="N341" s="508"/>
      <c r="O341" s="508"/>
      <c r="P341" s="508"/>
      <c r="Q341" s="508"/>
      <c r="R341" s="508"/>
      <c r="S341" s="508"/>
      <c r="T341" s="508"/>
      <c r="U341" s="508"/>
      <c r="V341" s="508"/>
      <c r="W341" s="508"/>
      <c r="X341" s="508"/>
      <c r="Y341" s="508"/>
      <c r="Z341" s="508"/>
    </row>
    <row r="342" ht="13.5" customHeight="1">
      <c r="A342" s="426"/>
      <c r="B342" s="508"/>
      <c r="C342" s="508"/>
      <c r="D342" s="508"/>
      <c r="E342" s="508"/>
      <c r="F342" s="426"/>
      <c r="G342" s="426"/>
      <c r="H342" s="426"/>
      <c r="I342" s="426"/>
      <c r="J342" s="508"/>
      <c r="K342" s="508"/>
      <c r="L342" s="508"/>
      <c r="M342" s="508"/>
      <c r="N342" s="508"/>
      <c r="O342" s="508"/>
      <c r="P342" s="508"/>
      <c r="Q342" s="508"/>
      <c r="R342" s="508"/>
      <c r="S342" s="508"/>
      <c r="T342" s="508"/>
      <c r="U342" s="508"/>
      <c r="V342" s="508"/>
      <c r="W342" s="508"/>
      <c r="X342" s="508"/>
      <c r="Y342" s="508"/>
      <c r="Z342" s="508"/>
    </row>
    <row r="343" ht="13.5" customHeight="1">
      <c r="A343" s="426"/>
      <c r="B343" s="508"/>
      <c r="C343" s="508"/>
      <c r="D343" s="508"/>
      <c r="E343" s="508"/>
      <c r="F343" s="426"/>
      <c r="G343" s="426"/>
      <c r="H343" s="426"/>
      <c r="I343" s="426"/>
      <c r="J343" s="508"/>
      <c r="K343" s="508"/>
      <c r="L343" s="508"/>
      <c r="M343" s="508"/>
      <c r="N343" s="508"/>
      <c r="O343" s="508"/>
      <c r="P343" s="508"/>
      <c r="Q343" s="508"/>
      <c r="R343" s="508"/>
      <c r="S343" s="508"/>
      <c r="T343" s="508"/>
      <c r="U343" s="508"/>
      <c r="V343" s="508"/>
      <c r="W343" s="508"/>
      <c r="X343" s="508"/>
      <c r="Y343" s="508"/>
      <c r="Z343" s="508"/>
    </row>
    <row r="344" ht="13.5" customHeight="1">
      <c r="A344" s="426"/>
      <c r="B344" s="508"/>
      <c r="C344" s="508"/>
      <c r="D344" s="508"/>
      <c r="E344" s="508"/>
      <c r="F344" s="426"/>
      <c r="G344" s="426"/>
      <c r="H344" s="426"/>
      <c r="I344" s="426"/>
      <c r="J344" s="508"/>
      <c r="K344" s="508"/>
      <c r="L344" s="508"/>
      <c r="M344" s="508"/>
      <c r="N344" s="508"/>
      <c r="O344" s="508"/>
      <c r="P344" s="508"/>
      <c r="Q344" s="508"/>
      <c r="R344" s="508"/>
      <c r="S344" s="508"/>
      <c r="T344" s="508"/>
      <c r="U344" s="508"/>
      <c r="V344" s="508"/>
      <c r="W344" s="508"/>
      <c r="X344" s="508"/>
      <c r="Y344" s="508"/>
      <c r="Z344" s="508"/>
    </row>
    <row r="345" ht="13.5" customHeight="1">
      <c r="A345" s="426"/>
      <c r="B345" s="508"/>
      <c r="C345" s="508"/>
      <c r="D345" s="508"/>
      <c r="E345" s="508"/>
      <c r="F345" s="426"/>
      <c r="G345" s="426"/>
      <c r="H345" s="426"/>
      <c r="I345" s="426"/>
      <c r="J345" s="508"/>
      <c r="K345" s="508"/>
      <c r="L345" s="508"/>
      <c r="M345" s="508"/>
      <c r="N345" s="508"/>
      <c r="O345" s="508"/>
      <c r="P345" s="508"/>
      <c r="Q345" s="508"/>
      <c r="R345" s="508"/>
      <c r="S345" s="508"/>
      <c r="T345" s="508"/>
      <c r="U345" s="508"/>
      <c r="V345" s="508"/>
      <c r="W345" s="508"/>
      <c r="X345" s="508"/>
      <c r="Y345" s="508"/>
      <c r="Z345" s="508"/>
    </row>
    <row r="346" ht="13.5" customHeight="1">
      <c r="A346" s="426"/>
      <c r="B346" s="508"/>
      <c r="C346" s="508"/>
      <c r="D346" s="508"/>
      <c r="E346" s="508"/>
      <c r="F346" s="426"/>
      <c r="G346" s="426"/>
      <c r="H346" s="426"/>
      <c r="I346" s="426"/>
      <c r="J346" s="508"/>
      <c r="K346" s="508"/>
      <c r="L346" s="508"/>
      <c r="M346" s="508"/>
      <c r="N346" s="508"/>
      <c r="O346" s="508"/>
      <c r="P346" s="508"/>
      <c r="Q346" s="508"/>
      <c r="R346" s="508"/>
      <c r="S346" s="508"/>
      <c r="T346" s="508"/>
      <c r="U346" s="508"/>
      <c r="V346" s="508"/>
      <c r="W346" s="508"/>
      <c r="X346" s="508"/>
      <c r="Y346" s="508"/>
      <c r="Z346" s="508"/>
    </row>
    <row r="347" ht="13.5" customHeight="1">
      <c r="A347" s="426"/>
      <c r="B347" s="508"/>
      <c r="C347" s="508"/>
      <c r="D347" s="508"/>
      <c r="E347" s="508"/>
      <c r="F347" s="426"/>
      <c r="G347" s="426"/>
      <c r="H347" s="426"/>
      <c r="I347" s="426"/>
      <c r="J347" s="508"/>
      <c r="K347" s="508"/>
      <c r="L347" s="508"/>
      <c r="M347" s="508"/>
      <c r="N347" s="508"/>
      <c r="O347" s="508"/>
      <c r="P347" s="508"/>
      <c r="Q347" s="508"/>
      <c r="R347" s="508"/>
      <c r="S347" s="508"/>
      <c r="T347" s="508"/>
      <c r="U347" s="508"/>
      <c r="V347" s="508"/>
      <c r="W347" s="508"/>
      <c r="X347" s="508"/>
      <c r="Y347" s="508"/>
      <c r="Z347" s="508"/>
    </row>
    <row r="348" ht="13.5" customHeight="1">
      <c r="A348" s="426"/>
      <c r="B348" s="508"/>
      <c r="C348" s="508"/>
      <c r="D348" s="508"/>
      <c r="E348" s="508"/>
      <c r="F348" s="426"/>
      <c r="G348" s="426"/>
      <c r="H348" s="426"/>
      <c r="I348" s="426"/>
      <c r="J348" s="508"/>
      <c r="K348" s="508"/>
      <c r="L348" s="508"/>
      <c r="M348" s="508"/>
      <c r="N348" s="508"/>
      <c r="O348" s="508"/>
      <c r="P348" s="508"/>
      <c r="Q348" s="508"/>
      <c r="R348" s="508"/>
      <c r="S348" s="508"/>
      <c r="T348" s="508"/>
      <c r="U348" s="508"/>
      <c r="V348" s="508"/>
      <c r="W348" s="508"/>
      <c r="X348" s="508"/>
      <c r="Y348" s="508"/>
      <c r="Z348" s="508"/>
    </row>
    <row r="349" ht="13.5" customHeight="1">
      <c r="A349" s="426"/>
      <c r="B349" s="508"/>
      <c r="C349" s="508"/>
      <c r="D349" s="508"/>
      <c r="E349" s="508"/>
      <c r="F349" s="426"/>
      <c r="G349" s="426"/>
      <c r="H349" s="426"/>
      <c r="I349" s="426"/>
      <c r="J349" s="508"/>
      <c r="K349" s="508"/>
      <c r="L349" s="508"/>
      <c r="M349" s="508"/>
      <c r="N349" s="508"/>
      <c r="O349" s="508"/>
      <c r="P349" s="508"/>
      <c r="Q349" s="508"/>
      <c r="R349" s="508"/>
      <c r="S349" s="508"/>
      <c r="T349" s="508"/>
      <c r="U349" s="508"/>
      <c r="V349" s="508"/>
      <c r="W349" s="508"/>
      <c r="X349" s="508"/>
      <c r="Y349" s="508"/>
      <c r="Z349" s="508"/>
    </row>
    <row r="350" ht="13.5" customHeight="1">
      <c r="A350" s="426"/>
      <c r="B350" s="508"/>
      <c r="C350" s="508"/>
      <c r="D350" s="508"/>
      <c r="E350" s="508"/>
      <c r="F350" s="426"/>
      <c r="G350" s="426"/>
      <c r="H350" s="426"/>
      <c r="I350" s="426"/>
      <c r="J350" s="508"/>
      <c r="K350" s="508"/>
      <c r="L350" s="508"/>
      <c r="M350" s="508"/>
      <c r="N350" s="508"/>
      <c r="O350" s="508"/>
      <c r="P350" s="508"/>
      <c r="Q350" s="508"/>
      <c r="R350" s="508"/>
      <c r="S350" s="508"/>
      <c r="T350" s="508"/>
      <c r="U350" s="508"/>
      <c r="V350" s="508"/>
      <c r="W350" s="508"/>
      <c r="X350" s="508"/>
      <c r="Y350" s="508"/>
      <c r="Z350" s="508"/>
    </row>
    <row r="351" ht="13.5" customHeight="1">
      <c r="A351" s="426"/>
      <c r="B351" s="508"/>
      <c r="C351" s="508"/>
      <c r="D351" s="508"/>
      <c r="E351" s="508"/>
      <c r="F351" s="426"/>
      <c r="G351" s="426"/>
      <c r="H351" s="426"/>
      <c r="I351" s="426"/>
      <c r="J351" s="508"/>
      <c r="K351" s="508"/>
      <c r="L351" s="508"/>
      <c r="M351" s="508"/>
      <c r="N351" s="508"/>
      <c r="O351" s="508"/>
      <c r="P351" s="508"/>
      <c r="Q351" s="508"/>
      <c r="R351" s="508"/>
      <c r="S351" s="508"/>
      <c r="T351" s="508"/>
      <c r="U351" s="508"/>
      <c r="V351" s="508"/>
      <c r="W351" s="508"/>
      <c r="X351" s="508"/>
      <c r="Y351" s="508"/>
      <c r="Z351" s="508"/>
    </row>
    <row r="352" ht="13.5" customHeight="1">
      <c r="A352" s="426"/>
      <c r="B352" s="508"/>
      <c r="C352" s="508"/>
      <c r="D352" s="508"/>
      <c r="E352" s="508"/>
      <c r="F352" s="426"/>
      <c r="G352" s="426"/>
      <c r="H352" s="426"/>
      <c r="I352" s="426"/>
      <c r="J352" s="508"/>
      <c r="K352" s="508"/>
      <c r="L352" s="508"/>
      <c r="M352" s="508"/>
      <c r="N352" s="508"/>
      <c r="O352" s="508"/>
      <c r="P352" s="508"/>
      <c r="Q352" s="508"/>
      <c r="R352" s="508"/>
      <c r="S352" s="508"/>
      <c r="T352" s="508"/>
      <c r="U352" s="508"/>
      <c r="V352" s="508"/>
      <c r="W352" s="508"/>
      <c r="X352" s="508"/>
      <c r="Y352" s="508"/>
      <c r="Z352" s="508"/>
    </row>
    <row r="353" ht="13.5" customHeight="1">
      <c r="A353" s="426"/>
      <c r="B353" s="508"/>
      <c r="C353" s="508"/>
      <c r="D353" s="508"/>
      <c r="E353" s="508"/>
      <c r="F353" s="426"/>
      <c r="G353" s="426"/>
      <c r="H353" s="426"/>
      <c r="I353" s="426"/>
      <c r="J353" s="508"/>
      <c r="K353" s="508"/>
      <c r="L353" s="508"/>
      <c r="M353" s="508"/>
      <c r="N353" s="508"/>
      <c r="O353" s="508"/>
      <c r="P353" s="508"/>
      <c r="Q353" s="508"/>
      <c r="R353" s="508"/>
      <c r="S353" s="508"/>
      <c r="T353" s="508"/>
      <c r="U353" s="508"/>
      <c r="V353" s="508"/>
      <c r="W353" s="508"/>
      <c r="X353" s="508"/>
      <c r="Y353" s="508"/>
      <c r="Z353" s="508"/>
    </row>
    <row r="354" ht="13.5" customHeight="1">
      <c r="A354" s="426"/>
      <c r="B354" s="508"/>
      <c r="C354" s="508"/>
      <c r="D354" s="508"/>
      <c r="E354" s="508"/>
      <c r="F354" s="426"/>
      <c r="G354" s="426"/>
      <c r="H354" s="426"/>
      <c r="I354" s="426"/>
      <c r="J354" s="508"/>
      <c r="K354" s="508"/>
      <c r="L354" s="508"/>
      <c r="M354" s="508"/>
      <c r="N354" s="508"/>
      <c r="O354" s="508"/>
      <c r="P354" s="508"/>
      <c r="Q354" s="508"/>
      <c r="R354" s="508"/>
      <c r="S354" s="508"/>
      <c r="T354" s="508"/>
      <c r="U354" s="508"/>
      <c r="V354" s="508"/>
      <c r="W354" s="508"/>
      <c r="X354" s="508"/>
      <c r="Y354" s="508"/>
      <c r="Z354" s="508"/>
    </row>
    <row r="355" ht="13.5" customHeight="1">
      <c r="A355" s="426"/>
      <c r="B355" s="508"/>
      <c r="C355" s="508"/>
      <c r="D355" s="508"/>
      <c r="E355" s="508"/>
      <c r="F355" s="426"/>
      <c r="G355" s="426"/>
      <c r="H355" s="426"/>
      <c r="I355" s="426"/>
      <c r="J355" s="508"/>
      <c r="K355" s="508"/>
      <c r="L355" s="508"/>
      <c r="M355" s="508"/>
      <c r="N355" s="508"/>
      <c r="O355" s="508"/>
      <c r="P355" s="508"/>
      <c r="Q355" s="508"/>
      <c r="R355" s="508"/>
      <c r="S355" s="508"/>
      <c r="T355" s="508"/>
      <c r="U355" s="508"/>
      <c r="V355" s="508"/>
      <c r="W355" s="508"/>
      <c r="X355" s="508"/>
      <c r="Y355" s="508"/>
      <c r="Z355" s="508"/>
    </row>
    <row r="356" ht="13.5" customHeight="1">
      <c r="A356" s="426"/>
      <c r="B356" s="508"/>
      <c r="C356" s="508"/>
      <c r="D356" s="508"/>
      <c r="E356" s="508"/>
      <c r="F356" s="426"/>
      <c r="G356" s="426"/>
      <c r="H356" s="426"/>
      <c r="I356" s="426"/>
      <c r="J356" s="508"/>
      <c r="K356" s="508"/>
      <c r="L356" s="508"/>
      <c r="M356" s="508"/>
      <c r="N356" s="508"/>
      <c r="O356" s="508"/>
      <c r="P356" s="508"/>
      <c r="Q356" s="508"/>
      <c r="R356" s="508"/>
      <c r="S356" s="508"/>
      <c r="T356" s="508"/>
      <c r="U356" s="508"/>
      <c r="V356" s="508"/>
      <c r="W356" s="508"/>
      <c r="X356" s="508"/>
      <c r="Y356" s="508"/>
      <c r="Z356" s="508"/>
    </row>
    <row r="357" ht="13.5" customHeight="1">
      <c r="A357" s="426"/>
      <c r="B357" s="508"/>
      <c r="C357" s="508"/>
      <c r="D357" s="508"/>
      <c r="E357" s="508"/>
      <c r="F357" s="426"/>
      <c r="G357" s="426"/>
      <c r="H357" s="426"/>
      <c r="I357" s="426"/>
      <c r="J357" s="508"/>
      <c r="K357" s="508"/>
      <c r="L357" s="508"/>
      <c r="M357" s="508"/>
      <c r="N357" s="508"/>
      <c r="O357" s="508"/>
      <c r="P357" s="508"/>
      <c r="Q357" s="508"/>
      <c r="R357" s="508"/>
      <c r="S357" s="508"/>
      <c r="T357" s="508"/>
      <c r="U357" s="508"/>
      <c r="V357" s="508"/>
      <c r="W357" s="508"/>
      <c r="X357" s="508"/>
      <c r="Y357" s="508"/>
      <c r="Z357" s="508"/>
    </row>
    <row r="358" ht="13.5" customHeight="1">
      <c r="A358" s="426"/>
      <c r="B358" s="508"/>
      <c r="C358" s="508"/>
      <c r="D358" s="508"/>
      <c r="E358" s="508"/>
      <c r="F358" s="426"/>
      <c r="G358" s="426"/>
      <c r="H358" s="426"/>
      <c r="I358" s="426"/>
      <c r="J358" s="508"/>
      <c r="K358" s="508"/>
      <c r="L358" s="508"/>
      <c r="M358" s="508"/>
      <c r="N358" s="508"/>
      <c r="O358" s="508"/>
      <c r="P358" s="508"/>
      <c r="Q358" s="508"/>
      <c r="R358" s="508"/>
      <c r="S358" s="508"/>
      <c r="T358" s="508"/>
      <c r="U358" s="508"/>
      <c r="V358" s="508"/>
      <c r="W358" s="508"/>
      <c r="X358" s="508"/>
      <c r="Y358" s="508"/>
      <c r="Z358" s="508"/>
    </row>
    <row r="359" ht="13.5" customHeight="1">
      <c r="A359" s="426"/>
      <c r="B359" s="508"/>
      <c r="C359" s="508"/>
      <c r="D359" s="508"/>
      <c r="E359" s="508"/>
      <c r="F359" s="426"/>
      <c r="G359" s="426"/>
      <c r="H359" s="426"/>
      <c r="I359" s="426"/>
      <c r="J359" s="508"/>
      <c r="K359" s="508"/>
      <c r="L359" s="508"/>
      <c r="M359" s="508"/>
      <c r="N359" s="508"/>
      <c r="O359" s="508"/>
      <c r="P359" s="508"/>
      <c r="Q359" s="508"/>
      <c r="R359" s="508"/>
      <c r="S359" s="508"/>
      <c r="T359" s="508"/>
      <c r="U359" s="508"/>
      <c r="V359" s="508"/>
      <c r="W359" s="508"/>
      <c r="X359" s="508"/>
      <c r="Y359" s="508"/>
      <c r="Z359" s="508"/>
    </row>
    <row r="360" ht="13.5" customHeight="1">
      <c r="A360" s="426"/>
      <c r="B360" s="508"/>
      <c r="C360" s="508"/>
      <c r="D360" s="508"/>
      <c r="E360" s="508"/>
      <c r="F360" s="426"/>
      <c r="G360" s="426"/>
      <c r="H360" s="426"/>
      <c r="I360" s="426"/>
      <c r="J360" s="508"/>
      <c r="K360" s="508"/>
      <c r="L360" s="508"/>
      <c r="M360" s="508"/>
      <c r="N360" s="508"/>
      <c r="O360" s="508"/>
      <c r="P360" s="508"/>
      <c r="Q360" s="508"/>
      <c r="R360" s="508"/>
      <c r="S360" s="508"/>
      <c r="T360" s="508"/>
      <c r="U360" s="508"/>
      <c r="V360" s="508"/>
      <c r="W360" s="508"/>
      <c r="X360" s="508"/>
      <c r="Y360" s="508"/>
      <c r="Z360" s="508"/>
    </row>
    <row r="361" ht="13.5" customHeight="1">
      <c r="A361" s="426"/>
      <c r="B361" s="508"/>
      <c r="C361" s="508"/>
      <c r="D361" s="508"/>
      <c r="E361" s="508"/>
      <c r="F361" s="426"/>
      <c r="G361" s="426"/>
      <c r="H361" s="426"/>
      <c r="I361" s="426"/>
      <c r="J361" s="508"/>
      <c r="K361" s="508"/>
      <c r="L361" s="508"/>
      <c r="M361" s="508"/>
      <c r="N361" s="508"/>
      <c r="O361" s="508"/>
      <c r="P361" s="508"/>
      <c r="Q361" s="508"/>
      <c r="R361" s="508"/>
      <c r="S361" s="508"/>
      <c r="T361" s="508"/>
      <c r="U361" s="508"/>
      <c r="V361" s="508"/>
      <c r="W361" s="508"/>
      <c r="X361" s="508"/>
      <c r="Y361" s="508"/>
      <c r="Z361" s="508"/>
    </row>
    <row r="362" ht="13.5" customHeight="1">
      <c r="A362" s="426"/>
      <c r="B362" s="508"/>
      <c r="C362" s="508"/>
      <c r="D362" s="508"/>
      <c r="E362" s="508"/>
      <c r="F362" s="426"/>
      <c r="G362" s="426"/>
      <c r="H362" s="426"/>
      <c r="I362" s="426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  <c r="Z362" s="508"/>
    </row>
    <row r="363" ht="13.5" customHeight="1">
      <c r="A363" s="426"/>
      <c r="B363" s="508"/>
      <c r="C363" s="508"/>
      <c r="D363" s="508"/>
      <c r="E363" s="508"/>
      <c r="F363" s="426"/>
      <c r="G363" s="426"/>
      <c r="H363" s="426"/>
      <c r="I363" s="426"/>
      <c r="J363" s="508"/>
      <c r="K363" s="508"/>
      <c r="L363" s="508"/>
      <c r="M363" s="508"/>
      <c r="N363" s="508"/>
      <c r="O363" s="508"/>
      <c r="P363" s="508"/>
      <c r="Q363" s="508"/>
      <c r="R363" s="508"/>
      <c r="S363" s="508"/>
      <c r="T363" s="508"/>
      <c r="U363" s="508"/>
      <c r="V363" s="508"/>
      <c r="W363" s="508"/>
      <c r="X363" s="508"/>
      <c r="Y363" s="508"/>
      <c r="Z363" s="508"/>
    </row>
    <row r="364" ht="13.5" customHeight="1">
      <c r="A364" s="426"/>
      <c r="B364" s="508"/>
      <c r="C364" s="508"/>
      <c r="D364" s="508"/>
      <c r="E364" s="508"/>
      <c r="F364" s="426"/>
      <c r="G364" s="426"/>
      <c r="H364" s="426"/>
      <c r="I364" s="426"/>
      <c r="J364" s="508"/>
      <c r="K364" s="508"/>
      <c r="L364" s="508"/>
      <c r="M364" s="508"/>
      <c r="N364" s="508"/>
      <c r="O364" s="508"/>
      <c r="P364" s="508"/>
      <c r="Q364" s="508"/>
      <c r="R364" s="508"/>
      <c r="S364" s="508"/>
      <c r="T364" s="508"/>
      <c r="U364" s="508"/>
      <c r="V364" s="508"/>
      <c r="W364" s="508"/>
      <c r="X364" s="508"/>
      <c r="Y364" s="508"/>
      <c r="Z364" s="508"/>
    </row>
    <row r="365" ht="13.5" customHeight="1">
      <c r="A365" s="426"/>
      <c r="B365" s="508"/>
      <c r="C365" s="508"/>
      <c r="D365" s="508"/>
      <c r="E365" s="508"/>
      <c r="F365" s="426"/>
      <c r="G365" s="426"/>
      <c r="H365" s="426"/>
      <c r="I365" s="426"/>
      <c r="J365" s="508"/>
      <c r="K365" s="508"/>
      <c r="L365" s="508"/>
      <c r="M365" s="508"/>
      <c r="N365" s="508"/>
      <c r="O365" s="508"/>
      <c r="P365" s="508"/>
      <c r="Q365" s="508"/>
      <c r="R365" s="508"/>
      <c r="S365" s="508"/>
      <c r="T365" s="508"/>
      <c r="U365" s="508"/>
      <c r="V365" s="508"/>
      <c r="W365" s="508"/>
      <c r="X365" s="508"/>
      <c r="Y365" s="508"/>
      <c r="Z365" s="508"/>
    </row>
    <row r="366" ht="13.5" customHeight="1">
      <c r="A366" s="426"/>
      <c r="B366" s="508"/>
      <c r="C366" s="508"/>
      <c r="D366" s="508"/>
      <c r="E366" s="508"/>
      <c r="F366" s="426"/>
      <c r="G366" s="426"/>
      <c r="H366" s="426"/>
      <c r="I366" s="426"/>
      <c r="J366" s="508"/>
      <c r="K366" s="508"/>
      <c r="L366" s="508"/>
      <c r="M366" s="508"/>
      <c r="N366" s="508"/>
      <c r="O366" s="508"/>
      <c r="P366" s="508"/>
      <c r="Q366" s="508"/>
      <c r="R366" s="508"/>
      <c r="S366" s="508"/>
      <c r="T366" s="508"/>
      <c r="U366" s="508"/>
      <c r="V366" s="508"/>
      <c r="W366" s="508"/>
      <c r="X366" s="508"/>
      <c r="Y366" s="508"/>
      <c r="Z366" s="508"/>
    </row>
    <row r="367" ht="13.5" customHeight="1">
      <c r="A367" s="426"/>
      <c r="B367" s="508"/>
      <c r="C367" s="508"/>
      <c r="D367" s="508"/>
      <c r="E367" s="508"/>
      <c r="F367" s="426"/>
      <c r="G367" s="426"/>
      <c r="H367" s="426"/>
      <c r="I367" s="426"/>
      <c r="J367" s="508"/>
      <c r="K367" s="508"/>
      <c r="L367" s="508"/>
      <c r="M367" s="508"/>
      <c r="N367" s="508"/>
      <c r="O367" s="508"/>
      <c r="P367" s="508"/>
      <c r="Q367" s="508"/>
      <c r="R367" s="508"/>
      <c r="S367" s="508"/>
      <c r="T367" s="508"/>
      <c r="U367" s="508"/>
      <c r="V367" s="508"/>
      <c r="W367" s="508"/>
      <c r="X367" s="508"/>
      <c r="Y367" s="508"/>
      <c r="Z367" s="508"/>
    </row>
    <row r="368" ht="13.5" customHeight="1">
      <c r="A368" s="426"/>
      <c r="B368" s="508"/>
      <c r="C368" s="508"/>
      <c r="D368" s="508"/>
      <c r="E368" s="508"/>
      <c r="F368" s="426"/>
      <c r="G368" s="426"/>
      <c r="H368" s="426"/>
      <c r="I368" s="426"/>
      <c r="J368" s="508"/>
      <c r="K368" s="508"/>
      <c r="L368" s="508"/>
      <c r="M368" s="508"/>
      <c r="N368" s="508"/>
      <c r="O368" s="508"/>
      <c r="P368" s="508"/>
      <c r="Q368" s="508"/>
      <c r="R368" s="508"/>
      <c r="S368" s="508"/>
      <c r="T368" s="508"/>
      <c r="U368" s="508"/>
      <c r="V368" s="508"/>
      <c r="W368" s="508"/>
      <c r="X368" s="508"/>
      <c r="Y368" s="508"/>
      <c r="Z368" s="508"/>
    </row>
    <row r="369" ht="13.5" customHeight="1">
      <c r="A369" s="426"/>
      <c r="B369" s="508"/>
      <c r="C369" s="508"/>
      <c r="D369" s="508"/>
      <c r="E369" s="508"/>
      <c r="F369" s="426"/>
      <c r="G369" s="426"/>
      <c r="H369" s="426"/>
      <c r="I369" s="426"/>
      <c r="J369" s="508"/>
      <c r="K369" s="508"/>
      <c r="L369" s="508"/>
      <c r="M369" s="508"/>
      <c r="N369" s="508"/>
      <c r="O369" s="508"/>
      <c r="P369" s="508"/>
      <c r="Q369" s="508"/>
      <c r="R369" s="508"/>
      <c r="S369" s="508"/>
      <c r="T369" s="508"/>
      <c r="U369" s="508"/>
      <c r="V369" s="508"/>
      <c r="W369" s="508"/>
      <c r="X369" s="508"/>
      <c r="Y369" s="508"/>
      <c r="Z369" s="508"/>
    </row>
    <row r="370" ht="13.5" customHeight="1">
      <c r="A370" s="426"/>
      <c r="B370" s="508"/>
      <c r="C370" s="508"/>
      <c r="D370" s="508"/>
      <c r="E370" s="508"/>
      <c r="F370" s="426"/>
      <c r="G370" s="426"/>
      <c r="H370" s="426"/>
      <c r="I370" s="426"/>
      <c r="J370" s="508"/>
      <c r="K370" s="508"/>
      <c r="L370" s="508"/>
      <c r="M370" s="508"/>
      <c r="N370" s="508"/>
      <c r="O370" s="508"/>
      <c r="P370" s="508"/>
      <c r="Q370" s="508"/>
      <c r="R370" s="508"/>
      <c r="S370" s="508"/>
      <c r="T370" s="508"/>
      <c r="U370" s="508"/>
      <c r="V370" s="508"/>
      <c r="W370" s="508"/>
      <c r="X370" s="508"/>
      <c r="Y370" s="508"/>
      <c r="Z370" s="508"/>
    </row>
    <row r="371" ht="13.5" customHeight="1">
      <c r="A371" s="426"/>
      <c r="B371" s="508"/>
      <c r="C371" s="508"/>
      <c r="D371" s="508"/>
      <c r="E371" s="508"/>
      <c r="F371" s="426"/>
      <c r="G371" s="426"/>
      <c r="H371" s="426"/>
      <c r="I371" s="426"/>
      <c r="J371" s="508"/>
      <c r="K371" s="508"/>
      <c r="L371" s="508"/>
      <c r="M371" s="508"/>
      <c r="N371" s="508"/>
      <c r="O371" s="508"/>
      <c r="P371" s="508"/>
      <c r="Q371" s="508"/>
      <c r="R371" s="508"/>
      <c r="S371" s="508"/>
      <c r="T371" s="508"/>
      <c r="U371" s="508"/>
      <c r="V371" s="508"/>
      <c r="W371" s="508"/>
      <c r="X371" s="508"/>
      <c r="Y371" s="508"/>
      <c r="Z371" s="508"/>
    </row>
    <row r="372" ht="13.5" customHeight="1">
      <c r="A372" s="426"/>
      <c r="B372" s="508"/>
      <c r="C372" s="508"/>
      <c r="D372" s="508"/>
      <c r="E372" s="508"/>
      <c r="F372" s="426"/>
      <c r="G372" s="426"/>
      <c r="H372" s="426"/>
      <c r="I372" s="426"/>
      <c r="J372" s="508"/>
      <c r="K372" s="508"/>
      <c r="L372" s="508"/>
      <c r="M372" s="508"/>
      <c r="N372" s="508"/>
      <c r="O372" s="508"/>
      <c r="P372" s="508"/>
      <c r="Q372" s="508"/>
      <c r="R372" s="508"/>
      <c r="S372" s="508"/>
      <c r="T372" s="508"/>
      <c r="U372" s="508"/>
      <c r="V372" s="508"/>
      <c r="W372" s="508"/>
      <c r="X372" s="508"/>
      <c r="Y372" s="508"/>
      <c r="Z372" s="508"/>
    </row>
    <row r="373" ht="13.5" customHeight="1">
      <c r="A373" s="426"/>
      <c r="B373" s="508"/>
      <c r="C373" s="508"/>
      <c r="D373" s="508"/>
      <c r="E373" s="508"/>
      <c r="F373" s="426"/>
      <c r="G373" s="426"/>
      <c r="H373" s="426"/>
      <c r="I373" s="426"/>
      <c r="J373" s="508"/>
      <c r="K373" s="508"/>
      <c r="L373" s="508"/>
      <c r="M373" s="508"/>
      <c r="N373" s="508"/>
      <c r="O373" s="508"/>
      <c r="P373" s="508"/>
      <c r="Q373" s="508"/>
      <c r="R373" s="508"/>
      <c r="S373" s="508"/>
      <c r="T373" s="508"/>
      <c r="U373" s="508"/>
      <c r="V373" s="508"/>
      <c r="W373" s="508"/>
      <c r="X373" s="508"/>
      <c r="Y373" s="508"/>
      <c r="Z373" s="508"/>
    </row>
    <row r="374" ht="13.5" customHeight="1">
      <c r="A374" s="426"/>
      <c r="B374" s="508"/>
      <c r="C374" s="508"/>
      <c r="D374" s="508"/>
      <c r="E374" s="508"/>
      <c r="F374" s="426"/>
      <c r="G374" s="426"/>
      <c r="H374" s="426"/>
      <c r="I374" s="426"/>
      <c r="J374" s="508"/>
      <c r="K374" s="508"/>
      <c r="L374" s="508"/>
      <c r="M374" s="508"/>
      <c r="N374" s="508"/>
      <c r="O374" s="508"/>
      <c r="P374" s="508"/>
      <c r="Q374" s="508"/>
      <c r="R374" s="508"/>
      <c r="S374" s="508"/>
      <c r="T374" s="508"/>
      <c r="U374" s="508"/>
      <c r="V374" s="508"/>
      <c r="W374" s="508"/>
      <c r="X374" s="508"/>
      <c r="Y374" s="508"/>
      <c r="Z374" s="508"/>
    </row>
    <row r="375" ht="13.5" customHeight="1">
      <c r="A375" s="426"/>
      <c r="B375" s="508"/>
      <c r="C375" s="508"/>
      <c r="D375" s="508"/>
      <c r="E375" s="508"/>
      <c r="F375" s="426"/>
      <c r="G375" s="426"/>
      <c r="H375" s="426"/>
      <c r="I375" s="426"/>
      <c r="J375" s="508"/>
      <c r="K375" s="508"/>
      <c r="L375" s="508"/>
      <c r="M375" s="508"/>
      <c r="N375" s="508"/>
      <c r="O375" s="508"/>
      <c r="P375" s="508"/>
      <c r="Q375" s="508"/>
      <c r="R375" s="508"/>
      <c r="S375" s="508"/>
      <c r="T375" s="508"/>
      <c r="U375" s="508"/>
      <c r="V375" s="508"/>
      <c r="W375" s="508"/>
      <c r="X375" s="508"/>
      <c r="Y375" s="508"/>
      <c r="Z375" s="508"/>
    </row>
    <row r="376" ht="13.5" customHeight="1">
      <c r="A376" s="426"/>
      <c r="B376" s="508"/>
      <c r="C376" s="508"/>
      <c r="D376" s="508"/>
      <c r="E376" s="508"/>
      <c r="F376" s="426"/>
      <c r="G376" s="426"/>
      <c r="H376" s="426"/>
      <c r="I376" s="426"/>
      <c r="J376" s="508"/>
      <c r="K376" s="508"/>
      <c r="L376" s="508"/>
      <c r="M376" s="508"/>
      <c r="N376" s="508"/>
      <c r="O376" s="508"/>
      <c r="P376" s="508"/>
      <c r="Q376" s="508"/>
      <c r="R376" s="508"/>
      <c r="S376" s="508"/>
      <c r="T376" s="508"/>
      <c r="U376" s="508"/>
      <c r="V376" s="508"/>
      <c r="W376" s="508"/>
      <c r="X376" s="508"/>
      <c r="Y376" s="508"/>
      <c r="Z376" s="508"/>
    </row>
    <row r="377" ht="13.5" customHeight="1">
      <c r="A377" s="426"/>
      <c r="B377" s="508"/>
      <c r="C377" s="508"/>
      <c r="D377" s="508"/>
      <c r="E377" s="508"/>
      <c r="F377" s="426"/>
      <c r="G377" s="426"/>
      <c r="H377" s="426"/>
      <c r="I377" s="426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508"/>
      <c r="Y377" s="508"/>
      <c r="Z377" s="508"/>
    </row>
    <row r="378" ht="13.5" customHeight="1">
      <c r="A378" s="426"/>
      <c r="B378" s="508"/>
      <c r="C378" s="508"/>
      <c r="D378" s="508"/>
      <c r="E378" s="508"/>
      <c r="F378" s="426"/>
      <c r="G378" s="426"/>
      <c r="H378" s="426"/>
      <c r="I378" s="426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508"/>
      <c r="Y378" s="508"/>
      <c r="Z378" s="508"/>
    </row>
    <row r="379" ht="13.5" customHeight="1">
      <c r="A379" s="426"/>
      <c r="B379" s="508"/>
      <c r="C379" s="508"/>
      <c r="D379" s="508"/>
      <c r="E379" s="508"/>
      <c r="F379" s="426"/>
      <c r="G379" s="426"/>
      <c r="H379" s="426"/>
      <c r="I379" s="426"/>
      <c r="J379" s="508"/>
      <c r="K379" s="508"/>
      <c r="L379" s="508"/>
      <c r="M379" s="508"/>
      <c r="N379" s="508"/>
      <c r="O379" s="508"/>
      <c r="P379" s="508"/>
      <c r="Q379" s="508"/>
      <c r="R379" s="508"/>
      <c r="S379" s="508"/>
      <c r="T379" s="508"/>
      <c r="U379" s="508"/>
      <c r="V379" s="508"/>
      <c r="W379" s="508"/>
      <c r="X379" s="508"/>
      <c r="Y379" s="508"/>
      <c r="Z379" s="508"/>
    </row>
    <row r="380" ht="13.5" customHeight="1">
      <c r="A380" s="426"/>
      <c r="B380" s="508"/>
      <c r="C380" s="508"/>
      <c r="D380" s="508"/>
      <c r="E380" s="508"/>
      <c r="F380" s="426"/>
      <c r="G380" s="426"/>
      <c r="H380" s="426"/>
      <c r="I380" s="426"/>
      <c r="J380" s="508"/>
      <c r="K380" s="508"/>
      <c r="L380" s="508"/>
      <c r="M380" s="508"/>
      <c r="N380" s="508"/>
      <c r="O380" s="508"/>
      <c r="P380" s="508"/>
      <c r="Q380" s="508"/>
      <c r="R380" s="508"/>
      <c r="S380" s="508"/>
      <c r="T380" s="508"/>
      <c r="U380" s="508"/>
      <c r="V380" s="508"/>
      <c r="W380" s="508"/>
      <c r="X380" s="508"/>
      <c r="Y380" s="508"/>
      <c r="Z380" s="508"/>
    </row>
    <row r="381" ht="13.5" customHeight="1">
      <c r="A381" s="426"/>
      <c r="B381" s="508"/>
      <c r="C381" s="508"/>
      <c r="D381" s="508"/>
      <c r="E381" s="508"/>
      <c r="F381" s="426"/>
      <c r="G381" s="426"/>
      <c r="H381" s="426"/>
      <c r="I381" s="426"/>
      <c r="J381" s="508"/>
      <c r="K381" s="508"/>
      <c r="L381" s="508"/>
      <c r="M381" s="508"/>
      <c r="N381" s="508"/>
      <c r="O381" s="508"/>
      <c r="P381" s="508"/>
      <c r="Q381" s="508"/>
      <c r="R381" s="508"/>
      <c r="S381" s="508"/>
      <c r="T381" s="508"/>
      <c r="U381" s="508"/>
      <c r="V381" s="508"/>
      <c r="W381" s="508"/>
      <c r="X381" s="508"/>
      <c r="Y381" s="508"/>
      <c r="Z381" s="508"/>
    </row>
    <row r="382" ht="13.5" customHeight="1">
      <c r="A382" s="426"/>
      <c r="B382" s="508"/>
      <c r="C382" s="508"/>
      <c r="D382" s="508"/>
      <c r="E382" s="508"/>
      <c r="F382" s="426"/>
      <c r="G382" s="426"/>
      <c r="H382" s="426"/>
      <c r="I382" s="426"/>
      <c r="J382" s="508"/>
      <c r="K382" s="508"/>
      <c r="L382" s="508"/>
      <c r="M382" s="508"/>
      <c r="N382" s="508"/>
      <c r="O382" s="508"/>
      <c r="P382" s="508"/>
      <c r="Q382" s="508"/>
      <c r="R382" s="508"/>
      <c r="S382" s="508"/>
      <c r="T382" s="508"/>
      <c r="U382" s="508"/>
      <c r="V382" s="508"/>
      <c r="W382" s="508"/>
      <c r="X382" s="508"/>
      <c r="Y382" s="508"/>
      <c r="Z382" s="508"/>
    </row>
    <row r="383" ht="13.5" customHeight="1">
      <c r="A383" s="426"/>
      <c r="B383" s="508"/>
      <c r="C383" s="508"/>
      <c r="D383" s="508"/>
      <c r="E383" s="508"/>
      <c r="F383" s="426"/>
      <c r="G383" s="426"/>
      <c r="H383" s="426"/>
      <c r="I383" s="426"/>
      <c r="J383" s="508"/>
      <c r="K383" s="508"/>
      <c r="L383" s="508"/>
      <c r="M383" s="508"/>
      <c r="N383" s="508"/>
      <c r="O383" s="508"/>
      <c r="P383" s="508"/>
      <c r="Q383" s="508"/>
      <c r="R383" s="508"/>
      <c r="S383" s="508"/>
      <c r="T383" s="508"/>
      <c r="U383" s="508"/>
      <c r="V383" s="508"/>
      <c r="W383" s="508"/>
      <c r="X383" s="508"/>
      <c r="Y383" s="508"/>
      <c r="Z383" s="508"/>
    </row>
    <row r="384" ht="13.5" customHeight="1">
      <c r="A384" s="426"/>
      <c r="B384" s="508"/>
      <c r="C384" s="508"/>
      <c r="D384" s="508"/>
      <c r="E384" s="508"/>
      <c r="F384" s="426"/>
      <c r="G384" s="426"/>
      <c r="H384" s="426"/>
      <c r="I384" s="426"/>
      <c r="J384" s="508"/>
      <c r="K384" s="508"/>
      <c r="L384" s="508"/>
      <c r="M384" s="508"/>
      <c r="N384" s="508"/>
      <c r="O384" s="508"/>
      <c r="P384" s="508"/>
      <c r="Q384" s="508"/>
      <c r="R384" s="508"/>
      <c r="S384" s="508"/>
      <c r="T384" s="508"/>
      <c r="U384" s="508"/>
      <c r="V384" s="508"/>
      <c r="W384" s="508"/>
      <c r="X384" s="508"/>
      <c r="Y384" s="508"/>
      <c r="Z384" s="508"/>
    </row>
    <row r="385" ht="13.5" customHeight="1">
      <c r="A385" s="426"/>
      <c r="B385" s="508"/>
      <c r="C385" s="508"/>
      <c r="D385" s="508"/>
      <c r="E385" s="508"/>
      <c r="F385" s="426"/>
      <c r="G385" s="426"/>
      <c r="H385" s="426"/>
      <c r="I385" s="426"/>
      <c r="J385" s="508"/>
      <c r="K385" s="508"/>
      <c r="L385" s="508"/>
      <c r="M385" s="508"/>
      <c r="N385" s="508"/>
      <c r="O385" s="508"/>
      <c r="P385" s="508"/>
      <c r="Q385" s="508"/>
      <c r="R385" s="508"/>
      <c r="S385" s="508"/>
      <c r="T385" s="508"/>
      <c r="U385" s="508"/>
      <c r="V385" s="508"/>
      <c r="W385" s="508"/>
      <c r="X385" s="508"/>
      <c r="Y385" s="508"/>
      <c r="Z385" s="508"/>
    </row>
    <row r="386" ht="13.5" customHeight="1">
      <c r="A386" s="426"/>
      <c r="B386" s="508"/>
      <c r="C386" s="508"/>
      <c r="D386" s="508"/>
      <c r="E386" s="508"/>
      <c r="F386" s="426"/>
      <c r="G386" s="426"/>
      <c r="H386" s="426"/>
      <c r="I386" s="426"/>
      <c r="J386" s="508"/>
      <c r="K386" s="508"/>
      <c r="L386" s="508"/>
      <c r="M386" s="508"/>
      <c r="N386" s="508"/>
      <c r="O386" s="508"/>
      <c r="P386" s="508"/>
      <c r="Q386" s="508"/>
      <c r="R386" s="508"/>
      <c r="S386" s="508"/>
      <c r="T386" s="508"/>
      <c r="U386" s="508"/>
      <c r="V386" s="508"/>
      <c r="W386" s="508"/>
      <c r="X386" s="508"/>
      <c r="Y386" s="508"/>
      <c r="Z386" s="508"/>
    </row>
    <row r="387" ht="13.5" customHeight="1">
      <c r="A387" s="426"/>
      <c r="B387" s="508"/>
      <c r="C387" s="508"/>
      <c r="D387" s="508"/>
      <c r="E387" s="508"/>
      <c r="F387" s="426"/>
      <c r="G387" s="426"/>
      <c r="H387" s="426"/>
      <c r="I387" s="426"/>
      <c r="J387" s="508"/>
      <c r="K387" s="508"/>
      <c r="L387" s="508"/>
      <c r="M387" s="508"/>
      <c r="N387" s="508"/>
      <c r="O387" s="508"/>
      <c r="P387" s="508"/>
      <c r="Q387" s="508"/>
      <c r="R387" s="508"/>
      <c r="S387" s="508"/>
      <c r="T387" s="508"/>
      <c r="U387" s="508"/>
      <c r="V387" s="508"/>
      <c r="W387" s="508"/>
      <c r="X387" s="508"/>
      <c r="Y387" s="508"/>
      <c r="Z387" s="508"/>
    </row>
    <row r="388" ht="13.5" customHeight="1">
      <c r="A388" s="426"/>
      <c r="B388" s="508"/>
      <c r="C388" s="508"/>
      <c r="D388" s="508"/>
      <c r="E388" s="508"/>
      <c r="F388" s="426"/>
      <c r="G388" s="426"/>
      <c r="H388" s="426"/>
      <c r="I388" s="426"/>
      <c r="J388" s="508"/>
      <c r="K388" s="508"/>
      <c r="L388" s="508"/>
      <c r="M388" s="508"/>
      <c r="N388" s="508"/>
      <c r="O388" s="508"/>
      <c r="P388" s="508"/>
      <c r="Q388" s="508"/>
      <c r="R388" s="508"/>
      <c r="S388" s="508"/>
      <c r="T388" s="508"/>
      <c r="U388" s="508"/>
      <c r="V388" s="508"/>
      <c r="W388" s="508"/>
      <c r="X388" s="508"/>
      <c r="Y388" s="508"/>
      <c r="Z388" s="508"/>
    </row>
    <row r="389" ht="13.5" customHeight="1">
      <c r="A389" s="426"/>
      <c r="B389" s="508"/>
      <c r="C389" s="508"/>
      <c r="D389" s="508"/>
      <c r="E389" s="508"/>
      <c r="F389" s="426"/>
      <c r="G389" s="426"/>
      <c r="H389" s="426"/>
      <c r="I389" s="426"/>
      <c r="J389" s="508"/>
      <c r="K389" s="508"/>
      <c r="L389" s="508"/>
      <c r="M389" s="508"/>
      <c r="N389" s="508"/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  <c r="Z389" s="508"/>
    </row>
    <row r="390" ht="13.5" customHeight="1">
      <c r="A390" s="426"/>
      <c r="B390" s="508"/>
      <c r="C390" s="508"/>
      <c r="D390" s="508"/>
      <c r="E390" s="508"/>
      <c r="F390" s="426"/>
      <c r="G390" s="426"/>
      <c r="H390" s="426"/>
      <c r="I390" s="426"/>
      <c r="J390" s="508"/>
      <c r="K390" s="508"/>
      <c r="L390" s="508"/>
      <c r="M390" s="508"/>
      <c r="N390" s="508"/>
      <c r="O390" s="508"/>
      <c r="P390" s="508"/>
      <c r="Q390" s="508"/>
      <c r="R390" s="508"/>
      <c r="S390" s="508"/>
      <c r="T390" s="508"/>
      <c r="U390" s="508"/>
      <c r="V390" s="508"/>
      <c r="W390" s="508"/>
      <c r="X390" s="508"/>
      <c r="Y390" s="508"/>
      <c r="Z390" s="508"/>
    </row>
    <row r="391" ht="13.5" customHeight="1">
      <c r="A391" s="426"/>
      <c r="B391" s="508"/>
      <c r="C391" s="508"/>
      <c r="D391" s="508"/>
      <c r="E391" s="508"/>
      <c r="F391" s="426"/>
      <c r="G391" s="426"/>
      <c r="H391" s="426"/>
      <c r="I391" s="426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8"/>
      <c r="V391" s="508"/>
      <c r="W391" s="508"/>
      <c r="X391" s="508"/>
      <c r="Y391" s="508"/>
      <c r="Z391" s="508"/>
    </row>
    <row r="392" ht="13.5" customHeight="1">
      <c r="A392" s="426"/>
      <c r="B392" s="508"/>
      <c r="C392" s="508"/>
      <c r="D392" s="508"/>
      <c r="E392" s="508"/>
      <c r="F392" s="426"/>
      <c r="G392" s="426"/>
      <c r="H392" s="426"/>
      <c r="I392" s="426"/>
      <c r="J392" s="508"/>
      <c r="K392" s="508"/>
      <c r="L392" s="508"/>
      <c r="M392" s="508"/>
      <c r="N392" s="508"/>
      <c r="O392" s="508"/>
      <c r="P392" s="508"/>
      <c r="Q392" s="508"/>
      <c r="R392" s="508"/>
      <c r="S392" s="508"/>
      <c r="T392" s="508"/>
      <c r="U392" s="508"/>
      <c r="V392" s="508"/>
      <c r="W392" s="508"/>
      <c r="X392" s="508"/>
      <c r="Y392" s="508"/>
      <c r="Z392" s="508"/>
    </row>
    <row r="393" ht="13.5" customHeight="1">
      <c r="A393" s="426"/>
      <c r="B393" s="508"/>
      <c r="C393" s="508"/>
      <c r="D393" s="508"/>
      <c r="E393" s="508"/>
      <c r="F393" s="426"/>
      <c r="G393" s="426"/>
      <c r="H393" s="426"/>
      <c r="I393" s="426"/>
      <c r="J393" s="508"/>
      <c r="K393" s="508"/>
      <c r="L393" s="508"/>
      <c r="M393" s="508"/>
      <c r="N393" s="508"/>
      <c r="O393" s="508"/>
      <c r="P393" s="508"/>
      <c r="Q393" s="508"/>
      <c r="R393" s="508"/>
      <c r="S393" s="508"/>
      <c r="T393" s="508"/>
      <c r="U393" s="508"/>
      <c r="V393" s="508"/>
      <c r="W393" s="508"/>
      <c r="X393" s="508"/>
      <c r="Y393" s="508"/>
      <c r="Z393" s="508"/>
    </row>
    <row r="394" ht="13.5" customHeight="1">
      <c r="A394" s="426"/>
      <c r="B394" s="508"/>
      <c r="C394" s="508"/>
      <c r="D394" s="508"/>
      <c r="E394" s="508"/>
      <c r="F394" s="426"/>
      <c r="G394" s="426"/>
      <c r="H394" s="426"/>
      <c r="I394" s="426"/>
      <c r="J394" s="508"/>
      <c r="K394" s="508"/>
      <c r="L394" s="508"/>
      <c r="M394" s="508"/>
      <c r="N394" s="508"/>
      <c r="O394" s="508"/>
      <c r="P394" s="508"/>
      <c r="Q394" s="508"/>
      <c r="R394" s="508"/>
      <c r="S394" s="508"/>
      <c r="T394" s="508"/>
      <c r="U394" s="508"/>
      <c r="V394" s="508"/>
      <c r="W394" s="508"/>
      <c r="X394" s="508"/>
      <c r="Y394" s="508"/>
      <c r="Z394" s="508"/>
    </row>
    <row r="395" ht="13.5" customHeight="1">
      <c r="A395" s="426"/>
      <c r="B395" s="508"/>
      <c r="C395" s="508"/>
      <c r="D395" s="508"/>
      <c r="E395" s="508"/>
      <c r="F395" s="426"/>
      <c r="G395" s="426"/>
      <c r="H395" s="426"/>
      <c r="I395" s="426"/>
      <c r="J395" s="508"/>
      <c r="K395" s="508"/>
      <c r="L395" s="508"/>
      <c r="M395" s="508"/>
      <c r="N395" s="508"/>
      <c r="O395" s="508"/>
      <c r="P395" s="508"/>
      <c r="Q395" s="508"/>
      <c r="R395" s="508"/>
      <c r="S395" s="508"/>
      <c r="T395" s="508"/>
      <c r="U395" s="508"/>
      <c r="V395" s="508"/>
      <c r="W395" s="508"/>
      <c r="X395" s="508"/>
      <c r="Y395" s="508"/>
      <c r="Z395" s="508"/>
    </row>
    <row r="396" ht="13.5" customHeight="1">
      <c r="A396" s="426"/>
      <c r="B396" s="508"/>
      <c r="C396" s="508"/>
      <c r="D396" s="508"/>
      <c r="E396" s="508"/>
      <c r="F396" s="426"/>
      <c r="G396" s="426"/>
      <c r="H396" s="426"/>
      <c r="I396" s="426"/>
      <c r="J396" s="508"/>
      <c r="K396" s="508"/>
      <c r="L396" s="508"/>
      <c r="M396" s="508"/>
      <c r="N396" s="508"/>
      <c r="O396" s="508"/>
      <c r="P396" s="508"/>
      <c r="Q396" s="508"/>
      <c r="R396" s="508"/>
      <c r="S396" s="508"/>
      <c r="T396" s="508"/>
      <c r="U396" s="508"/>
      <c r="V396" s="508"/>
      <c r="W396" s="508"/>
      <c r="X396" s="508"/>
      <c r="Y396" s="508"/>
      <c r="Z396" s="508"/>
    </row>
    <row r="397" ht="13.5" customHeight="1">
      <c r="A397" s="426"/>
      <c r="B397" s="508"/>
      <c r="C397" s="508"/>
      <c r="D397" s="508"/>
      <c r="E397" s="508"/>
      <c r="F397" s="426"/>
      <c r="G397" s="426"/>
      <c r="H397" s="426"/>
      <c r="I397" s="426"/>
      <c r="J397" s="508"/>
      <c r="K397" s="508"/>
      <c r="L397" s="508"/>
      <c r="M397" s="508"/>
      <c r="N397" s="508"/>
      <c r="O397" s="508"/>
      <c r="P397" s="508"/>
      <c r="Q397" s="508"/>
      <c r="R397" s="508"/>
      <c r="S397" s="508"/>
      <c r="T397" s="508"/>
      <c r="U397" s="508"/>
      <c r="V397" s="508"/>
      <c r="W397" s="508"/>
      <c r="X397" s="508"/>
      <c r="Y397" s="508"/>
      <c r="Z397" s="508"/>
    </row>
    <row r="398" ht="13.5" customHeight="1">
      <c r="A398" s="426"/>
      <c r="B398" s="508"/>
      <c r="C398" s="508"/>
      <c r="D398" s="508"/>
      <c r="E398" s="508"/>
      <c r="F398" s="426"/>
      <c r="G398" s="426"/>
      <c r="H398" s="426"/>
      <c r="I398" s="426"/>
      <c r="J398" s="508"/>
      <c r="K398" s="508"/>
      <c r="L398" s="508"/>
      <c r="M398" s="508"/>
      <c r="N398" s="508"/>
      <c r="O398" s="508"/>
      <c r="P398" s="508"/>
      <c r="Q398" s="508"/>
      <c r="R398" s="508"/>
      <c r="S398" s="508"/>
      <c r="T398" s="508"/>
      <c r="U398" s="508"/>
      <c r="V398" s="508"/>
      <c r="W398" s="508"/>
      <c r="X398" s="508"/>
      <c r="Y398" s="508"/>
      <c r="Z398" s="508"/>
    </row>
    <row r="399" ht="13.5" customHeight="1">
      <c r="A399" s="426"/>
      <c r="B399" s="508"/>
      <c r="C399" s="508"/>
      <c r="D399" s="508"/>
      <c r="E399" s="508"/>
      <c r="F399" s="426"/>
      <c r="G399" s="426"/>
      <c r="H399" s="426"/>
      <c r="I399" s="426"/>
      <c r="J399" s="508"/>
      <c r="K399" s="508"/>
      <c r="L399" s="508"/>
      <c r="M399" s="508"/>
      <c r="N399" s="508"/>
      <c r="O399" s="508"/>
      <c r="P399" s="508"/>
      <c r="Q399" s="508"/>
      <c r="R399" s="508"/>
      <c r="S399" s="508"/>
      <c r="T399" s="508"/>
      <c r="U399" s="508"/>
      <c r="V399" s="508"/>
      <c r="W399" s="508"/>
      <c r="X399" s="508"/>
      <c r="Y399" s="508"/>
      <c r="Z399" s="508"/>
    </row>
    <row r="400" ht="13.5" customHeight="1">
      <c r="A400" s="426"/>
      <c r="B400" s="508"/>
      <c r="C400" s="508"/>
      <c r="D400" s="508"/>
      <c r="E400" s="508"/>
      <c r="F400" s="426"/>
      <c r="G400" s="426"/>
      <c r="H400" s="426"/>
      <c r="I400" s="426"/>
      <c r="J400" s="508"/>
      <c r="K400" s="508"/>
      <c r="L400" s="508"/>
      <c r="M400" s="508"/>
      <c r="N400" s="508"/>
      <c r="O400" s="508"/>
      <c r="P400" s="508"/>
      <c r="Q400" s="508"/>
      <c r="R400" s="508"/>
      <c r="S400" s="508"/>
      <c r="T400" s="508"/>
      <c r="U400" s="508"/>
      <c r="V400" s="508"/>
      <c r="W400" s="508"/>
      <c r="X400" s="508"/>
      <c r="Y400" s="508"/>
      <c r="Z400" s="508"/>
    </row>
    <row r="401" ht="13.5" customHeight="1">
      <c r="A401" s="426"/>
      <c r="B401" s="508"/>
      <c r="C401" s="508"/>
      <c r="D401" s="508"/>
      <c r="E401" s="508"/>
      <c r="F401" s="426"/>
      <c r="G401" s="426"/>
      <c r="H401" s="426"/>
      <c r="I401" s="426"/>
      <c r="J401" s="508"/>
      <c r="K401" s="508"/>
      <c r="L401" s="508"/>
      <c r="M401" s="508"/>
      <c r="N401" s="508"/>
      <c r="O401" s="508"/>
      <c r="P401" s="508"/>
      <c r="Q401" s="508"/>
      <c r="R401" s="508"/>
      <c r="S401" s="508"/>
      <c r="T401" s="508"/>
      <c r="U401" s="508"/>
      <c r="V401" s="508"/>
      <c r="W401" s="508"/>
      <c r="X401" s="508"/>
      <c r="Y401" s="508"/>
      <c r="Z401" s="508"/>
    </row>
    <row r="402" ht="13.5" customHeight="1">
      <c r="A402" s="426"/>
      <c r="B402" s="508"/>
      <c r="C402" s="508"/>
      <c r="D402" s="508"/>
      <c r="E402" s="508"/>
      <c r="F402" s="426"/>
      <c r="G402" s="426"/>
      <c r="H402" s="426"/>
      <c r="I402" s="426"/>
      <c r="J402" s="508"/>
      <c r="K402" s="508"/>
      <c r="L402" s="508"/>
      <c r="M402" s="508"/>
      <c r="N402" s="508"/>
      <c r="O402" s="508"/>
      <c r="P402" s="508"/>
      <c r="Q402" s="508"/>
      <c r="R402" s="508"/>
      <c r="S402" s="508"/>
      <c r="T402" s="508"/>
      <c r="U402" s="508"/>
      <c r="V402" s="508"/>
      <c r="W402" s="508"/>
      <c r="X402" s="508"/>
      <c r="Y402" s="508"/>
      <c r="Z402" s="508"/>
    </row>
    <row r="403" ht="13.5" customHeight="1">
      <c r="A403" s="426"/>
      <c r="B403" s="508"/>
      <c r="C403" s="508"/>
      <c r="D403" s="508"/>
      <c r="E403" s="508"/>
      <c r="F403" s="426"/>
      <c r="G403" s="426"/>
      <c r="H403" s="426"/>
      <c r="I403" s="426"/>
      <c r="J403" s="508"/>
      <c r="K403" s="508"/>
      <c r="L403" s="508"/>
      <c r="M403" s="508"/>
      <c r="N403" s="508"/>
      <c r="O403" s="508"/>
      <c r="P403" s="508"/>
      <c r="Q403" s="508"/>
      <c r="R403" s="508"/>
      <c r="S403" s="508"/>
      <c r="T403" s="508"/>
      <c r="U403" s="508"/>
      <c r="V403" s="508"/>
      <c r="W403" s="508"/>
      <c r="X403" s="508"/>
      <c r="Y403" s="508"/>
      <c r="Z403" s="508"/>
    </row>
    <row r="404" ht="13.5" customHeight="1">
      <c r="A404" s="426"/>
      <c r="B404" s="508"/>
      <c r="C404" s="508"/>
      <c r="D404" s="508"/>
      <c r="E404" s="508"/>
      <c r="F404" s="426"/>
      <c r="G404" s="426"/>
      <c r="H404" s="426"/>
      <c r="I404" s="426"/>
      <c r="J404" s="508"/>
      <c r="K404" s="508"/>
      <c r="L404" s="508"/>
      <c r="M404" s="508"/>
      <c r="N404" s="508"/>
      <c r="O404" s="508"/>
      <c r="P404" s="508"/>
      <c r="Q404" s="508"/>
      <c r="R404" s="508"/>
      <c r="S404" s="508"/>
      <c r="T404" s="508"/>
      <c r="U404" s="508"/>
      <c r="V404" s="508"/>
      <c r="W404" s="508"/>
      <c r="X404" s="508"/>
      <c r="Y404" s="508"/>
      <c r="Z404" s="508"/>
    </row>
    <row r="405" ht="13.5" customHeight="1">
      <c r="A405" s="426"/>
      <c r="B405" s="508"/>
      <c r="C405" s="508"/>
      <c r="D405" s="508"/>
      <c r="E405" s="508"/>
      <c r="F405" s="426"/>
      <c r="G405" s="426"/>
      <c r="H405" s="426"/>
      <c r="I405" s="426"/>
      <c r="J405" s="508"/>
      <c r="K405" s="508"/>
      <c r="L405" s="508"/>
      <c r="M405" s="508"/>
      <c r="N405" s="508"/>
      <c r="O405" s="508"/>
      <c r="P405" s="508"/>
      <c r="Q405" s="508"/>
      <c r="R405" s="508"/>
      <c r="S405" s="508"/>
      <c r="T405" s="508"/>
      <c r="U405" s="508"/>
      <c r="V405" s="508"/>
      <c r="W405" s="508"/>
      <c r="X405" s="508"/>
      <c r="Y405" s="508"/>
      <c r="Z405" s="508"/>
    </row>
    <row r="406" ht="13.5" customHeight="1">
      <c r="A406" s="426"/>
      <c r="B406" s="508"/>
      <c r="C406" s="508"/>
      <c r="D406" s="508"/>
      <c r="E406" s="508"/>
      <c r="F406" s="426"/>
      <c r="G406" s="426"/>
      <c r="H406" s="426"/>
      <c r="I406" s="426"/>
      <c r="J406" s="508"/>
      <c r="K406" s="508"/>
      <c r="L406" s="508"/>
      <c r="M406" s="508"/>
      <c r="N406" s="508"/>
      <c r="O406" s="508"/>
      <c r="P406" s="508"/>
      <c r="Q406" s="508"/>
      <c r="R406" s="508"/>
      <c r="S406" s="508"/>
      <c r="T406" s="508"/>
      <c r="U406" s="508"/>
      <c r="V406" s="508"/>
      <c r="W406" s="508"/>
      <c r="X406" s="508"/>
      <c r="Y406" s="508"/>
      <c r="Z406" s="508"/>
    </row>
    <row r="407" ht="13.5" customHeight="1">
      <c r="A407" s="426"/>
      <c r="B407" s="508"/>
      <c r="C407" s="508"/>
      <c r="D407" s="508"/>
      <c r="E407" s="508"/>
      <c r="F407" s="426"/>
      <c r="G407" s="426"/>
      <c r="H407" s="426"/>
      <c r="I407" s="426"/>
      <c r="J407" s="508"/>
      <c r="K407" s="508"/>
      <c r="L407" s="508"/>
      <c r="M407" s="508"/>
      <c r="N407" s="508"/>
      <c r="O407" s="508"/>
      <c r="P407" s="508"/>
      <c r="Q407" s="508"/>
      <c r="R407" s="508"/>
      <c r="S407" s="508"/>
      <c r="T407" s="508"/>
      <c r="U407" s="508"/>
      <c r="V407" s="508"/>
      <c r="W407" s="508"/>
      <c r="X407" s="508"/>
      <c r="Y407" s="508"/>
      <c r="Z407" s="508"/>
    </row>
    <row r="408" ht="13.5" customHeight="1">
      <c r="A408" s="426"/>
      <c r="B408" s="508"/>
      <c r="C408" s="508"/>
      <c r="D408" s="508"/>
      <c r="E408" s="508"/>
      <c r="F408" s="426"/>
      <c r="G408" s="426"/>
      <c r="H408" s="426"/>
      <c r="I408" s="426"/>
      <c r="J408" s="508"/>
      <c r="K408" s="508"/>
      <c r="L408" s="508"/>
      <c r="M408" s="508"/>
      <c r="N408" s="508"/>
      <c r="O408" s="508"/>
      <c r="P408" s="508"/>
      <c r="Q408" s="508"/>
      <c r="R408" s="508"/>
      <c r="S408" s="508"/>
      <c r="T408" s="508"/>
      <c r="U408" s="508"/>
      <c r="V408" s="508"/>
      <c r="W408" s="508"/>
      <c r="X408" s="508"/>
      <c r="Y408" s="508"/>
      <c r="Z408" s="508"/>
    </row>
    <row r="409" ht="13.5" customHeight="1">
      <c r="A409" s="426"/>
      <c r="B409" s="508"/>
      <c r="C409" s="508"/>
      <c r="D409" s="508"/>
      <c r="E409" s="508"/>
      <c r="F409" s="426"/>
      <c r="G409" s="426"/>
      <c r="H409" s="426"/>
      <c r="I409" s="426"/>
      <c r="J409" s="508"/>
      <c r="K409" s="508"/>
      <c r="L409" s="508"/>
      <c r="M409" s="508"/>
      <c r="N409" s="508"/>
      <c r="O409" s="508"/>
      <c r="P409" s="508"/>
      <c r="Q409" s="508"/>
      <c r="R409" s="508"/>
      <c r="S409" s="508"/>
      <c r="T409" s="508"/>
      <c r="U409" s="508"/>
      <c r="V409" s="508"/>
      <c r="W409" s="508"/>
      <c r="X409" s="508"/>
      <c r="Y409" s="508"/>
      <c r="Z409" s="508"/>
    </row>
    <row r="410" ht="13.5" customHeight="1">
      <c r="A410" s="426"/>
      <c r="B410" s="508"/>
      <c r="C410" s="508"/>
      <c r="D410" s="508"/>
      <c r="E410" s="508"/>
      <c r="F410" s="426"/>
      <c r="G410" s="426"/>
      <c r="H410" s="426"/>
      <c r="I410" s="426"/>
      <c r="J410" s="508"/>
      <c r="K410" s="508"/>
      <c r="L410" s="508"/>
      <c r="M410" s="508"/>
      <c r="N410" s="508"/>
      <c r="O410" s="508"/>
      <c r="P410" s="508"/>
      <c r="Q410" s="508"/>
      <c r="R410" s="508"/>
      <c r="S410" s="508"/>
      <c r="T410" s="508"/>
      <c r="U410" s="508"/>
      <c r="V410" s="508"/>
      <c r="W410" s="508"/>
      <c r="X410" s="508"/>
      <c r="Y410" s="508"/>
      <c r="Z410" s="508"/>
    </row>
    <row r="411" ht="13.5" customHeight="1">
      <c r="A411" s="426"/>
      <c r="B411" s="508"/>
      <c r="C411" s="508"/>
      <c r="D411" s="508"/>
      <c r="E411" s="508"/>
      <c r="F411" s="426"/>
      <c r="G411" s="426"/>
      <c r="H411" s="426"/>
      <c r="I411" s="426"/>
      <c r="J411" s="508"/>
      <c r="K411" s="508"/>
      <c r="L411" s="508"/>
      <c r="M411" s="508"/>
      <c r="N411" s="508"/>
      <c r="O411" s="508"/>
      <c r="P411" s="508"/>
      <c r="Q411" s="508"/>
      <c r="R411" s="508"/>
      <c r="S411" s="508"/>
      <c r="T411" s="508"/>
      <c r="U411" s="508"/>
      <c r="V411" s="508"/>
      <c r="W411" s="508"/>
      <c r="X411" s="508"/>
      <c r="Y411" s="508"/>
      <c r="Z411" s="508"/>
    </row>
    <row r="412" ht="13.5" customHeight="1">
      <c r="A412" s="426"/>
      <c r="B412" s="508"/>
      <c r="C412" s="508"/>
      <c r="D412" s="508"/>
      <c r="E412" s="508"/>
      <c r="F412" s="426"/>
      <c r="G412" s="426"/>
      <c r="H412" s="426"/>
      <c r="I412" s="426"/>
      <c r="J412" s="508"/>
      <c r="K412" s="508"/>
      <c r="L412" s="508"/>
      <c r="M412" s="508"/>
      <c r="N412" s="508"/>
      <c r="O412" s="508"/>
      <c r="P412" s="508"/>
      <c r="Q412" s="508"/>
      <c r="R412" s="508"/>
      <c r="S412" s="508"/>
      <c r="T412" s="508"/>
      <c r="U412" s="508"/>
      <c r="V412" s="508"/>
      <c r="W412" s="508"/>
      <c r="X412" s="508"/>
      <c r="Y412" s="508"/>
      <c r="Z412" s="508"/>
    </row>
    <row r="413" ht="13.5" customHeight="1">
      <c r="A413" s="426"/>
      <c r="B413" s="508"/>
      <c r="C413" s="508"/>
      <c r="D413" s="508"/>
      <c r="E413" s="508"/>
      <c r="F413" s="426"/>
      <c r="G413" s="426"/>
      <c r="H413" s="426"/>
      <c r="I413" s="426"/>
      <c r="J413" s="508"/>
      <c r="K413" s="508"/>
      <c r="L413" s="508"/>
      <c r="M413" s="508"/>
      <c r="N413" s="508"/>
      <c r="O413" s="508"/>
      <c r="P413" s="508"/>
      <c r="Q413" s="508"/>
      <c r="R413" s="508"/>
      <c r="S413" s="508"/>
      <c r="T413" s="508"/>
      <c r="U413" s="508"/>
      <c r="V413" s="508"/>
      <c r="W413" s="508"/>
      <c r="X413" s="508"/>
      <c r="Y413" s="508"/>
      <c r="Z413" s="508"/>
    </row>
    <row r="414" ht="13.5" customHeight="1">
      <c r="A414" s="426"/>
      <c r="B414" s="508"/>
      <c r="C414" s="508"/>
      <c r="D414" s="508"/>
      <c r="E414" s="508"/>
      <c r="F414" s="426"/>
      <c r="G414" s="426"/>
      <c r="H414" s="426"/>
      <c r="I414" s="426"/>
      <c r="J414" s="508"/>
      <c r="K414" s="508"/>
      <c r="L414" s="508"/>
      <c r="M414" s="508"/>
      <c r="N414" s="508"/>
      <c r="O414" s="508"/>
      <c r="P414" s="508"/>
      <c r="Q414" s="508"/>
      <c r="R414" s="508"/>
      <c r="S414" s="508"/>
      <c r="T414" s="508"/>
      <c r="U414" s="508"/>
      <c r="V414" s="508"/>
      <c r="W414" s="508"/>
      <c r="X414" s="508"/>
      <c r="Y414" s="508"/>
      <c r="Z414" s="508"/>
    </row>
    <row r="415" ht="13.5" customHeight="1">
      <c r="A415" s="426"/>
      <c r="B415" s="508"/>
      <c r="C415" s="508"/>
      <c r="D415" s="508"/>
      <c r="E415" s="508"/>
      <c r="F415" s="426"/>
      <c r="G415" s="426"/>
      <c r="H415" s="426"/>
      <c r="I415" s="426"/>
      <c r="J415" s="508"/>
      <c r="K415" s="508"/>
      <c r="L415" s="508"/>
      <c r="M415" s="508"/>
      <c r="N415" s="508"/>
      <c r="O415" s="508"/>
      <c r="P415" s="508"/>
      <c r="Q415" s="508"/>
      <c r="R415" s="508"/>
      <c r="S415" s="508"/>
      <c r="T415" s="508"/>
      <c r="U415" s="508"/>
      <c r="V415" s="508"/>
      <c r="W415" s="508"/>
      <c r="X415" s="508"/>
      <c r="Y415" s="508"/>
      <c r="Z415" s="508"/>
    </row>
    <row r="416" ht="13.5" customHeight="1">
      <c r="A416" s="426"/>
      <c r="B416" s="508"/>
      <c r="C416" s="508"/>
      <c r="D416" s="508"/>
      <c r="E416" s="508"/>
      <c r="F416" s="426"/>
      <c r="G416" s="426"/>
      <c r="H416" s="426"/>
      <c r="I416" s="426"/>
      <c r="J416" s="508"/>
      <c r="K416" s="508"/>
      <c r="L416" s="508"/>
      <c r="M416" s="508"/>
      <c r="N416" s="508"/>
      <c r="O416" s="508"/>
      <c r="P416" s="508"/>
      <c r="Q416" s="508"/>
      <c r="R416" s="508"/>
      <c r="S416" s="508"/>
      <c r="T416" s="508"/>
      <c r="U416" s="508"/>
      <c r="V416" s="508"/>
      <c r="W416" s="508"/>
      <c r="X416" s="508"/>
      <c r="Y416" s="508"/>
      <c r="Z416" s="508"/>
    </row>
    <row r="417" ht="13.5" customHeight="1">
      <c r="A417" s="426"/>
      <c r="B417" s="508"/>
      <c r="C417" s="508"/>
      <c r="D417" s="508"/>
      <c r="E417" s="508"/>
      <c r="F417" s="426"/>
      <c r="G417" s="426"/>
      <c r="H417" s="426"/>
      <c r="I417" s="426"/>
      <c r="J417" s="508"/>
      <c r="K417" s="508"/>
      <c r="L417" s="508"/>
      <c r="M417" s="508"/>
      <c r="N417" s="508"/>
      <c r="O417" s="508"/>
      <c r="P417" s="508"/>
      <c r="Q417" s="508"/>
      <c r="R417" s="508"/>
      <c r="S417" s="508"/>
      <c r="T417" s="508"/>
      <c r="U417" s="508"/>
      <c r="V417" s="508"/>
      <c r="W417" s="508"/>
      <c r="X417" s="508"/>
      <c r="Y417" s="508"/>
      <c r="Z417" s="508"/>
    </row>
    <row r="418" ht="13.5" customHeight="1">
      <c r="A418" s="426"/>
      <c r="B418" s="508"/>
      <c r="C418" s="508"/>
      <c r="D418" s="508"/>
      <c r="E418" s="508"/>
      <c r="F418" s="426"/>
      <c r="G418" s="426"/>
      <c r="H418" s="426"/>
      <c r="I418" s="426"/>
      <c r="J418" s="508"/>
      <c r="K418" s="508"/>
      <c r="L418" s="508"/>
      <c r="M418" s="508"/>
      <c r="N418" s="508"/>
      <c r="O418" s="508"/>
      <c r="P418" s="508"/>
      <c r="Q418" s="508"/>
      <c r="R418" s="508"/>
      <c r="S418" s="508"/>
      <c r="T418" s="508"/>
      <c r="U418" s="508"/>
      <c r="V418" s="508"/>
      <c r="W418" s="508"/>
      <c r="X418" s="508"/>
      <c r="Y418" s="508"/>
      <c r="Z418" s="508"/>
    </row>
    <row r="419" ht="13.5" customHeight="1">
      <c r="A419" s="426"/>
      <c r="B419" s="508"/>
      <c r="C419" s="508"/>
      <c r="D419" s="508"/>
      <c r="E419" s="508"/>
      <c r="F419" s="426"/>
      <c r="G419" s="426"/>
      <c r="H419" s="426"/>
      <c r="I419" s="426"/>
      <c r="J419" s="508"/>
      <c r="K419" s="508"/>
      <c r="L419" s="508"/>
      <c r="M419" s="508"/>
      <c r="N419" s="508"/>
      <c r="O419" s="508"/>
      <c r="P419" s="508"/>
      <c r="Q419" s="508"/>
      <c r="R419" s="508"/>
      <c r="S419" s="508"/>
      <c r="T419" s="508"/>
      <c r="U419" s="508"/>
      <c r="V419" s="508"/>
      <c r="W419" s="508"/>
      <c r="X419" s="508"/>
      <c r="Y419" s="508"/>
      <c r="Z419" s="508"/>
    </row>
    <row r="420" ht="13.5" customHeight="1">
      <c r="A420" s="426"/>
      <c r="B420" s="508"/>
      <c r="C420" s="508"/>
      <c r="D420" s="508"/>
      <c r="E420" s="508"/>
      <c r="F420" s="426"/>
      <c r="G420" s="426"/>
      <c r="H420" s="426"/>
      <c r="I420" s="426"/>
      <c r="J420" s="508"/>
      <c r="K420" s="508"/>
      <c r="L420" s="508"/>
      <c r="M420" s="508"/>
      <c r="N420" s="508"/>
      <c r="O420" s="508"/>
      <c r="P420" s="508"/>
      <c r="Q420" s="508"/>
      <c r="R420" s="508"/>
      <c r="S420" s="508"/>
      <c r="T420" s="508"/>
      <c r="U420" s="508"/>
      <c r="V420" s="508"/>
      <c r="W420" s="508"/>
      <c r="X420" s="508"/>
      <c r="Y420" s="508"/>
      <c r="Z420" s="508"/>
    </row>
    <row r="421" ht="13.5" customHeight="1">
      <c r="A421" s="426"/>
      <c r="B421" s="508"/>
      <c r="C421" s="508"/>
      <c r="D421" s="508"/>
      <c r="E421" s="508"/>
      <c r="F421" s="426"/>
      <c r="G421" s="426"/>
      <c r="H421" s="426"/>
      <c r="I421" s="426"/>
      <c r="J421" s="508"/>
      <c r="K421" s="508"/>
      <c r="L421" s="508"/>
      <c r="M421" s="508"/>
      <c r="N421" s="508"/>
      <c r="O421" s="508"/>
      <c r="P421" s="508"/>
      <c r="Q421" s="508"/>
      <c r="R421" s="508"/>
      <c r="S421" s="508"/>
      <c r="T421" s="508"/>
      <c r="U421" s="508"/>
      <c r="V421" s="508"/>
      <c r="W421" s="508"/>
      <c r="X421" s="508"/>
      <c r="Y421" s="508"/>
      <c r="Z421" s="508"/>
    </row>
    <row r="422" ht="13.5" customHeight="1">
      <c r="A422" s="426"/>
      <c r="B422" s="508"/>
      <c r="C422" s="508"/>
      <c r="D422" s="508"/>
      <c r="E422" s="508"/>
      <c r="F422" s="426"/>
      <c r="G422" s="426"/>
      <c r="H422" s="426"/>
      <c r="I422" s="426"/>
      <c r="J422" s="508"/>
      <c r="K422" s="508"/>
      <c r="L422" s="508"/>
      <c r="M422" s="508"/>
      <c r="N422" s="508"/>
      <c r="O422" s="508"/>
      <c r="P422" s="508"/>
      <c r="Q422" s="508"/>
      <c r="R422" s="508"/>
      <c r="S422" s="508"/>
      <c r="T422" s="508"/>
      <c r="U422" s="508"/>
      <c r="V422" s="508"/>
      <c r="W422" s="508"/>
      <c r="X422" s="508"/>
      <c r="Y422" s="508"/>
      <c r="Z422" s="508"/>
    </row>
    <row r="423" ht="13.5" customHeight="1">
      <c r="A423" s="426"/>
      <c r="B423" s="508"/>
      <c r="C423" s="508"/>
      <c r="D423" s="508"/>
      <c r="E423" s="508"/>
      <c r="F423" s="426"/>
      <c r="G423" s="426"/>
      <c r="H423" s="426"/>
      <c r="I423" s="426"/>
      <c r="J423" s="508"/>
      <c r="K423" s="508"/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  <c r="V423" s="508"/>
      <c r="W423" s="508"/>
      <c r="X423" s="508"/>
      <c r="Y423" s="508"/>
      <c r="Z423" s="508"/>
    </row>
    <row r="424" ht="13.5" customHeight="1">
      <c r="A424" s="426"/>
      <c r="B424" s="508"/>
      <c r="C424" s="508"/>
      <c r="D424" s="508"/>
      <c r="E424" s="508"/>
      <c r="F424" s="426"/>
      <c r="G424" s="426"/>
      <c r="H424" s="426"/>
      <c r="I424" s="426"/>
      <c r="J424" s="508"/>
      <c r="K424" s="508"/>
      <c r="L424" s="508"/>
      <c r="M424" s="508"/>
      <c r="N424" s="508"/>
      <c r="O424" s="508"/>
      <c r="P424" s="508"/>
      <c r="Q424" s="508"/>
      <c r="R424" s="508"/>
      <c r="S424" s="508"/>
      <c r="T424" s="508"/>
      <c r="U424" s="508"/>
      <c r="V424" s="508"/>
      <c r="W424" s="508"/>
      <c r="X424" s="508"/>
      <c r="Y424" s="508"/>
      <c r="Z424" s="508"/>
    </row>
    <row r="425" ht="13.5" customHeight="1">
      <c r="A425" s="426"/>
      <c r="B425" s="508"/>
      <c r="C425" s="508"/>
      <c r="D425" s="508"/>
      <c r="E425" s="508"/>
      <c r="F425" s="426"/>
      <c r="G425" s="426"/>
      <c r="H425" s="426"/>
      <c r="I425" s="426"/>
      <c r="J425" s="508"/>
      <c r="K425" s="508"/>
      <c r="L425" s="508"/>
      <c r="M425" s="508"/>
      <c r="N425" s="508"/>
      <c r="O425" s="508"/>
      <c r="P425" s="508"/>
      <c r="Q425" s="508"/>
      <c r="R425" s="508"/>
      <c r="S425" s="508"/>
      <c r="T425" s="508"/>
      <c r="U425" s="508"/>
      <c r="V425" s="508"/>
      <c r="W425" s="508"/>
      <c r="X425" s="508"/>
      <c r="Y425" s="508"/>
      <c r="Z425" s="508"/>
    </row>
    <row r="426" ht="13.5" customHeight="1">
      <c r="A426" s="426"/>
      <c r="B426" s="508"/>
      <c r="C426" s="508"/>
      <c r="D426" s="508"/>
      <c r="E426" s="508"/>
      <c r="F426" s="426"/>
      <c r="G426" s="426"/>
      <c r="H426" s="426"/>
      <c r="I426" s="426"/>
      <c r="J426" s="508"/>
      <c r="K426" s="508"/>
      <c r="L426" s="508"/>
      <c r="M426" s="508"/>
      <c r="N426" s="508"/>
      <c r="O426" s="508"/>
      <c r="P426" s="508"/>
      <c r="Q426" s="508"/>
      <c r="R426" s="508"/>
      <c r="S426" s="508"/>
      <c r="T426" s="508"/>
      <c r="U426" s="508"/>
      <c r="V426" s="508"/>
      <c r="W426" s="508"/>
      <c r="X426" s="508"/>
      <c r="Y426" s="508"/>
      <c r="Z426" s="508"/>
    </row>
    <row r="427" ht="13.5" customHeight="1">
      <c r="A427" s="426"/>
      <c r="B427" s="508"/>
      <c r="C427" s="508"/>
      <c r="D427" s="508"/>
      <c r="E427" s="508"/>
      <c r="F427" s="426"/>
      <c r="G427" s="426"/>
      <c r="H427" s="426"/>
      <c r="I427" s="426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508"/>
      <c r="Y427" s="508"/>
      <c r="Z427" s="508"/>
    </row>
    <row r="428" ht="13.5" customHeight="1">
      <c r="A428" s="426"/>
      <c r="B428" s="508"/>
      <c r="C428" s="508"/>
      <c r="D428" s="508"/>
      <c r="E428" s="508"/>
      <c r="F428" s="426"/>
      <c r="G428" s="426"/>
      <c r="H428" s="426"/>
      <c r="I428" s="426"/>
      <c r="J428" s="508"/>
      <c r="K428" s="508"/>
      <c r="L428" s="508"/>
      <c r="M428" s="508"/>
      <c r="N428" s="508"/>
      <c r="O428" s="508"/>
      <c r="P428" s="508"/>
      <c r="Q428" s="508"/>
      <c r="R428" s="508"/>
      <c r="S428" s="508"/>
      <c r="T428" s="508"/>
      <c r="U428" s="508"/>
      <c r="V428" s="508"/>
      <c r="W428" s="508"/>
      <c r="X428" s="508"/>
      <c r="Y428" s="508"/>
      <c r="Z428" s="508"/>
    </row>
    <row r="429" ht="13.5" customHeight="1">
      <c r="A429" s="426"/>
      <c r="B429" s="508"/>
      <c r="C429" s="508"/>
      <c r="D429" s="508"/>
      <c r="E429" s="508"/>
      <c r="F429" s="426"/>
      <c r="G429" s="426"/>
      <c r="H429" s="426"/>
      <c r="I429" s="426"/>
      <c r="J429" s="508"/>
      <c r="K429" s="508"/>
      <c r="L429" s="508"/>
      <c r="M429" s="508"/>
      <c r="N429" s="508"/>
      <c r="O429" s="508"/>
      <c r="P429" s="508"/>
      <c r="Q429" s="508"/>
      <c r="R429" s="508"/>
      <c r="S429" s="508"/>
      <c r="T429" s="508"/>
      <c r="U429" s="508"/>
      <c r="V429" s="508"/>
      <c r="W429" s="508"/>
      <c r="X429" s="508"/>
      <c r="Y429" s="508"/>
      <c r="Z429" s="508"/>
    </row>
    <row r="430" ht="13.5" customHeight="1">
      <c r="A430" s="426"/>
      <c r="B430" s="508"/>
      <c r="C430" s="508"/>
      <c r="D430" s="508"/>
      <c r="E430" s="508"/>
      <c r="F430" s="426"/>
      <c r="G430" s="426"/>
      <c r="H430" s="426"/>
      <c r="I430" s="426"/>
      <c r="J430" s="508"/>
      <c r="K430" s="508"/>
      <c r="L430" s="508"/>
      <c r="M430" s="508"/>
      <c r="N430" s="508"/>
      <c r="O430" s="508"/>
      <c r="P430" s="508"/>
      <c r="Q430" s="508"/>
      <c r="R430" s="508"/>
      <c r="S430" s="508"/>
      <c r="T430" s="508"/>
      <c r="U430" s="508"/>
      <c r="V430" s="508"/>
      <c r="W430" s="508"/>
      <c r="X430" s="508"/>
      <c r="Y430" s="508"/>
      <c r="Z430" s="508"/>
    </row>
    <row r="431" ht="13.5" customHeight="1">
      <c r="A431" s="426"/>
      <c r="B431" s="508"/>
      <c r="C431" s="508"/>
      <c r="D431" s="508"/>
      <c r="E431" s="508"/>
      <c r="F431" s="426"/>
      <c r="G431" s="426"/>
      <c r="H431" s="426"/>
      <c r="I431" s="426"/>
      <c r="J431" s="508"/>
      <c r="K431" s="508"/>
      <c r="L431" s="508"/>
      <c r="M431" s="508"/>
      <c r="N431" s="508"/>
      <c r="O431" s="508"/>
      <c r="P431" s="508"/>
      <c r="Q431" s="508"/>
      <c r="R431" s="508"/>
      <c r="S431" s="508"/>
      <c r="T431" s="508"/>
      <c r="U431" s="508"/>
      <c r="V431" s="508"/>
      <c r="W431" s="508"/>
      <c r="X431" s="508"/>
      <c r="Y431" s="508"/>
      <c r="Z431" s="508"/>
    </row>
    <row r="432" ht="13.5" customHeight="1">
      <c r="A432" s="426"/>
      <c r="B432" s="508"/>
      <c r="C432" s="508"/>
      <c r="D432" s="508"/>
      <c r="E432" s="508"/>
      <c r="F432" s="426"/>
      <c r="G432" s="426"/>
      <c r="H432" s="426"/>
      <c r="I432" s="426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8"/>
      <c r="V432" s="508"/>
      <c r="W432" s="508"/>
      <c r="X432" s="508"/>
      <c r="Y432" s="508"/>
      <c r="Z432" s="508"/>
    </row>
    <row r="433" ht="13.5" customHeight="1">
      <c r="A433" s="426"/>
      <c r="B433" s="508"/>
      <c r="C433" s="508"/>
      <c r="D433" s="508"/>
      <c r="E433" s="508"/>
      <c r="F433" s="426"/>
      <c r="G433" s="426"/>
      <c r="H433" s="426"/>
      <c r="I433" s="426"/>
      <c r="J433" s="508"/>
      <c r="K433" s="508"/>
      <c r="L433" s="508"/>
      <c r="M433" s="508"/>
      <c r="N433" s="508"/>
      <c r="O433" s="508"/>
      <c r="P433" s="508"/>
      <c r="Q433" s="508"/>
      <c r="R433" s="508"/>
      <c r="S433" s="508"/>
      <c r="T433" s="508"/>
      <c r="U433" s="508"/>
      <c r="V433" s="508"/>
      <c r="W433" s="508"/>
      <c r="X433" s="508"/>
      <c r="Y433" s="508"/>
      <c r="Z433" s="508"/>
    </row>
    <row r="434" ht="13.5" customHeight="1">
      <c r="A434" s="426"/>
      <c r="B434" s="508"/>
      <c r="C434" s="508"/>
      <c r="D434" s="508"/>
      <c r="E434" s="508"/>
      <c r="F434" s="426"/>
      <c r="G434" s="426"/>
      <c r="H434" s="426"/>
      <c r="I434" s="426"/>
      <c r="J434" s="508"/>
      <c r="K434" s="508"/>
      <c r="L434" s="508"/>
      <c r="M434" s="508"/>
      <c r="N434" s="508"/>
      <c r="O434" s="508"/>
      <c r="P434" s="508"/>
      <c r="Q434" s="508"/>
      <c r="R434" s="508"/>
      <c r="S434" s="508"/>
      <c r="T434" s="508"/>
      <c r="U434" s="508"/>
      <c r="V434" s="508"/>
      <c r="W434" s="508"/>
      <c r="X434" s="508"/>
      <c r="Y434" s="508"/>
      <c r="Z434" s="508"/>
    </row>
    <row r="435" ht="13.5" customHeight="1">
      <c r="A435" s="426"/>
      <c r="B435" s="508"/>
      <c r="C435" s="508"/>
      <c r="D435" s="508"/>
      <c r="E435" s="508"/>
      <c r="F435" s="426"/>
      <c r="G435" s="426"/>
      <c r="H435" s="426"/>
      <c r="I435" s="426"/>
      <c r="J435" s="508"/>
      <c r="K435" s="508"/>
      <c r="L435" s="508"/>
      <c r="M435" s="508"/>
      <c r="N435" s="508"/>
      <c r="O435" s="508"/>
      <c r="P435" s="508"/>
      <c r="Q435" s="508"/>
      <c r="R435" s="508"/>
      <c r="S435" s="508"/>
      <c r="T435" s="508"/>
      <c r="U435" s="508"/>
      <c r="V435" s="508"/>
      <c r="W435" s="508"/>
      <c r="X435" s="508"/>
      <c r="Y435" s="508"/>
      <c r="Z435" s="508"/>
    </row>
    <row r="436" ht="13.5" customHeight="1">
      <c r="A436" s="426"/>
      <c r="B436" s="508"/>
      <c r="C436" s="508"/>
      <c r="D436" s="508"/>
      <c r="E436" s="508"/>
      <c r="F436" s="426"/>
      <c r="G436" s="426"/>
      <c r="H436" s="426"/>
      <c r="I436" s="426"/>
      <c r="J436" s="508"/>
      <c r="K436" s="508"/>
      <c r="L436" s="508"/>
      <c r="M436" s="508"/>
      <c r="N436" s="508"/>
      <c r="O436" s="508"/>
      <c r="P436" s="508"/>
      <c r="Q436" s="508"/>
      <c r="R436" s="508"/>
      <c r="S436" s="508"/>
      <c r="T436" s="508"/>
      <c r="U436" s="508"/>
      <c r="V436" s="508"/>
      <c r="W436" s="508"/>
      <c r="X436" s="508"/>
      <c r="Y436" s="508"/>
      <c r="Z436" s="508"/>
    </row>
    <row r="437" ht="13.5" customHeight="1">
      <c r="A437" s="426"/>
      <c r="B437" s="508"/>
      <c r="C437" s="508"/>
      <c r="D437" s="508"/>
      <c r="E437" s="508"/>
      <c r="F437" s="426"/>
      <c r="G437" s="426"/>
      <c r="H437" s="426"/>
      <c r="I437" s="426"/>
      <c r="J437" s="508"/>
      <c r="K437" s="508"/>
      <c r="L437" s="508"/>
      <c r="M437" s="508"/>
      <c r="N437" s="508"/>
      <c r="O437" s="508"/>
      <c r="P437" s="508"/>
      <c r="Q437" s="508"/>
      <c r="R437" s="508"/>
      <c r="S437" s="508"/>
      <c r="T437" s="508"/>
      <c r="U437" s="508"/>
      <c r="V437" s="508"/>
      <c r="W437" s="508"/>
      <c r="X437" s="508"/>
      <c r="Y437" s="508"/>
      <c r="Z437" s="508"/>
    </row>
    <row r="438" ht="13.5" customHeight="1">
      <c r="A438" s="426"/>
      <c r="B438" s="508"/>
      <c r="C438" s="508"/>
      <c r="D438" s="508"/>
      <c r="E438" s="508"/>
      <c r="F438" s="426"/>
      <c r="G438" s="426"/>
      <c r="H438" s="426"/>
      <c r="I438" s="426"/>
      <c r="J438" s="508"/>
      <c r="K438" s="508"/>
      <c r="L438" s="508"/>
      <c r="M438" s="508"/>
      <c r="N438" s="508"/>
      <c r="O438" s="508"/>
      <c r="P438" s="508"/>
      <c r="Q438" s="508"/>
      <c r="R438" s="508"/>
      <c r="S438" s="508"/>
      <c r="T438" s="508"/>
      <c r="U438" s="508"/>
      <c r="V438" s="508"/>
      <c r="W438" s="508"/>
      <c r="X438" s="508"/>
      <c r="Y438" s="508"/>
      <c r="Z438" s="508"/>
    </row>
    <row r="439" ht="13.5" customHeight="1">
      <c r="A439" s="426"/>
      <c r="B439" s="508"/>
      <c r="C439" s="508"/>
      <c r="D439" s="508"/>
      <c r="E439" s="508"/>
      <c r="F439" s="426"/>
      <c r="G439" s="426"/>
      <c r="H439" s="426"/>
      <c r="I439" s="426"/>
      <c r="J439" s="508"/>
      <c r="K439" s="508"/>
      <c r="L439" s="508"/>
      <c r="M439" s="508"/>
      <c r="N439" s="508"/>
      <c r="O439" s="508"/>
      <c r="P439" s="508"/>
      <c r="Q439" s="508"/>
      <c r="R439" s="508"/>
      <c r="S439" s="508"/>
      <c r="T439" s="508"/>
      <c r="U439" s="508"/>
      <c r="V439" s="508"/>
      <c r="W439" s="508"/>
      <c r="X439" s="508"/>
      <c r="Y439" s="508"/>
      <c r="Z439" s="508"/>
    </row>
    <row r="440" ht="13.5" customHeight="1">
      <c r="A440" s="426"/>
      <c r="B440" s="508"/>
      <c r="C440" s="508"/>
      <c r="D440" s="508"/>
      <c r="E440" s="508"/>
      <c r="F440" s="426"/>
      <c r="G440" s="426"/>
      <c r="H440" s="426"/>
      <c r="I440" s="426"/>
      <c r="J440" s="508"/>
      <c r="K440" s="508"/>
      <c r="L440" s="508"/>
      <c r="M440" s="508"/>
      <c r="N440" s="508"/>
      <c r="O440" s="508"/>
      <c r="P440" s="508"/>
      <c r="Q440" s="508"/>
      <c r="R440" s="508"/>
      <c r="S440" s="508"/>
      <c r="T440" s="508"/>
      <c r="U440" s="508"/>
      <c r="V440" s="508"/>
      <c r="W440" s="508"/>
      <c r="X440" s="508"/>
      <c r="Y440" s="508"/>
      <c r="Z440" s="508"/>
    </row>
    <row r="441" ht="13.5" customHeight="1">
      <c r="A441" s="426"/>
      <c r="B441" s="508"/>
      <c r="C441" s="508"/>
      <c r="D441" s="508"/>
      <c r="E441" s="508"/>
      <c r="F441" s="426"/>
      <c r="G441" s="426"/>
      <c r="H441" s="426"/>
      <c r="I441" s="426"/>
      <c r="J441" s="508"/>
      <c r="K441" s="508"/>
      <c r="L441" s="508"/>
      <c r="M441" s="508"/>
      <c r="N441" s="508"/>
      <c r="O441" s="508"/>
      <c r="P441" s="508"/>
      <c r="Q441" s="508"/>
      <c r="R441" s="508"/>
      <c r="S441" s="508"/>
      <c r="T441" s="508"/>
      <c r="U441" s="508"/>
      <c r="V441" s="508"/>
      <c r="W441" s="508"/>
      <c r="X441" s="508"/>
      <c r="Y441" s="508"/>
      <c r="Z441" s="508"/>
    </row>
    <row r="442" ht="13.5" customHeight="1">
      <c r="A442" s="426"/>
      <c r="B442" s="508"/>
      <c r="C442" s="508"/>
      <c r="D442" s="508"/>
      <c r="E442" s="508"/>
      <c r="F442" s="426"/>
      <c r="G442" s="426"/>
      <c r="H442" s="426"/>
      <c r="I442" s="426"/>
      <c r="J442" s="508"/>
      <c r="K442" s="508"/>
      <c r="L442" s="508"/>
      <c r="M442" s="508"/>
      <c r="N442" s="508"/>
      <c r="O442" s="508"/>
      <c r="P442" s="508"/>
      <c r="Q442" s="508"/>
      <c r="R442" s="508"/>
      <c r="S442" s="508"/>
      <c r="T442" s="508"/>
      <c r="U442" s="508"/>
      <c r="V442" s="508"/>
      <c r="W442" s="508"/>
      <c r="X442" s="508"/>
      <c r="Y442" s="508"/>
      <c r="Z442" s="508"/>
    </row>
    <row r="443" ht="13.5" customHeight="1">
      <c r="A443" s="426"/>
      <c r="B443" s="508"/>
      <c r="C443" s="508"/>
      <c r="D443" s="508"/>
      <c r="E443" s="508"/>
      <c r="F443" s="426"/>
      <c r="G443" s="426"/>
      <c r="H443" s="426"/>
      <c r="I443" s="426"/>
      <c r="J443" s="508"/>
      <c r="K443" s="508"/>
      <c r="L443" s="508"/>
      <c r="M443" s="508"/>
      <c r="N443" s="508"/>
      <c r="O443" s="508"/>
      <c r="P443" s="508"/>
      <c r="Q443" s="508"/>
      <c r="R443" s="508"/>
      <c r="S443" s="508"/>
      <c r="T443" s="508"/>
      <c r="U443" s="508"/>
      <c r="V443" s="508"/>
      <c r="W443" s="508"/>
      <c r="X443" s="508"/>
      <c r="Y443" s="508"/>
      <c r="Z443" s="508"/>
    </row>
    <row r="444" ht="13.5" customHeight="1">
      <c r="A444" s="426"/>
      <c r="B444" s="508"/>
      <c r="C444" s="508"/>
      <c r="D444" s="508"/>
      <c r="E444" s="508"/>
      <c r="F444" s="426"/>
      <c r="G444" s="426"/>
      <c r="H444" s="426"/>
      <c r="I444" s="426"/>
      <c r="J444" s="508"/>
      <c r="K444" s="508"/>
      <c r="L444" s="508"/>
      <c r="M444" s="508"/>
      <c r="N444" s="508"/>
      <c r="O444" s="508"/>
      <c r="P444" s="508"/>
      <c r="Q444" s="508"/>
      <c r="R444" s="508"/>
      <c r="S444" s="508"/>
      <c r="T444" s="508"/>
      <c r="U444" s="508"/>
      <c r="V444" s="508"/>
      <c r="W444" s="508"/>
      <c r="X444" s="508"/>
      <c r="Y444" s="508"/>
      <c r="Z444" s="508"/>
    </row>
    <row r="445" ht="13.5" customHeight="1">
      <c r="A445" s="426"/>
      <c r="B445" s="508"/>
      <c r="C445" s="508"/>
      <c r="D445" s="508"/>
      <c r="E445" s="508"/>
      <c r="F445" s="426"/>
      <c r="G445" s="426"/>
      <c r="H445" s="426"/>
      <c r="I445" s="426"/>
      <c r="J445" s="508"/>
      <c r="K445" s="508"/>
      <c r="L445" s="508"/>
      <c r="M445" s="508"/>
      <c r="N445" s="508"/>
      <c r="O445" s="508"/>
      <c r="P445" s="508"/>
      <c r="Q445" s="508"/>
      <c r="R445" s="508"/>
      <c r="S445" s="508"/>
      <c r="T445" s="508"/>
      <c r="U445" s="508"/>
      <c r="V445" s="508"/>
      <c r="W445" s="508"/>
      <c r="X445" s="508"/>
      <c r="Y445" s="508"/>
      <c r="Z445" s="508"/>
    </row>
    <row r="446" ht="13.5" customHeight="1">
      <c r="A446" s="426"/>
      <c r="B446" s="508"/>
      <c r="C446" s="508"/>
      <c r="D446" s="508"/>
      <c r="E446" s="508"/>
      <c r="F446" s="426"/>
      <c r="G446" s="426"/>
      <c r="H446" s="426"/>
      <c r="I446" s="426"/>
      <c r="J446" s="508"/>
      <c r="K446" s="508"/>
      <c r="L446" s="508"/>
      <c r="M446" s="508"/>
      <c r="N446" s="508"/>
      <c r="O446" s="508"/>
      <c r="P446" s="508"/>
      <c r="Q446" s="508"/>
      <c r="R446" s="508"/>
      <c r="S446" s="508"/>
      <c r="T446" s="508"/>
      <c r="U446" s="508"/>
      <c r="V446" s="508"/>
      <c r="W446" s="508"/>
      <c r="X446" s="508"/>
      <c r="Y446" s="508"/>
      <c r="Z446" s="508"/>
    </row>
    <row r="447" ht="13.5" customHeight="1">
      <c r="A447" s="426"/>
      <c r="B447" s="508"/>
      <c r="C447" s="508"/>
      <c r="D447" s="508"/>
      <c r="E447" s="508"/>
      <c r="F447" s="426"/>
      <c r="G447" s="426"/>
      <c r="H447" s="426"/>
      <c r="I447" s="426"/>
      <c r="J447" s="508"/>
      <c r="K447" s="508"/>
      <c r="L447" s="508"/>
      <c r="M447" s="508"/>
      <c r="N447" s="508"/>
      <c r="O447" s="508"/>
      <c r="P447" s="508"/>
      <c r="Q447" s="508"/>
      <c r="R447" s="508"/>
      <c r="S447" s="508"/>
      <c r="T447" s="508"/>
      <c r="U447" s="508"/>
      <c r="V447" s="508"/>
      <c r="W447" s="508"/>
      <c r="X447" s="508"/>
      <c r="Y447" s="508"/>
      <c r="Z447" s="508"/>
    </row>
    <row r="448" ht="13.5" customHeight="1">
      <c r="A448" s="426"/>
      <c r="B448" s="508"/>
      <c r="C448" s="508"/>
      <c r="D448" s="508"/>
      <c r="E448" s="508"/>
      <c r="F448" s="426"/>
      <c r="G448" s="426"/>
      <c r="H448" s="426"/>
      <c r="I448" s="426"/>
      <c r="J448" s="508"/>
      <c r="K448" s="508"/>
      <c r="L448" s="508"/>
      <c r="M448" s="508"/>
      <c r="N448" s="508"/>
      <c r="O448" s="508"/>
      <c r="P448" s="508"/>
      <c r="Q448" s="508"/>
      <c r="R448" s="508"/>
      <c r="S448" s="508"/>
      <c r="T448" s="508"/>
      <c r="U448" s="508"/>
      <c r="V448" s="508"/>
      <c r="W448" s="508"/>
      <c r="X448" s="508"/>
      <c r="Y448" s="508"/>
      <c r="Z448" s="508"/>
    </row>
    <row r="449" ht="13.5" customHeight="1">
      <c r="A449" s="426"/>
      <c r="B449" s="508"/>
      <c r="C449" s="508"/>
      <c r="D449" s="508"/>
      <c r="E449" s="508"/>
      <c r="F449" s="426"/>
      <c r="G449" s="426"/>
      <c r="H449" s="426"/>
      <c r="I449" s="426"/>
      <c r="J449" s="508"/>
      <c r="K449" s="508"/>
      <c r="L449" s="508"/>
      <c r="M449" s="508"/>
      <c r="N449" s="508"/>
      <c r="O449" s="508"/>
      <c r="P449" s="508"/>
      <c r="Q449" s="508"/>
      <c r="R449" s="508"/>
      <c r="S449" s="508"/>
      <c r="T449" s="508"/>
      <c r="U449" s="508"/>
      <c r="V449" s="508"/>
      <c r="W449" s="508"/>
      <c r="X449" s="508"/>
      <c r="Y449" s="508"/>
      <c r="Z449" s="508"/>
    </row>
    <row r="450" ht="13.5" customHeight="1">
      <c r="A450" s="426"/>
      <c r="B450" s="508"/>
      <c r="C450" s="508"/>
      <c r="D450" s="508"/>
      <c r="E450" s="508"/>
      <c r="F450" s="426"/>
      <c r="G450" s="426"/>
      <c r="H450" s="426"/>
      <c r="I450" s="426"/>
      <c r="J450" s="508"/>
      <c r="K450" s="508"/>
      <c r="L450" s="508"/>
      <c r="M450" s="508"/>
      <c r="N450" s="508"/>
      <c r="O450" s="508"/>
      <c r="P450" s="508"/>
      <c r="Q450" s="508"/>
      <c r="R450" s="508"/>
      <c r="S450" s="508"/>
      <c r="T450" s="508"/>
      <c r="U450" s="508"/>
      <c r="V450" s="508"/>
      <c r="W450" s="508"/>
      <c r="X450" s="508"/>
      <c r="Y450" s="508"/>
      <c r="Z450" s="508"/>
    </row>
    <row r="451" ht="13.5" customHeight="1">
      <c r="A451" s="426"/>
      <c r="B451" s="508"/>
      <c r="C451" s="508"/>
      <c r="D451" s="508"/>
      <c r="E451" s="508"/>
      <c r="F451" s="426"/>
      <c r="G451" s="426"/>
      <c r="H451" s="426"/>
      <c r="I451" s="426"/>
      <c r="J451" s="508"/>
      <c r="K451" s="508"/>
      <c r="L451" s="508"/>
      <c r="M451" s="508"/>
      <c r="N451" s="508"/>
      <c r="O451" s="508"/>
      <c r="P451" s="508"/>
      <c r="Q451" s="508"/>
      <c r="R451" s="508"/>
      <c r="S451" s="508"/>
      <c r="T451" s="508"/>
      <c r="U451" s="508"/>
      <c r="V451" s="508"/>
      <c r="W451" s="508"/>
      <c r="X451" s="508"/>
      <c r="Y451" s="508"/>
      <c r="Z451" s="508"/>
    </row>
    <row r="452" ht="13.5" customHeight="1">
      <c r="A452" s="426"/>
      <c r="B452" s="508"/>
      <c r="C452" s="508"/>
      <c r="D452" s="508"/>
      <c r="E452" s="508"/>
      <c r="F452" s="426"/>
      <c r="G452" s="426"/>
      <c r="H452" s="426"/>
      <c r="I452" s="426"/>
      <c r="J452" s="508"/>
      <c r="K452" s="508"/>
      <c r="L452" s="508"/>
      <c r="M452" s="508"/>
      <c r="N452" s="508"/>
      <c r="O452" s="508"/>
      <c r="P452" s="508"/>
      <c r="Q452" s="508"/>
      <c r="R452" s="508"/>
      <c r="S452" s="508"/>
      <c r="T452" s="508"/>
      <c r="U452" s="508"/>
      <c r="V452" s="508"/>
      <c r="W452" s="508"/>
      <c r="X452" s="508"/>
      <c r="Y452" s="508"/>
      <c r="Z452" s="508"/>
    </row>
    <row r="453" ht="13.5" customHeight="1">
      <c r="A453" s="426"/>
      <c r="B453" s="508"/>
      <c r="C453" s="508"/>
      <c r="D453" s="508"/>
      <c r="E453" s="508"/>
      <c r="F453" s="426"/>
      <c r="G453" s="426"/>
      <c r="H453" s="426"/>
      <c r="I453" s="426"/>
      <c r="J453" s="508"/>
      <c r="K453" s="508"/>
      <c r="L453" s="508"/>
      <c r="M453" s="508"/>
      <c r="N453" s="508"/>
      <c r="O453" s="508"/>
      <c r="P453" s="508"/>
      <c r="Q453" s="508"/>
      <c r="R453" s="508"/>
      <c r="S453" s="508"/>
      <c r="T453" s="508"/>
      <c r="U453" s="508"/>
      <c r="V453" s="508"/>
      <c r="W453" s="508"/>
      <c r="X453" s="508"/>
      <c r="Y453" s="508"/>
      <c r="Z453" s="508"/>
    </row>
    <row r="454" ht="13.5" customHeight="1">
      <c r="A454" s="426"/>
      <c r="B454" s="508"/>
      <c r="C454" s="508"/>
      <c r="D454" s="508"/>
      <c r="E454" s="508"/>
      <c r="F454" s="426"/>
      <c r="G454" s="426"/>
      <c r="H454" s="426"/>
      <c r="I454" s="426"/>
      <c r="J454" s="508"/>
      <c r="K454" s="508"/>
      <c r="L454" s="508"/>
      <c r="M454" s="508"/>
      <c r="N454" s="508"/>
      <c r="O454" s="508"/>
      <c r="P454" s="508"/>
      <c r="Q454" s="508"/>
      <c r="R454" s="508"/>
      <c r="S454" s="508"/>
      <c r="T454" s="508"/>
      <c r="U454" s="508"/>
      <c r="V454" s="508"/>
      <c r="W454" s="508"/>
      <c r="X454" s="508"/>
      <c r="Y454" s="508"/>
      <c r="Z454" s="508"/>
    </row>
    <row r="455" ht="13.5" customHeight="1">
      <c r="A455" s="426"/>
      <c r="B455" s="508"/>
      <c r="C455" s="508"/>
      <c r="D455" s="508"/>
      <c r="E455" s="508"/>
      <c r="F455" s="426"/>
      <c r="G455" s="426"/>
      <c r="H455" s="426"/>
      <c r="I455" s="426"/>
      <c r="J455" s="508"/>
      <c r="K455" s="508"/>
      <c r="L455" s="508"/>
      <c r="M455" s="508"/>
      <c r="N455" s="508"/>
      <c r="O455" s="508"/>
      <c r="P455" s="508"/>
      <c r="Q455" s="508"/>
      <c r="R455" s="508"/>
      <c r="S455" s="508"/>
      <c r="T455" s="508"/>
      <c r="U455" s="508"/>
      <c r="V455" s="508"/>
      <c r="W455" s="508"/>
      <c r="X455" s="508"/>
      <c r="Y455" s="508"/>
      <c r="Z455" s="508"/>
    </row>
    <row r="456" ht="13.5" customHeight="1">
      <c r="A456" s="426"/>
      <c r="B456" s="508"/>
      <c r="C456" s="508"/>
      <c r="D456" s="508"/>
      <c r="E456" s="508"/>
      <c r="F456" s="426"/>
      <c r="G456" s="426"/>
      <c r="H456" s="426"/>
      <c r="I456" s="426"/>
      <c r="J456" s="508"/>
      <c r="K456" s="508"/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  <c r="V456" s="508"/>
      <c r="W456" s="508"/>
      <c r="X456" s="508"/>
      <c r="Y456" s="508"/>
      <c r="Z456" s="508"/>
    </row>
    <row r="457" ht="13.5" customHeight="1">
      <c r="A457" s="426"/>
      <c r="B457" s="508"/>
      <c r="C457" s="508"/>
      <c r="D457" s="508"/>
      <c r="E457" s="508"/>
      <c r="F457" s="426"/>
      <c r="G457" s="426"/>
      <c r="H457" s="426"/>
      <c r="I457" s="426"/>
      <c r="J457" s="508"/>
      <c r="K457" s="508"/>
      <c r="L457" s="508"/>
      <c r="M457" s="508"/>
      <c r="N457" s="508"/>
      <c r="O457" s="508"/>
      <c r="P457" s="508"/>
      <c r="Q457" s="508"/>
      <c r="R457" s="508"/>
      <c r="S457" s="508"/>
      <c r="T457" s="508"/>
      <c r="U457" s="508"/>
      <c r="V457" s="508"/>
      <c r="W457" s="508"/>
      <c r="X457" s="508"/>
      <c r="Y457" s="508"/>
      <c r="Z457" s="508"/>
    </row>
    <row r="458" ht="13.5" customHeight="1">
      <c r="A458" s="426"/>
      <c r="B458" s="508"/>
      <c r="C458" s="508"/>
      <c r="D458" s="508"/>
      <c r="E458" s="508"/>
      <c r="F458" s="426"/>
      <c r="G458" s="426"/>
      <c r="H458" s="426"/>
      <c r="I458" s="426"/>
      <c r="J458" s="508"/>
      <c r="K458" s="508"/>
      <c r="L458" s="508"/>
      <c r="M458" s="508"/>
      <c r="N458" s="508"/>
      <c r="O458" s="508"/>
      <c r="P458" s="508"/>
      <c r="Q458" s="508"/>
      <c r="R458" s="508"/>
      <c r="S458" s="508"/>
      <c r="T458" s="508"/>
      <c r="U458" s="508"/>
      <c r="V458" s="508"/>
      <c r="W458" s="508"/>
      <c r="X458" s="508"/>
      <c r="Y458" s="508"/>
      <c r="Z458" s="508"/>
    </row>
    <row r="459" ht="13.5" customHeight="1">
      <c r="A459" s="426"/>
      <c r="B459" s="508"/>
      <c r="C459" s="508"/>
      <c r="D459" s="508"/>
      <c r="E459" s="508"/>
      <c r="F459" s="426"/>
      <c r="G459" s="426"/>
      <c r="H459" s="426"/>
      <c r="I459" s="426"/>
      <c r="J459" s="508"/>
      <c r="K459" s="508"/>
      <c r="L459" s="508"/>
      <c r="M459" s="508"/>
      <c r="N459" s="508"/>
      <c r="O459" s="508"/>
      <c r="P459" s="508"/>
      <c r="Q459" s="508"/>
      <c r="R459" s="508"/>
      <c r="S459" s="508"/>
      <c r="T459" s="508"/>
      <c r="U459" s="508"/>
      <c r="V459" s="508"/>
      <c r="W459" s="508"/>
      <c r="X459" s="508"/>
      <c r="Y459" s="508"/>
      <c r="Z459" s="508"/>
    </row>
    <row r="460" ht="13.5" customHeight="1">
      <c r="A460" s="426"/>
      <c r="B460" s="508"/>
      <c r="C460" s="508"/>
      <c r="D460" s="508"/>
      <c r="E460" s="508"/>
      <c r="F460" s="426"/>
      <c r="G460" s="426"/>
      <c r="H460" s="426"/>
      <c r="I460" s="426"/>
      <c r="J460" s="508"/>
      <c r="K460" s="508"/>
      <c r="L460" s="508"/>
      <c r="M460" s="508"/>
      <c r="N460" s="508"/>
      <c r="O460" s="508"/>
      <c r="P460" s="508"/>
      <c r="Q460" s="508"/>
      <c r="R460" s="508"/>
      <c r="S460" s="508"/>
      <c r="T460" s="508"/>
      <c r="U460" s="508"/>
      <c r="V460" s="508"/>
      <c r="W460" s="508"/>
      <c r="X460" s="508"/>
      <c r="Y460" s="508"/>
      <c r="Z460" s="508"/>
    </row>
    <row r="461" ht="13.5" customHeight="1">
      <c r="A461" s="426"/>
      <c r="B461" s="508"/>
      <c r="C461" s="508"/>
      <c r="D461" s="508"/>
      <c r="E461" s="508"/>
      <c r="F461" s="426"/>
      <c r="G461" s="426"/>
      <c r="H461" s="426"/>
      <c r="I461" s="426"/>
      <c r="J461" s="508"/>
      <c r="K461" s="508"/>
      <c r="L461" s="508"/>
      <c r="M461" s="508"/>
      <c r="N461" s="508"/>
      <c r="O461" s="508"/>
      <c r="P461" s="508"/>
      <c r="Q461" s="508"/>
      <c r="R461" s="508"/>
      <c r="S461" s="508"/>
      <c r="T461" s="508"/>
      <c r="U461" s="508"/>
      <c r="V461" s="508"/>
      <c r="W461" s="508"/>
      <c r="X461" s="508"/>
      <c r="Y461" s="508"/>
      <c r="Z461" s="508"/>
    </row>
    <row r="462" ht="13.5" customHeight="1">
      <c r="A462" s="426"/>
      <c r="B462" s="508"/>
      <c r="C462" s="508"/>
      <c r="D462" s="508"/>
      <c r="E462" s="508"/>
      <c r="F462" s="426"/>
      <c r="G462" s="426"/>
      <c r="H462" s="426"/>
      <c r="I462" s="426"/>
      <c r="J462" s="508"/>
      <c r="K462" s="508"/>
      <c r="L462" s="508"/>
      <c r="M462" s="508"/>
      <c r="N462" s="508"/>
      <c r="O462" s="508"/>
      <c r="P462" s="508"/>
      <c r="Q462" s="508"/>
      <c r="R462" s="508"/>
      <c r="S462" s="508"/>
      <c r="T462" s="508"/>
      <c r="U462" s="508"/>
      <c r="V462" s="508"/>
      <c r="W462" s="508"/>
      <c r="X462" s="508"/>
      <c r="Y462" s="508"/>
      <c r="Z462" s="508"/>
    </row>
    <row r="463" ht="13.5" customHeight="1">
      <c r="A463" s="426"/>
      <c r="B463" s="508"/>
      <c r="C463" s="508"/>
      <c r="D463" s="508"/>
      <c r="E463" s="508"/>
      <c r="F463" s="426"/>
      <c r="G463" s="426"/>
      <c r="H463" s="426"/>
      <c r="I463" s="426"/>
      <c r="J463" s="508"/>
      <c r="K463" s="508"/>
      <c r="L463" s="508"/>
      <c r="M463" s="508"/>
      <c r="N463" s="508"/>
      <c r="O463" s="508"/>
      <c r="P463" s="508"/>
      <c r="Q463" s="508"/>
      <c r="R463" s="508"/>
      <c r="S463" s="508"/>
      <c r="T463" s="508"/>
      <c r="U463" s="508"/>
      <c r="V463" s="508"/>
      <c r="W463" s="508"/>
      <c r="X463" s="508"/>
      <c r="Y463" s="508"/>
      <c r="Z463" s="508"/>
    </row>
    <row r="464" ht="13.5" customHeight="1">
      <c r="A464" s="426"/>
      <c r="B464" s="508"/>
      <c r="C464" s="508"/>
      <c r="D464" s="508"/>
      <c r="E464" s="508"/>
      <c r="F464" s="426"/>
      <c r="G464" s="426"/>
      <c r="H464" s="426"/>
      <c r="I464" s="426"/>
      <c r="J464" s="508"/>
      <c r="K464" s="508"/>
      <c r="L464" s="508"/>
      <c r="M464" s="508"/>
      <c r="N464" s="508"/>
      <c r="O464" s="508"/>
      <c r="P464" s="508"/>
      <c r="Q464" s="508"/>
      <c r="R464" s="508"/>
      <c r="S464" s="508"/>
      <c r="T464" s="508"/>
      <c r="U464" s="508"/>
      <c r="V464" s="508"/>
      <c r="W464" s="508"/>
      <c r="X464" s="508"/>
      <c r="Y464" s="508"/>
      <c r="Z464" s="508"/>
    </row>
    <row r="465" ht="13.5" customHeight="1">
      <c r="A465" s="426"/>
      <c r="B465" s="508"/>
      <c r="C465" s="508"/>
      <c r="D465" s="508"/>
      <c r="E465" s="508"/>
      <c r="F465" s="426"/>
      <c r="G465" s="426"/>
      <c r="H465" s="426"/>
      <c r="I465" s="426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508"/>
      <c r="Y465" s="508"/>
      <c r="Z465" s="508"/>
    </row>
    <row r="466" ht="13.5" customHeight="1">
      <c r="A466" s="426"/>
      <c r="B466" s="508"/>
      <c r="C466" s="508"/>
      <c r="D466" s="508"/>
      <c r="E466" s="508"/>
      <c r="F466" s="426"/>
      <c r="G466" s="426"/>
      <c r="H466" s="426"/>
      <c r="I466" s="426"/>
      <c r="J466" s="508"/>
      <c r="K466" s="508"/>
      <c r="L466" s="508"/>
      <c r="M466" s="508"/>
      <c r="N466" s="508"/>
      <c r="O466" s="508"/>
      <c r="P466" s="508"/>
      <c r="Q466" s="508"/>
      <c r="R466" s="508"/>
      <c r="S466" s="508"/>
      <c r="T466" s="508"/>
      <c r="U466" s="508"/>
      <c r="V466" s="508"/>
      <c r="W466" s="508"/>
      <c r="X466" s="508"/>
      <c r="Y466" s="508"/>
      <c r="Z466" s="508"/>
    </row>
    <row r="467" ht="13.5" customHeight="1">
      <c r="A467" s="426"/>
      <c r="B467" s="508"/>
      <c r="C467" s="508"/>
      <c r="D467" s="508"/>
      <c r="E467" s="508"/>
      <c r="F467" s="426"/>
      <c r="G467" s="426"/>
      <c r="H467" s="426"/>
      <c r="I467" s="426"/>
      <c r="J467" s="508"/>
      <c r="K467" s="508"/>
      <c r="L467" s="508"/>
      <c r="M467" s="508"/>
      <c r="N467" s="508"/>
      <c r="O467" s="508"/>
      <c r="P467" s="508"/>
      <c r="Q467" s="508"/>
      <c r="R467" s="508"/>
      <c r="S467" s="508"/>
      <c r="T467" s="508"/>
      <c r="U467" s="508"/>
      <c r="V467" s="508"/>
      <c r="W467" s="508"/>
      <c r="X467" s="508"/>
      <c r="Y467" s="508"/>
      <c r="Z467" s="508"/>
    </row>
    <row r="468" ht="13.5" customHeight="1">
      <c r="A468" s="426"/>
      <c r="B468" s="508"/>
      <c r="C468" s="508"/>
      <c r="D468" s="508"/>
      <c r="E468" s="508"/>
      <c r="F468" s="426"/>
      <c r="G468" s="426"/>
      <c r="H468" s="426"/>
      <c r="I468" s="426"/>
      <c r="J468" s="508"/>
      <c r="K468" s="508"/>
      <c r="L468" s="508"/>
      <c r="M468" s="508"/>
      <c r="N468" s="508"/>
      <c r="O468" s="508"/>
      <c r="P468" s="508"/>
      <c r="Q468" s="508"/>
      <c r="R468" s="508"/>
      <c r="S468" s="508"/>
      <c r="T468" s="508"/>
      <c r="U468" s="508"/>
      <c r="V468" s="508"/>
      <c r="W468" s="508"/>
      <c r="X468" s="508"/>
      <c r="Y468" s="508"/>
      <c r="Z468" s="508"/>
    </row>
    <row r="469" ht="13.5" customHeight="1">
      <c r="A469" s="426"/>
      <c r="B469" s="508"/>
      <c r="C469" s="508"/>
      <c r="D469" s="508"/>
      <c r="E469" s="508"/>
      <c r="F469" s="426"/>
      <c r="G469" s="426"/>
      <c r="H469" s="426"/>
      <c r="I469" s="426"/>
      <c r="J469" s="508"/>
      <c r="K469" s="508"/>
      <c r="L469" s="508"/>
      <c r="M469" s="508"/>
      <c r="N469" s="508"/>
      <c r="O469" s="508"/>
      <c r="P469" s="508"/>
      <c r="Q469" s="508"/>
      <c r="R469" s="508"/>
      <c r="S469" s="508"/>
      <c r="T469" s="508"/>
      <c r="U469" s="508"/>
      <c r="V469" s="508"/>
      <c r="W469" s="508"/>
      <c r="X469" s="508"/>
      <c r="Y469" s="508"/>
      <c r="Z469" s="508"/>
    </row>
    <row r="470" ht="13.5" customHeight="1">
      <c r="A470" s="426"/>
      <c r="B470" s="508"/>
      <c r="C470" s="508"/>
      <c r="D470" s="508"/>
      <c r="E470" s="508"/>
      <c r="F470" s="426"/>
      <c r="G470" s="426"/>
      <c r="H470" s="426"/>
      <c r="I470" s="426"/>
      <c r="J470" s="508"/>
      <c r="K470" s="508"/>
      <c r="L470" s="508"/>
      <c r="M470" s="508"/>
      <c r="N470" s="508"/>
      <c r="O470" s="508"/>
      <c r="P470" s="508"/>
      <c r="Q470" s="508"/>
      <c r="R470" s="508"/>
      <c r="S470" s="508"/>
      <c r="T470" s="508"/>
      <c r="U470" s="508"/>
      <c r="V470" s="508"/>
      <c r="W470" s="508"/>
      <c r="X470" s="508"/>
      <c r="Y470" s="508"/>
      <c r="Z470" s="508"/>
    </row>
    <row r="471" ht="13.5" customHeight="1">
      <c r="A471" s="426"/>
      <c r="B471" s="508"/>
      <c r="C471" s="508"/>
      <c r="D471" s="508"/>
      <c r="E471" s="508"/>
      <c r="F471" s="426"/>
      <c r="G471" s="426"/>
      <c r="H471" s="426"/>
      <c r="I471" s="426"/>
      <c r="J471" s="508"/>
      <c r="K471" s="508"/>
      <c r="L471" s="508"/>
      <c r="M471" s="508"/>
      <c r="N471" s="508"/>
      <c r="O471" s="508"/>
      <c r="P471" s="508"/>
      <c r="Q471" s="508"/>
      <c r="R471" s="508"/>
      <c r="S471" s="508"/>
      <c r="T471" s="508"/>
      <c r="U471" s="508"/>
      <c r="V471" s="508"/>
      <c r="W471" s="508"/>
      <c r="X471" s="508"/>
      <c r="Y471" s="508"/>
      <c r="Z471" s="508"/>
    </row>
    <row r="472" ht="13.5" customHeight="1">
      <c r="A472" s="426"/>
      <c r="B472" s="508"/>
      <c r="C472" s="508"/>
      <c r="D472" s="508"/>
      <c r="E472" s="508"/>
      <c r="F472" s="426"/>
      <c r="G472" s="426"/>
      <c r="H472" s="426"/>
      <c r="I472" s="426"/>
      <c r="J472" s="508"/>
      <c r="K472" s="508"/>
      <c r="L472" s="508"/>
      <c r="M472" s="508"/>
      <c r="N472" s="508"/>
      <c r="O472" s="508"/>
      <c r="P472" s="508"/>
      <c r="Q472" s="508"/>
      <c r="R472" s="508"/>
      <c r="S472" s="508"/>
      <c r="T472" s="508"/>
      <c r="U472" s="508"/>
      <c r="V472" s="508"/>
      <c r="W472" s="508"/>
      <c r="X472" s="508"/>
      <c r="Y472" s="508"/>
      <c r="Z472" s="508"/>
    </row>
    <row r="473" ht="13.5" customHeight="1">
      <c r="A473" s="426"/>
      <c r="B473" s="508"/>
      <c r="C473" s="508"/>
      <c r="D473" s="508"/>
      <c r="E473" s="508"/>
      <c r="F473" s="426"/>
      <c r="G473" s="426"/>
      <c r="H473" s="426"/>
      <c r="I473" s="426"/>
      <c r="J473" s="508"/>
      <c r="K473" s="508"/>
      <c r="L473" s="508"/>
      <c r="M473" s="508"/>
      <c r="N473" s="508"/>
      <c r="O473" s="508"/>
      <c r="P473" s="508"/>
      <c r="Q473" s="508"/>
      <c r="R473" s="508"/>
      <c r="S473" s="508"/>
      <c r="T473" s="508"/>
      <c r="U473" s="508"/>
      <c r="V473" s="508"/>
      <c r="W473" s="508"/>
      <c r="X473" s="508"/>
      <c r="Y473" s="508"/>
      <c r="Z473" s="508"/>
    </row>
    <row r="474" ht="13.5" customHeight="1">
      <c r="A474" s="426"/>
      <c r="B474" s="508"/>
      <c r="C474" s="508"/>
      <c r="D474" s="508"/>
      <c r="E474" s="508"/>
      <c r="F474" s="426"/>
      <c r="G474" s="426"/>
      <c r="H474" s="426"/>
      <c r="I474" s="426"/>
      <c r="J474" s="508"/>
      <c r="K474" s="508"/>
      <c r="L474" s="508"/>
      <c r="M474" s="508"/>
      <c r="N474" s="508"/>
      <c r="O474" s="508"/>
      <c r="P474" s="508"/>
      <c r="Q474" s="508"/>
      <c r="R474" s="508"/>
      <c r="S474" s="508"/>
      <c r="T474" s="508"/>
      <c r="U474" s="508"/>
      <c r="V474" s="508"/>
      <c r="W474" s="508"/>
      <c r="X474" s="508"/>
      <c r="Y474" s="508"/>
      <c r="Z474" s="508"/>
    </row>
    <row r="475" ht="13.5" customHeight="1">
      <c r="A475" s="426"/>
      <c r="B475" s="508"/>
      <c r="C475" s="508"/>
      <c r="D475" s="508"/>
      <c r="E475" s="508"/>
      <c r="F475" s="426"/>
      <c r="G475" s="426"/>
      <c r="H475" s="426"/>
      <c r="I475" s="426"/>
      <c r="J475" s="508"/>
      <c r="K475" s="508"/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  <c r="V475" s="508"/>
      <c r="W475" s="508"/>
      <c r="X475" s="508"/>
      <c r="Y475" s="508"/>
      <c r="Z475" s="508"/>
    </row>
    <row r="476" ht="13.5" customHeight="1">
      <c r="A476" s="426"/>
      <c r="B476" s="508"/>
      <c r="C476" s="508"/>
      <c r="D476" s="508"/>
      <c r="E476" s="508"/>
      <c r="F476" s="426"/>
      <c r="G476" s="426"/>
      <c r="H476" s="426"/>
      <c r="I476" s="426"/>
      <c r="J476" s="508"/>
      <c r="K476" s="508"/>
      <c r="L476" s="508"/>
      <c r="M476" s="508"/>
      <c r="N476" s="508"/>
      <c r="O476" s="508"/>
      <c r="P476" s="508"/>
      <c r="Q476" s="508"/>
      <c r="R476" s="508"/>
      <c r="S476" s="508"/>
      <c r="T476" s="508"/>
      <c r="U476" s="508"/>
      <c r="V476" s="508"/>
      <c r="W476" s="508"/>
      <c r="X476" s="508"/>
      <c r="Y476" s="508"/>
      <c r="Z476" s="508"/>
    </row>
    <row r="477" ht="13.5" customHeight="1">
      <c r="A477" s="426"/>
      <c r="B477" s="508"/>
      <c r="C477" s="508"/>
      <c r="D477" s="508"/>
      <c r="E477" s="508"/>
      <c r="F477" s="426"/>
      <c r="G477" s="426"/>
      <c r="H477" s="426"/>
      <c r="I477" s="426"/>
      <c r="J477" s="508"/>
      <c r="K477" s="508"/>
      <c r="L477" s="508"/>
      <c r="M477" s="508"/>
      <c r="N477" s="508"/>
      <c r="O477" s="508"/>
      <c r="P477" s="508"/>
      <c r="Q477" s="508"/>
      <c r="R477" s="508"/>
      <c r="S477" s="508"/>
      <c r="T477" s="508"/>
      <c r="U477" s="508"/>
      <c r="V477" s="508"/>
      <c r="W477" s="508"/>
      <c r="X477" s="508"/>
      <c r="Y477" s="508"/>
      <c r="Z477" s="508"/>
    </row>
    <row r="478" ht="13.5" customHeight="1">
      <c r="A478" s="426"/>
      <c r="B478" s="508"/>
      <c r="C478" s="508"/>
      <c r="D478" s="508"/>
      <c r="E478" s="508"/>
      <c r="F478" s="426"/>
      <c r="G478" s="426"/>
      <c r="H478" s="426"/>
      <c r="I478" s="426"/>
      <c r="J478" s="508"/>
      <c r="K478" s="508"/>
      <c r="L478" s="508"/>
      <c r="M478" s="508"/>
      <c r="N478" s="508"/>
      <c r="O478" s="508"/>
      <c r="P478" s="508"/>
      <c r="Q478" s="508"/>
      <c r="R478" s="508"/>
      <c r="S478" s="508"/>
      <c r="T478" s="508"/>
      <c r="U478" s="508"/>
      <c r="V478" s="508"/>
      <c r="W478" s="508"/>
      <c r="X478" s="508"/>
      <c r="Y478" s="508"/>
      <c r="Z478" s="508"/>
    </row>
    <row r="479" ht="13.5" customHeight="1">
      <c r="A479" s="426"/>
      <c r="B479" s="508"/>
      <c r="C479" s="508"/>
      <c r="D479" s="508"/>
      <c r="E479" s="508"/>
      <c r="F479" s="426"/>
      <c r="G479" s="426"/>
      <c r="H479" s="426"/>
      <c r="I479" s="426"/>
      <c r="J479" s="508"/>
      <c r="K479" s="508"/>
      <c r="L479" s="508"/>
      <c r="M479" s="508"/>
      <c r="N479" s="508"/>
      <c r="O479" s="508"/>
      <c r="P479" s="508"/>
      <c r="Q479" s="508"/>
      <c r="R479" s="508"/>
      <c r="S479" s="508"/>
      <c r="T479" s="508"/>
      <c r="U479" s="508"/>
      <c r="V479" s="508"/>
      <c r="W479" s="508"/>
      <c r="X479" s="508"/>
      <c r="Y479" s="508"/>
      <c r="Z479" s="508"/>
    </row>
    <row r="480" ht="13.5" customHeight="1">
      <c r="A480" s="426"/>
      <c r="B480" s="508"/>
      <c r="C480" s="508"/>
      <c r="D480" s="508"/>
      <c r="E480" s="508"/>
      <c r="F480" s="426"/>
      <c r="G480" s="426"/>
      <c r="H480" s="426"/>
      <c r="I480" s="426"/>
      <c r="J480" s="508"/>
      <c r="K480" s="508"/>
      <c r="L480" s="508"/>
      <c r="M480" s="508"/>
      <c r="N480" s="508"/>
      <c r="O480" s="508"/>
      <c r="P480" s="508"/>
      <c r="Q480" s="508"/>
      <c r="R480" s="508"/>
      <c r="S480" s="508"/>
      <c r="T480" s="508"/>
      <c r="U480" s="508"/>
      <c r="V480" s="508"/>
      <c r="W480" s="508"/>
      <c r="X480" s="508"/>
      <c r="Y480" s="508"/>
      <c r="Z480" s="508"/>
    </row>
    <row r="481" ht="13.5" customHeight="1">
      <c r="A481" s="426"/>
      <c r="B481" s="508"/>
      <c r="C481" s="508"/>
      <c r="D481" s="508"/>
      <c r="E481" s="508"/>
      <c r="F481" s="426"/>
      <c r="G481" s="426"/>
      <c r="H481" s="426"/>
      <c r="I481" s="426"/>
      <c r="J481" s="508"/>
      <c r="K481" s="508"/>
      <c r="L481" s="508"/>
      <c r="M481" s="508"/>
      <c r="N481" s="508"/>
      <c r="O481" s="508"/>
      <c r="P481" s="508"/>
      <c r="Q481" s="508"/>
      <c r="R481" s="508"/>
      <c r="S481" s="508"/>
      <c r="T481" s="508"/>
      <c r="U481" s="508"/>
      <c r="V481" s="508"/>
      <c r="W481" s="508"/>
      <c r="X481" s="508"/>
      <c r="Y481" s="508"/>
      <c r="Z481" s="508"/>
    </row>
    <row r="482" ht="13.5" customHeight="1">
      <c r="A482" s="426"/>
      <c r="B482" s="508"/>
      <c r="C482" s="508"/>
      <c r="D482" s="508"/>
      <c r="E482" s="508"/>
      <c r="F482" s="426"/>
      <c r="G482" s="426"/>
      <c r="H482" s="426"/>
      <c r="I482" s="426"/>
      <c r="J482" s="508"/>
      <c r="K482" s="508"/>
      <c r="L482" s="508"/>
      <c r="M482" s="508"/>
      <c r="N482" s="508"/>
      <c r="O482" s="508"/>
      <c r="P482" s="508"/>
      <c r="Q482" s="508"/>
      <c r="R482" s="508"/>
      <c r="S482" s="508"/>
      <c r="T482" s="508"/>
      <c r="U482" s="508"/>
      <c r="V482" s="508"/>
      <c r="W482" s="508"/>
      <c r="X482" s="508"/>
      <c r="Y482" s="508"/>
      <c r="Z482" s="508"/>
    </row>
    <row r="483" ht="13.5" customHeight="1">
      <c r="A483" s="426"/>
      <c r="B483" s="508"/>
      <c r="C483" s="508"/>
      <c r="D483" s="508"/>
      <c r="E483" s="508"/>
      <c r="F483" s="426"/>
      <c r="G483" s="426"/>
      <c r="H483" s="426"/>
      <c r="I483" s="426"/>
      <c r="J483" s="508"/>
      <c r="K483" s="508"/>
      <c r="L483" s="508"/>
      <c r="M483" s="508"/>
      <c r="N483" s="508"/>
      <c r="O483" s="508"/>
      <c r="P483" s="508"/>
      <c r="Q483" s="508"/>
      <c r="R483" s="508"/>
      <c r="S483" s="508"/>
      <c r="T483" s="508"/>
      <c r="U483" s="508"/>
      <c r="V483" s="508"/>
      <c r="W483" s="508"/>
      <c r="X483" s="508"/>
      <c r="Y483" s="508"/>
      <c r="Z483" s="508"/>
    </row>
    <row r="484" ht="13.5" customHeight="1">
      <c r="A484" s="426"/>
      <c r="B484" s="508"/>
      <c r="C484" s="508"/>
      <c r="D484" s="508"/>
      <c r="E484" s="508"/>
      <c r="F484" s="426"/>
      <c r="G484" s="426"/>
      <c r="H484" s="426"/>
      <c r="I484" s="426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508"/>
      <c r="Y484" s="508"/>
      <c r="Z484" s="508"/>
    </row>
    <row r="485" ht="13.5" customHeight="1">
      <c r="A485" s="426"/>
      <c r="B485" s="508"/>
      <c r="C485" s="508"/>
      <c r="D485" s="508"/>
      <c r="E485" s="508"/>
      <c r="F485" s="426"/>
      <c r="G485" s="426"/>
      <c r="H485" s="426"/>
      <c r="I485" s="426"/>
      <c r="J485" s="508"/>
      <c r="K485" s="508"/>
      <c r="L485" s="508"/>
      <c r="M485" s="508"/>
      <c r="N485" s="508"/>
      <c r="O485" s="508"/>
      <c r="P485" s="508"/>
      <c r="Q485" s="508"/>
      <c r="R485" s="508"/>
      <c r="S485" s="508"/>
      <c r="T485" s="508"/>
      <c r="U485" s="508"/>
      <c r="V485" s="508"/>
      <c r="W485" s="508"/>
      <c r="X485" s="508"/>
      <c r="Y485" s="508"/>
      <c r="Z485" s="508"/>
    </row>
    <row r="486" ht="13.5" customHeight="1">
      <c r="A486" s="426"/>
      <c r="B486" s="508"/>
      <c r="C486" s="508"/>
      <c r="D486" s="508"/>
      <c r="E486" s="508"/>
      <c r="F486" s="426"/>
      <c r="G486" s="426"/>
      <c r="H486" s="426"/>
      <c r="I486" s="426"/>
      <c r="J486" s="508"/>
      <c r="K486" s="508"/>
      <c r="L486" s="508"/>
      <c r="M486" s="508"/>
      <c r="N486" s="508"/>
      <c r="O486" s="508"/>
      <c r="P486" s="508"/>
      <c r="Q486" s="508"/>
      <c r="R486" s="508"/>
      <c r="S486" s="508"/>
      <c r="T486" s="508"/>
      <c r="U486" s="508"/>
      <c r="V486" s="508"/>
      <c r="W486" s="508"/>
      <c r="X486" s="508"/>
      <c r="Y486" s="508"/>
      <c r="Z486" s="508"/>
    </row>
    <row r="487" ht="13.5" customHeight="1">
      <c r="A487" s="426"/>
      <c r="B487" s="508"/>
      <c r="C487" s="508"/>
      <c r="D487" s="508"/>
      <c r="E487" s="508"/>
      <c r="F487" s="426"/>
      <c r="G487" s="426"/>
      <c r="H487" s="426"/>
      <c r="I487" s="426"/>
      <c r="J487" s="508"/>
      <c r="K487" s="508"/>
      <c r="L487" s="508"/>
      <c r="M487" s="508"/>
      <c r="N487" s="508"/>
      <c r="O487" s="508"/>
      <c r="P487" s="508"/>
      <c r="Q487" s="508"/>
      <c r="R487" s="508"/>
      <c r="S487" s="508"/>
      <c r="T487" s="508"/>
      <c r="U487" s="508"/>
      <c r="V487" s="508"/>
      <c r="W487" s="508"/>
      <c r="X487" s="508"/>
      <c r="Y487" s="508"/>
      <c r="Z487" s="508"/>
    </row>
    <row r="488" ht="13.5" customHeight="1">
      <c r="A488" s="426"/>
      <c r="B488" s="508"/>
      <c r="C488" s="508"/>
      <c r="D488" s="508"/>
      <c r="E488" s="508"/>
      <c r="F488" s="426"/>
      <c r="G488" s="426"/>
      <c r="H488" s="426"/>
      <c r="I488" s="426"/>
      <c r="J488" s="508"/>
      <c r="K488" s="508"/>
      <c r="L488" s="508"/>
      <c r="M488" s="508"/>
      <c r="N488" s="508"/>
      <c r="O488" s="508"/>
      <c r="P488" s="508"/>
      <c r="Q488" s="508"/>
      <c r="R488" s="508"/>
      <c r="S488" s="508"/>
      <c r="T488" s="508"/>
      <c r="U488" s="508"/>
      <c r="V488" s="508"/>
      <c r="W488" s="508"/>
      <c r="X488" s="508"/>
      <c r="Y488" s="508"/>
      <c r="Z488" s="508"/>
    </row>
    <row r="489" ht="13.5" customHeight="1">
      <c r="A489" s="426"/>
      <c r="B489" s="508"/>
      <c r="C489" s="508"/>
      <c r="D489" s="508"/>
      <c r="E489" s="508"/>
      <c r="F489" s="426"/>
      <c r="G489" s="426"/>
      <c r="H489" s="426"/>
      <c r="I489" s="426"/>
      <c r="J489" s="508"/>
      <c r="K489" s="508"/>
      <c r="L489" s="508"/>
      <c r="M489" s="508"/>
      <c r="N489" s="508"/>
      <c r="O489" s="508"/>
      <c r="P489" s="508"/>
      <c r="Q489" s="508"/>
      <c r="R489" s="508"/>
      <c r="S489" s="508"/>
      <c r="T489" s="508"/>
      <c r="U489" s="508"/>
      <c r="V489" s="508"/>
      <c r="W489" s="508"/>
      <c r="X489" s="508"/>
      <c r="Y489" s="508"/>
      <c r="Z489" s="508"/>
    </row>
    <row r="490" ht="13.5" customHeight="1">
      <c r="A490" s="426"/>
      <c r="B490" s="508"/>
      <c r="C490" s="508"/>
      <c r="D490" s="508"/>
      <c r="E490" s="508"/>
      <c r="F490" s="426"/>
      <c r="G490" s="426"/>
      <c r="H490" s="426"/>
      <c r="I490" s="426"/>
      <c r="J490" s="508"/>
      <c r="K490" s="508"/>
      <c r="L490" s="508"/>
      <c r="M490" s="508"/>
      <c r="N490" s="508"/>
      <c r="O490" s="508"/>
      <c r="P490" s="508"/>
      <c r="Q490" s="508"/>
      <c r="R490" s="508"/>
      <c r="S490" s="508"/>
      <c r="T490" s="508"/>
      <c r="U490" s="508"/>
      <c r="V490" s="508"/>
      <c r="W490" s="508"/>
      <c r="X490" s="508"/>
      <c r="Y490" s="508"/>
      <c r="Z490" s="508"/>
    </row>
    <row r="491" ht="13.5" customHeight="1">
      <c r="A491" s="426"/>
      <c r="B491" s="508"/>
      <c r="C491" s="508"/>
      <c r="D491" s="508"/>
      <c r="E491" s="508"/>
      <c r="F491" s="426"/>
      <c r="G491" s="426"/>
      <c r="H491" s="426"/>
      <c r="I491" s="426"/>
      <c r="J491" s="508"/>
      <c r="K491" s="508"/>
      <c r="L491" s="508"/>
      <c r="M491" s="508"/>
      <c r="N491" s="508"/>
      <c r="O491" s="508"/>
      <c r="P491" s="508"/>
      <c r="Q491" s="508"/>
      <c r="R491" s="508"/>
      <c r="S491" s="508"/>
      <c r="T491" s="508"/>
      <c r="U491" s="508"/>
      <c r="V491" s="508"/>
      <c r="W491" s="508"/>
      <c r="X491" s="508"/>
      <c r="Y491" s="508"/>
      <c r="Z491" s="508"/>
    </row>
    <row r="492" ht="13.5" customHeight="1">
      <c r="A492" s="426"/>
      <c r="B492" s="508"/>
      <c r="C492" s="508"/>
      <c r="D492" s="508"/>
      <c r="E492" s="508"/>
      <c r="F492" s="426"/>
      <c r="G492" s="426"/>
      <c r="H492" s="426"/>
      <c r="I492" s="426"/>
      <c r="J492" s="508"/>
      <c r="K492" s="508"/>
      <c r="L492" s="508"/>
      <c r="M492" s="508"/>
      <c r="N492" s="508"/>
      <c r="O492" s="508"/>
      <c r="P492" s="508"/>
      <c r="Q492" s="508"/>
      <c r="R492" s="508"/>
      <c r="S492" s="508"/>
      <c r="T492" s="508"/>
      <c r="U492" s="508"/>
      <c r="V492" s="508"/>
      <c r="W492" s="508"/>
      <c r="X492" s="508"/>
      <c r="Y492" s="508"/>
      <c r="Z492" s="508"/>
    </row>
    <row r="493" ht="13.5" customHeight="1">
      <c r="A493" s="426"/>
      <c r="B493" s="508"/>
      <c r="C493" s="508"/>
      <c r="D493" s="508"/>
      <c r="E493" s="508"/>
      <c r="F493" s="426"/>
      <c r="G493" s="426"/>
      <c r="H493" s="426"/>
      <c r="I493" s="426"/>
      <c r="J493" s="508"/>
      <c r="K493" s="508"/>
      <c r="L493" s="508"/>
      <c r="M493" s="508"/>
      <c r="N493" s="508"/>
      <c r="O493" s="508"/>
      <c r="P493" s="508"/>
      <c r="Q493" s="508"/>
      <c r="R493" s="508"/>
      <c r="S493" s="508"/>
      <c r="T493" s="508"/>
      <c r="U493" s="508"/>
      <c r="V493" s="508"/>
      <c r="W493" s="508"/>
      <c r="X493" s="508"/>
      <c r="Y493" s="508"/>
      <c r="Z493" s="508"/>
    </row>
    <row r="494" ht="13.5" customHeight="1">
      <c r="A494" s="426"/>
      <c r="B494" s="508"/>
      <c r="C494" s="508"/>
      <c r="D494" s="508"/>
      <c r="E494" s="508"/>
      <c r="F494" s="426"/>
      <c r="G494" s="426"/>
      <c r="H494" s="426"/>
      <c r="I494" s="426"/>
      <c r="J494" s="508"/>
      <c r="K494" s="508"/>
      <c r="L494" s="508"/>
      <c r="M494" s="508"/>
      <c r="N494" s="508"/>
      <c r="O494" s="508"/>
      <c r="P494" s="508"/>
      <c r="Q494" s="508"/>
      <c r="R494" s="508"/>
      <c r="S494" s="508"/>
      <c r="T494" s="508"/>
      <c r="U494" s="508"/>
      <c r="V494" s="508"/>
      <c r="W494" s="508"/>
      <c r="X494" s="508"/>
      <c r="Y494" s="508"/>
      <c r="Z494" s="508"/>
    </row>
    <row r="495" ht="13.5" customHeight="1">
      <c r="A495" s="426"/>
      <c r="B495" s="508"/>
      <c r="C495" s="508"/>
      <c r="D495" s="508"/>
      <c r="E495" s="508"/>
      <c r="F495" s="426"/>
      <c r="G495" s="426"/>
      <c r="H495" s="426"/>
      <c r="I495" s="426"/>
      <c r="J495" s="508"/>
      <c r="K495" s="508"/>
      <c r="L495" s="508"/>
      <c r="M495" s="508"/>
      <c r="N495" s="508"/>
      <c r="O495" s="508"/>
      <c r="P495" s="508"/>
      <c r="Q495" s="508"/>
      <c r="R495" s="508"/>
      <c r="S495" s="508"/>
      <c r="T495" s="508"/>
      <c r="U495" s="508"/>
      <c r="V495" s="508"/>
      <c r="W495" s="508"/>
      <c r="X495" s="508"/>
      <c r="Y495" s="508"/>
      <c r="Z495" s="508"/>
    </row>
    <row r="496" ht="13.5" customHeight="1">
      <c r="A496" s="426"/>
      <c r="B496" s="508"/>
      <c r="C496" s="508"/>
      <c r="D496" s="508"/>
      <c r="E496" s="508"/>
      <c r="F496" s="426"/>
      <c r="G496" s="426"/>
      <c r="H496" s="426"/>
      <c r="I496" s="426"/>
      <c r="J496" s="508"/>
      <c r="K496" s="508"/>
      <c r="L496" s="508"/>
      <c r="M496" s="508"/>
      <c r="N496" s="508"/>
      <c r="O496" s="508"/>
      <c r="P496" s="508"/>
      <c r="Q496" s="508"/>
      <c r="R496" s="508"/>
      <c r="S496" s="508"/>
      <c r="T496" s="508"/>
      <c r="U496" s="508"/>
      <c r="V496" s="508"/>
      <c r="W496" s="508"/>
      <c r="X496" s="508"/>
      <c r="Y496" s="508"/>
      <c r="Z496" s="508"/>
    </row>
    <row r="497" ht="13.5" customHeight="1">
      <c r="A497" s="426"/>
      <c r="B497" s="508"/>
      <c r="C497" s="508"/>
      <c r="D497" s="508"/>
      <c r="E497" s="508"/>
      <c r="F497" s="426"/>
      <c r="G497" s="426"/>
      <c r="H497" s="426"/>
      <c r="I497" s="426"/>
      <c r="J497" s="508"/>
      <c r="K497" s="508"/>
      <c r="L497" s="508"/>
      <c r="M497" s="508"/>
      <c r="N497" s="508"/>
      <c r="O497" s="508"/>
      <c r="P497" s="508"/>
      <c r="Q497" s="508"/>
      <c r="R497" s="508"/>
      <c r="S497" s="508"/>
      <c r="T497" s="508"/>
      <c r="U497" s="508"/>
      <c r="V497" s="508"/>
      <c r="W497" s="508"/>
      <c r="X497" s="508"/>
      <c r="Y497" s="508"/>
      <c r="Z497" s="508"/>
    </row>
    <row r="498" ht="13.5" customHeight="1">
      <c r="A498" s="426"/>
      <c r="B498" s="508"/>
      <c r="C498" s="508"/>
      <c r="D498" s="508"/>
      <c r="E498" s="508"/>
      <c r="F498" s="426"/>
      <c r="G498" s="426"/>
      <c r="H498" s="426"/>
      <c r="I498" s="426"/>
      <c r="J498" s="508"/>
      <c r="K498" s="508"/>
      <c r="L498" s="508"/>
      <c r="M498" s="508"/>
      <c r="N498" s="508"/>
      <c r="O498" s="508"/>
      <c r="P498" s="508"/>
      <c r="Q498" s="508"/>
      <c r="R498" s="508"/>
      <c r="S498" s="508"/>
      <c r="T498" s="508"/>
      <c r="U498" s="508"/>
      <c r="V498" s="508"/>
      <c r="W498" s="508"/>
      <c r="X498" s="508"/>
      <c r="Y498" s="508"/>
      <c r="Z498" s="508"/>
    </row>
    <row r="499" ht="13.5" customHeight="1">
      <c r="A499" s="426"/>
      <c r="B499" s="508"/>
      <c r="C499" s="508"/>
      <c r="D499" s="508"/>
      <c r="E499" s="508"/>
      <c r="F499" s="426"/>
      <c r="G499" s="426"/>
      <c r="H499" s="426"/>
      <c r="I499" s="426"/>
      <c r="J499" s="508"/>
      <c r="K499" s="508"/>
      <c r="L499" s="508"/>
      <c r="M499" s="508"/>
      <c r="N499" s="508"/>
      <c r="O499" s="508"/>
      <c r="P499" s="508"/>
      <c r="Q499" s="508"/>
      <c r="R499" s="508"/>
      <c r="S499" s="508"/>
      <c r="T499" s="508"/>
      <c r="U499" s="508"/>
      <c r="V499" s="508"/>
      <c r="W499" s="508"/>
      <c r="X499" s="508"/>
      <c r="Y499" s="508"/>
      <c r="Z499" s="508"/>
    </row>
    <row r="500" ht="13.5" customHeight="1">
      <c r="A500" s="426"/>
      <c r="B500" s="508"/>
      <c r="C500" s="508"/>
      <c r="D500" s="508"/>
      <c r="E500" s="508"/>
      <c r="F500" s="426"/>
      <c r="G500" s="426"/>
      <c r="H500" s="426"/>
      <c r="I500" s="426"/>
      <c r="J500" s="508"/>
      <c r="K500" s="508"/>
      <c r="L500" s="508"/>
      <c r="M500" s="508"/>
      <c r="N500" s="508"/>
      <c r="O500" s="508"/>
      <c r="P500" s="508"/>
      <c r="Q500" s="508"/>
      <c r="R500" s="508"/>
      <c r="S500" s="508"/>
      <c r="T500" s="508"/>
      <c r="U500" s="508"/>
      <c r="V500" s="508"/>
      <c r="W500" s="508"/>
      <c r="X500" s="508"/>
      <c r="Y500" s="508"/>
      <c r="Z500" s="508"/>
    </row>
    <row r="501" ht="13.5" customHeight="1">
      <c r="A501" s="426"/>
      <c r="B501" s="508"/>
      <c r="C501" s="508"/>
      <c r="D501" s="508"/>
      <c r="E501" s="508"/>
      <c r="F501" s="426"/>
      <c r="G501" s="426"/>
      <c r="H501" s="426"/>
      <c r="I501" s="426"/>
      <c r="J501" s="508"/>
      <c r="K501" s="508"/>
      <c r="L501" s="508"/>
      <c r="M501" s="508"/>
      <c r="N501" s="508"/>
      <c r="O501" s="508"/>
      <c r="P501" s="508"/>
      <c r="Q501" s="508"/>
      <c r="R501" s="508"/>
      <c r="S501" s="508"/>
      <c r="T501" s="508"/>
      <c r="U501" s="508"/>
      <c r="V501" s="508"/>
      <c r="W501" s="508"/>
      <c r="X501" s="508"/>
      <c r="Y501" s="508"/>
      <c r="Z501" s="508"/>
    </row>
    <row r="502" ht="13.5" customHeight="1">
      <c r="A502" s="426"/>
      <c r="B502" s="508"/>
      <c r="C502" s="508"/>
      <c r="D502" s="508"/>
      <c r="E502" s="508"/>
      <c r="F502" s="426"/>
      <c r="G502" s="426"/>
      <c r="H502" s="426"/>
      <c r="I502" s="426"/>
      <c r="J502" s="508"/>
      <c r="K502" s="508"/>
      <c r="L502" s="508"/>
      <c r="M502" s="508"/>
      <c r="N502" s="508"/>
      <c r="O502" s="508"/>
      <c r="P502" s="508"/>
      <c r="Q502" s="508"/>
      <c r="R502" s="508"/>
      <c r="S502" s="508"/>
      <c r="T502" s="508"/>
      <c r="U502" s="508"/>
      <c r="V502" s="508"/>
      <c r="W502" s="508"/>
      <c r="X502" s="508"/>
      <c r="Y502" s="508"/>
      <c r="Z502" s="508"/>
    </row>
    <row r="503" ht="13.5" customHeight="1">
      <c r="A503" s="426"/>
      <c r="B503" s="508"/>
      <c r="C503" s="508"/>
      <c r="D503" s="508"/>
      <c r="E503" s="508"/>
      <c r="F503" s="426"/>
      <c r="G503" s="426"/>
      <c r="H503" s="426"/>
      <c r="I503" s="426"/>
      <c r="J503" s="508"/>
      <c r="K503" s="508"/>
      <c r="L503" s="508"/>
      <c r="M503" s="508"/>
      <c r="N503" s="508"/>
      <c r="O503" s="508"/>
      <c r="P503" s="508"/>
      <c r="Q503" s="508"/>
      <c r="R503" s="508"/>
      <c r="S503" s="508"/>
      <c r="T503" s="508"/>
      <c r="U503" s="508"/>
      <c r="V503" s="508"/>
      <c r="W503" s="508"/>
      <c r="X503" s="508"/>
      <c r="Y503" s="508"/>
      <c r="Z503" s="508"/>
    </row>
    <row r="504" ht="13.5" customHeight="1">
      <c r="A504" s="426"/>
      <c r="B504" s="508"/>
      <c r="C504" s="508"/>
      <c r="D504" s="508"/>
      <c r="E504" s="508"/>
      <c r="F504" s="426"/>
      <c r="G504" s="426"/>
      <c r="H504" s="426"/>
      <c r="I504" s="426"/>
      <c r="J504" s="508"/>
      <c r="K504" s="508"/>
      <c r="L504" s="508"/>
      <c r="M504" s="508"/>
      <c r="N504" s="508"/>
      <c r="O504" s="508"/>
      <c r="P504" s="508"/>
      <c r="Q504" s="508"/>
      <c r="R504" s="508"/>
      <c r="S504" s="508"/>
      <c r="T504" s="508"/>
      <c r="U504" s="508"/>
      <c r="V504" s="508"/>
      <c r="W504" s="508"/>
      <c r="X504" s="508"/>
      <c r="Y504" s="508"/>
      <c r="Z504" s="508"/>
    </row>
    <row r="505" ht="13.5" customHeight="1">
      <c r="A505" s="426"/>
      <c r="B505" s="508"/>
      <c r="C505" s="508"/>
      <c r="D505" s="508"/>
      <c r="E505" s="508"/>
      <c r="F505" s="426"/>
      <c r="G505" s="426"/>
      <c r="H505" s="426"/>
      <c r="I505" s="426"/>
      <c r="J505" s="508"/>
      <c r="K505" s="508"/>
      <c r="L505" s="508"/>
      <c r="M505" s="508"/>
      <c r="N505" s="508"/>
      <c r="O505" s="508"/>
      <c r="P505" s="508"/>
      <c r="Q505" s="508"/>
      <c r="R505" s="508"/>
      <c r="S505" s="508"/>
      <c r="T505" s="508"/>
      <c r="U505" s="508"/>
      <c r="V505" s="508"/>
      <c r="W505" s="508"/>
      <c r="X505" s="508"/>
      <c r="Y505" s="508"/>
      <c r="Z505" s="508"/>
    </row>
    <row r="506" ht="13.5" customHeight="1">
      <c r="A506" s="426"/>
      <c r="B506" s="508"/>
      <c r="C506" s="508"/>
      <c r="D506" s="508"/>
      <c r="E506" s="508"/>
      <c r="F506" s="426"/>
      <c r="G506" s="426"/>
      <c r="H506" s="426"/>
      <c r="I506" s="426"/>
      <c r="J506" s="508"/>
      <c r="K506" s="508"/>
      <c r="L506" s="508"/>
      <c r="M506" s="508"/>
      <c r="N506" s="508"/>
      <c r="O506" s="508"/>
      <c r="P506" s="508"/>
      <c r="Q506" s="508"/>
      <c r="R506" s="508"/>
      <c r="S506" s="508"/>
      <c r="T506" s="508"/>
      <c r="U506" s="508"/>
      <c r="V506" s="508"/>
      <c r="W506" s="508"/>
      <c r="X506" s="508"/>
      <c r="Y506" s="508"/>
      <c r="Z506" s="508"/>
    </row>
    <row r="507" ht="13.5" customHeight="1">
      <c r="A507" s="426"/>
      <c r="B507" s="508"/>
      <c r="C507" s="508"/>
      <c r="D507" s="508"/>
      <c r="E507" s="508"/>
      <c r="F507" s="426"/>
      <c r="G507" s="426"/>
      <c r="H507" s="426"/>
      <c r="I507" s="426"/>
      <c r="J507" s="508"/>
      <c r="K507" s="508"/>
      <c r="L507" s="508"/>
      <c r="M507" s="508"/>
      <c r="N507" s="508"/>
      <c r="O507" s="508"/>
      <c r="P507" s="508"/>
      <c r="Q507" s="508"/>
      <c r="R507" s="508"/>
      <c r="S507" s="508"/>
      <c r="T507" s="508"/>
      <c r="U507" s="508"/>
      <c r="V507" s="508"/>
      <c r="W507" s="508"/>
      <c r="X507" s="508"/>
      <c r="Y507" s="508"/>
      <c r="Z507" s="508"/>
    </row>
    <row r="508" ht="13.5" customHeight="1">
      <c r="A508" s="426"/>
      <c r="B508" s="508"/>
      <c r="C508" s="508"/>
      <c r="D508" s="508"/>
      <c r="E508" s="508"/>
      <c r="F508" s="426"/>
      <c r="G508" s="426"/>
      <c r="H508" s="426"/>
      <c r="I508" s="426"/>
      <c r="J508" s="508"/>
      <c r="K508" s="508"/>
      <c r="L508" s="508"/>
      <c r="M508" s="508"/>
      <c r="N508" s="508"/>
      <c r="O508" s="508"/>
      <c r="P508" s="508"/>
      <c r="Q508" s="508"/>
      <c r="R508" s="508"/>
      <c r="S508" s="508"/>
      <c r="T508" s="508"/>
      <c r="U508" s="508"/>
      <c r="V508" s="508"/>
      <c r="W508" s="508"/>
      <c r="X508" s="508"/>
      <c r="Y508" s="508"/>
      <c r="Z508" s="508"/>
    </row>
    <row r="509" ht="13.5" customHeight="1">
      <c r="A509" s="426"/>
      <c r="B509" s="508"/>
      <c r="C509" s="508"/>
      <c r="D509" s="508"/>
      <c r="E509" s="508"/>
      <c r="F509" s="426"/>
      <c r="G509" s="426"/>
      <c r="H509" s="426"/>
      <c r="I509" s="426"/>
      <c r="J509" s="508"/>
      <c r="K509" s="508"/>
      <c r="L509" s="508"/>
      <c r="M509" s="508"/>
      <c r="N509" s="508"/>
      <c r="O509" s="508"/>
      <c r="P509" s="508"/>
      <c r="Q509" s="508"/>
      <c r="R509" s="508"/>
      <c r="S509" s="508"/>
      <c r="T509" s="508"/>
      <c r="U509" s="508"/>
      <c r="V509" s="508"/>
      <c r="W509" s="508"/>
      <c r="X509" s="508"/>
      <c r="Y509" s="508"/>
      <c r="Z509" s="508"/>
    </row>
    <row r="510" ht="13.5" customHeight="1">
      <c r="A510" s="426"/>
      <c r="B510" s="508"/>
      <c r="C510" s="508"/>
      <c r="D510" s="508"/>
      <c r="E510" s="508"/>
      <c r="F510" s="426"/>
      <c r="G510" s="426"/>
      <c r="H510" s="426"/>
      <c r="I510" s="426"/>
      <c r="J510" s="508"/>
      <c r="K510" s="508"/>
      <c r="L510" s="508"/>
      <c r="M510" s="508"/>
      <c r="N510" s="508"/>
      <c r="O510" s="508"/>
      <c r="P510" s="508"/>
      <c r="Q510" s="508"/>
      <c r="R510" s="508"/>
      <c r="S510" s="508"/>
      <c r="T510" s="508"/>
      <c r="U510" s="508"/>
      <c r="V510" s="508"/>
      <c r="W510" s="508"/>
      <c r="X510" s="508"/>
      <c r="Y510" s="508"/>
      <c r="Z510" s="508"/>
    </row>
    <row r="511" ht="13.5" customHeight="1">
      <c r="A511" s="426"/>
      <c r="B511" s="508"/>
      <c r="C511" s="508"/>
      <c r="D511" s="508"/>
      <c r="E511" s="508"/>
      <c r="F511" s="426"/>
      <c r="G511" s="426"/>
      <c r="H511" s="426"/>
      <c r="I511" s="426"/>
      <c r="J511" s="508"/>
      <c r="K511" s="508"/>
      <c r="L511" s="508"/>
      <c r="M511" s="508"/>
      <c r="N511" s="508"/>
      <c r="O511" s="508"/>
      <c r="P511" s="508"/>
      <c r="Q511" s="508"/>
      <c r="R511" s="508"/>
      <c r="S511" s="508"/>
      <c r="T511" s="508"/>
      <c r="U511" s="508"/>
      <c r="V511" s="508"/>
      <c r="W511" s="508"/>
      <c r="X511" s="508"/>
      <c r="Y511" s="508"/>
      <c r="Z511" s="508"/>
    </row>
    <row r="512" ht="13.5" customHeight="1">
      <c r="A512" s="426"/>
      <c r="B512" s="508"/>
      <c r="C512" s="508"/>
      <c r="D512" s="508"/>
      <c r="E512" s="508"/>
      <c r="F512" s="426"/>
      <c r="G512" s="426"/>
      <c r="H512" s="426"/>
      <c r="I512" s="426"/>
      <c r="J512" s="508"/>
      <c r="K512" s="508"/>
      <c r="L512" s="508"/>
      <c r="M512" s="508"/>
      <c r="N512" s="508"/>
      <c r="O512" s="508"/>
      <c r="P512" s="508"/>
      <c r="Q512" s="508"/>
      <c r="R512" s="508"/>
      <c r="S512" s="508"/>
      <c r="T512" s="508"/>
      <c r="U512" s="508"/>
      <c r="V512" s="508"/>
      <c r="W512" s="508"/>
      <c r="X512" s="508"/>
      <c r="Y512" s="508"/>
      <c r="Z512" s="508"/>
    </row>
    <row r="513" ht="13.5" customHeight="1">
      <c r="A513" s="426"/>
      <c r="B513" s="508"/>
      <c r="C513" s="508"/>
      <c r="D513" s="508"/>
      <c r="E513" s="508"/>
      <c r="F513" s="426"/>
      <c r="G513" s="426"/>
      <c r="H513" s="426"/>
      <c r="I513" s="426"/>
      <c r="J513" s="508"/>
      <c r="K513" s="508"/>
      <c r="L513" s="508"/>
      <c r="M513" s="508"/>
      <c r="N513" s="508"/>
      <c r="O513" s="508"/>
      <c r="P513" s="508"/>
      <c r="Q513" s="508"/>
      <c r="R513" s="508"/>
      <c r="S513" s="508"/>
      <c r="T513" s="508"/>
      <c r="U513" s="508"/>
      <c r="V513" s="508"/>
      <c r="W513" s="508"/>
      <c r="X513" s="508"/>
      <c r="Y513" s="508"/>
      <c r="Z513" s="508"/>
    </row>
    <row r="514" ht="13.5" customHeight="1">
      <c r="A514" s="426"/>
      <c r="B514" s="508"/>
      <c r="C514" s="508"/>
      <c r="D514" s="508"/>
      <c r="E514" s="508"/>
      <c r="F514" s="426"/>
      <c r="G514" s="426"/>
      <c r="H514" s="426"/>
      <c r="I514" s="426"/>
      <c r="J514" s="508"/>
      <c r="K514" s="508"/>
      <c r="L514" s="508"/>
      <c r="M514" s="508"/>
      <c r="N514" s="508"/>
      <c r="O514" s="508"/>
      <c r="P514" s="508"/>
      <c r="Q514" s="508"/>
      <c r="R514" s="508"/>
      <c r="S514" s="508"/>
      <c r="T514" s="508"/>
      <c r="U514" s="508"/>
      <c r="V514" s="508"/>
      <c r="W514" s="508"/>
      <c r="X514" s="508"/>
      <c r="Y514" s="508"/>
      <c r="Z514" s="508"/>
    </row>
    <row r="515" ht="13.5" customHeight="1">
      <c r="A515" s="426"/>
      <c r="B515" s="508"/>
      <c r="C515" s="508"/>
      <c r="D515" s="508"/>
      <c r="E515" s="508"/>
      <c r="F515" s="426"/>
      <c r="G515" s="426"/>
      <c r="H515" s="426"/>
      <c r="I515" s="426"/>
      <c r="J515" s="508"/>
      <c r="K515" s="508"/>
      <c r="L515" s="508"/>
      <c r="M515" s="508"/>
      <c r="N515" s="508"/>
      <c r="O515" s="508"/>
      <c r="P515" s="508"/>
      <c r="Q515" s="508"/>
      <c r="R515" s="508"/>
      <c r="S515" s="508"/>
      <c r="T515" s="508"/>
      <c r="U515" s="508"/>
      <c r="V515" s="508"/>
      <c r="W515" s="508"/>
      <c r="X515" s="508"/>
      <c r="Y515" s="508"/>
      <c r="Z515" s="508"/>
    </row>
    <row r="516" ht="13.5" customHeight="1">
      <c r="A516" s="426"/>
      <c r="B516" s="508"/>
      <c r="C516" s="508"/>
      <c r="D516" s="508"/>
      <c r="E516" s="508"/>
      <c r="F516" s="426"/>
      <c r="G516" s="426"/>
      <c r="H516" s="426"/>
      <c r="I516" s="426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508"/>
      <c r="Y516" s="508"/>
      <c r="Z516" s="508"/>
    </row>
    <row r="517" ht="13.5" customHeight="1">
      <c r="A517" s="426"/>
      <c r="B517" s="508"/>
      <c r="C517" s="508"/>
      <c r="D517" s="508"/>
      <c r="E517" s="508"/>
      <c r="F517" s="426"/>
      <c r="G517" s="426"/>
      <c r="H517" s="426"/>
      <c r="I517" s="426"/>
      <c r="J517" s="508"/>
      <c r="K517" s="508"/>
      <c r="L517" s="508"/>
      <c r="M517" s="508"/>
      <c r="N517" s="508"/>
      <c r="O517" s="508"/>
      <c r="P517" s="508"/>
      <c r="Q517" s="508"/>
      <c r="R517" s="508"/>
      <c r="S517" s="508"/>
      <c r="T517" s="508"/>
      <c r="U517" s="508"/>
      <c r="V517" s="508"/>
      <c r="W517" s="508"/>
      <c r="X517" s="508"/>
      <c r="Y517" s="508"/>
      <c r="Z517" s="508"/>
    </row>
    <row r="518" ht="13.5" customHeight="1">
      <c r="A518" s="426"/>
      <c r="B518" s="508"/>
      <c r="C518" s="508"/>
      <c r="D518" s="508"/>
      <c r="E518" s="508"/>
      <c r="F518" s="426"/>
      <c r="G518" s="426"/>
      <c r="H518" s="426"/>
      <c r="I518" s="426"/>
      <c r="J518" s="508"/>
      <c r="K518" s="508"/>
      <c r="L518" s="508"/>
      <c r="M518" s="508"/>
      <c r="N518" s="508"/>
      <c r="O518" s="508"/>
      <c r="P518" s="508"/>
      <c r="Q518" s="508"/>
      <c r="R518" s="508"/>
      <c r="S518" s="508"/>
      <c r="T518" s="508"/>
      <c r="U518" s="508"/>
      <c r="V518" s="508"/>
      <c r="W518" s="508"/>
      <c r="X518" s="508"/>
      <c r="Y518" s="508"/>
      <c r="Z518" s="508"/>
    </row>
    <row r="519" ht="13.5" customHeight="1">
      <c r="A519" s="426"/>
      <c r="B519" s="508"/>
      <c r="C519" s="508"/>
      <c r="D519" s="508"/>
      <c r="E519" s="508"/>
      <c r="F519" s="426"/>
      <c r="G519" s="426"/>
      <c r="H519" s="426"/>
      <c r="I519" s="426"/>
      <c r="J519" s="508"/>
      <c r="K519" s="508"/>
      <c r="L519" s="508"/>
      <c r="M519" s="508"/>
      <c r="N519" s="508"/>
      <c r="O519" s="508"/>
      <c r="P519" s="508"/>
      <c r="Q519" s="508"/>
      <c r="R519" s="508"/>
      <c r="S519" s="508"/>
      <c r="T519" s="508"/>
      <c r="U519" s="508"/>
      <c r="V519" s="508"/>
      <c r="W519" s="508"/>
      <c r="X519" s="508"/>
      <c r="Y519" s="508"/>
      <c r="Z519" s="508"/>
    </row>
    <row r="520" ht="13.5" customHeight="1">
      <c r="A520" s="426"/>
      <c r="B520" s="508"/>
      <c r="C520" s="508"/>
      <c r="D520" s="508"/>
      <c r="E520" s="508"/>
      <c r="F520" s="426"/>
      <c r="G520" s="426"/>
      <c r="H520" s="426"/>
      <c r="I520" s="426"/>
      <c r="J520" s="508"/>
      <c r="K520" s="508"/>
      <c r="L520" s="508"/>
      <c r="M520" s="508"/>
      <c r="N520" s="508"/>
      <c r="O520" s="508"/>
      <c r="P520" s="508"/>
      <c r="Q520" s="508"/>
      <c r="R520" s="508"/>
      <c r="S520" s="508"/>
      <c r="T520" s="508"/>
      <c r="U520" s="508"/>
      <c r="V520" s="508"/>
      <c r="W520" s="508"/>
      <c r="X520" s="508"/>
      <c r="Y520" s="508"/>
      <c r="Z520" s="508"/>
    </row>
    <row r="521" ht="13.5" customHeight="1">
      <c r="A521" s="426"/>
      <c r="B521" s="508"/>
      <c r="C521" s="508"/>
      <c r="D521" s="508"/>
      <c r="E521" s="508"/>
      <c r="F521" s="426"/>
      <c r="G521" s="426"/>
      <c r="H521" s="426"/>
      <c r="I521" s="426"/>
      <c r="J521" s="508"/>
      <c r="K521" s="508"/>
      <c r="L521" s="508"/>
      <c r="M521" s="508"/>
      <c r="N521" s="508"/>
      <c r="O521" s="508"/>
      <c r="P521" s="508"/>
      <c r="Q521" s="508"/>
      <c r="R521" s="508"/>
      <c r="S521" s="508"/>
      <c r="T521" s="508"/>
      <c r="U521" s="508"/>
      <c r="V521" s="508"/>
      <c r="W521" s="508"/>
      <c r="X521" s="508"/>
      <c r="Y521" s="508"/>
      <c r="Z521" s="508"/>
    </row>
    <row r="522" ht="13.5" customHeight="1">
      <c r="A522" s="426"/>
      <c r="B522" s="508"/>
      <c r="C522" s="508"/>
      <c r="D522" s="508"/>
      <c r="E522" s="508"/>
      <c r="F522" s="426"/>
      <c r="G522" s="426"/>
      <c r="H522" s="426"/>
      <c r="I522" s="426"/>
      <c r="J522" s="508"/>
      <c r="K522" s="508"/>
      <c r="L522" s="508"/>
      <c r="M522" s="508"/>
      <c r="N522" s="508"/>
      <c r="O522" s="508"/>
      <c r="P522" s="508"/>
      <c r="Q522" s="508"/>
      <c r="R522" s="508"/>
      <c r="S522" s="508"/>
      <c r="T522" s="508"/>
      <c r="U522" s="508"/>
      <c r="V522" s="508"/>
      <c r="W522" s="508"/>
      <c r="X522" s="508"/>
      <c r="Y522" s="508"/>
      <c r="Z522" s="508"/>
    </row>
    <row r="523" ht="13.5" customHeight="1">
      <c r="A523" s="426"/>
      <c r="B523" s="508"/>
      <c r="C523" s="508"/>
      <c r="D523" s="508"/>
      <c r="E523" s="508"/>
      <c r="F523" s="426"/>
      <c r="G523" s="426"/>
      <c r="H523" s="426"/>
      <c r="I523" s="426"/>
      <c r="J523" s="508"/>
      <c r="K523" s="508"/>
      <c r="L523" s="508"/>
      <c r="M523" s="508"/>
      <c r="N523" s="508"/>
      <c r="O523" s="508"/>
      <c r="P523" s="508"/>
      <c r="Q523" s="508"/>
      <c r="R523" s="508"/>
      <c r="S523" s="508"/>
      <c r="T523" s="508"/>
      <c r="U523" s="508"/>
      <c r="V523" s="508"/>
      <c r="W523" s="508"/>
      <c r="X523" s="508"/>
      <c r="Y523" s="508"/>
      <c r="Z523" s="508"/>
    </row>
    <row r="524" ht="13.5" customHeight="1">
      <c r="A524" s="426"/>
      <c r="B524" s="508"/>
      <c r="C524" s="508"/>
      <c r="D524" s="508"/>
      <c r="E524" s="508"/>
      <c r="F524" s="426"/>
      <c r="G524" s="426"/>
      <c r="H524" s="426"/>
      <c r="I524" s="426"/>
      <c r="J524" s="508"/>
      <c r="K524" s="508"/>
      <c r="L524" s="508"/>
      <c r="M524" s="508"/>
      <c r="N524" s="508"/>
      <c r="O524" s="508"/>
      <c r="P524" s="508"/>
      <c r="Q524" s="508"/>
      <c r="R524" s="508"/>
      <c r="S524" s="508"/>
      <c r="T524" s="508"/>
      <c r="U524" s="508"/>
      <c r="V524" s="508"/>
      <c r="W524" s="508"/>
      <c r="X524" s="508"/>
      <c r="Y524" s="508"/>
      <c r="Z524" s="508"/>
    </row>
    <row r="525" ht="13.5" customHeight="1">
      <c r="A525" s="426"/>
      <c r="B525" s="508"/>
      <c r="C525" s="508"/>
      <c r="D525" s="508"/>
      <c r="E525" s="508"/>
      <c r="F525" s="426"/>
      <c r="G525" s="426"/>
      <c r="H525" s="426"/>
      <c r="I525" s="426"/>
      <c r="J525" s="508"/>
      <c r="K525" s="508"/>
      <c r="L525" s="508"/>
      <c r="M525" s="508"/>
      <c r="N525" s="508"/>
      <c r="O525" s="508"/>
      <c r="P525" s="508"/>
      <c r="Q525" s="508"/>
      <c r="R525" s="508"/>
      <c r="S525" s="508"/>
      <c r="T525" s="508"/>
      <c r="U525" s="508"/>
      <c r="V525" s="508"/>
      <c r="W525" s="508"/>
      <c r="X525" s="508"/>
      <c r="Y525" s="508"/>
      <c r="Z525" s="508"/>
    </row>
    <row r="526" ht="13.5" customHeight="1">
      <c r="A526" s="426"/>
      <c r="B526" s="508"/>
      <c r="C526" s="508"/>
      <c r="D526" s="508"/>
      <c r="E526" s="508"/>
      <c r="F526" s="426"/>
      <c r="G526" s="426"/>
      <c r="H526" s="426"/>
      <c r="I526" s="426"/>
      <c r="J526" s="508"/>
      <c r="K526" s="508"/>
      <c r="L526" s="508"/>
      <c r="M526" s="508"/>
      <c r="N526" s="508"/>
      <c r="O526" s="508"/>
      <c r="P526" s="508"/>
      <c r="Q526" s="508"/>
      <c r="R526" s="508"/>
      <c r="S526" s="508"/>
      <c r="T526" s="508"/>
      <c r="U526" s="508"/>
      <c r="V526" s="508"/>
      <c r="W526" s="508"/>
      <c r="X526" s="508"/>
      <c r="Y526" s="508"/>
      <c r="Z526" s="508"/>
    </row>
    <row r="527" ht="13.5" customHeight="1">
      <c r="A527" s="426"/>
      <c r="B527" s="508"/>
      <c r="C527" s="508"/>
      <c r="D527" s="508"/>
      <c r="E527" s="508"/>
      <c r="F527" s="426"/>
      <c r="G527" s="426"/>
      <c r="H527" s="426"/>
      <c r="I527" s="426"/>
      <c r="J527" s="508"/>
      <c r="K527" s="508"/>
      <c r="L527" s="508"/>
      <c r="M527" s="508"/>
      <c r="N527" s="508"/>
      <c r="O527" s="508"/>
      <c r="P527" s="508"/>
      <c r="Q527" s="508"/>
      <c r="R527" s="508"/>
      <c r="S527" s="508"/>
      <c r="T527" s="508"/>
      <c r="U527" s="508"/>
      <c r="V527" s="508"/>
      <c r="W527" s="508"/>
      <c r="X527" s="508"/>
      <c r="Y527" s="508"/>
      <c r="Z527" s="508"/>
    </row>
    <row r="528" ht="13.5" customHeight="1">
      <c r="A528" s="426"/>
      <c r="B528" s="508"/>
      <c r="C528" s="508"/>
      <c r="D528" s="508"/>
      <c r="E528" s="508"/>
      <c r="F528" s="426"/>
      <c r="G528" s="426"/>
      <c r="H528" s="426"/>
      <c r="I528" s="426"/>
      <c r="J528" s="508"/>
      <c r="K528" s="508"/>
      <c r="L528" s="508"/>
      <c r="M528" s="508"/>
      <c r="N528" s="508"/>
      <c r="O528" s="508"/>
      <c r="P528" s="508"/>
      <c r="Q528" s="508"/>
      <c r="R528" s="508"/>
      <c r="S528" s="508"/>
      <c r="T528" s="508"/>
      <c r="U528" s="508"/>
      <c r="V528" s="508"/>
      <c r="W528" s="508"/>
      <c r="X528" s="508"/>
      <c r="Y528" s="508"/>
      <c r="Z528" s="508"/>
    </row>
    <row r="529" ht="13.5" customHeight="1">
      <c r="A529" s="426"/>
      <c r="B529" s="508"/>
      <c r="C529" s="508"/>
      <c r="D529" s="508"/>
      <c r="E529" s="508"/>
      <c r="F529" s="426"/>
      <c r="G529" s="426"/>
      <c r="H529" s="426"/>
      <c r="I529" s="426"/>
      <c r="J529" s="508"/>
      <c r="K529" s="508"/>
      <c r="L529" s="508"/>
      <c r="M529" s="508"/>
      <c r="N529" s="508"/>
      <c r="O529" s="508"/>
      <c r="P529" s="508"/>
      <c r="Q529" s="508"/>
      <c r="R529" s="508"/>
      <c r="S529" s="508"/>
      <c r="T529" s="508"/>
      <c r="U529" s="508"/>
      <c r="V529" s="508"/>
      <c r="W529" s="508"/>
      <c r="X529" s="508"/>
      <c r="Y529" s="508"/>
      <c r="Z529" s="508"/>
    </row>
    <row r="530" ht="13.5" customHeight="1">
      <c r="A530" s="426"/>
      <c r="B530" s="508"/>
      <c r="C530" s="508"/>
      <c r="D530" s="508"/>
      <c r="E530" s="508"/>
      <c r="F530" s="426"/>
      <c r="G530" s="426"/>
      <c r="H530" s="426"/>
      <c r="I530" s="426"/>
      <c r="J530" s="508"/>
      <c r="K530" s="508"/>
      <c r="L530" s="508"/>
      <c r="M530" s="508"/>
      <c r="N530" s="508"/>
      <c r="O530" s="508"/>
      <c r="P530" s="508"/>
      <c r="Q530" s="508"/>
      <c r="R530" s="508"/>
      <c r="S530" s="508"/>
      <c r="T530" s="508"/>
      <c r="U530" s="508"/>
      <c r="V530" s="508"/>
      <c r="W530" s="508"/>
      <c r="X530" s="508"/>
      <c r="Y530" s="508"/>
      <c r="Z530" s="508"/>
    </row>
    <row r="531" ht="13.5" customHeight="1">
      <c r="A531" s="426"/>
      <c r="B531" s="508"/>
      <c r="C531" s="508"/>
      <c r="D531" s="508"/>
      <c r="E531" s="508"/>
      <c r="F531" s="426"/>
      <c r="G531" s="426"/>
      <c r="H531" s="426"/>
      <c r="I531" s="426"/>
      <c r="J531" s="508"/>
      <c r="K531" s="508"/>
      <c r="L531" s="508"/>
      <c r="M531" s="508"/>
      <c r="N531" s="508"/>
      <c r="O531" s="508"/>
      <c r="P531" s="508"/>
      <c r="Q531" s="508"/>
      <c r="R531" s="508"/>
      <c r="S531" s="508"/>
      <c r="T531" s="508"/>
      <c r="U531" s="508"/>
      <c r="V531" s="508"/>
      <c r="W531" s="508"/>
      <c r="X531" s="508"/>
      <c r="Y531" s="508"/>
      <c r="Z531" s="508"/>
    </row>
    <row r="532" ht="13.5" customHeight="1">
      <c r="A532" s="426"/>
      <c r="B532" s="508"/>
      <c r="C532" s="508"/>
      <c r="D532" s="508"/>
      <c r="E532" s="508"/>
      <c r="F532" s="426"/>
      <c r="G532" s="426"/>
      <c r="H532" s="426"/>
      <c r="I532" s="426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8"/>
      <c r="Z532" s="508"/>
    </row>
    <row r="533" ht="13.5" customHeight="1">
      <c r="A533" s="426"/>
      <c r="B533" s="508"/>
      <c r="C533" s="508"/>
      <c r="D533" s="508"/>
      <c r="E533" s="508"/>
      <c r="F533" s="426"/>
      <c r="G533" s="426"/>
      <c r="H533" s="426"/>
      <c r="I533" s="426"/>
      <c r="J533" s="508"/>
      <c r="K533" s="508"/>
      <c r="L533" s="508"/>
      <c r="M533" s="508"/>
      <c r="N533" s="508"/>
      <c r="O533" s="508"/>
      <c r="P533" s="508"/>
      <c r="Q533" s="508"/>
      <c r="R533" s="508"/>
      <c r="S533" s="508"/>
      <c r="T533" s="508"/>
      <c r="U533" s="508"/>
      <c r="V533" s="508"/>
      <c r="W533" s="508"/>
      <c r="X533" s="508"/>
      <c r="Y533" s="508"/>
      <c r="Z533" s="508"/>
    </row>
    <row r="534" ht="13.5" customHeight="1">
      <c r="A534" s="426"/>
      <c r="B534" s="508"/>
      <c r="C534" s="508"/>
      <c r="D534" s="508"/>
      <c r="E534" s="508"/>
      <c r="F534" s="426"/>
      <c r="G534" s="426"/>
      <c r="H534" s="426"/>
      <c r="I534" s="426"/>
      <c r="J534" s="508"/>
      <c r="K534" s="508"/>
      <c r="L534" s="508"/>
      <c r="M534" s="508"/>
      <c r="N534" s="508"/>
      <c r="O534" s="508"/>
      <c r="P534" s="508"/>
      <c r="Q534" s="508"/>
      <c r="R534" s="508"/>
      <c r="S534" s="508"/>
      <c r="T534" s="508"/>
      <c r="U534" s="508"/>
      <c r="V534" s="508"/>
      <c r="W534" s="508"/>
      <c r="X534" s="508"/>
      <c r="Y534" s="508"/>
      <c r="Z534" s="508"/>
    </row>
    <row r="535" ht="13.5" customHeight="1">
      <c r="A535" s="426"/>
      <c r="B535" s="508"/>
      <c r="C535" s="508"/>
      <c r="D535" s="508"/>
      <c r="E535" s="508"/>
      <c r="F535" s="426"/>
      <c r="G535" s="426"/>
      <c r="H535" s="426"/>
      <c r="I535" s="426"/>
      <c r="J535" s="508"/>
      <c r="K535" s="508"/>
      <c r="L535" s="508"/>
      <c r="M535" s="508"/>
      <c r="N535" s="508"/>
      <c r="O535" s="508"/>
      <c r="P535" s="508"/>
      <c r="Q535" s="508"/>
      <c r="R535" s="508"/>
      <c r="S535" s="508"/>
      <c r="T535" s="508"/>
      <c r="U535" s="508"/>
      <c r="V535" s="508"/>
      <c r="W535" s="508"/>
      <c r="X535" s="508"/>
      <c r="Y535" s="508"/>
      <c r="Z535" s="508"/>
    </row>
    <row r="536" ht="13.5" customHeight="1">
      <c r="A536" s="426"/>
      <c r="B536" s="508"/>
      <c r="C536" s="508"/>
      <c r="D536" s="508"/>
      <c r="E536" s="508"/>
      <c r="F536" s="426"/>
      <c r="G536" s="426"/>
      <c r="H536" s="426"/>
      <c r="I536" s="426"/>
      <c r="J536" s="508"/>
      <c r="K536" s="508"/>
      <c r="L536" s="508"/>
      <c r="M536" s="508"/>
      <c r="N536" s="508"/>
      <c r="O536" s="508"/>
      <c r="P536" s="508"/>
      <c r="Q536" s="508"/>
      <c r="R536" s="508"/>
      <c r="S536" s="508"/>
      <c r="T536" s="508"/>
      <c r="U536" s="508"/>
      <c r="V536" s="508"/>
      <c r="W536" s="508"/>
      <c r="X536" s="508"/>
      <c r="Y536" s="508"/>
      <c r="Z536" s="508"/>
    </row>
    <row r="537" ht="13.5" customHeight="1">
      <c r="A537" s="426"/>
      <c r="B537" s="508"/>
      <c r="C537" s="508"/>
      <c r="D537" s="508"/>
      <c r="E537" s="508"/>
      <c r="F537" s="426"/>
      <c r="G537" s="426"/>
      <c r="H537" s="426"/>
      <c r="I537" s="426"/>
      <c r="J537" s="508"/>
      <c r="K537" s="508"/>
      <c r="L537" s="508"/>
      <c r="M537" s="508"/>
      <c r="N537" s="508"/>
      <c r="O537" s="508"/>
      <c r="P537" s="508"/>
      <c r="Q537" s="508"/>
      <c r="R537" s="508"/>
      <c r="S537" s="508"/>
      <c r="T537" s="508"/>
      <c r="U537" s="508"/>
      <c r="V537" s="508"/>
      <c r="W537" s="508"/>
      <c r="X537" s="508"/>
      <c r="Y537" s="508"/>
      <c r="Z537" s="508"/>
    </row>
    <row r="538" ht="13.5" customHeight="1">
      <c r="A538" s="426"/>
      <c r="B538" s="508"/>
      <c r="C538" s="508"/>
      <c r="D538" s="508"/>
      <c r="E538" s="508"/>
      <c r="F538" s="426"/>
      <c r="G538" s="426"/>
      <c r="H538" s="426"/>
      <c r="I538" s="426"/>
      <c r="J538" s="508"/>
      <c r="K538" s="508"/>
      <c r="L538" s="508"/>
      <c r="M538" s="508"/>
      <c r="N538" s="508"/>
      <c r="O538" s="508"/>
      <c r="P538" s="508"/>
      <c r="Q538" s="508"/>
      <c r="R538" s="508"/>
      <c r="S538" s="508"/>
      <c r="T538" s="508"/>
      <c r="U538" s="508"/>
      <c r="V538" s="508"/>
      <c r="W538" s="508"/>
      <c r="X538" s="508"/>
      <c r="Y538" s="508"/>
      <c r="Z538" s="508"/>
    </row>
    <row r="539" ht="13.5" customHeight="1">
      <c r="A539" s="426"/>
      <c r="B539" s="508"/>
      <c r="C539" s="508"/>
      <c r="D539" s="508"/>
      <c r="E539" s="508"/>
      <c r="F539" s="426"/>
      <c r="G539" s="426"/>
      <c r="H539" s="426"/>
      <c r="I539" s="426"/>
      <c r="J539" s="508"/>
      <c r="K539" s="508"/>
      <c r="L539" s="508"/>
      <c r="M539" s="508"/>
      <c r="N539" s="508"/>
      <c r="O539" s="508"/>
      <c r="P539" s="508"/>
      <c r="Q539" s="508"/>
      <c r="R539" s="508"/>
      <c r="S539" s="508"/>
      <c r="T539" s="508"/>
      <c r="U539" s="508"/>
      <c r="V539" s="508"/>
      <c r="W539" s="508"/>
      <c r="X539" s="508"/>
      <c r="Y539" s="508"/>
      <c r="Z539" s="508"/>
    </row>
    <row r="540" ht="13.5" customHeight="1">
      <c r="A540" s="426"/>
      <c r="B540" s="508"/>
      <c r="C540" s="508"/>
      <c r="D540" s="508"/>
      <c r="E540" s="508"/>
      <c r="F540" s="426"/>
      <c r="G540" s="426"/>
      <c r="H540" s="426"/>
      <c r="I540" s="426"/>
      <c r="J540" s="508"/>
      <c r="K540" s="508"/>
      <c r="L540" s="508"/>
      <c r="M540" s="508"/>
      <c r="N540" s="508"/>
      <c r="O540" s="508"/>
      <c r="P540" s="508"/>
      <c r="Q540" s="508"/>
      <c r="R540" s="508"/>
      <c r="S540" s="508"/>
      <c r="T540" s="508"/>
      <c r="U540" s="508"/>
      <c r="V540" s="508"/>
      <c r="W540" s="508"/>
      <c r="X540" s="508"/>
      <c r="Y540" s="508"/>
      <c r="Z540" s="508"/>
    </row>
    <row r="541" ht="13.5" customHeight="1">
      <c r="A541" s="426"/>
      <c r="B541" s="508"/>
      <c r="C541" s="508"/>
      <c r="D541" s="508"/>
      <c r="E541" s="508"/>
      <c r="F541" s="426"/>
      <c r="G541" s="426"/>
      <c r="H541" s="426"/>
      <c r="I541" s="426"/>
      <c r="J541" s="508"/>
      <c r="K541" s="508"/>
      <c r="L541" s="508"/>
      <c r="M541" s="508"/>
      <c r="N541" s="508"/>
      <c r="O541" s="508"/>
      <c r="P541" s="508"/>
      <c r="Q541" s="508"/>
      <c r="R541" s="508"/>
      <c r="S541" s="508"/>
      <c r="T541" s="508"/>
      <c r="U541" s="508"/>
      <c r="V541" s="508"/>
      <c r="W541" s="508"/>
      <c r="X541" s="508"/>
      <c r="Y541" s="508"/>
      <c r="Z541" s="508"/>
    </row>
    <row r="542" ht="13.5" customHeight="1">
      <c r="A542" s="426"/>
      <c r="B542" s="508"/>
      <c r="C542" s="508"/>
      <c r="D542" s="508"/>
      <c r="E542" s="508"/>
      <c r="F542" s="426"/>
      <c r="G542" s="426"/>
      <c r="H542" s="426"/>
      <c r="I542" s="426"/>
      <c r="J542" s="508"/>
      <c r="K542" s="508"/>
      <c r="L542" s="508"/>
      <c r="M542" s="508"/>
      <c r="N542" s="508"/>
      <c r="O542" s="508"/>
      <c r="P542" s="508"/>
      <c r="Q542" s="508"/>
      <c r="R542" s="508"/>
      <c r="S542" s="508"/>
      <c r="T542" s="508"/>
      <c r="U542" s="508"/>
      <c r="V542" s="508"/>
      <c r="W542" s="508"/>
      <c r="X542" s="508"/>
      <c r="Y542" s="508"/>
      <c r="Z542" s="508"/>
    </row>
    <row r="543" ht="13.5" customHeight="1">
      <c r="A543" s="426"/>
      <c r="B543" s="508"/>
      <c r="C543" s="508"/>
      <c r="D543" s="508"/>
      <c r="E543" s="508"/>
      <c r="F543" s="426"/>
      <c r="G543" s="426"/>
      <c r="H543" s="426"/>
      <c r="I543" s="426"/>
      <c r="J543" s="508"/>
      <c r="K543" s="508"/>
      <c r="L543" s="508"/>
      <c r="M543" s="508"/>
      <c r="N543" s="508"/>
      <c r="O543" s="508"/>
      <c r="P543" s="508"/>
      <c r="Q543" s="508"/>
      <c r="R543" s="508"/>
      <c r="S543" s="508"/>
      <c r="T543" s="508"/>
      <c r="U543" s="508"/>
      <c r="V543" s="508"/>
      <c r="W543" s="508"/>
      <c r="X543" s="508"/>
      <c r="Y543" s="508"/>
      <c r="Z543" s="508"/>
    </row>
    <row r="544" ht="13.5" customHeight="1">
      <c r="A544" s="426"/>
      <c r="B544" s="508"/>
      <c r="C544" s="508"/>
      <c r="D544" s="508"/>
      <c r="E544" s="508"/>
      <c r="F544" s="426"/>
      <c r="G544" s="426"/>
      <c r="H544" s="426"/>
      <c r="I544" s="426"/>
      <c r="J544" s="508"/>
      <c r="K544" s="508"/>
      <c r="L544" s="508"/>
      <c r="M544" s="508"/>
      <c r="N544" s="508"/>
      <c r="O544" s="508"/>
      <c r="P544" s="508"/>
      <c r="Q544" s="508"/>
      <c r="R544" s="508"/>
      <c r="S544" s="508"/>
      <c r="T544" s="508"/>
      <c r="U544" s="508"/>
      <c r="V544" s="508"/>
      <c r="W544" s="508"/>
      <c r="X544" s="508"/>
      <c r="Y544" s="508"/>
      <c r="Z544" s="508"/>
    </row>
    <row r="545" ht="13.5" customHeight="1">
      <c r="A545" s="426"/>
      <c r="B545" s="508"/>
      <c r="C545" s="508"/>
      <c r="D545" s="508"/>
      <c r="E545" s="508"/>
      <c r="F545" s="426"/>
      <c r="G545" s="426"/>
      <c r="H545" s="426"/>
      <c r="I545" s="426"/>
      <c r="J545" s="508"/>
      <c r="K545" s="508"/>
      <c r="L545" s="508"/>
      <c r="M545" s="508"/>
      <c r="N545" s="508"/>
      <c r="O545" s="508"/>
      <c r="P545" s="508"/>
      <c r="Q545" s="508"/>
      <c r="R545" s="508"/>
      <c r="S545" s="508"/>
      <c r="T545" s="508"/>
      <c r="U545" s="508"/>
      <c r="V545" s="508"/>
      <c r="W545" s="508"/>
      <c r="X545" s="508"/>
      <c r="Y545" s="508"/>
      <c r="Z545" s="508"/>
    </row>
    <row r="546" ht="13.5" customHeight="1">
      <c r="A546" s="426"/>
      <c r="B546" s="508"/>
      <c r="C546" s="508"/>
      <c r="D546" s="508"/>
      <c r="E546" s="508"/>
      <c r="F546" s="426"/>
      <c r="G546" s="426"/>
      <c r="H546" s="426"/>
      <c r="I546" s="426"/>
      <c r="J546" s="508"/>
      <c r="K546" s="508"/>
      <c r="L546" s="508"/>
      <c r="M546" s="508"/>
      <c r="N546" s="508"/>
      <c r="O546" s="508"/>
      <c r="P546" s="508"/>
      <c r="Q546" s="508"/>
      <c r="R546" s="508"/>
      <c r="S546" s="508"/>
      <c r="T546" s="508"/>
      <c r="U546" s="508"/>
      <c r="V546" s="508"/>
      <c r="W546" s="508"/>
      <c r="X546" s="508"/>
      <c r="Y546" s="508"/>
      <c r="Z546" s="508"/>
    </row>
    <row r="547" ht="13.5" customHeight="1">
      <c r="A547" s="426"/>
      <c r="B547" s="508"/>
      <c r="C547" s="508"/>
      <c r="D547" s="508"/>
      <c r="E547" s="508"/>
      <c r="F547" s="426"/>
      <c r="G547" s="426"/>
      <c r="H547" s="426"/>
      <c r="I547" s="426"/>
      <c r="J547" s="508"/>
      <c r="K547" s="508"/>
      <c r="L547" s="508"/>
      <c r="M547" s="508"/>
      <c r="N547" s="508"/>
      <c r="O547" s="508"/>
      <c r="P547" s="508"/>
      <c r="Q547" s="508"/>
      <c r="R547" s="508"/>
      <c r="S547" s="508"/>
      <c r="T547" s="508"/>
      <c r="U547" s="508"/>
      <c r="V547" s="508"/>
      <c r="W547" s="508"/>
      <c r="X547" s="508"/>
      <c r="Y547" s="508"/>
      <c r="Z547" s="508"/>
    </row>
    <row r="548" ht="13.5" customHeight="1">
      <c r="A548" s="426"/>
      <c r="B548" s="508"/>
      <c r="C548" s="508"/>
      <c r="D548" s="508"/>
      <c r="E548" s="508"/>
      <c r="F548" s="426"/>
      <c r="G548" s="426"/>
      <c r="H548" s="426"/>
      <c r="I548" s="426"/>
      <c r="J548" s="508"/>
      <c r="K548" s="508"/>
      <c r="L548" s="508"/>
      <c r="M548" s="508"/>
      <c r="N548" s="508"/>
      <c r="O548" s="508"/>
      <c r="P548" s="508"/>
      <c r="Q548" s="508"/>
      <c r="R548" s="508"/>
      <c r="S548" s="508"/>
      <c r="T548" s="508"/>
      <c r="U548" s="508"/>
      <c r="V548" s="508"/>
      <c r="W548" s="508"/>
      <c r="X548" s="508"/>
      <c r="Y548" s="508"/>
      <c r="Z548" s="508"/>
    </row>
    <row r="549" ht="13.5" customHeight="1">
      <c r="A549" s="426"/>
      <c r="B549" s="508"/>
      <c r="C549" s="508"/>
      <c r="D549" s="508"/>
      <c r="E549" s="508"/>
      <c r="F549" s="426"/>
      <c r="G549" s="426"/>
      <c r="H549" s="426"/>
      <c r="I549" s="426"/>
      <c r="J549" s="508"/>
      <c r="K549" s="508"/>
      <c r="L549" s="508"/>
      <c r="M549" s="508"/>
      <c r="N549" s="508"/>
      <c r="O549" s="508"/>
      <c r="P549" s="508"/>
      <c r="Q549" s="508"/>
      <c r="R549" s="508"/>
      <c r="S549" s="508"/>
      <c r="T549" s="508"/>
      <c r="U549" s="508"/>
      <c r="V549" s="508"/>
      <c r="W549" s="508"/>
      <c r="X549" s="508"/>
      <c r="Y549" s="508"/>
      <c r="Z549" s="508"/>
    </row>
    <row r="550" ht="13.5" customHeight="1">
      <c r="A550" s="426"/>
      <c r="B550" s="508"/>
      <c r="C550" s="508"/>
      <c r="D550" s="508"/>
      <c r="E550" s="508"/>
      <c r="F550" s="426"/>
      <c r="G550" s="426"/>
      <c r="H550" s="426"/>
      <c r="I550" s="426"/>
      <c r="J550" s="508"/>
      <c r="K550" s="508"/>
      <c r="L550" s="508"/>
      <c r="M550" s="508"/>
      <c r="N550" s="508"/>
      <c r="O550" s="508"/>
      <c r="P550" s="508"/>
      <c r="Q550" s="508"/>
      <c r="R550" s="508"/>
      <c r="S550" s="508"/>
      <c r="T550" s="508"/>
      <c r="U550" s="508"/>
      <c r="V550" s="508"/>
      <c r="W550" s="508"/>
      <c r="X550" s="508"/>
      <c r="Y550" s="508"/>
      <c r="Z550" s="508"/>
    </row>
    <row r="551" ht="13.5" customHeight="1">
      <c r="A551" s="426"/>
      <c r="B551" s="508"/>
      <c r="C551" s="508"/>
      <c r="D551" s="508"/>
      <c r="E551" s="508"/>
      <c r="F551" s="426"/>
      <c r="G551" s="426"/>
      <c r="H551" s="426"/>
      <c r="I551" s="426"/>
      <c r="J551" s="508"/>
      <c r="K551" s="508"/>
      <c r="L551" s="508"/>
      <c r="M551" s="508"/>
      <c r="N551" s="508"/>
      <c r="O551" s="508"/>
      <c r="P551" s="508"/>
      <c r="Q551" s="508"/>
      <c r="R551" s="508"/>
      <c r="S551" s="508"/>
      <c r="T551" s="508"/>
      <c r="U551" s="508"/>
      <c r="V551" s="508"/>
      <c r="W551" s="508"/>
      <c r="X551" s="508"/>
      <c r="Y551" s="508"/>
      <c r="Z551" s="508"/>
    </row>
    <row r="552" ht="13.5" customHeight="1">
      <c r="A552" s="426"/>
      <c r="B552" s="508"/>
      <c r="C552" s="508"/>
      <c r="D552" s="508"/>
      <c r="E552" s="508"/>
      <c r="F552" s="426"/>
      <c r="G552" s="426"/>
      <c r="H552" s="426"/>
      <c r="I552" s="426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508"/>
      <c r="Y552" s="508"/>
      <c r="Z552" s="508"/>
    </row>
    <row r="553" ht="13.5" customHeight="1">
      <c r="A553" s="426"/>
      <c r="B553" s="508"/>
      <c r="C553" s="508"/>
      <c r="D553" s="508"/>
      <c r="E553" s="508"/>
      <c r="F553" s="426"/>
      <c r="G553" s="426"/>
      <c r="H553" s="426"/>
      <c r="I553" s="426"/>
      <c r="J553" s="508"/>
      <c r="K553" s="508"/>
      <c r="L553" s="508"/>
      <c r="M553" s="508"/>
      <c r="N553" s="508"/>
      <c r="O553" s="508"/>
      <c r="P553" s="508"/>
      <c r="Q553" s="508"/>
      <c r="R553" s="508"/>
      <c r="S553" s="508"/>
      <c r="T553" s="508"/>
      <c r="U553" s="508"/>
      <c r="V553" s="508"/>
      <c r="W553" s="508"/>
      <c r="X553" s="508"/>
      <c r="Y553" s="508"/>
      <c r="Z553" s="508"/>
    </row>
    <row r="554" ht="13.5" customHeight="1">
      <c r="A554" s="426"/>
      <c r="B554" s="508"/>
      <c r="C554" s="508"/>
      <c r="D554" s="508"/>
      <c r="E554" s="508"/>
      <c r="F554" s="426"/>
      <c r="G554" s="426"/>
      <c r="H554" s="426"/>
      <c r="I554" s="426"/>
      <c r="J554" s="508"/>
      <c r="K554" s="508"/>
      <c r="L554" s="508"/>
      <c r="M554" s="508"/>
      <c r="N554" s="508"/>
      <c r="O554" s="508"/>
      <c r="P554" s="508"/>
      <c r="Q554" s="508"/>
      <c r="R554" s="508"/>
      <c r="S554" s="508"/>
      <c r="T554" s="508"/>
      <c r="U554" s="508"/>
      <c r="V554" s="508"/>
      <c r="W554" s="508"/>
      <c r="X554" s="508"/>
      <c r="Y554" s="508"/>
      <c r="Z554" s="508"/>
    </row>
    <row r="555" ht="13.5" customHeight="1">
      <c r="A555" s="426"/>
      <c r="B555" s="508"/>
      <c r="C555" s="508"/>
      <c r="D555" s="508"/>
      <c r="E555" s="508"/>
      <c r="F555" s="426"/>
      <c r="G555" s="426"/>
      <c r="H555" s="426"/>
      <c r="I555" s="426"/>
      <c r="J555" s="508"/>
      <c r="K555" s="508"/>
      <c r="L555" s="508"/>
      <c r="M555" s="508"/>
      <c r="N555" s="508"/>
      <c r="O555" s="508"/>
      <c r="P555" s="508"/>
      <c r="Q555" s="508"/>
      <c r="R555" s="508"/>
      <c r="S555" s="508"/>
      <c r="T555" s="508"/>
      <c r="U555" s="508"/>
      <c r="V555" s="508"/>
      <c r="W555" s="508"/>
      <c r="X555" s="508"/>
      <c r="Y555" s="508"/>
      <c r="Z555" s="508"/>
    </row>
    <row r="556" ht="13.5" customHeight="1">
      <c r="A556" s="426"/>
      <c r="B556" s="508"/>
      <c r="C556" s="508"/>
      <c r="D556" s="508"/>
      <c r="E556" s="508"/>
      <c r="F556" s="426"/>
      <c r="G556" s="426"/>
      <c r="H556" s="426"/>
      <c r="I556" s="426"/>
      <c r="J556" s="508"/>
      <c r="K556" s="508"/>
      <c r="L556" s="508"/>
      <c r="M556" s="508"/>
      <c r="N556" s="508"/>
      <c r="O556" s="508"/>
      <c r="P556" s="508"/>
      <c r="Q556" s="508"/>
      <c r="R556" s="508"/>
      <c r="S556" s="508"/>
      <c r="T556" s="508"/>
      <c r="U556" s="508"/>
      <c r="V556" s="508"/>
      <c r="W556" s="508"/>
      <c r="X556" s="508"/>
      <c r="Y556" s="508"/>
      <c r="Z556" s="508"/>
    </row>
    <row r="557" ht="13.5" customHeight="1">
      <c r="A557" s="426"/>
      <c r="B557" s="508"/>
      <c r="C557" s="508"/>
      <c r="D557" s="508"/>
      <c r="E557" s="508"/>
      <c r="F557" s="426"/>
      <c r="G557" s="426"/>
      <c r="H557" s="426"/>
      <c r="I557" s="426"/>
      <c r="J557" s="508"/>
      <c r="K557" s="508"/>
      <c r="L557" s="508"/>
      <c r="M557" s="508"/>
      <c r="N557" s="508"/>
      <c r="O557" s="508"/>
      <c r="P557" s="508"/>
      <c r="Q557" s="508"/>
      <c r="R557" s="508"/>
      <c r="S557" s="508"/>
      <c r="T557" s="508"/>
      <c r="U557" s="508"/>
      <c r="V557" s="508"/>
      <c r="W557" s="508"/>
      <c r="X557" s="508"/>
      <c r="Y557" s="508"/>
      <c r="Z557" s="508"/>
    </row>
    <row r="558" ht="13.5" customHeight="1">
      <c r="A558" s="426"/>
      <c r="B558" s="508"/>
      <c r="C558" s="508"/>
      <c r="D558" s="508"/>
      <c r="E558" s="508"/>
      <c r="F558" s="426"/>
      <c r="G558" s="426"/>
      <c r="H558" s="426"/>
      <c r="I558" s="426"/>
      <c r="J558" s="508"/>
      <c r="K558" s="508"/>
      <c r="L558" s="508"/>
      <c r="M558" s="508"/>
      <c r="N558" s="508"/>
      <c r="O558" s="508"/>
      <c r="P558" s="508"/>
      <c r="Q558" s="508"/>
      <c r="R558" s="508"/>
      <c r="S558" s="508"/>
      <c r="T558" s="508"/>
      <c r="U558" s="508"/>
      <c r="V558" s="508"/>
      <c r="W558" s="508"/>
      <c r="X558" s="508"/>
      <c r="Y558" s="508"/>
      <c r="Z558" s="508"/>
    </row>
    <row r="559" ht="13.5" customHeight="1">
      <c r="A559" s="426"/>
      <c r="B559" s="508"/>
      <c r="C559" s="508"/>
      <c r="D559" s="508"/>
      <c r="E559" s="508"/>
      <c r="F559" s="426"/>
      <c r="G559" s="426"/>
      <c r="H559" s="426"/>
      <c r="I559" s="426"/>
      <c r="J559" s="508"/>
      <c r="K559" s="508"/>
      <c r="L559" s="508"/>
      <c r="M559" s="508"/>
      <c r="N559" s="508"/>
      <c r="O559" s="508"/>
      <c r="P559" s="508"/>
      <c r="Q559" s="508"/>
      <c r="R559" s="508"/>
      <c r="S559" s="508"/>
      <c r="T559" s="508"/>
      <c r="U559" s="508"/>
      <c r="V559" s="508"/>
      <c r="W559" s="508"/>
      <c r="X559" s="508"/>
      <c r="Y559" s="508"/>
      <c r="Z559" s="508"/>
    </row>
    <row r="560" ht="13.5" customHeight="1">
      <c r="A560" s="426"/>
      <c r="B560" s="508"/>
      <c r="C560" s="508"/>
      <c r="D560" s="508"/>
      <c r="E560" s="508"/>
      <c r="F560" s="426"/>
      <c r="G560" s="426"/>
      <c r="H560" s="426"/>
      <c r="I560" s="426"/>
      <c r="J560" s="508"/>
      <c r="K560" s="508"/>
      <c r="L560" s="508"/>
      <c r="M560" s="508"/>
      <c r="N560" s="508"/>
      <c r="O560" s="508"/>
      <c r="P560" s="508"/>
      <c r="Q560" s="508"/>
      <c r="R560" s="508"/>
      <c r="S560" s="508"/>
      <c r="T560" s="508"/>
      <c r="U560" s="508"/>
      <c r="V560" s="508"/>
      <c r="W560" s="508"/>
      <c r="X560" s="508"/>
      <c r="Y560" s="508"/>
      <c r="Z560" s="508"/>
    </row>
    <row r="561" ht="13.5" customHeight="1">
      <c r="A561" s="426"/>
      <c r="B561" s="508"/>
      <c r="C561" s="508"/>
      <c r="D561" s="508"/>
      <c r="E561" s="508"/>
      <c r="F561" s="426"/>
      <c r="G561" s="426"/>
      <c r="H561" s="426"/>
      <c r="I561" s="426"/>
      <c r="J561" s="508"/>
      <c r="K561" s="508"/>
      <c r="L561" s="508"/>
      <c r="M561" s="508"/>
      <c r="N561" s="508"/>
      <c r="O561" s="508"/>
      <c r="P561" s="508"/>
      <c r="Q561" s="508"/>
      <c r="R561" s="508"/>
      <c r="S561" s="508"/>
      <c r="T561" s="508"/>
      <c r="U561" s="508"/>
      <c r="V561" s="508"/>
      <c r="W561" s="508"/>
      <c r="X561" s="508"/>
      <c r="Y561" s="508"/>
      <c r="Z561" s="508"/>
    </row>
    <row r="562" ht="13.5" customHeight="1">
      <c r="A562" s="426"/>
      <c r="B562" s="508"/>
      <c r="C562" s="508"/>
      <c r="D562" s="508"/>
      <c r="E562" s="508"/>
      <c r="F562" s="426"/>
      <c r="G562" s="426"/>
      <c r="H562" s="426"/>
      <c r="I562" s="426"/>
      <c r="J562" s="508"/>
      <c r="K562" s="508"/>
      <c r="L562" s="508"/>
      <c r="M562" s="508"/>
      <c r="N562" s="508"/>
      <c r="O562" s="508"/>
      <c r="P562" s="508"/>
      <c r="Q562" s="508"/>
      <c r="R562" s="508"/>
      <c r="S562" s="508"/>
      <c r="T562" s="508"/>
      <c r="U562" s="508"/>
      <c r="V562" s="508"/>
      <c r="W562" s="508"/>
      <c r="X562" s="508"/>
      <c r="Y562" s="508"/>
      <c r="Z562" s="508"/>
    </row>
    <row r="563" ht="13.5" customHeight="1">
      <c r="A563" s="426"/>
      <c r="B563" s="508"/>
      <c r="C563" s="508"/>
      <c r="D563" s="508"/>
      <c r="E563" s="508"/>
      <c r="F563" s="426"/>
      <c r="G563" s="426"/>
      <c r="H563" s="426"/>
      <c r="I563" s="426"/>
      <c r="J563" s="508"/>
      <c r="K563" s="508"/>
      <c r="L563" s="508"/>
      <c r="M563" s="508"/>
      <c r="N563" s="508"/>
      <c r="O563" s="508"/>
      <c r="P563" s="508"/>
      <c r="Q563" s="508"/>
      <c r="R563" s="508"/>
      <c r="S563" s="508"/>
      <c r="T563" s="508"/>
      <c r="U563" s="508"/>
      <c r="V563" s="508"/>
      <c r="W563" s="508"/>
      <c r="X563" s="508"/>
      <c r="Y563" s="508"/>
      <c r="Z563" s="508"/>
    </row>
    <row r="564" ht="13.5" customHeight="1">
      <c r="A564" s="426"/>
      <c r="B564" s="508"/>
      <c r="C564" s="508"/>
      <c r="D564" s="508"/>
      <c r="E564" s="508"/>
      <c r="F564" s="426"/>
      <c r="G564" s="426"/>
      <c r="H564" s="426"/>
      <c r="I564" s="426"/>
      <c r="J564" s="508"/>
      <c r="K564" s="508"/>
      <c r="L564" s="508"/>
      <c r="M564" s="508"/>
      <c r="N564" s="508"/>
      <c r="O564" s="508"/>
      <c r="P564" s="508"/>
      <c r="Q564" s="508"/>
      <c r="R564" s="508"/>
      <c r="S564" s="508"/>
      <c r="T564" s="508"/>
      <c r="U564" s="508"/>
      <c r="V564" s="508"/>
      <c r="W564" s="508"/>
      <c r="X564" s="508"/>
      <c r="Y564" s="508"/>
      <c r="Z564" s="508"/>
    </row>
    <row r="565" ht="13.5" customHeight="1">
      <c r="A565" s="426"/>
      <c r="B565" s="508"/>
      <c r="C565" s="508"/>
      <c r="D565" s="508"/>
      <c r="E565" s="508"/>
      <c r="F565" s="426"/>
      <c r="G565" s="426"/>
      <c r="H565" s="426"/>
      <c r="I565" s="426"/>
      <c r="J565" s="508"/>
      <c r="K565" s="508"/>
      <c r="L565" s="508"/>
      <c r="M565" s="508"/>
      <c r="N565" s="508"/>
      <c r="O565" s="508"/>
      <c r="P565" s="508"/>
      <c r="Q565" s="508"/>
      <c r="R565" s="508"/>
      <c r="S565" s="508"/>
      <c r="T565" s="508"/>
      <c r="U565" s="508"/>
      <c r="V565" s="508"/>
      <c r="W565" s="508"/>
      <c r="X565" s="508"/>
      <c r="Y565" s="508"/>
      <c r="Z565" s="508"/>
    </row>
    <row r="566" ht="13.5" customHeight="1">
      <c r="A566" s="426"/>
      <c r="B566" s="508"/>
      <c r="C566" s="508"/>
      <c r="D566" s="508"/>
      <c r="E566" s="508"/>
      <c r="F566" s="426"/>
      <c r="G566" s="426"/>
      <c r="H566" s="426"/>
      <c r="I566" s="426"/>
      <c r="J566" s="508"/>
      <c r="K566" s="508"/>
      <c r="L566" s="508"/>
      <c r="M566" s="508"/>
      <c r="N566" s="508"/>
      <c r="O566" s="508"/>
      <c r="P566" s="508"/>
      <c r="Q566" s="508"/>
      <c r="R566" s="508"/>
      <c r="S566" s="508"/>
      <c r="T566" s="508"/>
      <c r="U566" s="508"/>
      <c r="V566" s="508"/>
      <c r="W566" s="508"/>
      <c r="X566" s="508"/>
      <c r="Y566" s="508"/>
      <c r="Z566" s="508"/>
    </row>
    <row r="567" ht="13.5" customHeight="1">
      <c r="A567" s="426"/>
      <c r="B567" s="508"/>
      <c r="C567" s="508"/>
      <c r="D567" s="508"/>
      <c r="E567" s="508"/>
      <c r="F567" s="426"/>
      <c r="G567" s="426"/>
      <c r="H567" s="426"/>
      <c r="I567" s="426"/>
      <c r="J567" s="508"/>
      <c r="K567" s="508"/>
      <c r="L567" s="508"/>
      <c r="M567" s="508"/>
      <c r="N567" s="508"/>
      <c r="O567" s="508"/>
      <c r="P567" s="508"/>
      <c r="Q567" s="508"/>
      <c r="R567" s="508"/>
      <c r="S567" s="508"/>
      <c r="T567" s="508"/>
      <c r="U567" s="508"/>
      <c r="V567" s="508"/>
      <c r="W567" s="508"/>
      <c r="X567" s="508"/>
      <c r="Y567" s="508"/>
      <c r="Z567" s="508"/>
    </row>
    <row r="568" ht="13.5" customHeight="1">
      <c r="A568" s="426"/>
      <c r="B568" s="508"/>
      <c r="C568" s="508"/>
      <c r="D568" s="508"/>
      <c r="E568" s="508"/>
      <c r="F568" s="426"/>
      <c r="G568" s="426"/>
      <c r="H568" s="426"/>
      <c r="I568" s="426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8"/>
      <c r="Z568" s="508"/>
    </row>
    <row r="569" ht="13.5" customHeight="1">
      <c r="A569" s="426"/>
      <c r="B569" s="508"/>
      <c r="C569" s="508"/>
      <c r="D569" s="508"/>
      <c r="E569" s="508"/>
      <c r="F569" s="426"/>
      <c r="G569" s="426"/>
      <c r="H569" s="426"/>
      <c r="I569" s="426"/>
      <c r="J569" s="508"/>
      <c r="K569" s="508"/>
      <c r="L569" s="508"/>
      <c r="M569" s="508"/>
      <c r="N569" s="508"/>
      <c r="O569" s="508"/>
      <c r="P569" s="508"/>
      <c r="Q569" s="508"/>
      <c r="R569" s="508"/>
      <c r="S569" s="508"/>
      <c r="T569" s="508"/>
      <c r="U569" s="508"/>
      <c r="V569" s="508"/>
      <c r="W569" s="508"/>
      <c r="X569" s="508"/>
      <c r="Y569" s="508"/>
      <c r="Z569" s="508"/>
    </row>
    <row r="570" ht="13.5" customHeight="1">
      <c r="A570" s="426"/>
      <c r="B570" s="508"/>
      <c r="C570" s="508"/>
      <c r="D570" s="508"/>
      <c r="E570" s="508"/>
      <c r="F570" s="426"/>
      <c r="G570" s="426"/>
      <c r="H570" s="426"/>
      <c r="I570" s="426"/>
      <c r="J570" s="508"/>
      <c r="K570" s="508"/>
      <c r="L570" s="508"/>
      <c r="M570" s="508"/>
      <c r="N570" s="508"/>
      <c r="O570" s="508"/>
      <c r="P570" s="508"/>
      <c r="Q570" s="508"/>
      <c r="R570" s="508"/>
      <c r="S570" s="508"/>
      <c r="T570" s="508"/>
      <c r="U570" s="508"/>
      <c r="V570" s="508"/>
      <c r="W570" s="508"/>
      <c r="X570" s="508"/>
      <c r="Y570" s="508"/>
      <c r="Z570" s="508"/>
    </row>
    <row r="571" ht="13.5" customHeight="1">
      <c r="A571" s="426"/>
      <c r="B571" s="508"/>
      <c r="C571" s="508"/>
      <c r="D571" s="508"/>
      <c r="E571" s="508"/>
      <c r="F571" s="426"/>
      <c r="G571" s="426"/>
      <c r="H571" s="426"/>
      <c r="I571" s="426"/>
      <c r="J571" s="508"/>
      <c r="K571" s="508"/>
      <c r="L571" s="508"/>
      <c r="M571" s="508"/>
      <c r="N571" s="508"/>
      <c r="O571" s="508"/>
      <c r="P571" s="508"/>
      <c r="Q571" s="508"/>
      <c r="R571" s="508"/>
      <c r="S571" s="508"/>
      <c r="T571" s="508"/>
      <c r="U571" s="508"/>
      <c r="V571" s="508"/>
      <c r="W571" s="508"/>
      <c r="X571" s="508"/>
      <c r="Y571" s="508"/>
      <c r="Z571" s="508"/>
    </row>
    <row r="572" ht="13.5" customHeight="1">
      <c r="A572" s="426"/>
      <c r="B572" s="508"/>
      <c r="C572" s="508"/>
      <c r="D572" s="508"/>
      <c r="E572" s="508"/>
      <c r="F572" s="426"/>
      <c r="G572" s="426"/>
      <c r="H572" s="426"/>
      <c r="I572" s="426"/>
      <c r="J572" s="508"/>
      <c r="K572" s="508"/>
      <c r="L572" s="508"/>
      <c r="M572" s="508"/>
      <c r="N572" s="508"/>
      <c r="O572" s="508"/>
      <c r="P572" s="508"/>
      <c r="Q572" s="508"/>
      <c r="R572" s="508"/>
      <c r="S572" s="508"/>
      <c r="T572" s="508"/>
      <c r="U572" s="508"/>
      <c r="V572" s="508"/>
      <c r="W572" s="508"/>
      <c r="X572" s="508"/>
      <c r="Y572" s="508"/>
      <c r="Z572" s="508"/>
    </row>
    <row r="573" ht="13.5" customHeight="1">
      <c r="A573" s="426"/>
      <c r="B573" s="508"/>
      <c r="C573" s="508"/>
      <c r="D573" s="508"/>
      <c r="E573" s="508"/>
      <c r="F573" s="426"/>
      <c r="G573" s="426"/>
      <c r="H573" s="426"/>
      <c r="I573" s="426"/>
      <c r="J573" s="508"/>
      <c r="K573" s="508"/>
      <c r="L573" s="508"/>
      <c r="M573" s="508"/>
      <c r="N573" s="508"/>
      <c r="O573" s="508"/>
      <c r="P573" s="508"/>
      <c r="Q573" s="508"/>
      <c r="R573" s="508"/>
      <c r="S573" s="508"/>
      <c r="T573" s="508"/>
      <c r="U573" s="508"/>
      <c r="V573" s="508"/>
      <c r="W573" s="508"/>
      <c r="X573" s="508"/>
      <c r="Y573" s="508"/>
      <c r="Z573" s="508"/>
    </row>
    <row r="574" ht="13.5" customHeight="1">
      <c r="A574" s="426"/>
      <c r="B574" s="508"/>
      <c r="C574" s="508"/>
      <c r="D574" s="508"/>
      <c r="E574" s="508"/>
      <c r="F574" s="426"/>
      <c r="G574" s="426"/>
      <c r="H574" s="426"/>
      <c r="I574" s="426"/>
      <c r="J574" s="508"/>
      <c r="K574" s="508"/>
      <c r="L574" s="508"/>
      <c r="M574" s="508"/>
      <c r="N574" s="508"/>
      <c r="O574" s="508"/>
      <c r="P574" s="508"/>
      <c r="Q574" s="508"/>
      <c r="R574" s="508"/>
      <c r="S574" s="508"/>
      <c r="T574" s="508"/>
      <c r="U574" s="508"/>
      <c r="V574" s="508"/>
      <c r="W574" s="508"/>
      <c r="X574" s="508"/>
      <c r="Y574" s="508"/>
      <c r="Z574" s="508"/>
    </row>
    <row r="575" ht="13.5" customHeight="1">
      <c r="A575" s="426"/>
      <c r="B575" s="508"/>
      <c r="C575" s="508"/>
      <c r="D575" s="508"/>
      <c r="E575" s="508"/>
      <c r="F575" s="426"/>
      <c r="G575" s="426"/>
      <c r="H575" s="426"/>
      <c r="I575" s="426"/>
      <c r="J575" s="508"/>
      <c r="K575" s="508"/>
      <c r="L575" s="508"/>
      <c r="M575" s="508"/>
      <c r="N575" s="508"/>
      <c r="O575" s="508"/>
      <c r="P575" s="508"/>
      <c r="Q575" s="508"/>
      <c r="R575" s="508"/>
      <c r="S575" s="508"/>
      <c r="T575" s="508"/>
      <c r="U575" s="508"/>
      <c r="V575" s="508"/>
      <c r="W575" s="508"/>
      <c r="X575" s="508"/>
      <c r="Y575" s="508"/>
      <c r="Z575" s="508"/>
    </row>
    <row r="576" ht="13.5" customHeight="1">
      <c r="A576" s="426"/>
      <c r="B576" s="508"/>
      <c r="C576" s="508"/>
      <c r="D576" s="508"/>
      <c r="E576" s="508"/>
      <c r="F576" s="426"/>
      <c r="G576" s="426"/>
      <c r="H576" s="426"/>
      <c r="I576" s="426"/>
      <c r="J576" s="508"/>
      <c r="K576" s="508"/>
      <c r="L576" s="508"/>
      <c r="M576" s="508"/>
      <c r="N576" s="508"/>
      <c r="O576" s="508"/>
      <c r="P576" s="508"/>
      <c r="Q576" s="508"/>
      <c r="R576" s="508"/>
      <c r="S576" s="508"/>
      <c r="T576" s="508"/>
      <c r="U576" s="508"/>
      <c r="V576" s="508"/>
      <c r="W576" s="508"/>
      <c r="X576" s="508"/>
      <c r="Y576" s="508"/>
      <c r="Z576" s="508"/>
    </row>
    <row r="577" ht="13.5" customHeight="1">
      <c r="A577" s="426"/>
      <c r="B577" s="508"/>
      <c r="C577" s="508"/>
      <c r="D577" s="508"/>
      <c r="E577" s="508"/>
      <c r="F577" s="426"/>
      <c r="G577" s="426"/>
      <c r="H577" s="426"/>
      <c r="I577" s="426"/>
      <c r="J577" s="508"/>
      <c r="K577" s="508"/>
      <c r="L577" s="508"/>
      <c r="M577" s="508"/>
      <c r="N577" s="508"/>
      <c r="O577" s="508"/>
      <c r="P577" s="508"/>
      <c r="Q577" s="508"/>
      <c r="R577" s="508"/>
      <c r="S577" s="508"/>
      <c r="T577" s="508"/>
      <c r="U577" s="508"/>
      <c r="V577" s="508"/>
      <c r="W577" s="508"/>
      <c r="X577" s="508"/>
      <c r="Y577" s="508"/>
      <c r="Z577" s="508"/>
    </row>
    <row r="578" ht="13.5" customHeight="1">
      <c r="A578" s="426"/>
      <c r="B578" s="508"/>
      <c r="C578" s="508"/>
      <c r="D578" s="508"/>
      <c r="E578" s="508"/>
      <c r="F578" s="426"/>
      <c r="G578" s="426"/>
      <c r="H578" s="426"/>
      <c r="I578" s="426"/>
      <c r="J578" s="508"/>
      <c r="K578" s="508"/>
      <c r="L578" s="508"/>
      <c r="M578" s="508"/>
      <c r="N578" s="508"/>
      <c r="O578" s="508"/>
      <c r="P578" s="508"/>
      <c r="Q578" s="508"/>
      <c r="R578" s="508"/>
      <c r="S578" s="508"/>
      <c r="T578" s="508"/>
      <c r="U578" s="508"/>
      <c r="V578" s="508"/>
      <c r="W578" s="508"/>
      <c r="X578" s="508"/>
      <c r="Y578" s="508"/>
      <c r="Z578" s="508"/>
    </row>
    <row r="579" ht="13.5" customHeight="1">
      <c r="A579" s="426"/>
      <c r="B579" s="508"/>
      <c r="C579" s="508"/>
      <c r="D579" s="508"/>
      <c r="E579" s="508"/>
      <c r="F579" s="426"/>
      <c r="G579" s="426"/>
      <c r="H579" s="426"/>
      <c r="I579" s="426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508"/>
      <c r="Y579" s="508"/>
      <c r="Z579" s="508"/>
    </row>
    <row r="580" ht="13.5" customHeight="1">
      <c r="A580" s="426"/>
      <c r="B580" s="508"/>
      <c r="C580" s="508"/>
      <c r="D580" s="508"/>
      <c r="E580" s="508"/>
      <c r="F580" s="426"/>
      <c r="G580" s="426"/>
      <c r="H580" s="426"/>
      <c r="I580" s="426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508"/>
      <c r="Y580" s="508"/>
      <c r="Z580" s="508"/>
    </row>
    <row r="581" ht="13.5" customHeight="1">
      <c r="A581" s="426"/>
      <c r="B581" s="508"/>
      <c r="C581" s="508"/>
      <c r="D581" s="508"/>
      <c r="E581" s="508"/>
      <c r="F581" s="426"/>
      <c r="G581" s="426"/>
      <c r="H581" s="426"/>
      <c r="I581" s="426"/>
      <c r="J581" s="508"/>
      <c r="K581" s="508"/>
      <c r="L581" s="508"/>
      <c r="M581" s="508"/>
      <c r="N581" s="508"/>
      <c r="O581" s="508"/>
      <c r="P581" s="508"/>
      <c r="Q581" s="508"/>
      <c r="R581" s="508"/>
      <c r="S581" s="508"/>
      <c r="T581" s="508"/>
      <c r="U581" s="508"/>
      <c r="V581" s="508"/>
      <c r="W581" s="508"/>
      <c r="X581" s="508"/>
      <c r="Y581" s="508"/>
      <c r="Z581" s="508"/>
    </row>
    <row r="582" ht="13.5" customHeight="1">
      <c r="A582" s="426"/>
      <c r="B582" s="508"/>
      <c r="C582" s="508"/>
      <c r="D582" s="508"/>
      <c r="E582" s="508"/>
      <c r="F582" s="426"/>
      <c r="G582" s="426"/>
      <c r="H582" s="426"/>
      <c r="I582" s="426"/>
      <c r="J582" s="508"/>
      <c r="K582" s="508"/>
      <c r="L582" s="508"/>
      <c r="M582" s="508"/>
      <c r="N582" s="508"/>
      <c r="O582" s="508"/>
      <c r="P582" s="508"/>
      <c r="Q582" s="508"/>
      <c r="R582" s="508"/>
      <c r="S582" s="508"/>
      <c r="T582" s="508"/>
      <c r="U582" s="508"/>
      <c r="V582" s="508"/>
      <c r="W582" s="508"/>
      <c r="X582" s="508"/>
      <c r="Y582" s="508"/>
      <c r="Z582" s="508"/>
    </row>
    <row r="583" ht="13.5" customHeight="1">
      <c r="A583" s="426"/>
      <c r="B583" s="508"/>
      <c r="C583" s="508"/>
      <c r="D583" s="508"/>
      <c r="E583" s="508"/>
      <c r="F583" s="426"/>
      <c r="G583" s="426"/>
      <c r="H583" s="426"/>
      <c r="I583" s="426"/>
      <c r="J583" s="508"/>
      <c r="K583" s="508"/>
      <c r="L583" s="508"/>
      <c r="M583" s="508"/>
      <c r="N583" s="508"/>
      <c r="O583" s="508"/>
      <c r="P583" s="508"/>
      <c r="Q583" s="508"/>
      <c r="R583" s="508"/>
      <c r="S583" s="508"/>
      <c r="T583" s="508"/>
      <c r="U583" s="508"/>
      <c r="V583" s="508"/>
      <c r="W583" s="508"/>
      <c r="X583" s="508"/>
      <c r="Y583" s="508"/>
      <c r="Z583" s="508"/>
    </row>
    <row r="584" ht="13.5" customHeight="1">
      <c r="A584" s="426"/>
      <c r="B584" s="508"/>
      <c r="C584" s="508"/>
      <c r="D584" s="508"/>
      <c r="E584" s="508"/>
      <c r="F584" s="426"/>
      <c r="G584" s="426"/>
      <c r="H584" s="426"/>
      <c r="I584" s="426"/>
      <c r="J584" s="508"/>
      <c r="K584" s="508"/>
      <c r="L584" s="508"/>
      <c r="M584" s="508"/>
      <c r="N584" s="508"/>
      <c r="O584" s="508"/>
      <c r="P584" s="508"/>
      <c r="Q584" s="508"/>
      <c r="R584" s="508"/>
      <c r="S584" s="508"/>
      <c r="T584" s="508"/>
      <c r="U584" s="508"/>
      <c r="V584" s="508"/>
      <c r="W584" s="508"/>
      <c r="X584" s="508"/>
      <c r="Y584" s="508"/>
      <c r="Z584" s="508"/>
    </row>
    <row r="585" ht="13.5" customHeight="1">
      <c r="A585" s="426"/>
      <c r="B585" s="508"/>
      <c r="C585" s="508"/>
      <c r="D585" s="508"/>
      <c r="E585" s="508"/>
      <c r="F585" s="426"/>
      <c r="G585" s="426"/>
      <c r="H585" s="426"/>
      <c r="I585" s="426"/>
      <c r="J585" s="508"/>
      <c r="K585" s="508"/>
      <c r="L585" s="508"/>
      <c r="M585" s="508"/>
      <c r="N585" s="508"/>
      <c r="O585" s="508"/>
      <c r="P585" s="508"/>
      <c r="Q585" s="508"/>
      <c r="R585" s="508"/>
      <c r="S585" s="508"/>
      <c r="T585" s="508"/>
      <c r="U585" s="508"/>
      <c r="V585" s="508"/>
      <c r="W585" s="508"/>
      <c r="X585" s="508"/>
      <c r="Y585" s="508"/>
      <c r="Z585" s="508"/>
    </row>
    <row r="586" ht="13.5" customHeight="1">
      <c r="A586" s="426"/>
      <c r="B586" s="508"/>
      <c r="C586" s="508"/>
      <c r="D586" s="508"/>
      <c r="E586" s="508"/>
      <c r="F586" s="426"/>
      <c r="G586" s="426"/>
      <c r="H586" s="426"/>
      <c r="I586" s="426"/>
      <c r="J586" s="508"/>
      <c r="K586" s="508"/>
      <c r="L586" s="508"/>
      <c r="M586" s="508"/>
      <c r="N586" s="508"/>
      <c r="O586" s="508"/>
      <c r="P586" s="508"/>
      <c r="Q586" s="508"/>
      <c r="R586" s="508"/>
      <c r="S586" s="508"/>
      <c r="T586" s="508"/>
      <c r="U586" s="508"/>
      <c r="V586" s="508"/>
      <c r="W586" s="508"/>
      <c r="X586" s="508"/>
      <c r="Y586" s="508"/>
      <c r="Z586" s="508"/>
    </row>
    <row r="587" ht="13.5" customHeight="1">
      <c r="A587" s="426"/>
      <c r="B587" s="508"/>
      <c r="C587" s="508"/>
      <c r="D587" s="508"/>
      <c r="E587" s="508"/>
      <c r="F587" s="426"/>
      <c r="G587" s="426"/>
      <c r="H587" s="426"/>
      <c r="I587" s="426"/>
      <c r="J587" s="508"/>
      <c r="K587" s="508"/>
      <c r="L587" s="508"/>
      <c r="M587" s="508"/>
      <c r="N587" s="508"/>
      <c r="O587" s="508"/>
      <c r="P587" s="508"/>
      <c r="Q587" s="508"/>
      <c r="R587" s="508"/>
      <c r="S587" s="508"/>
      <c r="T587" s="508"/>
      <c r="U587" s="508"/>
      <c r="V587" s="508"/>
      <c r="W587" s="508"/>
      <c r="X587" s="508"/>
      <c r="Y587" s="508"/>
      <c r="Z587" s="508"/>
    </row>
    <row r="588" ht="13.5" customHeight="1">
      <c r="A588" s="426"/>
      <c r="B588" s="508"/>
      <c r="C588" s="508"/>
      <c r="D588" s="508"/>
      <c r="E588" s="508"/>
      <c r="F588" s="426"/>
      <c r="G588" s="426"/>
      <c r="H588" s="426"/>
      <c r="I588" s="426"/>
      <c r="J588" s="508"/>
      <c r="K588" s="508"/>
      <c r="L588" s="508"/>
      <c r="M588" s="508"/>
      <c r="N588" s="508"/>
      <c r="O588" s="508"/>
      <c r="P588" s="508"/>
      <c r="Q588" s="508"/>
      <c r="R588" s="508"/>
      <c r="S588" s="508"/>
      <c r="T588" s="508"/>
      <c r="U588" s="508"/>
      <c r="V588" s="508"/>
      <c r="W588" s="508"/>
      <c r="X588" s="508"/>
      <c r="Y588" s="508"/>
      <c r="Z588" s="508"/>
    </row>
    <row r="589" ht="13.5" customHeight="1">
      <c r="A589" s="426"/>
      <c r="B589" s="508"/>
      <c r="C589" s="508"/>
      <c r="D589" s="508"/>
      <c r="E589" s="508"/>
      <c r="F589" s="426"/>
      <c r="G589" s="426"/>
      <c r="H589" s="426"/>
      <c r="I589" s="426"/>
      <c r="J589" s="508"/>
      <c r="K589" s="508"/>
      <c r="L589" s="508"/>
      <c r="M589" s="508"/>
      <c r="N589" s="508"/>
      <c r="O589" s="508"/>
      <c r="P589" s="508"/>
      <c r="Q589" s="508"/>
      <c r="R589" s="508"/>
      <c r="S589" s="508"/>
      <c r="T589" s="508"/>
      <c r="U589" s="508"/>
      <c r="V589" s="508"/>
      <c r="W589" s="508"/>
      <c r="X589" s="508"/>
      <c r="Y589" s="508"/>
      <c r="Z589" s="508"/>
    </row>
    <row r="590" ht="13.5" customHeight="1">
      <c r="A590" s="426"/>
      <c r="B590" s="508"/>
      <c r="C590" s="508"/>
      <c r="D590" s="508"/>
      <c r="E590" s="508"/>
      <c r="F590" s="426"/>
      <c r="G590" s="426"/>
      <c r="H590" s="426"/>
      <c r="I590" s="426"/>
      <c r="J590" s="508"/>
      <c r="K590" s="508"/>
      <c r="L590" s="508"/>
      <c r="M590" s="508"/>
      <c r="N590" s="508"/>
      <c r="O590" s="508"/>
      <c r="P590" s="508"/>
      <c r="Q590" s="508"/>
      <c r="R590" s="508"/>
      <c r="S590" s="508"/>
      <c r="T590" s="508"/>
      <c r="U590" s="508"/>
      <c r="V590" s="508"/>
      <c r="W590" s="508"/>
      <c r="X590" s="508"/>
      <c r="Y590" s="508"/>
      <c r="Z590" s="508"/>
    </row>
    <row r="591" ht="13.5" customHeight="1">
      <c r="A591" s="426"/>
      <c r="B591" s="508"/>
      <c r="C591" s="508"/>
      <c r="D591" s="508"/>
      <c r="E591" s="508"/>
      <c r="F591" s="426"/>
      <c r="G591" s="426"/>
      <c r="H591" s="426"/>
      <c r="I591" s="426"/>
      <c r="J591" s="508"/>
      <c r="K591" s="508"/>
      <c r="L591" s="508"/>
      <c r="M591" s="508"/>
      <c r="N591" s="508"/>
      <c r="O591" s="508"/>
      <c r="P591" s="508"/>
      <c r="Q591" s="508"/>
      <c r="R591" s="508"/>
      <c r="S591" s="508"/>
      <c r="T591" s="508"/>
      <c r="U591" s="508"/>
      <c r="V591" s="508"/>
      <c r="W591" s="508"/>
      <c r="X591" s="508"/>
      <c r="Y591" s="508"/>
      <c r="Z591" s="508"/>
    </row>
    <row r="592" ht="13.5" customHeight="1">
      <c r="A592" s="426"/>
      <c r="B592" s="508"/>
      <c r="C592" s="508"/>
      <c r="D592" s="508"/>
      <c r="E592" s="508"/>
      <c r="F592" s="426"/>
      <c r="G592" s="426"/>
      <c r="H592" s="426"/>
      <c r="I592" s="426"/>
      <c r="J592" s="508"/>
      <c r="K592" s="508"/>
      <c r="L592" s="508"/>
      <c r="M592" s="508"/>
      <c r="N592" s="508"/>
      <c r="O592" s="508"/>
      <c r="P592" s="508"/>
      <c r="Q592" s="508"/>
      <c r="R592" s="508"/>
      <c r="S592" s="508"/>
      <c r="T592" s="508"/>
      <c r="U592" s="508"/>
      <c r="V592" s="508"/>
      <c r="W592" s="508"/>
      <c r="X592" s="508"/>
      <c r="Y592" s="508"/>
      <c r="Z592" s="508"/>
    </row>
    <row r="593" ht="13.5" customHeight="1">
      <c r="A593" s="426"/>
      <c r="B593" s="508"/>
      <c r="C593" s="508"/>
      <c r="D593" s="508"/>
      <c r="E593" s="508"/>
      <c r="F593" s="426"/>
      <c r="G593" s="426"/>
      <c r="H593" s="426"/>
      <c r="I593" s="426"/>
      <c r="J593" s="508"/>
      <c r="K593" s="508"/>
      <c r="L593" s="508"/>
      <c r="M593" s="508"/>
      <c r="N593" s="508"/>
      <c r="O593" s="508"/>
      <c r="P593" s="508"/>
      <c r="Q593" s="508"/>
      <c r="R593" s="508"/>
      <c r="S593" s="508"/>
      <c r="T593" s="508"/>
      <c r="U593" s="508"/>
      <c r="V593" s="508"/>
      <c r="W593" s="508"/>
      <c r="X593" s="508"/>
      <c r="Y593" s="508"/>
      <c r="Z593" s="508"/>
    </row>
    <row r="594" ht="13.5" customHeight="1">
      <c r="A594" s="426"/>
      <c r="B594" s="508"/>
      <c r="C594" s="508"/>
      <c r="D594" s="508"/>
      <c r="E594" s="508"/>
      <c r="F594" s="426"/>
      <c r="G594" s="426"/>
      <c r="H594" s="426"/>
      <c r="I594" s="426"/>
      <c r="J594" s="508"/>
      <c r="K594" s="508"/>
      <c r="L594" s="508"/>
      <c r="M594" s="508"/>
      <c r="N594" s="508"/>
      <c r="O594" s="508"/>
      <c r="P594" s="508"/>
      <c r="Q594" s="508"/>
      <c r="R594" s="508"/>
      <c r="S594" s="508"/>
      <c r="T594" s="508"/>
      <c r="U594" s="508"/>
      <c r="V594" s="508"/>
      <c r="W594" s="508"/>
      <c r="X594" s="508"/>
      <c r="Y594" s="508"/>
      <c r="Z594" s="508"/>
    </row>
    <row r="595" ht="13.5" customHeight="1">
      <c r="A595" s="426"/>
      <c r="B595" s="508"/>
      <c r="C595" s="508"/>
      <c r="D595" s="508"/>
      <c r="E595" s="508"/>
      <c r="F595" s="426"/>
      <c r="G595" s="426"/>
      <c r="H595" s="426"/>
      <c r="I595" s="426"/>
      <c r="J595" s="508"/>
      <c r="K595" s="508"/>
      <c r="L595" s="508"/>
      <c r="M595" s="508"/>
      <c r="N595" s="508"/>
      <c r="O595" s="508"/>
      <c r="P595" s="508"/>
      <c r="Q595" s="508"/>
      <c r="R595" s="508"/>
      <c r="S595" s="508"/>
      <c r="T595" s="508"/>
      <c r="U595" s="508"/>
      <c r="V595" s="508"/>
      <c r="W595" s="508"/>
      <c r="X595" s="508"/>
      <c r="Y595" s="508"/>
      <c r="Z595" s="508"/>
    </row>
    <row r="596" ht="13.5" customHeight="1">
      <c r="A596" s="426"/>
      <c r="B596" s="508"/>
      <c r="C596" s="508"/>
      <c r="D596" s="508"/>
      <c r="E596" s="508"/>
      <c r="F596" s="426"/>
      <c r="G596" s="426"/>
      <c r="H596" s="426"/>
      <c r="I596" s="426"/>
      <c r="J596" s="508"/>
      <c r="K596" s="508"/>
      <c r="L596" s="508"/>
      <c r="M596" s="508"/>
      <c r="N596" s="508"/>
      <c r="O596" s="508"/>
      <c r="P596" s="508"/>
      <c r="Q596" s="508"/>
      <c r="R596" s="508"/>
      <c r="S596" s="508"/>
      <c r="T596" s="508"/>
      <c r="U596" s="508"/>
      <c r="V596" s="508"/>
      <c r="W596" s="508"/>
      <c r="X596" s="508"/>
      <c r="Y596" s="508"/>
      <c r="Z596" s="508"/>
    </row>
    <row r="597" ht="13.5" customHeight="1">
      <c r="A597" s="426"/>
      <c r="B597" s="508"/>
      <c r="C597" s="508"/>
      <c r="D597" s="508"/>
      <c r="E597" s="508"/>
      <c r="F597" s="426"/>
      <c r="G597" s="426"/>
      <c r="H597" s="426"/>
      <c r="I597" s="426"/>
      <c r="J597" s="508"/>
      <c r="K597" s="508"/>
      <c r="L597" s="508"/>
      <c r="M597" s="508"/>
      <c r="N597" s="508"/>
      <c r="O597" s="508"/>
      <c r="P597" s="508"/>
      <c r="Q597" s="508"/>
      <c r="R597" s="508"/>
      <c r="S597" s="508"/>
      <c r="T597" s="508"/>
      <c r="U597" s="508"/>
      <c r="V597" s="508"/>
      <c r="W597" s="508"/>
      <c r="X597" s="508"/>
      <c r="Y597" s="508"/>
      <c r="Z597" s="508"/>
    </row>
    <row r="598" ht="13.5" customHeight="1">
      <c r="A598" s="426"/>
      <c r="B598" s="508"/>
      <c r="C598" s="508"/>
      <c r="D598" s="508"/>
      <c r="E598" s="508"/>
      <c r="F598" s="426"/>
      <c r="G598" s="426"/>
      <c r="H598" s="426"/>
      <c r="I598" s="426"/>
      <c r="J598" s="508"/>
      <c r="K598" s="508"/>
      <c r="L598" s="508"/>
      <c r="M598" s="508"/>
      <c r="N598" s="508"/>
      <c r="O598" s="508"/>
      <c r="P598" s="508"/>
      <c r="Q598" s="508"/>
      <c r="R598" s="508"/>
      <c r="S598" s="508"/>
      <c r="T598" s="508"/>
      <c r="U598" s="508"/>
      <c r="V598" s="508"/>
      <c r="W598" s="508"/>
      <c r="X598" s="508"/>
      <c r="Y598" s="508"/>
      <c r="Z598" s="508"/>
    </row>
    <row r="599" ht="13.5" customHeight="1">
      <c r="A599" s="426"/>
      <c r="B599" s="508"/>
      <c r="C599" s="508"/>
      <c r="D599" s="508"/>
      <c r="E599" s="508"/>
      <c r="F599" s="426"/>
      <c r="G599" s="426"/>
      <c r="H599" s="426"/>
      <c r="I599" s="426"/>
      <c r="J599" s="508"/>
      <c r="K599" s="508"/>
      <c r="L599" s="508"/>
      <c r="M599" s="508"/>
      <c r="N599" s="508"/>
      <c r="O599" s="508"/>
      <c r="P599" s="508"/>
      <c r="Q599" s="508"/>
      <c r="R599" s="508"/>
      <c r="S599" s="508"/>
      <c r="T599" s="508"/>
      <c r="U599" s="508"/>
      <c r="V599" s="508"/>
      <c r="W599" s="508"/>
      <c r="X599" s="508"/>
      <c r="Y599" s="508"/>
      <c r="Z599" s="508"/>
    </row>
    <row r="600" ht="13.5" customHeight="1">
      <c r="A600" s="426"/>
      <c r="B600" s="508"/>
      <c r="C600" s="508"/>
      <c r="D600" s="508"/>
      <c r="E600" s="508"/>
      <c r="F600" s="426"/>
      <c r="G600" s="426"/>
      <c r="H600" s="426"/>
      <c r="I600" s="426"/>
      <c r="J600" s="508"/>
      <c r="K600" s="508"/>
      <c r="L600" s="508"/>
      <c r="M600" s="508"/>
      <c r="N600" s="508"/>
      <c r="O600" s="508"/>
      <c r="P600" s="508"/>
      <c r="Q600" s="508"/>
      <c r="R600" s="508"/>
      <c r="S600" s="508"/>
      <c r="T600" s="508"/>
      <c r="U600" s="508"/>
      <c r="V600" s="508"/>
      <c r="W600" s="508"/>
      <c r="X600" s="508"/>
      <c r="Y600" s="508"/>
      <c r="Z600" s="508"/>
    </row>
    <row r="601" ht="13.5" customHeight="1">
      <c r="A601" s="426"/>
      <c r="B601" s="508"/>
      <c r="C601" s="508"/>
      <c r="D601" s="508"/>
      <c r="E601" s="508"/>
      <c r="F601" s="426"/>
      <c r="G601" s="426"/>
      <c r="H601" s="426"/>
      <c r="I601" s="426"/>
      <c r="J601" s="508"/>
      <c r="K601" s="508"/>
      <c r="L601" s="508"/>
      <c r="M601" s="508"/>
      <c r="N601" s="508"/>
      <c r="O601" s="508"/>
      <c r="P601" s="508"/>
      <c r="Q601" s="508"/>
      <c r="R601" s="508"/>
      <c r="S601" s="508"/>
      <c r="T601" s="508"/>
      <c r="U601" s="508"/>
      <c r="V601" s="508"/>
      <c r="W601" s="508"/>
      <c r="X601" s="508"/>
      <c r="Y601" s="508"/>
      <c r="Z601" s="508"/>
    </row>
    <row r="602" ht="13.5" customHeight="1">
      <c r="A602" s="426"/>
      <c r="B602" s="508"/>
      <c r="C602" s="508"/>
      <c r="D602" s="508"/>
      <c r="E602" s="508"/>
      <c r="F602" s="426"/>
      <c r="G602" s="426"/>
      <c r="H602" s="426"/>
      <c r="I602" s="426"/>
      <c r="J602" s="508"/>
      <c r="K602" s="508"/>
      <c r="L602" s="508"/>
      <c r="M602" s="508"/>
      <c r="N602" s="508"/>
      <c r="O602" s="508"/>
      <c r="P602" s="508"/>
      <c r="Q602" s="508"/>
      <c r="R602" s="508"/>
      <c r="S602" s="508"/>
      <c r="T602" s="508"/>
      <c r="U602" s="508"/>
      <c r="V602" s="508"/>
      <c r="W602" s="508"/>
      <c r="X602" s="508"/>
      <c r="Y602" s="508"/>
      <c r="Z602" s="508"/>
    </row>
    <row r="603" ht="13.5" customHeight="1">
      <c r="A603" s="426"/>
      <c r="B603" s="508"/>
      <c r="C603" s="508"/>
      <c r="D603" s="508"/>
      <c r="E603" s="508"/>
      <c r="F603" s="426"/>
      <c r="G603" s="426"/>
      <c r="H603" s="426"/>
      <c r="I603" s="426"/>
      <c r="J603" s="508"/>
      <c r="K603" s="508"/>
      <c r="L603" s="508"/>
      <c r="M603" s="508"/>
      <c r="N603" s="508"/>
      <c r="O603" s="508"/>
      <c r="P603" s="508"/>
      <c r="Q603" s="508"/>
      <c r="R603" s="508"/>
      <c r="S603" s="508"/>
      <c r="T603" s="508"/>
      <c r="U603" s="508"/>
      <c r="V603" s="508"/>
      <c r="W603" s="508"/>
      <c r="X603" s="508"/>
      <c r="Y603" s="508"/>
      <c r="Z603" s="508"/>
    </row>
    <row r="604" ht="13.5" customHeight="1">
      <c r="A604" s="426"/>
      <c r="B604" s="508"/>
      <c r="C604" s="508"/>
      <c r="D604" s="508"/>
      <c r="E604" s="508"/>
      <c r="F604" s="426"/>
      <c r="G604" s="426"/>
      <c r="H604" s="426"/>
      <c r="I604" s="426"/>
      <c r="J604" s="508"/>
      <c r="K604" s="508"/>
      <c r="L604" s="508"/>
      <c r="M604" s="508"/>
      <c r="N604" s="508"/>
      <c r="O604" s="508"/>
      <c r="P604" s="508"/>
      <c r="Q604" s="508"/>
      <c r="R604" s="508"/>
      <c r="S604" s="508"/>
      <c r="T604" s="508"/>
      <c r="U604" s="508"/>
      <c r="V604" s="508"/>
      <c r="W604" s="508"/>
      <c r="X604" s="508"/>
      <c r="Y604" s="508"/>
      <c r="Z604" s="508"/>
    </row>
    <row r="605" ht="13.5" customHeight="1">
      <c r="A605" s="426"/>
      <c r="B605" s="508"/>
      <c r="C605" s="508"/>
      <c r="D605" s="508"/>
      <c r="E605" s="508"/>
      <c r="F605" s="426"/>
      <c r="G605" s="426"/>
      <c r="H605" s="426"/>
      <c r="I605" s="426"/>
      <c r="J605" s="508"/>
      <c r="K605" s="508"/>
      <c r="L605" s="508"/>
      <c r="M605" s="508"/>
      <c r="N605" s="508"/>
      <c r="O605" s="508"/>
      <c r="P605" s="508"/>
      <c r="Q605" s="508"/>
      <c r="R605" s="508"/>
      <c r="S605" s="508"/>
      <c r="T605" s="508"/>
      <c r="U605" s="508"/>
      <c r="V605" s="508"/>
      <c r="W605" s="508"/>
      <c r="X605" s="508"/>
      <c r="Y605" s="508"/>
      <c r="Z605" s="508"/>
    </row>
    <row r="606" ht="13.5" customHeight="1">
      <c r="A606" s="426"/>
      <c r="B606" s="508"/>
      <c r="C606" s="508"/>
      <c r="D606" s="508"/>
      <c r="E606" s="508"/>
      <c r="F606" s="426"/>
      <c r="G606" s="426"/>
      <c r="H606" s="426"/>
      <c r="I606" s="426"/>
      <c r="J606" s="508"/>
      <c r="K606" s="508"/>
      <c r="L606" s="508"/>
      <c r="M606" s="508"/>
      <c r="N606" s="508"/>
      <c r="O606" s="508"/>
      <c r="P606" s="508"/>
      <c r="Q606" s="508"/>
      <c r="R606" s="508"/>
      <c r="S606" s="508"/>
      <c r="T606" s="508"/>
      <c r="U606" s="508"/>
      <c r="V606" s="508"/>
      <c r="W606" s="508"/>
      <c r="X606" s="508"/>
      <c r="Y606" s="508"/>
      <c r="Z606" s="508"/>
    </row>
    <row r="607" ht="13.5" customHeight="1">
      <c r="A607" s="426"/>
      <c r="B607" s="508"/>
      <c r="C607" s="508"/>
      <c r="D607" s="508"/>
      <c r="E607" s="508"/>
      <c r="F607" s="426"/>
      <c r="G607" s="426"/>
      <c r="H607" s="426"/>
      <c r="I607" s="426"/>
      <c r="J607" s="508"/>
      <c r="K607" s="508"/>
      <c r="L607" s="508"/>
      <c r="M607" s="508"/>
      <c r="N607" s="508"/>
      <c r="O607" s="508"/>
      <c r="P607" s="508"/>
      <c r="Q607" s="508"/>
      <c r="R607" s="508"/>
      <c r="S607" s="508"/>
      <c r="T607" s="508"/>
      <c r="U607" s="508"/>
      <c r="V607" s="508"/>
      <c r="W607" s="508"/>
      <c r="X607" s="508"/>
      <c r="Y607" s="508"/>
      <c r="Z607" s="508"/>
    </row>
    <row r="608" ht="13.5" customHeight="1">
      <c r="A608" s="426"/>
      <c r="B608" s="508"/>
      <c r="C608" s="508"/>
      <c r="D608" s="508"/>
      <c r="E608" s="508"/>
      <c r="F608" s="426"/>
      <c r="G608" s="426"/>
      <c r="H608" s="426"/>
      <c r="I608" s="426"/>
      <c r="J608" s="508"/>
      <c r="K608" s="508"/>
      <c r="L608" s="508"/>
      <c r="M608" s="508"/>
      <c r="N608" s="508"/>
      <c r="O608" s="508"/>
      <c r="P608" s="508"/>
      <c r="Q608" s="508"/>
      <c r="R608" s="508"/>
      <c r="S608" s="508"/>
      <c r="T608" s="508"/>
      <c r="U608" s="508"/>
      <c r="V608" s="508"/>
      <c r="W608" s="508"/>
      <c r="X608" s="508"/>
      <c r="Y608" s="508"/>
      <c r="Z608" s="508"/>
    </row>
    <row r="609" ht="13.5" customHeight="1">
      <c r="A609" s="426"/>
      <c r="B609" s="508"/>
      <c r="C609" s="508"/>
      <c r="D609" s="508"/>
      <c r="E609" s="508"/>
      <c r="F609" s="426"/>
      <c r="G609" s="426"/>
      <c r="H609" s="426"/>
      <c r="I609" s="426"/>
      <c r="J609" s="508"/>
      <c r="K609" s="508"/>
      <c r="L609" s="508"/>
      <c r="M609" s="508"/>
      <c r="N609" s="508"/>
      <c r="O609" s="508"/>
      <c r="P609" s="508"/>
      <c r="Q609" s="508"/>
      <c r="R609" s="508"/>
      <c r="S609" s="508"/>
      <c r="T609" s="508"/>
      <c r="U609" s="508"/>
      <c r="V609" s="508"/>
      <c r="W609" s="508"/>
      <c r="X609" s="508"/>
      <c r="Y609" s="508"/>
      <c r="Z609" s="508"/>
    </row>
    <row r="610" ht="13.5" customHeight="1">
      <c r="A610" s="426"/>
      <c r="B610" s="508"/>
      <c r="C610" s="508"/>
      <c r="D610" s="508"/>
      <c r="E610" s="508"/>
      <c r="F610" s="426"/>
      <c r="G610" s="426"/>
      <c r="H610" s="426"/>
      <c r="I610" s="426"/>
      <c r="J610" s="508"/>
      <c r="K610" s="508"/>
      <c r="L610" s="508"/>
      <c r="M610" s="508"/>
      <c r="N610" s="508"/>
      <c r="O610" s="508"/>
      <c r="P610" s="508"/>
      <c r="Q610" s="508"/>
      <c r="R610" s="508"/>
      <c r="S610" s="508"/>
      <c r="T610" s="508"/>
      <c r="U610" s="508"/>
      <c r="V610" s="508"/>
      <c r="W610" s="508"/>
      <c r="X610" s="508"/>
      <c r="Y610" s="508"/>
      <c r="Z610" s="508"/>
    </row>
    <row r="611" ht="13.5" customHeight="1">
      <c r="A611" s="426"/>
      <c r="B611" s="508"/>
      <c r="C611" s="508"/>
      <c r="D611" s="508"/>
      <c r="E611" s="508"/>
      <c r="F611" s="426"/>
      <c r="G611" s="426"/>
      <c r="H611" s="426"/>
      <c r="I611" s="426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8"/>
      <c r="Z611" s="508"/>
    </row>
    <row r="612" ht="13.5" customHeight="1">
      <c r="A612" s="426"/>
      <c r="B612" s="508"/>
      <c r="C612" s="508"/>
      <c r="D612" s="508"/>
      <c r="E612" s="508"/>
      <c r="F612" s="426"/>
      <c r="G612" s="426"/>
      <c r="H612" s="426"/>
      <c r="I612" s="426"/>
      <c r="J612" s="508"/>
      <c r="K612" s="508"/>
      <c r="L612" s="508"/>
      <c r="M612" s="508"/>
      <c r="N612" s="508"/>
      <c r="O612" s="508"/>
      <c r="P612" s="508"/>
      <c r="Q612" s="508"/>
      <c r="R612" s="508"/>
      <c r="S612" s="508"/>
      <c r="T612" s="508"/>
      <c r="U612" s="508"/>
      <c r="V612" s="508"/>
      <c r="W612" s="508"/>
      <c r="X612" s="508"/>
      <c r="Y612" s="508"/>
      <c r="Z612" s="508"/>
    </row>
    <row r="613" ht="13.5" customHeight="1">
      <c r="A613" s="426"/>
      <c r="B613" s="508"/>
      <c r="C613" s="508"/>
      <c r="D613" s="508"/>
      <c r="E613" s="508"/>
      <c r="F613" s="426"/>
      <c r="G613" s="426"/>
      <c r="H613" s="426"/>
      <c r="I613" s="426"/>
      <c r="J613" s="508"/>
      <c r="K613" s="508"/>
      <c r="L613" s="508"/>
      <c r="M613" s="508"/>
      <c r="N613" s="508"/>
      <c r="O613" s="508"/>
      <c r="P613" s="508"/>
      <c r="Q613" s="508"/>
      <c r="R613" s="508"/>
      <c r="S613" s="508"/>
      <c r="T613" s="508"/>
      <c r="U613" s="508"/>
      <c r="V613" s="508"/>
      <c r="W613" s="508"/>
      <c r="X613" s="508"/>
      <c r="Y613" s="508"/>
      <c r="Z613" s="508"/>
    </row>
    <row r="614" ht="13.5" customHeight="1">
      <c r="A614" s="426"/>
      <c r="B614" s="508"/>
      <c r="C614" s="508"/>
      <c r="D614" s="508"/>
      <c r="E614" s="508"/>
      <c r="F614" s="426"/>
      <c r="G614" s="426"/>
      <c r="H614" s="426"/>
      <c r="I614" s="426"/>
      <c r="J614" s="508"/>
      <c r="K614" s="508"/>
      <c r="L614" s="508"/>
      <c r="M614" s="508"/>
      <c r="N614" s="508"/>
      <c r="O614" s="508"/>
      <c r="P614" s="508"/>
      <c r="Q614" s="508"/>
      <c r="R614" s="508"/>
      <c r="S614" s="508"/>
      <c r="T614" s="508"/>
      <c r="U614" s="508"/>
      <c r="V614" s="508"/>
      <c r="W614" s="508"/>
      <c r="X614" s="508"/>
      <c r="Y614" s="508"/>
      <c r="Z614" s="508"/>
    </row>
    <row r="615" ht="13.5" customHeight="1">
      <c r="A615" s="426"/>
      <c r="B615" s="508"/>
      <c r="C615" s="508"/>
      <c r="D615" s="508"/>
      <c r="E615" s="508"/>
      <c r="F615" s="426"/>
      <c r="G615" s="426"/>
      <c r="H615" s="426"/>
      <c r="I615" s="426"/>
      <c r="J615" s="508"/>
      <c r="K615" s="508"/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  <c r="V615" s="508"/>
      <c r="W615" s="508"/>
      <c r="X615" s="508"/>
      <c r="Y615" s="508"/>
      <c r="Z615" s="508"/>
    </row>
    <row r="616" ht="13.5" customHeight="1">
      <c r="A616" s="426"/>
      <c r="B616" s="508"/>
      <c r="C616" s="508"/>
      <c r="D616" s="508"/>
      <c r="E616" s="508"/>
      <c r="F616" s="426"/>
      <c r="G616" s="426"/>
      <c r="H616" s="426"/>
      <c r="I616" s="426"/>
      <c r="J616" s="508"/>
      <c r="K616" s="508"/>
      <c r="L616" s="508"/>
      <c r="M616" s="508"/>
      <c r="N616" s="508"/>
      <c r="O616" s="508"/>
      <c r="P616" s="508"/>
      <c r="Q616" s="508"/>
      <c r="R616" s="508"/>
      <c r="S616" s="508"/>
      <c r="T616" s="508"/>
      <c r="U616" s="508"/>
      <c r="V616" s="508"/>
      <c r="W616" s="508"/>
      <c r="X616" s="508"/>
      <c r="Y616" s="508"/>
      <c r="Z616" s="508"/>
    </row>
    <row r="617" ht="13.5" customHeight="1">
      <c r="A617" s="426"/>
      <c r="B617" s="508"/>
      <c r="C617" s="508"/>
      <c r="D617" s="508"/>
      <c r="E617" s="508"/>
      <c r="F617" s="426"/>
      <c r="G617" s="426"/>
      <c r="H617" s="426"/>
      <c r="I617" s="426"/>
      <c r="J617" s="508"/>
      <c r="K617" s="508"/>
      <c r="L617" s="508"/>
      <c r="M617" s="508"/>
      <c r="N617" s="508"/>
      <c r="O617" s="508"/>
      <c r="P617" s="508"/>
      <c r="Q617" s="508"/>
      <c r="R617" s="508"/>
      <c r="S617" s="508"/>
      <c r="T617" s="508"/>
      <c r="U617" s="508"/>
      <c r="V617" s="508"/>
      <c r="W617" s="508"/>
      <c r="X617" s="508"/>
      <c r="Y617" s="508"/>
      <c r="Z617" s="508"/>
    </row>
    <row r="618" ht="13.5" customHeight="1">
      <c r="A618" s="426"/>
      <c r="B618" s="508"/>
      <c r="C618" s="508"/>
      <c r="D618" s="508"/>
      <c r="E618" s="508"/>
      <c r="F618" s="426"/>
      <c r="G618" s="426"/>
      <c r="H618" s="426"/>
      <c r="I618" s="426"/>
      <c r="J618" s="508"/>
      <c r="K618" s="508"/>
      <c r="L618" s="508"/>
      <c r="M618" s="508"/>
      <c r="N618" s="508"/>
      <c r="O618" s="508"/>
      <c r="P618" s="508"/>
      <c r="Q618" s="508"/>
      <c r="R618" s="508"/>
      <c r="S618" s="508"/>
      <c r="T618" s="508"/>
      <c r="U618" s="508"/>
      <c r="V618" s="508"/>
      <c r="W618" s="508"/>
      <c r="X618" s="508"/>
      <c r="Y618" s="508"/>
      <c r="Z618" s="508"/>
    </row>
    <row r="619" ht="13.5" customHeight="1">
      <c r="A619" s="426"/>
      <c r="B619" s="508"/>
      <c r="C619" s="508"/>
      <c r="D619" s="508"/>
      <c r="E619" s="508"/>
      <c r="F619" s="426"/>
      <c r="G619" s="426"/>
      <c r="H619" s="426"/>
      <c r="I619" s="426"/>
      <c r="J619" s="508"/>
      <c r="K619" s="508"/>
      <c r="L619" s="508"/>
      <c r="M619" s="508"/>
      <c r="N619" s="508"/>
      <c r="O619" s="508"/>
      <c r="P619" s="508"/>
      <c r="Q619" s="508"/>
      <c r="R619" s="508"/>
      <c r="S619" s="508"/>
      <c r="T619" s="508"/>
      <c r="U619" s="508"/>
      <c r="V619" s="508"/>
      <c r="W619" s="508"/>
      <c r="X619" s="508"/>
      <c r="Y619" s="508"/>
      <c r="Z619" s="508"/>
    </row>
    <row r="620" ht="13.5" customHeight="1">
      <c r="A620" s="426"/>
      <c r="B620" s="508"/>
      <c r="C620" s="508"/>
      <c r="D620" s="508"/>
      <c r="E620" s="508"/>
      <c r="F620" s="426"/>
      <c r="G620" s="426"/>
      <c r="H620" s="426"/>
      <c r="I620" s="426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508"/>
      <c r="Y620" s="508"/>
      <c r="Z620" s="508"/>
    </row>
    <row r="621" ht="13.5" customHeight="1">
      <c r="A621" s="426"/>
      <c r="B621" s="508"/>
      <c r="C621" s="508"/>
      <c r="D621" s="508"/>
      <c r="E621" s="508"/>
      <c r="F621" s="426"/>
      <c r="G621" s="426"/>
      <c r="H621" s="426"/>
      <c r="I621" s="426"/>
      <c r="J621" s="508"/>
      <c r="K621" s="508"/>
      <c r="L621" s="508"/>
      <c r="M621" s="508"/>
      <c r="N621" s="508"/>
      <c r="O621" s="508"/>
      <c r="P621" s="508"/>
      <c r="Q621" s="508"/>
      <c r="R621" s="508"/>
      <c r="S621" s="508"/>
      <c r="T621" s="508"/>
      <c r="U621" s="508"/>
      <c r="V621" s="508"/>
      <c r="W621" s="508"/>
      <c r="X621" s="508"/>
      <c r="Y621" s="508"/>
      <c r="Z621" s="508"/>
    </row>
    <row r="622" ht="13.5" customHeight="1">
      <c r="A622" s="426"/>
      <c r="B622" s="508"/>
      <c r="C622" s="508"/>
      <c r="D622" s="508"/>
      <c r="E622" s="508"/>
      <c r="F622" s="426"/>
      <c r="G622" s="426"/>
      <c r="H622" s="426"/>
      <c r="I622" s="426"/>
      <c r="J622" s="508"/>
      <c r="K622" s="508"/>
      <c r="L622" s="508"/>
      <c r="M622" s="508"/>
      <c r="N622" s="508"/>
      <c r="O622" s="508"/>
      <c r="P622" s="508"/>
      <c r="Q622" s="508"/>
      <c r="R622" s="508"/>
      <c r="S622" s="508"/>
      <c r="T622" s="508"/>
      <c r="U622" s="508"/>
      <c r="V622" s="508"/>
      <c r="W622" s="508"/>
      <c r="X622" s="508"/>
      <c r="Y622" s="508"/>
      <c r="Z622" s="508"/>
    </row>
    <row r="623" ht="13.5" customHeight="1">
      <c r="A623" s="426"/>
      <c r="B623" s="508"/>
      <c r="C623" s="508"/>
      <c r="D623" s="508"/>
      <c r="E623" s="508"/>
      <c r="F623" s="426"/>
      <c r="G623" s="426"/>
      <c r="H623" s="426"/>
      <c r="I623" s="426"/>
      <c r="J623" s="508"/>
      <c r="K623" s="508"/>
      <c r="L623" s="508"/>
      <c r="M623" s="508"/>
      <c r="N623" s="508"/>
      <c r="O623" s="508"/>
      <c r="P623" s="508"/>
      <c r="Q623" s="508"/>
      <c r="R623" s="508"/>
      <c r="S623" s="508"/>
      <c r="T623" s="508"/>
      <c r="U623" s="508"/>
      <c r="V623" s="508"/>
      <c r="W623" s="508"/>
      <c r="X623" s="508"/>
      <c r="Y623" s="508"/>
      <c r="Z623" s="508"/>
    </row>
    <row r="624" ht="13.5" customHeight="1">
      <c r="A624" s="426"/>
      <c r="B624" s="508"/>
      <c r="C624" s="508"/>
      <c r="D624" s="508"/>
      <c r="E624" s="508"/>
      <c r="F624" s="426"/>
      <c r="G624" s="426"/>
      <c r="H624" s="426"/>
      <c r="I624" s="426"/>
      <c r="J624" s="508"/>
      <c r="K624" s="508"/>
      <c r="L624" s="508"/>
      <c r="M624" s="508"/>
      <c r="N624" s="508"/>
      <c r="O624" s="508"/>
      <c r="P624" s="508"/>
      <c r="Q624" s="508"/>
      <c r="R624" s="508"/>
      <c r="S624" s="508"/>
      <c r="T624" s="508"/>
      <c r="U624" s="508"/>
      <c r="V624" s="508"/>
      <c r="W624" s="508"/>
      <c r="X624" s="508"/>
      <c r="Y624" s="508"/>
      <c r="Z624" s="508"/>
    </row>
    <row r="625" ht="13.5" customHeight="1">
      <c r="A625" s="426"/>
      <c r="B625" s="508"/>
      <c r="C625" s="508"/>
      <c r="D625" s="508"/>
      <c r="E625" s="508"/>
      <c r="F625" s="426"/>
      <c r="G625" s="426"/>
      <c r="H625" s="426"/>
      <c r="I625" s="426"/>
      <c r="J625" s="508"/>
      <c r="K625" s="508"/>
      <c r="L625" s="508"/>
      <c r="M625" s="508"/>
      <c r="N625" s="508"/>
      <c r="O625" s="508"/>
      <c r="P625" s="508"/>
      <c r="Q625" s="508"/>
      <c r="R625" s="508"/>
      <c r="S625" s="508"/>
      <c r="T625" s="508"/>
      <c r="U625" s="508"/>
      <c r="V625" s="508"/>
      <c r="W625" s="508"/>
      <c r="X625" s="508"/>
      <c r="Y625" s="508"/>
      <c r="Z625" s="508"/>
    </row>
    <row r="626" ht="13.5" customHeight="1">
      <c r="A626" s="426"/>
      <c r="B626" s="508"/>
      <c r="C626" s="508"/>
      <c r="D626" s="508"/>
      <c r="E626" s="508"/>
      <c r="F626" s="426"/>
      <c r="G626" s="426"/>
      <c r="H626" s="426"/>
      <c r="I626" s="426"/>
      <c r="J626" s="508"/>
      <c r="K626" s="508"/>
      <c r="L626" s="508"/>
      <c r="M626" s="508"/>
      <c r="N626" s="508"/>
      <c r="O626" s="508"/>
      <c r="P626" s="508"/>
      <c r="Q626" s="508"/>
      <c r="R626" s="508"/>
      <c r="S626" s="508"/>
      <c r="T626" s="508"/>
      <c r="U626" s="508"/>
      <c r="V626" s="508"/>
      <c r="W626" s="508"/>
      <c r="X626" s="508"/>
      <c r="Y626" s="508"/>
      <c r="Z626" s="508"/>
    </row>
    <row r="627" ht="13.5" customHeight="1">
      <c r="A627" s="426"/>
      <c r="B627" s="508"/>
      <c r="C627" s="508"/>
      <c r="D627" s="508"/>
      <c r="E627" s="508"/>
      <c r="F627" s="426"/>
      <c r="G627" s="426"/>
      <c r="H627" s="426"/>
      <c r="I627" s="426"/>
      <c r="J627" s="508"/>
      <c r="K627" s="508"/>
      <c r="L627" s="508"/>
      <c r="M627" s="508"/>
      <c r="N627" s="508"/>
      <c r="O627" s="508"/>
      <c r="P627" s="508"/>
      <c r="Q627" s="508"/>
      <c r="R627" s="508"/>
      <c r="S627" s="508"/>
      <c r="T627" s="508"/>
      <c r="U627" s="508"/>
      <c r="V627" s="508"/>
      <c r="W627" s="508"/>
      <c r="X627" s="508"/>
      <c r="Y627" s="508"/>
      <c r="Z627" s="508"/>
    </row>
    <row r="628" ht="13.5" customHeight="1">
      <c r="A628" s="426"/>
      <c r="B628" s="508"/>
      <c r="C628" s="508"/>
      <c r="D628" s="508"/>
      <c r="E628" s="508"/>
      <c r="F628" s="426"/>
      <c r="G628" s="426"/>
      <c r="H628" s="426"/>
      <c r="I628" s="426"/>
      <c r="J628" s="508"/>
      <c r="K628" s="508"/>
      <c r="L628" s="508"/>
      <c r="M628" s="508"/>
      <c r="N628" s="508"/>
      <c r="O628" s="508"/>
      <c r="P628" s="508"/>
      <c r="Q628" s="508"/>
      <c r="R628" s="508"/>
      <c r="S628" s="508"/>
      <c r="T628" s="508"/>
      <c r="U628" s="508"/>
      <c r="V628" s="508"/>
      <c r="W628" s="508"/>
      <c r="X628" s="508"/>
      <c r="Y628" s="508"/>
      <c r="Z628" s="508"/>
    </row>
    <row r="629" ht="13.5" customHeight="1">
      <c r="A629" s="426"/>
      <c r="B629" s="508"/>
      <c r="C629" s="508"/>
      <c r="D629" s="508"/>
      <c r="E629" s="508"/>
      <c r="F629" s="426"/>
      <c r="G629" s="426"/>
      <c r="H629" s="426"/>
      <c r="I629" s="426"/>
      <c r="J629" s="508"/>
      <c r="K629" s="508"/>
      <c r="L629" s="508"/>
      <c r="M629" s="508"/>
      <c r="N629" s="508"/>
      <c r="O629" s="508"/>
      <c r="P629" s="508"/>
      <c r="Q629" s="508"/>
      <c r="R629" s="508"/>
      <c r="S629" s="508"/>
      <c r="T629" s="508"/>
      <c r="U629" s="508"/>
      <c r="V629" s="508"/>
      <c r="W629" s="508"/>
      <c r="X629" s="508"/>
      <c r="Y629" s="508"/>
      <c r="Z629" s="508"/>
    </row>
    <row r="630" ht="13.5" customHeight="1">
      <c r="A630" s="426"/>
      <c r="B630" s="508"/>
      <c r="C630" s="508"/>
      <c r="D630" s="508"/>
      <c r="E630" s="508"/>
      <c r="F630" s="426"/>
      <c r="G630" s="426"/>
      <c r="H630" s="426"/>
      <c r="I630" s="426"/>
      <c r="J630" s="508"/>
      <c r="K630" s="508"/>
      <c r="L630" s="508"/>
      <c r="M630" s="508"/>
      <c r="N630" s="508"/>
      <c r="O630" s="508"/>
      <c r="P630" s="508"/>
      <c r="Q630" s="508"/>
      <c r="R630" s="508"/>
      <c r="S630" s="508"/>
      <c r="T630" s="508"/>
      <c r="U630" s="508"/>
      <c r="V630" s="508"/>
      <c r="W630" s="508"/>
      <c r="X630" s="508"/>
      <c r="Y630" s="508"/>
      <c r="Z630" s="508"/>
    </row>
    <row r="631" ht="13.5" customHeight="1">
      <c r="A631" s="426"/>
      <c r="B631" s="508"/>
      <c r="C631" s="508"/>
      <c r="D631" s="508"/>
      <c r="E631" s="508"/>
      <c r="F631" s="426"/>
      <c r="G631" s="426"/>
      <c r="H631" s="426"/>
      <c r="I631" s="426"/>
      <c r="J631" s="508"/>
      <c r="K631" s="508"/>
      <c r="L631" s="508"/>
      <c r="M631" s="508"/>
      <c r="N631" s="508"/>
      <c r="O631" s="508"/>
      <c r="P631" s="508"/>
      <c r="Q631" s="508"/>
      <c r="R631" s="508"/>
      <c r="S631" s="508"/>
      <c r="T631" s="508"/>
      <c r="U631" s="508"/>
      <c r="V631" s="508"/>
      <c r="W631" s="508"/>
      <c r="X631" s="508"/>
      <c r="Y631" s="508"/>
      <c r="Z631" s="508"/>
    </row>
    <row r="632" ht="13.5" customHeight="1">
      <c r="A632" s="426"/>
      <c r="B632" s="508"/>
      <c r="C632" s="508"/>
      <c r="D632" s="508"/>
      <c r="E632" s="508"/>
      <c r="F632" s="426"/>
      <c r="G632" s="426"/>
      <c r="H632" s="426"/>
      <c r="I632" s="426"/>
      <c r="J632" s="508"/>
      <c r="K632" s="508"/>
      <c r="L632" s="508"/>
      <c r="M632" s="508"/>
      <c r="N632" s="508"/>
      <c r="O632" s="508"/>
      <c r="P632" s="508"/>
      <c r="Q632" s="508"/>
      <c r="R632" s="508"/>
      <c r="S632" s="508"/>
      <c r="T632" s="508"/>
      <c r="U632" s="508"/>
      <c r="V632" s="508"/>
      <c r="W632" s="508"/>
      <c r="X632" s="508"/>
      <c r="Y632" s="508"/>
      <c r="Z632" s="508"/>
    </row>
    <row r="633" ht="13.5" customHeight="1">
      <c r="A633" s="426"/>
      <c r="B633" s="508"/>
      <c r="C633" s="508"/>
      <c r="D633" s="508"/>
      <c r="E633" s="508"/>
      <c r="F633" s="426"/>
      <c r="G633" s="426"/>
      <c r="H633" s="426"/>
      <c r="I633" s="426"/>
      <c r="J633" s="508"/>
      <c r="K633" s="508"/>
      <c r="L633" s="508"/>
      <c r="M633" s="508"/>
      <c r="N633" s="508"/>
      <c r="O633" s="508"/>
      <c r="P633" s="508"/>
      <c r="Q633" s="508"/>
      <c r="R633" s="508"/>
      <c r="S633" s="508"/>
      <c r="T633" s="508"/>
      <c r="U633" s="508"/>
      <c r="V633" s="508"/>
      <c r="W633" s="508"/>
      <c r="X633" s="508"/>
      <c r="Y633" s="508"/>
      <c r="Z633" s="508"/>
    </row>
    <row r="634" ht="13.5" customHeight="1">
      <c r="A634" s="426"/>
      <c r="B634" s="508"/>
      <c r="C634" s="508"/>
      <c r="D634" s="508"/>
      <c r="E634" s="508"/>
      <c r="F634" s="426"/>
      <c r="G634" s="426"/>
      <c r="H634" s="426"/>
      <c r="I634" s="426"/>
      <c r="J634" s="508"/>
      <c r="K634" s="508"/>
      <c r="L634" s="508"/>
      <c r="M634" s="508"/>
      <c r="N634" s="508"/>
      <c r="O634" s="508"/>
      <c r="P634" s="508"/>
      <c r="Q634" s="508"/>
      <c r="R634" s="508"/>
      <c r="S634" s="508"/>
      <c r="T634" s="508"/>
      <c r="U634" s="508"/>
      <c r="V634" s="508"/>
      <c r="W634" s="508"/>
      <c r="X634" s="508"/>
      <c r="Y634" s="508"/>
      <c r="Z634" s="508"/>
    </row>
    <row r="635" ht="13.5" customHeight="1">
      <c r="A635" s="426"/>
      <c r="B635" s="508"/>
      <c r="C635" s="508"/>
      <c r="D635" s="508"/>
      <c r="E635" s="508"/>
      <c r="F635" s="426"/>
      <c r="G635" s="426"/>
      <c r="H635" s="426"/>
      <c r="I635" s="426"/>
      <c r="J635" s="508"/>
      <c r="K635" s="508"/>
      <c r="L635" s="508"/>
      <c r="M635" s="508"/>
      <c r="N635" s="508"/>
      <c r="O635" s="508"/>
      <c r="P635" s="508"/>
      <c r="Q635" s="508"/>
      <c r="R635" s="508"/>
      <c r="S635" s="508"/>
      <c r="T635" s="508"/>
      <c r="U635" s="508"/>
      <c r="V635" s="508"/>
      <c r="W635" s="508"/>
      <c r="X635" s="508"/>
      <c r="Y635" s="508"/>
      <c r="Z635" s="508"/>
    </row>
    <row r="636" ht="13.5" customHeight="1">
      <c r="A636" s="426"/>
      <c r="B636" s="508"/>
      <c r="C636" s="508"/>
      <c r="D636" s="508"/>
      <c r="E636" s="508"/>
      <c r="F636" s="426"/>
      <c r="G636" s="426"/>
      <c r="H636" s="426"/>
      <c r="I636" s="426"/>
      <c r="J636" s="508"/>
      <c r="K636" s="508"/>
      <c r="L636" s="508"/>
      <c r="M636" s="508"/>
      <c r="N636" s="508"/>
      <c r="O636" s="508"/>
      <c r="P636" s="508"/>
      <c r="Q636" s="508"/>
      <c r="R636" s="508"/>
      <c r="S636" s="508"/>
      <c r="T636" s="508"/>
      <c r="U636" s="508"/>
      <c r="V636" s="508"/>
      <c r="W636" s="508"/>
      <c r="X636" s="508"/>
      <c r="Y636" s="508"/>
      <c r="Z636" s="508"/>
    </row>
    <row r="637" ht="13.5" customHeight="1">
      <c r="A637" s="426"/>
      <c r="B637" s="508"/>
      <c r="C637" s="508"/>
      <c r="D637" s="508"/>
      <c r="E637" s="508"/>
      <c r="F637" s="426"/>
      <c r="G637" s="426"/>
      <c r="H637" s="426"/>
      <c r="I637" s="426"/>
      <c r="J637" s="508"/>
      <c r="K637" s="508"/>
      <c r="L637" s="508"/>
      <c r="M637" s="508"/>
      <c r="N637" s="508"/>
      <c r="O637" s="508"/>
      <c r="P637" s="508"/>
      <c r="Q637" s="508"/>
      <c r="R637" s="508"/>
      <c r="S637" s="508"/>
      <c r="T637" s="508"/>
      <c r="U637" s="508"/>
      <c r="V637" s="508"/>
      <c r="W637" s="508"/>
      <c r="X637" s="508"/>
      <c r="Y637" s="508"/>
      <c r="Z637" s="508"/>
    </row>
    <row r="638" ht="13.5" customHeight="1">
      <c r="A638" s="426"/>
      <c r="B638" s="508"/>
      <c r="C638" s="508"/>
      <c r="D638" s="508"/>
      <c r="E638" s="508"/>
      <c r="F638" s="426"/>
      <c r="G638" s="426"/>
      <c r="H638" s="426"/>
      <c r="I638" s="426"/>
      <c r="J638" s="508"/>
      <c r="K638" s="508"/>
      <c r="L638" s="508"/>
      <c r="M638" s="508"/>
      <c r="N638" s="508"/>
      <c r="O638" s="508"/>
      <c r="P638" s="508"/>
      <c r="Q638" s="508"/>
      <c r="R638" s="508"/>
      <c r="S638" s="508"/>
      <c r="T638" s="508"/>
      <c r="U638" s="508"/>
      <c r="V638" s="508"/>
      <c r="W638" s="508"/>
      <c r="X638" s="508"/>
      <c r="Y638" s="508"/>
      <c r="Z638" s="508"/>
    </row>
    <row r="639" ht="13.5" customHeight="1">
      <c r="A639" s="426"/>
      <c r="B639" s="508"/>
      <c r="C639" s="508"/>
      <c r="D639" s="508"/>
      <c r="E639" s="508"/>
      <c r="F639" s="426"/>
      <c r="G639" s="426"/>
      <c r="H639" s="426"/>
      <c r="I639" s="426"/>
      <c r="J639" s="508"/>
      <c r="K639" s="508"/>
      <c r="L639" s="508"/>
      <c r="M639" s="508"/>
      <c r="N639" s="508"/>
      <c r="O639" s="508"/>
      <c r="P639" s="508"/>
      <c r="Q639" s="508"/>
      <c r="R639" s="508"/>
      <c r="S639" s="508"/>
      <c r="T639" s="508"/>
      <c r="U639" s="508"/>
      <c r="V639" s="508"/>
      <c r="W639" s="508"/>
      <c r="X639" s="508"/>
      <c r="Y639" s="508"/>
      <c r="Z639" s="508"/>
    </row>
    <row r="640" ht="13.5" customHeight="1">
      <c r="A640" s="426"/>
      <c r="B640" s="508"/>
      <c r="C640" s="508"/>
      <c r="D640" s="508"/>
      <c r="E640" s="508"/>
      <c r="F640" s="426"/>
      <c r="G640" s="426"/>
      <c r="H640" s="426"/>
      <c r="I640" s="426"/>
      <c r="J640" s="508"/>
      <c r="K640" s="508"/>
      <c r="L640" s="508"/>
      <c r="M640" s="508"/>
      <c r="N640" s="508"/>
      <c r="O640" s="508"/>
      <c r="P640" s="508"/>
      <c r="Q640" s="508"/>
      <c r="R640" s="508"/>
      <c r="S640" s="508"/>
      <c r="T640" s="508"/>
      <c r="U640" s="508"/>
      <c r="V640" s="508"/>
      <c r="W640" s="508"/>
      <c r="X640" s="508"/>
      <c r="Y640" s="508"/>
      <c r="Z640" s="508"/>
    </row>
    <row r="641" ht="13.5" customHeight="1">
      <c r="A641" s="426"/>
      <c r="B641" s="508"/>
      <c r="C641" s="508"/>
      <c r="D641" s="508"/>
      <c r="E641" s="508"/>
      <c r="F641" s="426"/>
      <c r="G641" s="426"/>
      <c r="H641" s="426"/>
      <c r="I641" s="426"/>
      <c r="J641" s="508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  <c r="V641" s="508"/>
      <c r="W641" s="508"/>
      <c r="X641" s="508"/>
      <c r="Y641" s="508"/>
      <c r="Z641" s="508"/>
    </row>
    <row r="642" ht="13.5" customHeight="1">
      <c r="A642" s="426"/>
      <c r="B642" s="508"/>
      <c r="C642" s="508"/>
      <c r="D642" s="508"/>
      <c r="E642" s="508"/>
      <c r="F642" s="426"/>
      <c r="G642" s="426"/>
      <c r="H642" s="426"/>
      <c r="I642" s="426"/>
      <c r="J642" s="508"/>
      <c r="K642" s="508"/>
      <c r="L642" s="508"/>
      <c r="M642" s="508"/>
      <c r="N642" s="508"/>
      <c r="O642" s="508"/>
      <c r="P642" s="508"/>
      <c r="Q642" s="508"/>
      <c r="R642" s="508"/>
      <c r="S642" s="508"/>
      <c r="T642" s="508"/>
      <c r="U642" s="508"/>
      <c r="V642" s="508"/>
      <c r="W642" s="508"/>
      <c r="X642" s="508"/>
      <c r="Y642" s="508"/>
      <c r="Z642" s="508"/>
    </row>
    <row r="643" ht="13.5" customHeight="1">
      <c r="A643" s="426"/>
      <c r="B643" s="508"/>
      <c r="C643" s="508"/>
      <c r="D643" s="508"/>
      <c r="E643" s="508"/>
      <c r="F643" s="426"/>
      <c r="G643" s="426"/>
      <c r="H643" s="426"/>
      <c r="I643" s="426"/>
      <c r="J643" s="508"/>
      <c r="K643" s="508"/>
      <c r="L643" s="508"/>
      <c r="M643" s="508"/>
      <c r="N643" s="508"/>
      <c r="O643" s="508"/>
      <c r="P643" s="508"/>
      <c r="Q643" s="508"/>
      <c r="R643" s="508"/>
      <c r="S643" s="508"/>
      <c r="T643" s="508"/>
      <c r="U643" s="508"/>
      <c r="V643" s="508"/>
      <c r="W643" s="508"/>
      <c r="X643" s="508"/>
      <c r="Y643" s="508"/>
      <c r="Z643" s="508"/>
    </row>
    <row r="644" ht="13.5" customHeight="1">
      <c r="A644" s="426"/>
      <c r="B644" s="508"/>
      <c r="C644" s="508"/>
      <c r="D644" s="508"/>
      <c r="E644" s="508"/>
      <c r="F644" s="426"/>
      <c r="G644" s="426"/>
      <c r="H644" s="426"/>
      <c r="I644" s="426"/>
      <c r="J644" s="508"/>
      <c r="K644" s="508"/>
      <c r="L644" s="508"/>
      <c r="M644" s="508"/>
      <c r="N644" s="508"/>
      <c r="O644" s="508"/>
      <c r="P644" s="508"/>
      <c r="Q644" s="508"/>
      <c r="R644" s="508"/>
      <c r="S644" s="508"/>
      <c r="T644" s="508"/>
      <c r="U644" s="508"/>
      <c r="V644" s="508"/>
      <c r="W644" s="508"/>
      <c r="X644" s="508"/>
      <c r="Y644" s="508"/>
      <c r="Z644" s="508"/>
    </row>
    <row r="645" ht="13.5" customHeight="1">
      <c r="A645" s="426"/>
      <c r="B645" s="508"/>
      <c r="C645" s="508"/>
      <c r="D645" s="508"/>
      <c r="E645" s="508"/>
      <c r="F645" s="426"/>
      <c r="G645" s="426"/>
      <c r="H645" s="426"/>
      <c r="I645" s="426"/>
      <c r="J645" s="508"/>
      <c r="K645" s="508"/>
      <c r="L645" s="508"/>
      <c r="M645" s="508"/>
      <c r="N645" s="508"/>
      <c r="O645" s="508"/>
      <c r="P645" s="508"/>
      <c r="Q645" s="508"/>
      <c r="R645" s="508"/>
      <c r="S645" s="508"/>
      <c r="T645" s="508"/>
      <c r="U645" s="508"/>
      <c r="V645" s="508"/>
      <c r="W645" s="508"/>
      <c r="X645" s="508"/>
      <c r="Y645" s="508"/>
      <c r="Z645" s="508"/>
    </row>
    <row r="646" ht="13.5" customHeight="1">
      <c r="A646" s="426"/>
      <c r="B646" s="508"/>
      <c r="C646" s="508"/>
      <c r="D646" s="508"/>
      <c r="E646" s="508"/>
      <c r="F646" s="426"/>
      <c r="G646" s="426"/>
      <c r="H646" s="426"/>
      <c r="I646" s="426"/>
      <c r="J646" s="508"/>
      <c r="K646" s="508"/>
      <c r="L646" s="508"/>
      <c r="M646" s="508"/>
      <c r="N646" s="508"/>
      <c r="O646" s="508"/>
      <c r="P646" s="508"/>
      <c r="Q646" s="508"/>
      <c r="R646" s="508"/>
      <c r="S646" s="508"/>
      <c r="T646" s="508"/>
      <c r="U646" s="508"/>
      <c r="V646" s="508"/>
      <c r="W646" s="508"/>
      <c r="X646" s="508"/>
      <c r="Y646" s="508"/>
      <c r="Z646" s="508"/>
    </row>
    <row r="647" ht="13.5" customHeight="1">
      <c r="A647" s="426"/>
      <c r="B647" s="508"/>
      <c r="C647" s="508"/>
      <c r="D647" s="508"/>
      <c r="E647" s="508"/>
      <c r="F647" s="426"/>
      <c r="G647" s="426"/>
      <c r="H647" s="426"/>
      <c r="I647" s="426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8"/>
      <c r="Z647" s="508"/>
    </row>
    <row r="648" ht="13.5" customHeight="1">
      <c r="A648" s="426"/>
      <c r="B648" s="508"/>
      <c r="C648" s="508"/>
      <c r="D648" s="508"/>
      <c r="E648" s="508"/>
      <c r="F648" s="426"/>
      <c r="G648" s="426"/>
      <c r="H648" s="426"/>
      <c r="I648" s="426"/>
      <c r="J648" s="508"/>
      <c r="K648" s="508"/>
      <c r="L648" s="508"/>
      <c r="M648" s="508"/>
      <c r="N648" s="508"/>
      <c r="O648" s="508"/>
      <c r="P648" s="508"/>
      <c r="Q648" s="508"/>
      <c r="R648" s="508"/>
      <c r="S648" s="508"/>
      <c r="T648" s="508"/>
      <c r="U648" s="508"/>
      <c r="V648" s="508"/>
      <c r="W648" s="508"/>
      <c r="X648" s="508"/>
      <c r="Y648" s="508"/>
      <c r="Z648" s="508"/>
    </row>
    <row r="649" ht="13.5" customHeight="1">
      <c r="A649" s="426"/>
      <c r="B649" s="508"/>
      <c r="C649" s="508"/>
      <c r="D649" s="508"/>
      <c r="E649" s="508"/>
      <c r="F649" s="426"/>
      <c r="G649" s="426"/>
      <c r="H649" s="426"/>
      <c r="I649" s="426"/>
      <c r="J649" s="508"/>
      <c r="K649" s="508"/>
      <c r="L649" s="508"/>
      <c r="M649" s="508"/>
      <c r="N649" s="508"/>
      <c r="O649" s="508"/>
      <c r="P649" s="508"/>
      <c r="Q649" s="508"/>
      <c r="R649" s="508"/>
      <c r="S649" s="508"/>
      <c r="T649" s="508"/>
      <c r="U649" s="508"/>
      <c r="V649" s="508"/>
      <c r="W649" s="508"/>
      <c r="X649" s="508"/>
      <c r="Y649" s="508"/>
      <c r="Z649" s="508"/>
    </row>
    <row r="650" ht="13.5" customHeight="1">
      <c r="A650" s="426"/>
      <c r="B650" s="508"/>
      <c r="C650" s="508"/>
      <c r="D650" s="508"/>
      <c r="E650" s="508"/>
      <c r="F650" s="426"/>
      <c r="G650" s="426"/>
      <c r="H650" s="426"/>
      <c r="I650" s="426"/>
      <c r="J650" s="508"/>
      <c r="K650" s="508"/>
      <c r="L650" s="508"/>
      <c r="M650" s="508"/>
      <c r="N650" s="508"/>
      <c r="O650" s="508"/>
      <c r="P650" s="508"/>
      <c r="Q650" s="508"/>
      <c r="R650" s="508"/>
      <c r="S650" s="508"/>
      <c r="T650" s="508"/>
      <c r="U650" s="508"/>
      <c r="V650" s="508"/>
      <c r="W650" s="508"/>
      <c r="X650" s="508"/>
      <c r="Y650" s="508"/>
      <c r="Z650" s="508"/>
    </row>
    <row r="651" ht="13.5" customHeight="1">
      <c r="A651" s="426"/>
      <c r="B651" s="508"/>
      <c r="C651" s="508"/>
      <c r="D651" s="508"/>
      <c r="E651" s="508"/>
      <c r="F651" s="426"/>
      <c r="G651" s="426"/>
      <c r="H651" s="426"/>
      <c r="I651" s="426"/>
      <c r="J651" s="508"/>
      <c r="K651" s="508"/>
      <c r="L651" s="508"/>
      <c r="M651" s="508"/>
      <c r="N651" s="508"/>
      <c r="O651" s="508"/>
      <c r="P651" s="508"/>
      <c r="Q651" s="508"/>
      <c r="R651" s="508"/>
      <c r="S651" s="508"/>
      <c r="T651" s="508"/>
      <c r="U651" s="508"/>
      <c r="V651" s="508"/>
      <c r="W651" s="508"/>
      <c r="X651" s="508"/>
      <c r="Y651" s="508"/>
      <c r="Z651" s="508"/>
    </row>
    <row r="652" ht="13.5" customHeight="1">
      <c r="A652" s="426"/>
      <c r="B652" s="508"/>
      <c r="C652" s="508"/>
      <c r="D652" s="508"/>
      <c r="E652" s="508"/>
      <c r="F652" s="426"/>
      <c r="G652" s="426"/>
      <c r="H652" s="426"/>
      <c r="I652" s="426"/>
      <c r="J652" s="508"/>
      <c r="K652" s="508"/>
      <c r="L652" s="508"/>
      <c r="M652" s="508"/>
      <c r="N652" s="508"/>
      <c r="O652" s="508"/>
      <c r="P652" s="508"/>
      <c r="Q652" s="508"/>
      <c r="R652" s="508"/>
      <c r="S652" s="508"/>
      <c r="T652" s="508"/>
      <c r="U652" s="508"/>
      <c r="V652" s="508"/>
      <c r="W652" s="508"/>
      <c r="X652" s="508"/>
      <c r="Y652" s="508"/>
      <c r="Z652" s="508"/>
    </row>
    <row r="653" ht="13.5" customHeight="1">
      <c r="A653" s="426"/>
      <c r="B653" s="508"/>
      <c r="C653" s="508"/>
      <c r="D653" s="508"/>
      <c r="E653" s="508"/>
      <c r="F653" s="426"/>
      <c r="G653" s="426"/>
      <c r="H653" s="426"/>
      <c r="I653" s="426"/>
      <c r="J653" s="508"/>
      <c r="K653" s="508"/>
      <c r="L653" s="508"/>
      <c r="M653" s="508"/>
      <c r="N653" s="508"/>
      <c r="O653" s="508"/>
      <c r="P653" s="508"/>
      <c r="Q653" s="508"/>
      <c r="R653" s="508"/>
      <c r="S653" s="508"/>
      <c r="T653" s="508"/>
      <c r="U653" s="508"/>
      <c r="V653" s="508"/>
      <c r="W653" s="508"/>
      <c r="X653" s="508"/>
      <c r="Y653" s="508"/>
      <c r="Z653" s="508"/>
    </row>
    <row r="654" ht="13.5" customHeight="1">
      <c r="A654" s="426"/>
      <c r="B654" s="508"/>
      <c r="C654" s="508"/>
      <c r="D654" s="508"/>
      <c r="E654" s="508"/>
      <c r="F654" s="426"/>
      <c r="G654" s="426"/>
      <c r="H654" s="426"/>
      <c r="I654" s="426"/>
      <c r="J654" s="508"/>
      <c r="K654" s="508"/>
      <c r="L654" s="508"/>
      <c r="M654" s="508"/>
      <c r="N654" s="508"/>
      <c r="O654" s="508"/>
      <c r="P654" s="508"/>
      <c r="Q654" s="508"/>
      <c r="R654" s="508"/>
      <c r="S654" s="508"/>
      <c r="T654" s="508"/>
      <c r="U654" s="508"/>
      <c r="V654" s="508"/>
      <c r="W654" s="508"/>
      <c r="X654" s="508"/>
      <c r="Y654" s="508"/>
      <c r="Z654" s="508"/>
    </row>
    <row r="655" ht="13.5" customHeight="1">
      <c r="A655" s="426"/>
      <c r="B655" s="508"/>
      <c r="C655" s="508"/>
      <c r="D655" s="508"/>
      <c r="E655" s="508"/>
      <c r="F655" s="426"/>
      <c r="G655" s="426"/>
      <c r="H655" s="426"/>
      <c r="I655" s="426"/>
      <c r="J655" s="508"/>
      <c r="K655" s="508"/>
      <c r="L655" s="508"/>
      <c r="M655" s="508"/>
      <c r="N655" s="508"/>
      <c r="O655" s="508"/>
      <c r="P655" s="508"/>
      <c r="Q655" s="508"/>
      <c r="R655" s="508"/>
      <c r="S655" s="508"/>
      <c r="T655" s="508"/>
      <c r="U655" s="508"/>
      <c r="V655" s="508"/>
      <c r="W655" s="508"/>
      <c r="X655" s="508"/>
      <c r="Y655" s="508"/>
      <c r="Z655" s="508"/>
    </row>
    <row r="656" ht="13.5" customHeight="1">
      <c r="A656" s="426"/>
      <c r="B656" s="508"/>
      <c r="C656" s="508"/>
      <c r="D656" s="508"/>
      <c r="E656" s="508"/>
      <c r="F656" s="426"/>
      <c r="G656" s="426"/>
      <c r="H656" s="426"/>
      <c r="I656" s="426"/>
      <c r="J656" s="508"/>
      <c r="K656" s="508"/>
      <c r="L656" s="508"/>
      <c r="M656" s="508"/>
      <c r="N656" s="508"/>
      <c r="O656" s="508"/>
      <c r="P656" s="508"/>
      <c r="Q656" s="508"/>
      <c r="R656" s="508"/>
      <c r="S656" s="508"/>
      <c r="T656" s="508"/>
      <c r="U656" s="508"/>
      <c r="V656" s="508"/>
      <c r="W656" s="508"/>
      <c r="X656" s="508"/>
      <c r="Y656" s="508"/>
      <c r="Z656" s="508"/>
    </row>
    <row r="657" ht="13.5" customHeight="1">
      <c r="A657" s="426"/>
      <c r="B657" s="508"/>
      <c r="C657" s="508"/>
      <c r="D657" s="508"/>
      <c r="E657" s="508"/>
      <c r="F657" s="426"/>
      <c r="G657" s="426"/>
      <c r="H657" s="426"/>
      <c r="I657" s="426"/>
      <c r="J657" s="508"/>
      <c r="K657" s="508"/>
      <c r="L657" s="508"/>
      <c r="M657" s="508"/>
      <c r="N657" s="508"/>
      <c r="O657" s="508"/>
      <c r="P657" s="508"/>
      <c r="Q657" s="508"/>
      <c r="R657" s="508"/>
      <c r="S657" s="508"/>
      <c r="T657" s="508"/>
      <c r="U657" s="508"/>
      <c r="V657" s="508"/>
      <c r="W657" s="508"/>
      <c r="X657" s="508"/>
      <c r="Y657" s="508"/>
      <c r="Z657" s="508"/>
    </row>
    <row r="658" ht="13.5" customHeight="1">
      <c r="A658" s="426"/>
      <c r="B658" s="508"/>
      <c r="C658" s="508"/>
      <c r="D658" s="508"/>
      <c r="E658" s="508"/>
      <c r="F658" s="426"/>
      <c r="G658" s="426"/>
      <c r="H658" s="426"/>
      <c r="I658" s="426"/>
      <c r="J658" s="508"/>
      <c r="K658" s="508"/>
      <c r="L658" s="508"/>
      <c r="M658" s="508"/>
      <c r="N658" s="508"/>
      <c r="O658" s="508"/>
      <c r="P658" s="508"/>
      <c r="Q658" s="508"/>
      <c r="R658" s="508"/>
      <c r="S658" s="508"/>
      <c r="T658" s="508"/>
      <c r="U658" s="508"/>
      <c r="V658" s="508"/>
      <c r="W658" s="508"/>
      <c r="X658" s="508"/>
      <c r="Y658" s="508"/>
      <c r="Z658" s="508"/>
    </row>
    <row r="659" ht="13.5" customHeight="1">
      <c r="A659" s="426"/>
      <c r="B659" s="508"/>
      <c r="C659" s="508"/>
      <c r="D659" s="508"/>
      <c r="E659" s="508"/>
      <c r="F659" s="426"/>
      <c r="G659" s="426"/>
      <c r="H659" s="426"/>
      <c r="I659" s="426"/>
      <c r="J659" s="508"/>
      <c r="K659" s="508"/>
      <c r="L659" s="508"/>
      <c r="M659" s="508"/>
      <c r="N659" s="508"/>
      <c r="O659" s="508"/>
      <c r="P659" s="508"/>
      <c r="Q659" s="508"/>
      <c r="R659" s="508"/>
      <c r="S659" s="508"/>
      <c r="T659" s="508"/>
      <c r="U659" s="508"/>
      <c r="V659" s="508"/>
      <c r="W659" s="508"/>
      <c r="X659" s="508"/>
      <c r="Y659" s="508"/>
      <c r="Z659" s="508"/>
    </row>
    <row r="660" ht="13.5" customHeight="1">
      <c r="A660" s="426"/>
      <c r="B660" s="508"/>
      <c r="C660" s="508"/>
      <c r="D660" s="508"/>
      <c r="E660" s="508"/>
      <c r="F660" s="426"/>
      <c r="G660" s="426"/>
      <c r="H660" s="426"/>
      <c r="I660" s="426"/>
      <c r="J660" s="508"/>
      <c r="K660" s="508"/>
      <c r="L660" s="508"/>
      <c r="M660" s="508"/>
      <c r="N660" s="508"/>
      <c r="O660" s="508"/>
      <c r="P660" s="508"/>
      <c r="Q660" s="508"/>
      <c r="R660" s="508"/>
      <c r="S660" s="508"/>
      <c r="T660" s="508"/>
      <c r="U660" s="508"/>
      <c r="V660" s="508"/>
      <c r="W660" s="508"/>
      <c r="X660" s="508"/>
      <c r="Y660" s="508"/>
      <c r="Z660" s="508"/>
    </row>
    <row r="661" ht="13.5" customHeight="1">
      <c r="A661" s="426"/>
      <c r="B661" s="508"/>
      <c r="C661" s="508"/>
      <c r="D661" s="508"/>
      <c r="E661" s="508"/>
      <c r="F661" s="426"/>
      <c r="G661" s="426"/>
      <c r="H661" s="426"/>
      <c r="I661" s="426"/>
      <c r="J661" s="508"/>
      <c r="K661" s="508"/>
      <c r="L661" s="508"/>
      <c r="M661" s="508"/>
      <c r="N661" s="508"/>
      <c r="O661" s="508"/>
      <c r="P661" s="508"/>
      <c r="Q661" s="508"/>
      <c r="R661" s="508"/>
      <c r="S661" s="508"/>
      <c r="T661" s="508"/>
      <c r="U661" s="508"/>
      <c r="V661" s="508"/>
      <c r="W661" s="508"/>
      <c r="X661" s="508"/>
      <c r="Y661" s="508"/>
      <c r="Z661" s="508"/>
    </row>
    <row r="662" ht="13.5" customHeight="1">
      <c r="A662" s="426"/>
      <c r="B662" s="508"/>
      <c r="C662" s="508"/>
      <c r="D662" s="508"/>
      <c r="E662" s="508"/>
      <c r="F662" s="426"/>
      <c r="G662" s="426"/>
      <c r="H662" s="426"/>
      <c r="I662" s="426"/>
      <c r="J662" s="508"/>
      <c r="K662" s="508"/>
      <c r="L662" s="508"/>
      <c r="M662" s="508"/>
      <c r="N662" s="508"/>
      <c r="O662" s="508"/>
      <c r="P662" s="508"/>
      <c r="Q662" s="508"/>
      <c r="R662" s="508"/>
      <c r="S662" s="508"/>
      <c r="T662" s="508"/>
      <c r="U662" s="508"/>
      <c r="V662" s="508"/>
      <c r="W662" s="508"/>
      <c r="X662" s="508"/>
      <c r="Y662" s="508"/>
      <c r="Z662" s="508"/>
    </row>
    <row r="663" ht="13.5" customHeight="1">
      <c r="A663" s="426"/>
      <c r="B663" s="508"/>
      <c r="C663" s="508"/>
      <c r="D663" s="508"/>
      <c r="E663" s="508"/>
      <c r="F663" s="426"/>
      <c r="G663" s="426"/>
      <c r="H663" s="426"/>
      <c r="I663" s="426"/>
      <c r="J663" s="508"/>
      <c r="K663" s="508"/>
      <c r="L663" s="508"/>
      <c r="M663" s="508"/>
      <c r="N663" s="508"/>
      <c r="O663" s="508"/>
      <c r="P663" s="508"/>
      <c r="Q663" s="508"/>
      <c r="R663" s="508"/>
      <c r="S663" s="508"/>
      <c r="T663" s="508"/>
      <c r="U663" s="508"/>
      <c r="V663" s="508"/>
      <c r="W663" s="508"/>
      <c r="X663" s="508"/>
      <c r="Y663" s="508"/>
      <c r="Z663" s="508"/>
    </row>
    <row r="664" ht="13.5" customHeight="1">
      <c r="A664" s="426"/>
      <c r="B664" s="508"/>
      <c r="C664" s="508"/>
      <c r="D664" s="508"/>
      <c r="E664" s="508"/>
      <c r="F664" s="426"/>
      <c r="G664" s="426"/>
      <c r="H664" s="426"/>
      <c r="I664" s="426"/>
      <c r="J664" s="508"/>
      <c r="K664" s="508"/>
      <c r="L664" s="508"/>
      <c r="M664" s="508"/>
      <c r="N664" s="508"/>
      <c r="O664" s="508"/>
      <c r="P664" s="508"/>
      <c r="Q664" s="508"/>
      <c r="R664" s="508"/>
      <c r="S664" s="508"/>
      <c r="T664" s="508"/>
      <c r="U664" s="508"/>
      <c r="V664" s="508"/>
      <c r="W664" s="508"/>
      <c r="X664" s="508"/>
      <c r="Y664" s="508"/>
      <c r="Z664" s="508"/>
    </row>
    <row r="665" ht="13.5" customHeight="1">
      <c r="A665" s="426"/>
      <c r="B665" s="508"/>
      <c r="C665" s="508"/>
      <c r="D665" s="508"/>
      <c r="E665" s="508"/>
      <c r="F665" s="426"/>
      <c r="G665" s="426"/>
      <c r="H665" s="426"/>
      <c r="I665" s="426"/>
      <c r="J665" s="508"/>
      <c r="K665" s="508"/>
      <c r="L665" s="508"/>
      <c r="M665" s="508"/>
      <c r="N665" s="508"/>
      <c r="O665" s="508"/>
      <c r="P665" s="508"/>
      <c r="Q665" s="508"/>
      <c r="R665" s="508"/>
      <c r="S665" s="508"/>
      <c r="T665" s="508"/>
      <c r="U665" s="508"/>
      <c r="V665" s="508"/>
      <c r="W665" s="508"/>
      <c r="X665" s="508"/>
      <c r="Y665" s="508"/>
      <c r="Z665" s="508"/>
    </row>
    <row r="666" ht="13.5" customHeight="1">
      <c r="A666" s="426"/>
      <c r="B666" s="508"/>
      <c r="C666" s="508"/>
      <c r="D666" s="508"/>
      <c r="E666" s="508"/>
      <c r="F666" s="426"/>
      <c r="G666" s="426"/>
      <c r="H666" s="426"/>
      <c r="I666" s="426"/>
      <c r="J666" s="508"/>
      <c r="K666" s="508"/>
      <c r="L666" s="508"/>
      <c r="M666" s="508"/>
      <c r="N666" s="508"/>
      <c r="O666" s="508"/>
      <c r="P666" s="508"/>
      <c r="Q666" s="508"/>
      <c r="R666" s="508"/>
      <c r="S666" s="508"/>
      <c r="T666" s="508"/>
      <c r="U666" s="508"/>
      <c r="V666" s="508"/>
      <c r="W666" s="508"/>
      <c r="X666" s="508"/>
      <c r="Y666" s="508"/>
      <c r="Z666" s="508"/>
    </row>
    <row r="667" ht="13.5" customHeight="1">
      <c r="A667" s="426"/>
      <c r="B667" s="508"/>
      <c r="C667" s="508"/>
      <c r="D667" s="508"/>
      <c r="E667" s="508"/>
      <c r="F667" s="426"/>
      <c r="G667" s="426"/>
      <c r="H667" s="426"/>
      <c r="I667" s="426"/>
      <c r="J667" s="508"/>
      <c r="K667" s="508"/>
      <c r="L667" s="508"/>
      <c r="M667" s="508"/>
      <c r="N667" s="508"/>
      <c r="O667" s="508"/>
      <c r="P667" s="508"/>
      <c r="Q667" s="508"/>
      <c r="R667" s="508"/>
      <c r="S667" s="508"/>
      <c r="T667" s="508"/>
      <c r="U667" s="508"/>
      <c r="V667" s="508"/>
      <c r="W667" s="508"/>
      <c r="X667" s="508"/>
      <c r="Y667" s="508"/>
      <c r="Z667" s="508"/>
    </row>
    <row r="668" ht="13.5" customHeight="1">
      <c r="A668" s="426"/>
      <c r="B668" s="508"/>
      <c r="C668" s="508"/>
      <c r="D668" s="508"/>
      <c r="E668" s="508"/>
      <c r="F668" s="426"/>
      <c r="G668" s="426"/>
      <c r="H668" s="426"/>
      <c r="I668" s="426"/>
      <c r="J668" s="508"/>
      <c r="K668" s="508"/>
      <c r="L668" s="508"/>
      <c r="M668" s="508"/>
      <c r="N668" s="508"/>
      <c r="O668" s="508"/>
      <c r="P668" s="508"/>
      <c r="Q668" s="508"/>
      <c r="R668" s="508"/>
      <c r="S668" s="508"/>
      <c r="T668" s="508"/>
      <c r="U668" s="508"/>
      <c r="V668" s="508"/>
      <c r="W668" s="508"/>
      <c r="X668" s="508"/>
      <c r="Y668" s="508"/>
      <c r="Z668" s="508"/>
    </row>
    <row r="669" ht="13.5" customHeight="1">
      <c r="A669" s="426"/>
      <c r="B669" s="508"/>
      <c r="C669" s="508"/>
      <c r="D669" s="508"/>
      <c r="E669" s="508"/>
      <c r="F669" s="426"/>
      <c r="G669" s="426"/>
      <c r="H669" s="426"/>
      <c r="I669" s="426"/>
      <c r="J669" s="508"/>
      <c r="K669" s="508"/>
      <c r="L669" s="508"/>
      <c r="M669" s="508"/>
      <c r="N669" s="508"/>
      <c r="O669" s="508"/>
      <c r="P669" s="508"/>
      <c r="Q669" s="508"/>
      <c r="R669" s="508"/>
      <c r="S669" s="508"/>
      <c r="T669" s="508"/>
      <c r="U669" s="508"/>
      <c r="V669" s="508"/>
      <c r="W669" s="508"/>
      <c r="X669" s="508"/>
      <c r="Y669" s="508"/>
      <c r="Z669" s="508"/>
    </row>
    <row r="670" ht="13.5" customHeight="1">
      <c r="A670" s="426"/>
      <c r="B670" s="508"/>
      <c r="C670" s="508"/>
      <c r="D670" s="508"/>
      <c r="E670" s="508"/>
      <c r="F670" s="426"/>
      <c r="G670" s="426"/>
      <c r="H670" s="426"/>
      <c r="I670" s="426"/>
      <c r="J670" s="508"/>
      <c r="K670" s="508"/>
      <c r="L670" s="508"/>
      <c r="M670" s="508"/>
      <c r="N670" s="508"/>
      <c r="O670" s="508"/>
      <c r="P670" s="508"/>
      <c r="Q670" s="508"/>
      <c r="R670" s="508"/>
      <c r="S670" s="508"/>
      <c r="T670" s="508"/>
      <c r="U670" s="508"/>
      <c r="V670" s="508"/>
      <c r="W670" s="508"/>
      <c r="X670" s="508"/>
      <c r="Y670" s="508"/>
      <c r="Z670" s="508"/>
    </row>
    <row r="671" ht="13.5" customHeight="1">
      <c r="A671" s="426"/>
      <c r="B671" s="508"/>
      <c r="C671" s="508"/>
      <c r="D671" s="508"/>
      <c r="E671" s="508"/>
      <c r="F671" s="426"/>
      <c r="G671" s="426"/>
      <c r="H671" s="426"/>
      <c r="I671" s="426"/>
      <c r="J671" s="508"/>
      <c r="K671" s="508"/>
      <c r="L671" s="508"/>
      <c r="M671" s="508"/>
      <c r="N671" s="508"/>
      <c r="O671" s="508"/>
      <c r="P671" s="508"/>
      <c r="Q671" s="508"/>
      <c r="R671" s="508"/>
      <c r="S671" s="508"/>
      <c r="T671" s="508"/>
      <c r="U671" s="508"/>
      <c r="V671" s="508"/>
      <c r="W671" s="508"/>
      <c r="X671" s="508"/>
      <c r="Y671" s="508"/>
      <c r="Z671" s="508"/>
    </row>
    <row r="672" ht="13.5" customHeight="1">
      <c r="A672" s="426"/>
      <c r="B672" s="508"/>
      <c r="C672" s="508"/>
      <c r="D672" s="508"/>
      <c r="E672" s="508"/>
      <c r="F672" s="426"/>
      <c r="G672" s="426"/>
      <c r="H672" s="426"/>
      <c r="I672" s="426"/>
      <c r="J672" s="508"/>
      <c r="K672" s="508"/>
      <c r="L672" s="508"/>
      <c r="M672" s="508"/>
      <c r="N672" s="508"/>
      <c r="O672" s="508"/>
      <c r="P672" s="508"/>
      <c r="Q672" s="508"/>
      <c r="R672" s="508"/>
      <c r="S672" s="508"/>
      <c r="T672" s="508"/>
      <c r="U672" s="508"/>
      <c r="V672" s="508"/>
      <c r="W672" s="508"/>
      <c r="X672" s="508"/>
      <c r="Y672" s="508"/>
      <c r="Z672" s="508"/>
    </row>
    <row r="673" ht="13.5" customHeight="1">
      <c r="A673" s="426"/>
      <c r="B673" s="508"/>
      <c r="C673" s="508"/>
      <c r="D673" s="508"/>
      <c r="E673" s="508"/>
      <c r="F673" s="426"/>
      <c r="G673" s="426"/>
      <c r="H673" s="426"/>
      <c r="I673" s="426"/>
      <c r="J673" s="508"/>
      <c r="K673" s="508"/>
      <c r="L673" s="508"/>
      <c r="M673" s="508"/>
      <c r="N673" s="508"/>
      <c r="O673" s="508"/>
      <c r="P673" s="508"/>
      <c r="Q673" s="508"/>
      <c r="R673" s="508"/>
      <c r="S673" s="508"/>
      <c r="T673" s="508"/>
      <c r="U673" s="508"/>
      <c r="V673" s="508"/>
      <c r="W673" s="508"/>
      <c r="X673" s="508"/>
      <c r="Y673" s="508"/>
      <c r="Z673" s="508"/>
    </row>
    <row r="674" ht="13.5" customHeight="1">
      <c r="A674" s="426"/>
      <c r="B674" s="508"/>
      <c r="C674" s="508"/>
      <c r="D674" s="508"/>
      <c r="E674" s="508"/>
      <c r="F674" s="426"/>
      <c r="G674" s="426"/>
      <c r="H674" s="426"/>
      <c r="I674" s="426"/>
      <c r="J674" s="508"/>
      <c r="K674" s="508"/>
      <c r="L674" s="508"/>
      <c r="M674" s="508"/>
      <c r="N674" s="508"/>
      <c r="O674" s="508"/>
      <c r="P674" s="508"/>
      <c r="Q674" s="508"/>
      <c r="R674" s="508"/>
      <c r="S674" s="508"/>
      <c r="T674" s="508"/>
      <c r="U674" s="508"/>
      <c r="V674" s="508"/>
      <c r="W674" s="508"/>
      <c r="X674" s="508"/>
      <c r="Y674" s="508"/>
      <c r="Z674" s="508"/>
    </row>
    <row r="675" ht="13.5" customHeight="1">
      <c r="A675" s="426"/>
      <c r="B675" s="508"/>
      <c r="C675" s="508"/>
      <c r="D675" s="508"/>
      <c r="E675" s="508"/>
      <c r="F675" s="426"/>
      <c r="G675" s="426"/>
      <c r="H675" s="426"/>
      <c r="I675" s="426"/>
      <c r="J675" s="508"/>
      <c r="K675" s="508"/>
      <c r="L675" s="508"/>
      <c r="M675" s="508"/>
      <c r="N675" s="508"/>
      <c r="O675" s="508"/>
      <c r="P675" s="508"/>
      <c r="Q675" s="508"/>
      <c r="R675" s="508"/>
      <c r="S675" s="508"/>
      <c r="T675" s="508"/>
      <c r="U675" s="508"/>
      <c r="V675" s="508"/>
      <c r="W675" s="508"/>
      <c r="X675" s="508"/>
      <c r="Y675" s="508"/>
      <c r="Z675" s="508"/>
    </row>
    <row r="676" ht="13.5" customHeight="1">
      <c r="A676" s="426"/>
      <c r="B676" s="508"/>
      <c r="C676" s="508"/>
      <c r="D676" s="508"/>
      <c r="E676" s="508"/>
      <c r="F676" s="426"/>
      <c r="G676" s="426"/>
      <c r="H676" s="426"/>
      <c r="I676" s="426"/>
      <c r="J676" s="508"/>
      <c r="K676" s="508"/>
      <c r="L676" s="508"/>
      <c r="M676" s="508"/>
      <c r="N676" s="508"/>
      <c r="O676" s="508"/>
      <c r="P676" s="508"/>
      <c r="Q676" s="508"/>
      <c r="R676" s="508"/>
      <c r="S676" s="508"/>
      <c r="T676" s="508"/>
      <c r="U676" s="508"/>
      <c r="V676" s="508"/>
      <c r="W676" s="508"/>
      <c r="X676" s="508"/>
      <c r="Y676" s="508"/>
      <c r="Z676" s="508"/>
    </row>
    <row r="677" ht="13.5" customHeight="1">
      <c r="A677" s="426"/>
      <c r="B677" s="508"/>
      <c r="C677" s="508"/>
      <c r="D677" s="508"/>
      <c r="E677" s="508"/>
      <c r="F677" s="426"/>
      <c r="G677" s="426"/>
      <c r="H677" s="426"/>
      <c r="I677" s="426"/>
      <c r="J677" s="508"/>
      <c r="K677" s="508"/>
      <c r="L677" s="508"/>
      <c r="M677" s="508"/>
      <c r="N677" s="508"/>
      <c r="O677" s="508"/>
      <c r="P677" s="508"/>
      <c r="Q677" s="508"/>
      <c r="R677" s="508"/>
      <c r="S677" s="508"/>
      <c r="T677" s="508"/>
      <c r="U677" s="508"/>
      <c r="V677" s="508"/>
      <c r="W677" s="508"/>
      <c r="X677" s="508"/>
      <c r="Y677" s="508"/>
      <c r="Z677" s="508"/>
    </row>
    <row r="678" ht="13.5" customHeight="1">
      <c r="A678" s="426"/>
      <c r="B678" s="508"/>
      <c r="C678" s="508"/>
      <c r="D678" s="508"/>
      <c r="E678" s="508"/>
      <c r="F678" s="426"/>
      <c r="G678" s="426"/>
      <c r="H678" s="426"/>
      <c r="I678" s="426"/>
      <c r="J678" s="508"/>
      <c r="K678" s="508"/>
      <c r="L678" s="508"/>
      <c r="M678" s="508"/>
      <c r="N678" s="508"/>
      <c r="O678" s="508"/>
      <c r="P678" s="508"/>
      <c r="Q678" s="508"/>
      <c r="R678" s="508"/>
      <c r="S678" s="508"/>
      <c r="T678" s="508"/>
      <c r="U678" s="508"/>
      <c r="V678" s="508"/>
      <c r="W678" s="508"/>
      <c r="X678" s="508"/>
      <c r="Y678" s="508"/>
      <c r="Z678" s="508"/>
    </row>
    <row r="679" ht="13.5" customHeight="1">
      <c r="A679" s="426"/>
      <c r="B679" s="508"/>
      <c r="C679" s="508"/>
      <c r="D679" s="508"/>
      <c r="E679" s="508"/>
      <c r="F679" s="426"/>
      <c r="G679" s="426"/>
      <c r="H679" s="426"/>
      <c r="I679" s="426"/>
      <c r="J679" s="508"/>
      <c r="K679" s="508"/>
      <c r="L679" s="508"/>
      <c r="M679" s="508"/>
      <c r="N679" s="508"/>
      <c r="O679" s="508"/>
      <c r="P679" s="508"/>
      <c r="Q679" s="508"/>
      <c r="R679" s="508"/>
      <c r="S679" s="508"/>
      <c r="T679" s="508"/>
      <c r="U679" s="508"/>
      <c r="V679" s="508"/>
      <c r="W679" s="508"/>
      <c r="X679" s="508"/>
      <c r="Y679" s="508"/>
      <c r="Z679" s="508"/>
    </row>
    <row r="680" ht="13.5" customHeight="1">
      <c r="A680" s="426"/>
      <c r="B680" s="508"/>
      <c r="C680" s="508"/>
      <c r="D680" s="508"/>
      <c r="E680" s="508"/>
      <c r="F680" s="426"/>
      <c r="G680" s="426"/>
      <c r="H680" s="426"/>
      <c r="I680" s="426"/>
      <c r="J680" s="508"/>
      <c r="K680" s="508"/>
      <c r="L680" s="508"/>
      <c r="M680" s="508"/>
      <c r="N680" s="508"/>
      <c r="O680" s="508"/>
      <c r="P680" s="508"/>
      <c r="Q680" s="508"/>
      <c r="R680" s="508"/>
      <c r="S680" s="508"/>
      <c r="T680" s="508"/>
      <c r="U680" s="508"/>
      <c r="V680" s="508"/>
      <c r="W680" s="508"/>
      <c r="X680" s="508"/>
      <c r="Y680" s="508"/>
      <c r="Z680" s="508"/>
    </row>
    <row r="681" ht="13.5" customHeight="1">
      <c r="A681" s="426"/>
      <c r="B681" s="508"/>
      <c r="C681" s="508"/>
      <c r="D681" s="508"/>
      <c r="E681" s="508"/>
      <c r="F681" s="426"/>
      <c r="G681" s="426"/>
      <c r="H681" s="426"/>
      <c r="I681" s="426"/>
      <c r="J681" s="508"/>
      <c r="K681" s="508"/>
      <c r="L681" s="508"/>
      <c r="M681" s="508"/>
      <c r="N681" s="508"/>
      <c r="O681" s="508"/>
      <c r="P681" s="508"/>
      <c r="Q681" s="508"/>
      <c r="R681" s="508"/>
      <c r="S681" s="508"/>
      <c r="T681" s="508"/>
      <c r="U681" s="508"/>
      <c r="V681" s="508"/>
      <c r="W681" s="508"/>
      <c r="X681" s="508"/>
      <c r="Y681" s="508"/>
      <c r="Z681" s="508"/>
    </row>
    <row r="682" ht="13.5" customHeight="1">
      <c r="A682" s="426"/>
      <c r="B682" s="508"/>
      <c r="C682" s="508"/>
      <c r="D682" s="508"/>
      <c r="E682" s="508"/>
      <c r="F682" s="426"/>
      <c r="G682" s="426"/>
      <c r="H682" s="426"/>
      <c r="I682" s="426"/>
      <c r="J682" s="508"/>
      <c r="K682" s="508"/>
      <c r="L682" s="508"/>
      <c r="M682" s="508"/>
      <c r="N682" s="508"/>
      <c r="O682" s="508"/>
      <c r="P682" s="508"/>
      <c r="Q682" s="508"/>
      <c r="R682" s="508"/>
      <c r="S682" s="508"/>
      <c r="T682" s="508"/>
      <c r="U682" s="508"/>
      <c r="V682" s="508"/>
      <c r="W682" s="508"/>
      <c r="X682" s="508"/>
      <c r="Y682" s="508"/>
      <c r="Z682" s="508"/>
    </row>
    <row r="683" ht="13.5" customHeight="1">
      <c r="A683" s="426"/>
      <c r="B683" s="508"/>
      <c r="C683" s="508"/>
      <c r="D683" s="508"/>
      <c r="E683" s="508"/>
      <c r="F683" s="426"/>
      <c r="G683" s="426"/>
      <c r="H683" s="426"/>
      <c r="I683" s="426"/>
      <c r="J683" s="508"/>
      <c r="K683" s="508"/>
      <c r="L683" s="508"/>
      <c r="M683" s="508"/>
      <c r="N683" s="508"/>
      <c r="O683" s="508"/>
      <c r="P683" s="508"/>
      <c r="Q683" s="508"/>
      <c r="R683" s="508"/>
      <c r="S683" s="508"/>
      <c r="T683" s="508"/>
      <c r="U683" s="508"/>
      <c r="V683" s="508"/>
      <c r="W683" s="508"/>
      <c r="X683" s="508"/>
      <c r="Y683" s="508"/>
      <c r="Z683" s="508"/>
    </row>
    <row r="684" ht="13.5" customHeight="1">
      <c r="A684" s="426"/>
      <c r="B684" s="508"/>
      <c r="C684" s="508"/>
      <c r="D684" s="508"/>
      <c r="E684" s="508"/>
      <c r="F684" s="426"/>
      <c r="G684" s="426"/>
      <c r="H684" s="426"/>
      <c r="I684" s="426"/>
      <c r="J684" s="508"/>
      <c r="K684" s="508"/>
      <c r="L684" s="508"/>
      <c r="M684" s="508"/>
      <c r="N684" s="508"/>
      <c r="O684" s="508"/>
      <c r="P684" s="508"/>
      <c r="Q684" s="508"/>
      <c r="R684" s="508"/>
      <c r="S684" s="508"/>
      <c r="T684" s="508"/>
      <c r="U684" s="508"/>
      <c r="V684" s="508"/>
      <c r="W684" s="508"/>
      <c r="X684" s="508"/>
      <c r="Y684" s="508"/>
      <c r="Z684" s="508"/>
    </row>
    <row r="685" ht="13.5" customHeight="1">
      <c r="A685" s="426"/>
      <c r="B685" s="508"/>
      <c r="C685" s="508"/>
      <c r="D685" s="508"/>
      <c r="E685" s="508"/>
      <c r="F685" s="426"/>
      <c r="G685" s="426"/>
      <c r="H685" s="426"/>
      <c r="I685" s="426"/>
      <c r="J685" s="508"/>
      <c r="K685" s="508"/>
      <c r="L685" s="508"/>
      <c r="M685" s="508"/>
      <c r="N685" s="508"/>
      <c r="O685" s="508"/>
      <c r="P685" s="508"/>
      <c r="Q685" s="508"/>
      <c r="R685" s="508"/>
      <c r="S685" s="508"/>
      <c r="T685" s="508"/>
      <c r="U685" s="508"/>
      <c r="V685" s="508"/>
      <c r="W685" s="508"/>
      <c r="X685" s="508"/>
      <c r="Y685" s="508"/>
      <c r="Z685" s="508"/>
    </row>
    <row r="686" ht="13.5" customHeight="1">
      <c r="A686" s="426"/>
      <c r="B686" s="508"/>
      <c r="C686" s="508"/>
      <c r="D686" s="508"/>
      <c r="E686" s="508"/>
      <c r="F686" s="426"/>
      <c r="G686" s="426"/>
      <c r="H686" s="426"/>
      <c r="I686" s="426"/>
      <c r="J686" s="508"/>
      <c r="K686" s="508"/>
      <c r="L686" s="508"/>
      <c r="M686" s="508"/>
      <c r="N686" s="508"/>
      <c r="O686" s="508"/>
      <c r="P686" s="508"/>
      <c r="Q686" s="508"/>
      <c r="R686" s="508"/>
      <c r="S686" s="508"/>
      <c r="T686" s="508"/>
      <c r="U686" s="508"/>
      <c r="V686" s="508"/>
      <c r="W686" s="508"/>
      <c r="X686" s="508"/>
      <c r="Y686" s="508"/>
      <c r="Z686" s="508"/>
    </row>
    <row r="687" ht="13.5" customHeight="1">
      <c r="A687" s="426"/>
      <c r="B687" s="508"/>
      <c r="C687" s="508"/>
      <c r="D687" s="508"/>
      <c r="E687" s="508"/>
      <c r="F687" s="426"/>
      <c r="G687" s="426"/>
      <c r="H687" s="426"/>
      <c r="I687" s="426"/>
      <c r="J687" s="508"/>
      <c r="K687" s="508"/>
      <c r="L687" s="508"/>
      <c r="M687" s="508"/>
      <c r="N687" s="508"/>
      <c r="O687" s="508"/>
      <c r="P687" s="508"/>
      <c r="Q687" s="508"/>
      <c r="R687" s="508"/>
      <c r="S687" s="508"/>
      <c r="T687" s="508"/>
      <c r="U687" s="508"/>
      <c r="V687" s="508"/>
      <c r="W687" s="508"/>
      <c r="X687" s="508"/>
      <c r="Y687" s="508"/>
      <c r="Z687" s="508"/>
    </row>
    <row r="688" ht="13.5" customHeight="1">
      <c r="A688" s="426"/>
      <c r="B688" s="508"/>
      <c r="C688" s="508"/>
      <c r="D688" s="508"/>
      <c r="E688" s="508"/>
      <c r="F688" s="426"/>
      <c r="G688" s="426"/>
      <c r="H688" s="426"/>
      <c r="I688" s="426"/>
      <c r="J688" s="508"/>
      <c r="K688" s="508"/>
      <c r="L688" s="508"/>
      <c r="M688" s="508"/>
      <c r="N688" s="508"/>
      <c r="O688" s="508"/>
      <c r="P688" s="508"/>
      <c r="Q688" s="508"/>
      <c r="R688" s="508"/>
      <c r="S688" s="508"/>
      <c r="T688" s="508"/>
      <c r="U688" s="508"/>
      <c r="V688" s="508"/>
      <c r="W688" s="508"/>
      <c r="X688" s="508"/>
      <c r="Y688" s="508"/>
      <c r="Z688" s="508"/>
    </row>
    <row r="689" ht="13.5" customHeight="1">
      <c r="A689" s="426"/>
      <c r="B689" s="508"/>
      <c r="C689" s="508"/>
      <c r="D689" s="508"/>
      <c r="E689" s="508"/>
      <c r="F689" s="426"/>
      <c r="G689" s="426"/>
      <c r="H689" s="426"/>
      <c r="I689" s="426"/>
      <c r="J689" s="508"/>
      <c r="K689" s="508"/>
      <c r="L689" s="508"/>
      <c r="M689" s="508"/>
      <c r="N689" s="508"/>
      <c r="O689" s="508"/>
      <c r="P689" s="508"/>
      <c r="Q689" s="508"/>
      <c r="R689" s="508"/>
      <c r="S689" s="508"/>
      <c r="T689" s="508"/>
      <c r="U689" s="508"/>
      <c r="V689" s="508"/>
      <c r="W689" s="508"/>
      <c r="X689" s="508"/>
      <c r="Y689" s="508"/>
      <c r="Z689" s="508"/>
    </row>
    <row r="690" ht="13.5" customHeight="1">
      <c r="A690" s="426"/>
      <c r="B690" s="508"/>
      <c r="C690" s="508"/>
      <c r="D690" s="508"/>
      <c r="E690" s="508"/>
      <c r="F690" s="426"/>
      <c r="G690" s="426"/>
      <c r="H690" s="426"/>
      <c r="I690" s="426"/>
      <c r="J690" s="508"/>
      <c r="K690" s="508"/>
      <c r="L690" s="508"/>
      <c r="M690" s="508"/>
      <c r="N690" s="508"/>
      <c r="O690" s="508"/>
      <c r="P690" s="508"/>
      <c r="Q690" s="508"/>
      <c r="R690" s="508"/>
      <c r="S690" s="508"/>
      <c r="T690" s="508"/>
      <c r="U690" s="508"/>
      <c r="V690" s="508"/>
      <c r="W690" s="508"/>
      <c r="X690" s="508"/>
      <c r="Y690" s="508"/>
      <c r="Z690" s="508"/>
    </row>
    <row r="691" ht="13.5" customHeight="1">
      <c r="A691" s="426"/>
      <c r="B691" s="508"/>
      <c r="C691" s="508"/>
      <c r="D691" s="508"/>
      <c r="E691" s="508"/>
      <c r="F691" s="426"/>
      <c r="G691" s="426"/>
      <c r="H691" s="426"/>
      <c r="I691" s="426"/>
      <c r="J691" s="508"/>
      <c r="K691" s="508"/>
      <c r="L691" s="508"/>
      <c r="M691" s="508"/>
      <c r="N691" s="508"/>
      <c r="O691" s="508"/>
      <c r="P691" s="508"/>
      <c r="Q691" s="508"/>
      <c r="R691" s="508"/>
      <c r="S691" s="508"/>
      <c r="T691" s="508"/>
      <c r="U691" s="508"/>
      <c r="V691" s="508"/>
      <c r="W691" s="508"/>
      <c r="X691" s="508"/>
      <c r="Y691" s="508"/>
      <c r="Z691" s="508"/>
    </row>
    <row r="692" ht="13.5" customHeight="1">
      <c r="A692" s="426"/>
      <c r="B692" s="508"/>
      <c r="C692" s="508"/>
      <c r="D692" s="508"/>
      <c r="E692" s="508"/>
      <c r="F692" s="426"/>
      <c r="G692" s="426"/>
      <c r="H692" s="426"/>
      <c r="I692" s="426"/>
      <c r="J692" s="508"/>
      <c r="K692" s="508"/>
      <c r="L692" s="508"/>
      <c r="M692" s="508"/>
      <c r="N692" s="508"/>
      <c r="O692" s="508"/>
      <c r="P692" s="508"/>
      <c r="Q692" s="508"/>
      <c r="R692" s="508"/>
      <c r="S692" s="508"/>
      <c r="T692" s="508"/>
      <c r="U692" s="508"/>
      <c r="V692" s="508"/>
      <c r="W692" s="508"/>
      <c r="X692" s="508"/>
      <c r="Y692" s="508"/>
      <c r="Z692" s="508"/>
    </row>
    <row r="693" ht="13.5" customHeight="1">
      <c r="A693" s="426"/>
      <c r="B693" s="508"/>
      <c r="C693" s="508"/>
      <c r="D693" s="508"/>
      <c r="E693" s="508"/>
      <c r="F693" s="426"/>
      <c r="G693" s="426"/>
      <c r="H693" s="426"/>
      <c r="I693" s="426"/>
      <c r="J693" s="508"/>
      <c r="K693" s="508"/>
      <c r="L693" s="508"/>
      <c r="M693" s="508"/>
      <c r="N693" s="508"/>
      <c r="O693" s="508"/>
      <c r="P693" s="508"/>
      <c r="Q693" s="508"/>
      <c r="R693" s="508"/>
      <c r="S693" s="508"/>
      <c r="T693" s="508"/>
      <c r="U693" s="508"/>
      <c r="V693" s="508"/>
      <c r="W693" s="508"/>
      <c r="X693" s="508"/>
      <c r="Y693" s="508"/>
      <c r="Z693" s="508"/>
    </row>
    <row r="694" ht="13.5" customHeight="1">
      <c r="A694" s="426"/>
      <c r="B694" s="508"/>
      <c r="C694" s="508"/>
      <c r="D694" s="508"/>
      <c r="E694" s="508"/>
      <c r="F694" s="426"/>
      <c r="G694" s="426"/>
      <c r="H694" s="426"/>
      <c r="I694" s="426"/>
      <c r="J694" s="508"/>
      <c r="K694" s="508"/>
      <c r="L694" s="508"/>
      <c r="M694" s="508"/>
      <c r="N694" s="508"/>
      <c r="O694" s="508"/>
      <c r="P694" s="508"/>
      <c r="Q694" s="508"/>
      <c r="R694" s="508"/>
      <c r="S694" s="508"/>
      <c r="T694" s="508"/>
      <c r="U694" s="508"/>
      <c r="V694" s="508"/>
      <c r="W694" s="508"/>
      <c r="X694" s="508"/>
      <c r="Y694" s="508"/>
      <c r="Z694" s="508"/>
    </row>
    <row r="695" ht="13.5" customHeight="1">
      <c r="A695" s="426"/>
      <c r="B695" s="508"/>
      <c r="C695" s="508"/>
      <c r="D695" s="508"/>
      <c r="E695" s="508"/>
      <c r="F695" s="426"/>
      <c r="G695" s="426"/>
      <c r="H695" s="426"/>
      <c r="I695" s="426"/>
      <c r="J695" s="508"/>
      <c r="K695" s="508"/>
      <c r="L695" s="508"/>
      <c r="M695" s="508"/>
      <c r="N695" s="508"/>
      <c r="O695" s="508"/>
      <c r="P695" s="508"/>
      <c r="Q695" s="508"/>
      <c r="R695" s="508"/>
      <c r="S695" s="508"/>
      <c r="T695" s="508"/>
      <c r="U695" s="508"/>
      <c r="V695" s="508"/>
      <c r="W695" s="508"/>
      <c r="X695" s="508"/>
      <c r="Y695" s="508"/>
      <c r="Z695" s="508"/>
    </row>
    <row r="696" ht="13.5" customHeight="1">
      <c r="A696" s="426"/>
      <c r="B696" s="508"/>
      <c r="C696" s="508"/>
      <c r="D696" s="508"/>
      <c r="E696" s="508"/>
      <c r="F696" s="426"/>
      <c r="G696" s="426"/>
      <c r="H696" s="426"/>
      <c r="I696" s="426"/>
      <c r="J696" s="508"/>
      <c r="K696" s="508"/>
      <c r="L696" s="508"/>
      <c r="M696" s="508"/>
      <c r="N696" s="508"/>
      <c r="O696" s="508"/>
      <c r="P696" s="508"/>
      <c r="Q696" s="508"/>
      <c r="R696" s="508"/>
      <c r="S696" s="508"/>
      <c r="T696" s="508"/>
      <c r="U696" s="508"/>
      <c r="V696" s="508"/>
      <c r="W696" s="508"/>
      <c r="X696" s="508"/>
      <c r="Y696" s="508"/>
      <c r="Z696" s="508"/>
    </row>
    <row r="697" ht="13.5" customHeight="1">
      <c r="A697" s="426"/>
      <c r="B697" s="508"/>
      <c r="C697" s="508"/>
      <c r="D697" s="508"/>
      <c r="E697" s="508"/>
      <c r="F697" s="426"/>
      <c r="G697" s="426"/>
      <c r="H697" s="426"/>
      <c r="I697" s="426"/>
      <c r="J697" s="508"/>
      <c r="K697" s="508"/>
      <c r="L697" s="508"/>
      <c r="M697" s="508"/>
      <c r="N697" s="508"/>
      <c r="O697" s="508"/>
      <c r="P697" s="508"/>
      <c r="Q697" s="508"/>
      <c r="R697" s="508"/>
      <c r="S697" s="508"/>
      <c r="T697" s="508"/>
      <c r="U697" s="508"/>
      <c r="V697" s="508"/>
      <c r="W697" s="508"/>
      <c r="X697" s="508"/>
      <c r="Y697" s="508"/>
      <c r="Z697" s="508"/>
    </row>
    <row r="698" ht="13.5" customHeight="1">
      <c r="A698" s="426"/>
      <c r="B698" s="508"/>
      <c r="C698" s="508"/>
      <c r="D698" s="508"/>
      <c r="E698" s="508"/>
      <c r="F698" s="426"/>
      <c r="G698" s="426"/>
      <c r="H698" s="426"/>
      <c r="I698" s="426"/>
      <c r="J698" s="508"/>
      <c r="K698" s="508"/>
      <c r="L698" s="508"/>
      <c r="M698" s="508"/>
      <c r="N698" s="508"/>
      <c r="O698" s="508"/>
      <c r="P698" s="508"/>
      <c r="Q698" s="508"/>
      <c r="R698" s="508"/>
      <c r="S698" s="508"/>
      <c r="T698" s="508"/>
      <c r="U698" s="508"/>
      <c r="V698" s="508"/>
      <c r="W698" s="508"/>
      <c r="X698" s="508"/>
      <c r="Y698" s="508"/>
      <c r="Z698" s="508"/>
    </row>
    <row r="699" ht="13.5" customHeight="1">
      <c r="A699" s="426"/>
      <c r="B699" s="508"/>
      <c r="C699" s="508"/>
      <c r="D699" s="508"/>
      <c r="E699" s="508"/>
      <c r="F699" s="426"/>
      <c r="G699" s="426"/>
      <c r="H699" s="426"/>
      <c r="I699" s="426"/>
      <c r="J699" s="508"/>
      <c r="K699" s="508"/>
      <c r="L699" s="508"/>
      <c r="M699" s="508"/>
      <c r="N699" s="508"/>
      <c r="O699" s="508"/>
      <c r="P699" s="508"/>
      <c r="Q699" s="508"/>
      <c r="R699" s="508"/>
      <c r="S699" s="508"/>
      <c r="T699" s="508"/>
      <c r="U699" s="508"/>
      <c r="V699" s="508"/>
      <c r="W699" s="508"/>
      <c r="X699" s="508"/>
      <c r="Y699" s="508"/>
      <c r="Z699" s="508"/>
    </row>
    <row r="700" ht="13.5" customHeight="1">
      <c r="A700" s="426"/>
      <c r="B700" s="508"/>
      <c r="C700" s="508"/>
      <c r="D700" s="508"/>
      <c r="E700" s="508"/>
      <c r="F700" s="426"/>
      <c r="G700" s="426"/>
      <c r="H700" s="426"/>
      <c r="I700" s="426"/>
      <c r="J700" s="508"/>
      <c r="K700" s="508"/>
      <c r="L700" s="508"/>
      <c r="M700" s="508"/>
      <c r="N700" s="508"/>
      <c r="O700" s="508"/>
      <c r="P700" s="508"/>
      <c r="Q700" s="508"/>
      <c r="R700" s="508"/>
      <c r="S700" s="508"/>
      <c r="T700" s="508"/>
      <c r="U700" s="508"/>
      <c r="V700" s="508"/>
      <c r="W700" s="508"/>
      <c r="X700" s="508"/>
      <c r="Y700" s="508"/>
      <c r="Z700" s="508"/>
    </row>
    <row r="701" ht="13.5" customHeight="1">
      <c r="A701" s="426"/>
      <c r="B701" s="508"/>
      <c r="C701" s="508"/>
      <c r="D701" s="508"/>
      <c r="E701" s="508"/>
      <c r="F701" s="426"/>
      <c r="G701" s="426"/>
      <c r="H701" s="426"/>
      <c r="I701" s="426"/>
      <c r="J701" s="508"/>
      <c r="K701" s="508"/>
      <c r="L701" s="508"/>
      <c r="M701" s="508"/>
      <c r="N701" s="508"/>
      <c r="O701" s="508"/>
      <c r="P701" s="508"/>
      <c r="Q701" s="508"/>
      <c r="R701" s="508"/>
      <c r="S701" s="508"/>
      <c r="T701" s="508"/>
      <c r="U701" s="508"/>
      <c r="V701" s="508"/>
      <c r="W701" s="508"/>
      <c r="X701" s="508"/>
      <c r="Y701" s="508"/>
      <c r="Z701" s="508"/>
    </row>
    <row r="702" ht="13.5" customHeight="1">
      <c r="A702" s="426"/>
      <c r="B702" s="508"/>
      <c r="C702" s="508"/>
      <c r="D702" s="508"/>
      <c r="E702" s="508"/>
      <c r="F702" s="426"/>
      <c r="G702" s="426"/>
      <c r="H702" s="426"/>
      <c r="I702" s="426"/>
      <c r="J702" s="508"/>
      <c r="K702" s="508"/>
      <c r="L702" s="508"/>
      <c r="M702" s="508"/>
      <c r="N702" s="508"/>
      <c r="O702" s="508"/>
      <c r="P702" s="508"/>
      <c r="Q702" s="508"/>
      <c r="R702" s="508"/>
      <c r="S702" s="508"/>
      <c r="T702" s="508"/>
      <c r="U702" s="508"/>
      <c r="V702" s="508"/>
      <c r="W702" s="508"/>
      <c r="X702" s="508"/>
      <c r="Y702" s="508"/>
      <c r="Z702" s="508"/>
    </row>
    <row r="703" ht="13.5" customHeight="1">
      <c r="A703" s="426"/>
      <c r="B703" s="508"/>
      <c r="C703" s="508"/>
      <c r="D703" s="508"/>
      <c r="E703" s="508"/>
      <c r="F703" s="426"/>
      <c r="G703" s="426"/>
      <c r="H703" s="426"/>
      <c r="I703" s="426"/>
      <c r="J703" s="508"/>
      <c r="K703" s="508"/>
      <c r="L703" s="508"/>
      <c r="M703" s="508"/>
      <c r="N703" s="508"/>
      <c r="O703" s="508"/>
      <c r="P703" s="508"/>
      <c r="Q703" s="508"/>
      <c r="R703" s="508"/>
      <c r="S703" s="508"/>
      <c r="T703" s="508"/>
      <c r="U703" s="508"/>
      <c r="V703" s="508"/>
      <c r="W703" s="508"/>
      <c r="X703" s="508"/>
      <c r="Y703" s="508"/>
      <c r="Z703" s="508"/>
    </row>
    <row r="704" ht="13.5" customHeight="1">
      <c r="A704" s="426"/>
      <c r="B704" s="508"/>
      <c r="C704" s="508"/>
      <c r="D704" s="508"/>
      <c r="E704" s="508"/>
      <c r="F704" s="426"/>
      <c r="G704" s="426"/>
      <c r="H704" s="426"/>
      <c r="I704" s="426"/>
      <c r="J704" s="508"/>
      <c r="K704" s="508"/>
      <c r="L704" s="508"/>
      <c r="M704" s="508"/>
      <c r="N704" s="508"/>
      <c r="O704" s="508"/>
      <c r="P704" s="508"/>
      <c r="Q704" s="508"/>
      <c r="R704" s="508"/>
      <c r="S704" s="508"/>
      <c r="T704" s="508"/>
      <c r="U704" s="508"/>
      <c r="V704" s="508"/>
      <c r="W704" s="508"/>
      <c r="X704" s="508"/>
      <c r="Y704" s="508"/>
      <c r="Z704" s="508"/>
    </row>
    <row r="705" ht="13.5" customHeight="1">
      <c r="A705" s="426"/>
      <c r="B705" s="508"/>
      <c r="C705" s="508"/>
      <c r="D705" s="508"/>
      <c r="E705" s="508"/>
      <c r="F705" s="426"/>
      <c r="G705" s="426"/>
      <c r="H705" s="426"/>
      <c r="I705" s="426"/>
      <c r="J705" s="508"/>
      <c r="K705" s="508"/>
      <c r="L705" s="508"/>
      <c r="M705" s="508"/>
      <c r="N705" s="508"/>
      <c r="O705" s="508"/>
      <c r="P705" s="508"/>
      <c r="Q705" s="508"/>
      <c r="R705" s="508"/>
      <c r="S705" s="508"/>
      <c r="T705" s="508"/>
      <c r="U705" s="508"/>
      <c r="V705" s="508"/>
      <c r="W705" s="508"/>
      <c r="X705" s="508"/>
      <c r="Y705" s="508"/>
      <c r="Z705" s="508"/>
    </row>
    <row r="706" ht="13.5" customHeight="1">
      <c r="A706" s="426"/>
      <c r="B706" s="508"/>
      <c r="C706" s="508"/>
      <c r="D706" s="508"/>
      <c r="E706" s="508"/>
      <c r="F706" s="426"/>
      <c r="G706" s="426"/>
      <c r="H706" s="426"/>
      <c r="I706" s="426"/>
      <c r="J706" s="508"/>
      <c r="K706" s="508"/>
      <c r="L706" s="508"/>
      <c r="M706" s="508"/>
      <c r="N706" s="508"/>
      <c r="O706" s="508"/>
      <c r="P706" s="508"/>
      <c r="Q706" s="508"/>
      <c r="R706" s="508"/>
      <c r="S706" s="508"/>
      <c r="T706" s="508"/>
      <c r="U706" s="508"/>
      <c r="V706" s="508"/>
      <c r="W706" s="508"/>
      <c r="X706" s="508"/>
      <c r="Y706" s="508"/>
      <c r="Z706" s="508"/>
    </row>
    <row r="707" ht="13.5" customHeight="1">
      <c r="A707" s="426"/>
      <c r="B707" s="508"/>
      <c r="C707" s="508"/>
      <c r="D707" s="508"/>
      <c r="E707" s="508"/>
      <c r="F707" s="426"/>
      <c r="G707" s="426"/>
      <c r="H707" s="426"/>
      <c r="I707" s="426"/>
      <c r="J707" s="508"/>
      <c r="K707" s="508"/>
      <c r="L707" s="508"/>
      <c r="M707" s="508"/>
      <c r="N707" s="508"/>
      <c r="O707" s="508"/>
      <c r="P707" s="508"/>
      <c r="Q707" s="508"/>
      <c r="R707" s="508"/>
      <c r="S707" s="508"/>
      <c r="T707" s="508"/>
      <c r="U707" s="508"/>
      <c r="V707" s="508"/>
      <c r="W707" s="508"/>
      <c r="X707" s="508"/>
      <c r="Y707" s="508"/>
      <c r="Z707" s="508"/>
    </row>
    <row r="708" ht="13.5" customHeight="1">
      <c r="A708" s="426"/>
      <c r="B708" s="508"/>
      <c r="C708" s="508"/>
      <c r="D708" s="508"/>
      <c r="E708" s="508"/>
      <c r="F708" s="426"/>
      <c r="G708" s="426"/>
      <c r="H708" s="426"/>
      <c r="I708" s="426"/>
      <c r="J708" s="508"/>
      <c r="K708" s="508"/>
      <c r="L708" s="508"/>
      <c r="M708" s="508"/>
      <c r="N708" s="508"/>
      <c r="O708" s="508"/>
      <c r="P708" s="508"/>
      <c r="Q708" s="508"/>
      <c r="R708" s="508"/>
      <c r="S708" s="508"/>
      <c r="T708" s="508"/>
      <c r="U708" s="508"/>
      <c r="V708" s="508"/>
      <c r="W708" s="508"/>
      <c r="X708" s="508"/>
      <c r="Y708" s="508"/>
      <c r="Z708" s="508"/>
    </row>
    <row r="709" ht="13.5" customHeight="1">
      <c r="A709" s="426"/>
      <c r="B709" s="508"/>
      <c r="C709" s="508"/>
      <c r="D709" s="508"/>
      <c r="E709" s="508"/>
      <c r="F709" s="426"/>
      <c r="G709" s="426"/>
      <c r="H709" s="426"/>
      <c r="I709" s="426"/>
      <c r="J709" s="508"/>
      <c r="K709" s="508"/>
      <c r="L709" s="508"/>
      <c r="M709" s="508"/>
      <c r="N709" s="508"/>
      <c r="O709" s="508"/>
      <c r="P709" s="508"/>
      <c r="Q709" s="508"/>
      <c r="R709" s="508"/>
      <c r="S709" s="508"/>
      <c r="T709" s="508"/>
      <c r="U709" s="508"/>
      <c r="V709" s="508"/>
      <c r="W709" s="508"/>
      <c r="X709" s="508"/>
      <c r="Y709" s="508"/>
      <c r="Z709" s="508"/>
    </row>
    <row r="710" ht="13.5" customHeight="1">
      <c r="A710" s="426"/>
      <c r="B710" s="508"/>
      <c r="C710" s="508"/>
      <c r="D710" s="508"/>
      <c r="E710" s="508"/>
      <c r="F710" s="426"/>
      <c r="G710" s="426"/>
      <c r="H710" s="426"/>
      <c r="I710" s="426"/>
      <c r="J710" s="508"/>
      <c r="K710" s="508"/>
      <c r="L710" s="508"/>
      <c r="M710" s="508"/>
      <c r="N710" s="508"/>
      <c r="O710" s="508"/>
      <c r="P710" s="508"/>
      <c r="Q710" s="508"/>
      <c r="R710" s="508"/>
      <c r="S710" s="508"/>
      <c r="T710" s="508"/>
      <c r="U710" s="508"/>
      <c r="V710" s="508"/>
      <c r="W710" s="508"/>
      <c r="X710" s="508"/>
      <c r="Y710" s="508"/>
      <c r="Z710" s="508"/>
    </row>
    <row r="711" ht="13.5" customHeight="1">
      <c r="A711" s="426"/>
      <c r="B711" s="508"/>
      <c r="C711" s="508"/>
      <c r="D711" s="508"/>
      <c r="E711" s="508"/>
      <c r="F711" s="426"/>
      <c r="G711" s="426"/>
      <c r="H711" s="426"/>
      <c r="I711" s="426"/>
      <c r="J711" s="508"/>
      <c r="K711" s="508"/>
      <c r="L711" s="508"/>
      <c r="M711" s="508"/>
      <c r="N711" s="508"/>
      <c r="O711" s="508"/>
      <c r="P711" s="508"/>
      <c r="Q711" s="508"/>
      <c r="R711" s="508"/>
      <c r="S711" s="508"/>
      <c r="T711" s="508"/>
      <c r="U711" s="508"/>
      <c r="V711" s="508"/>
      <c r="W711" s="508"/>
      <c r="X711" s="508"/>
      <c r="Y711" s="508"/>
      <c r="Z711" s="508"/>
    </row>
    <row r="712" ht="13.5" customHeight="1">
      <c r="A712" s="426"/>
      <c r="B712" s="508"/>
      <c r="C712" s="508"/>
      <c r="D712" s="508"/>
      <c r="E712" s="508"/>
      <c r="F712" s="426"/>
      <c r="G712" s="426"/>
      <c r="H712" s="426"/>
      <c r="I712" s="426"/>
      <c r="J712" s="508"/>
      <c r="K712" s="508"/>
      <c r="L712" s="508"/>
      <c r="M712" s="508"/>
      <c r="N712" s="508"/>
      <c r="O712" s="508"/>
      <c r="P712" s="508"/>
      <c r="Q712" s="508"/>
      <c r="R712" s="508"/>
      <c r="S712" s="508"/>
      <c r="T712" s="508"/>
      <c r="U712" s="508"/>
      <c r="V712" s="508"/>
      <c r="W712" s="508"/>
      <c r="X712" s="508"/>
      <c r="Y712" s="508"/>
      <c r="Z712" s="508"/>
    </row>
    <row r="713" ht="13.5" customHeight="1">
      <c r="A713" s="426"/>
      <c r="B713" s="508"/>
      <c r="C713" s="508"/>
      <c r="D713" s="508"/>
      <c r="E713" s="508"/>
      <c r="F713" s="426"/>
      <c r="G713" s="426"/>
      <c r="H713" s="426"/>
      <c r="I713" s="426"/>
      <c r="J713" s="508"/>
      <c r="K713" s="508"/>
      <c r="L713" s="508"/>
      <c r="M713" s="508"/>
      <c r="N713" s="508"/>
      <c r="O713" s="508"/>
      <c r="P713" s="508"/>
      <c r="Q713" s="508"/>
      <c r="R713" s="508"/>
      <c r="S713" s="508"/>
      <c r="T713" s="508"/>
      <c r="U713" s="508"/>
      <c r="V713" s="508"/>
      <c r="W713" s="508"/>
      <c r="X713" s="508"/>
      <c r="Y713" s="508"/>
      <c r="Z713" s="508"/>
    </row>
    <row r="714" ht="13.5" customHeight="1">
      <c r="A714" s="426"/>
      <c r="B714" s="508"/>
      <c r="C714" s="508"/>
      <c r="D714" s="508"/>
      <c r="E714" s="508"/>
      <c r="F714" s="426"/>
      <c r="G714" s="426"/>
      <c r="H714" s="426"/>
      <c r="I714" s="426"/>
      <c r="J714" s="508"/>
      <c r="K714" s="508"/>
      <c r="L714" s="508"/>
      <c r="M714" s="508"/>
      <c r="N714" s="508"/>
      <c r="O714" s="508"/>
      <c r="P714" s="508"/>
      <c r="Q714" s="508"/>
      <c r="R714" s="508"/>
      <c r="S714" s="508"/>
      <c r="T714" s="508"/>
      <c r="U714" s="508"/>
      <c r="V714" s="508"/>
      <c r="W714" s="508"/>
      <c r="X714" s="508"/>
      <c r="Y714" s="508"/>
      <c r="Z714" s="508"/>
    </row>
    <row r="715" ht="13.5" customHeight="1">
      <c r="A715" s="426"/>
      <c r="B715" s="508"/>
      <c r="C715" s="508"/>
      <c r="D715" s="508"/>
      <c r="E715" s="508"/>
      <c r="F715" s="426"/>
      <c r="G715" s="426"/>
      <c r="H715" s="426"/>
      <c r="I715" s="426"/>
      <c r="J715" s="508"/>
      <c r="K715" s="508"/>
      <c r="L715" s="508"/>
      <c r="M715" s="508"/>
      <c r="N715" s="508"/>
      <c r="O715" s="508"/>
      <c r="P715" s="508"/>
      <c r="Q715" s="508"/>
      <c r="R715" s="508"/>
      <c r="S715" s="508"/>
      <c r="T715" s="508"/>
      <c r="U715" s="508"/>
      <c r="V715" s="508"/>
      <c r="W715" s="508"/>
      <c r="X715" s="508"/>
      <c r="Y715" s="508"/>
      <c r="Z715" s="508"/>
    </row>
    <row r="716" ht="13.5" customHeight="1">
      <c r="A716" s="426"/>
      <c r="B716" s="508"/>
      <c r="C716" s="508"/>
      <c r="D716" s="508"/>
      <c r="E716" s="508"/>
      <c r="F716" s="426"/>
      <c r="G716" s="426"/>
      <c r="H716" s="426"/>
      <c r="I716" s="426"/>
      <c r="J716" s="508"/>
      <c r="K716" s="508"/>
      <c r="L716" s="508"/>
      <c r="M716" s="508"/>
      <c r="N716" s="508"/>
      <c r="O716" s="508"/>
      <c r="P716" s="508"/>
      <c r="Q716" s="508"/>
      <c r="R716" s="508"/>
      <c r="S716" s="508"/>
      <c r="T716" s="508"/>
      <c r="U716" s="508"/>
      <c r="V716" s="508"/>
      <c r="W716" s="508"/>
      <c r="X716" s="508"/>
      <c r="Y716" s="508"/>
      <c r="Z716" s="508"/>
    </row>
    <row r="717" ht="13.5" customHeight="1">
      <c r="A717" s="426"/>
      <c r="B717" s="508"/>
      <c r="C717" s="508"/>
      <c r="D717" s="508"/>
      <c r="E717" s="508"/>
      <c r="F717" s="426"/>
      <c r="G717" s="426"/>
      <c r="H717" s="426"/>
      <c r="I717" s="426"/>
      <c r="J717" s="508"/>
      <c r="K717" s="508"/>
      <c r="L717" s="508"/>
      <c r="M717" s="508"/>
      <c r="N717" s="508"/>
      <c r="O717" s="508"/>
      <c r="P717" s="508"/>
      <c r="Q717" s="508"/>
      <c r="R717" s="508"/>
      <c r="S717" s="508"/>
      <c r="T717" s="508"/>
      <c r="U717" s="508"/>
      <c r="V717" s="508"/>
      <c r="W717" s="508"/>
      <c r="X717" s="508"/>
      <c r="Y717" s="508"/>
      <c r="Z717" s="508"/>
    </row>
    <row r="718" ht="13.5" customHeight="1">
      <c r="A718" s="426"/>
      <c r="B718" s="508"/>
      <c r="C718" s="508"/>
      <c r="D718" s="508"/>
      <c r="E718" s="508"/>
      <c r="F718" s="426"/>
      <c r="G718" s="426"/>
      <c r="H718" s="426"/>
      <c r="I718" s="426"/>
      <c r="J718" s="508"/>
      <c r="K718" s="508"/>
      <c r="L718" s="508"/>
      <c r="M718" s="508"/>
      <c r="N718" s="508"/>
      <c r="O718" s="508"/>
      <c r="P718" s="508"/>
      <c r="Q718" s="508"/>
      <c r="R718" s="508"/>
      <c r="S718" s="508"/>
      <c r="T718" s="508"/>
      <c r="U718" s="508"/>
      <c r="V718" s="508"/>
      <c r="W718" s="508"/>
      <c r="X718" s="508"/>
      <c r="Y718" s="508"/>
      <c r="Z718" s="508"/>
    </row>
    <row r="719" ht="13.5" customHeight="1">
      <c r="A719" s="426"/>
      <c r="B719" s="508"/>
      <c r="C719" s="508"/>
      <c r="D719" s="508"/>
      <c r="E719" s="508"/>
      <c r="F719" s="426"/>
      <c r="G719" s="426"/>
      <c r="H719" s="426"/>
      <c r="I719" s="426"/>
      <c r="J719" s="508"/>
      <c r="K719" s="508"/>
      <c r="L719" s="508"/>
      <c r="M719" s="508"/>
      <c r="N719" s="508"/>
      <c r="O719" s="508"/>
      <c r="P719" s="508"/>
      <c r="Q719" s="508"/>
      <c r="R719" s="508"/>
      <c r="S719" s="508"/>
      <c r="T719" s="508"/>
      <c r="U719" s="508"/>
      <c r="V719" s="508"/>
      <c r="W719" s="508"/>
      <c r="X719" s="508"/>
      <c r="Y719" s="508"/>
      <c r="Z719" s="508"/>
    </row>
    <row r="720" ht="13.5" customHeight="1">
      <c r="A720" s="426"/>
      <c r="B720" s="508"/>
      <c r="C720" s="508"/>
      <c r="D720" s="508"/>
      <c r="E720" s="508"/>
      <c r="F720" s="426"/>
      <c r="G720" s="426"/>
      <c r="H720" s="426"/>
      <c r="I720" s="426"/>
      <c r="J720" s="508"/>
      <c r="K720" s="508"/>
      <c r="L720" s="508"/>
      <c r="M720" s="508"/>
      <c r="N720" s="508"/>
      <c r="O720" s="508"/>
      <c r="P720" s="508"/>
      <c r="Q720" s="508"/>
      <c r="R720" s="508"/>
      <c r="S720" s="508"/>
      <c r="T720" s="508"/>
      <c r="U720" s="508"/>
      <c r="V720" s="508"/>
      <c r="W720" s="508"/>
      <c r="X720" s="508"/>
      <c r="Y720" s="508"/>
      <c r="Z720" s="508"/>
    </row>
    <row r="721" ht="13.5" customHeight="1">
      <c r="A721" s="426"/>
      <c r="B721" s="508"/>
      <c r="C721" s="508"/>
      <c r="D721" s="508"/>
      <c r="E721" s="508"/>
      <c r="F721" s="426"/>
      <c r="G721" s="426"/>
      <c r="H721" s="426"/>
      <c r="I721" s="426"/>
      <c r="J721" s="508"/>
      <c r="K721" s="508"/>
      <c r="L721" s="508"/>
      <c r="M721" s="508"/>
      <c r="N721" s="508"/>
      <c r="O721" s="508"/>
      <c r="P721" s="508"/>
      <c r="Q721" s="508"/>
      <c r="R721" s="508"/>
      <c r="S721" s="508"/>
      <c r="T721" s="508"/>
      <c r="U721" s="508"/>
      <c r="V721" s="508"/>
      <c r="W721" s="508"/>
      <c r="X721" s="508"/>
      <c r="Y721" s="508"/>
      <c r="Z721" s="508"/>
    </row>
    <row r="722" ht="13.5" customHeight="1">
      <c r="A722" s="426"/>
      <c r="B722" s="508"/>
      <c r="C722" s="508"/>
      <c r="D722" s="508"/>
      <c r="E722" s="508"/>
      <c r="F722" s="426"/>
      <c r="G722" s="426"/>
      <c r="H722" s="426"/>
      <c r="I722" s="426"/>
      <c r="J722" s="508"/>
      <c r="K722" s="508"/>
      <c r="L722" s="508"/>
      <c r="M722" s="508"/>
      <c r="N722" s="508"/>
      <c r="O722" s="508"/>
      <c r="P722" s="508"/>
      <c r="Q722" s="508"/>
      <c r="R722" s="508"/>
      <c r="S722" s="508"/>
      <c r="T722" s="508"/>
      <c r="U722" s="508"/>
      <c r="V722" s="508"/>
      <c r="W722" s="508"/>
      <c r="X722" s="508"/>
      <c r="Y722" s="508"/>
      <c r="Z722" s="508"/>
    </row>
    <row r="723" ht="13.5" customHeight="1">
      <c r="A723" s="426"/>
      <c r="B723" s="508"/>
      <c r="C723" s="508"/>
      <c r="D723" s="508"/>
      <c r="E723" s="508"/>
      <c r="F723" s="426"/>
      <c r="G723" s="426"/>
      <c r="H723" s="426"/>
      <c r="I723" s="426"/>
      <c r="J723" s="508"/>
      <c r="K723" s="508"/>
      <c r="L723" s="508"/>
      <c r="M723" s="508"/>
      <c r="N723" s="508"/>
      <c r="O723" s="508"/>
      <c r="P723" s="508"/>
      <c r="Q723" s="508"/>
      <c r="R723" s="508"/>
      <c r="S723" s="508"/>
      <c r="T723" s="508"/>
      <c r="U723" s="508"/>
      <c r="V723" s="508"/>
      <c r="W723" s="508"/>
      <c r="X723" s="508"/>
      <c r="Y723" s="508"/>
      <c r="Z723" s="508"/>
    </row>
    <row r="724" ht="13.5" customHeight="1">
      <c r="A724" s="426"/>
      <c r="B724" s="508"/>
      <c r="C724" s="508"/>
      <c r="D724" s="508"/>
      <c r="E724" s="508"/>
      <c r="F724" s="426"/>
      <c r="G724" s="426"/>
      <c r="H724" s="426"/>
      <c r="I724" s="426"/>
      <c r="J724" s="508"/>
      <c r="K724" s="508"/>
      <c r="L724" s="508"/>
      <c r="M724" s="508"/>
      <c r="N724" s="508"/>
      <c r="O724" s="508"/>
      <c r="P724" s="508"/>
      <c r="Q724" s="508"/>
      <c r="R724" s="508"/>
      <c r="S724" s="508"/>
      <c r="T724" s="508"/>
      <c r="U724" s="508"/>
      <c r="V724" s="508"/>
      <c r="W724" s="508"/>
      <c r="X724" s="508"/>
      <c r="Y724" s="508"/>
      <c r="Z724" s="508"/>
    </row>
    <row r="725" ht="13.5" customHeight="1">
      <c r="A725" s="426"/>
      <c r="B725" s="508"/>
      <c r="C725" s="508"/>
      <c r="D725" s="508"/>
      <c r="E725" s="508"/>
      <c r="F725" s="426"/>
      <c r="G725" s="426"/>
      <c r="H725" s="426"/>
      <c r="I725" s="426"/>
      <c r="J725" s="508"/>
      <c r="K725" s="508"/>
      <c r="L725" s="508"/>
      <c r="M725" s="508"/>
      <c r="N725" s="508"/>
      <c r="O725" s="508"/>
      <c r="P725" s="508"/>
      <c r="Q725" s="508"/>
      <c r="R725" s="508"/>
      <c r="S725" s="508"/>
      <c r="T725" s="508"/>
      <c r="U725" s="508"/>
      <c r="V725" s="508"/>
      <c r="W725" s="508"/>
      <c r="X725" s="508"/>
      <c r="Y725" s="508"/>
      <c r="Z725" s="508"/>
    </row>
    <row r="726" ht="13.5" customHeight="1">
      <c r="A726" s="426"/>
      <c r="B726" s="508"/>
      <c r="C726" s="508"/>
      <c r="D726" s="508"/>
      <c r="E726" s="508"/>
      <c r="F726" s="426"/>
      <c r="G726" s="426"/>
      <c r="H726" s="426"/>
      <c r="I726" s="426"/>
      <c r="J726" s="508"/>
      <c r="K726" s="508"/>
      <c r="L726" s="508"/>
      <c r="M726" s="508"/>
      <c r="N726" s="508"/>
      <c r="O726" s="508"/>
      <c r="P726" s="508"/>
      <c r="Q726" s="508"/>
      <c r="R726" s="508"/>
      <c r="S726" s="508"/>
      <c r="T726" s="508"/>
      <c r="U726" s="508"/>
      <c r="V726" s="508"/>
      <c r="W726" s="508"/>
      <c r="X726" s="508"/>
      <c r="Y726" s="508"/>
      <c r="Z726" s="508"/>
    </row>
    <row r="727" ht="13.5" customHeight="1">
      <c r="A727" s="426"/>
      <c r="B727" s="508"/>
      <c r="C727" s="508"/>
      <c r="D727" s="508"/>
      <c r="E727" s="508"/>
      <c r="F727" s="426"/>
      <c r="G727" s="426"/>
      <c r="H727" s="426"/>
      <c r="I727" s="426"/>
      <c r="J727" s="508"/>
      <c r="K727" s="508"/>
      <c r="L727" s="508"/>
      <c r="M727" s="508"/>
      <c r="N727" s="508"/>
      <c r="O727" s="508"/>
      <c r="P727" s="508"/>
      <c r="Q727" s="508"/>
      <c r="R727" s="508"/>
      <c r="S727" s="508"/>
      <c r="T727" s="508"/>
      <c r="U727" s="508"/>
      <c r="V727" s="508"/>
      <c r="W727" s="508"/>
      <c r="X727" s="508"/>
      <c r="Y727" s="508"/>
      <c r="Z727" s="508"/>
    </row>
    <row r="728" ht="13.5" customHeight="1">
      <c r="A728" s="426"/>
      <c r="B728" s="508"/>
      <c r="C728" s="508"/>
      <c r="D728" s="508"/>
      <c r="E728" s="508"/>
      <c r="F728" s="426"/>
      <c r="G728" s="426"/>
      <c r="H728" s="426"/>
      <c r="I728" s="426"/>
      <c r="J728" s="508"/>
      <c r="K728" s="508"/>
      <c r="L728" s="508"/>
      <c r="M728" s="508"/>
      <c r="N728" s="508"/>
      <c r="O728" s="508"/>
      <c r="P728" s="508"/>
      <c r="Q728" s="508"/>
      <c r="R728" s="508"/>
      <c r="S728" s="508"/>
      <c r="T728" s="508"/>
      <c r="U728" s="508"/>
      <c r="V728" s="508"/>
      <c r="W728" s="508"/>
      <c r="X728" s="508"/>
      <c r="Y728" s="508"/>
      <c r="Z728" s="508"/>
    </row>
    <row r="729" ht="13.5" customHeight="1">
      <c r="A729" s="426"/>
      <c r="B729" s="508"/>
      <c r="C729" s="508"/>
      <c r="D729" s="508"/>
      <c r="E729" s="508"/>
      <c r="F729" s="426"/>
      <c r="G729" s="426"/>
      <c r="H729" s="426"/>
      <c r="I729" s="426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508"/>
      <c r="Y729" s="508"/>
      <c r="Z729" s="508"/>
    </row>
    <row r="730" ht="13.5" customHeight="1">
      <c r="A730" s="426"/>
      <c r="B730" s="508"/>
      <c r="C730" s="508"/>
      <c r="D730" s="508"/>
      <c r="E730" s="508"/>
      <c r="F730" s="426"/>
      <c r="G730" s="426"/>
      <c r="H730" s="426"/>
      <c r="I730" s="426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508"/>
      <c r="Y730" s="508"/>
      <c r="Z730" s="508"/>
    </row>
    <row r="731" ht="13.5" customHeight="1">
      <c r="A731" s="426"/>
      <c r="B731" s="508"/>
      <c r="C731" s="508"/>
      <c r="D731" s="508"/>
      <c r="E731" s="508"/>
      <c r="F731" s="426"/>
      <c r="G731" s="426"/>
      <c r="H731" s="426"/>
      <c r="I731" s="426"/>
      <c r="J731" s="508"/>
      <c r="K731" s="508"/>
      <c r="L731" s="508"/>
      <c r="M731" s="508"/>
      <c r="N731" s="508"/>
      <c r="O731" s="508"/>
      <c r="P731" s="508"/>
      <c r="Q731" s="508"/>
      <c r="R731" s="508"/>
      <c r="S731" s="508"/>
      <c r="T731" s="508"/>
      <c r="U731" s="508"/>
      <c r="V731" s="508"/>
      <c r="W731" s="508"/>
      <c r="X731" s="508"/>
      <c r="Y731" s="508"/>
      <c r="Z731" s="508"/>
    </row>
    <row r="732" ht="13.5" customHeight="1">
      <c r="A732" s="426"/>
      <c r="B732" s="508"/>
      <c r="C732" s="508"/>
      <c r="D732" s="508"/>
      <c r="E732" s="508"/>
      <c r="F732" s="426"/>
      <c r="G732" s="426"/>
      <c r="H732" s="426"/>
      <c r="I732" s="426"/>
      <c r="J732" s="508"/>
      <c r="K732" s="508"/>
      <c r="L732" s="508"/>
      <c r="M732" s="508"/>
      <c r="N732" s="508"/>
      <c r="O732" s="508"/>
      <c r="P732" s="508"/>
      <c r="Q732" s="508"/>
      <c r="R732" s="508"/>
      <c r="S732" s="508"/>
      <c r="T732" s="508"/>
      <c r="U732" s="508"/>
      <c r="V732" s="508"/>
      <c r="W732" s="508"/>
      <c r="X732" s="508"/>
      <c r="Y732" s="508"/>
      <c r="Z732" s="508"/>
    </row>
    <row r="733" ht="13.5" customHeight="1">
      <c r="A733" s="426"/>
      <c r="B733" s="508"/>
      <c r="C733" s="508"/>
      <c r="D733" s="508"/>
      <c r="E733" s="508"/>
      <c r="F733" s="426"/>
      <c r="G733" s="426"/>
      <c r="H733" s="426"/>
      <c r="I733" s="426"/>
      <c r="J733" s="508"/>
      <c r="K733" s="508"/>
      <c r="L733" s="508"/>
      <c r="M733" s="508"/>
      <c r="N733" s="508"/>
      <c r="O733" s="508"/>
      <c r="P733" s="508"/>
      <c r="Q733" s="508"/>
      <c r="R733" s="508"/>
      <c r="S733" s="508"/>
      <c r="T733" s="508"/>
      <c r="U733" s="508"/>
      <c r="V733" s="508"/>
      <c r="W733" s="508"/>
      <c r="X733" s="508"/>
      <c r="Y733" s="508"/>
      <c r="Z733" s="508"/>
    </row>
    <row r="734" ht="13.5" customHeight="1">
      <c r="A734" s="426"/>
      <c r="B734" s="508"/>
      <c r="C734" s="508"/>
      <c r="D734" s="508"/>
      <c r="E734" s="508"/>
      <c r="F734" s="426"/>
      <c r="G734" s="426"/>
      <c r="H734" s="426"/>
      <c r="I734" s="426"/>
      <c r="J734" s="508"/>
      <c r="K734" s="508"/>
      <c r="L734" s="508"/>
      <c r="M734" s="508"/>
      <c r="N734" s="508"/>
      <c r="O734" s="508"/>
      <c r="P734" s="508"/>
      <c r="Q734" s="508"/>
      <c r="R734" s="508"/>
      <c r="S734" s="508"/>
      <c r="T734" s="508"/>
      <c r="U734" s="508"/>
      <c r="V734" s="508"/>
      <c r="W734" s="508"/>
      <c r="X734" s="508"/>
      <c r="Y734" s="508"/>
      <c r="Z734" s="508"/>
    </row>
    <row r="735" ht="13.5" customHeight="1">
      <c r="A735" s="426"/>
      <c r="B735" s="508"/>
      <c r="C735" s="508"/>
      <c r="D735" s="508"/>
      <c r="E735" s="508"/>
      <c r="F735" s="426"/>
      <c r="G735" s="426"/>
      <c r="H735" s="426"/>
      <c r="I735" s="426"/>
      <c r="J735" s="508"/>
      <c r="K735" s="508"/>
      <c r="L735" s="508"/>
      <c r="M735" s="508"/>
      <c r="N735" s="508"/>
      <c r="O735" s="508"/>
      <c r="P735" s="508"/>
      <c r="Q735" s="508"/>
      <c r="R735" s="508"/>
      <c r="S735" s="508"/>
      <c r="T735" s="508"/>
      <c r="U735" s="508"/>
      <c r="V735" s="508"/>
      <c r="W735" s="508"/>
      <c r="X735" s="508"/>
      <c r="Y735" s="508"/>
      <c r="Z735" s="508"/>
    </row>
    <row r="736" ht="13.5" customHeight="1">
      <c r="A736" s="426"/>
      <c r="B736" s="508"/>
      <c r="C736" s="508"/>
      <c r="D736" s="508"/>
      <c r="E736" s="508"/>
      <c r="F736" s="426"/>
      <c r="G736" s="426"/>
      <c r="H736" s="426"/>
      <c r="I736" s="426"/>
      <c r="J736" s="508"/>
      <c r="K736" s="508"/>
      <c r="L736" s="508"/>
      <c r="M736" s="508"/>
      <c r="N736" s="508"/>
      <c r="O736" s="508"/>
      <c r="P736" s="508"/>
      <c r="Q736" s="508"/>
      <c r="R736" s="508"/>
      <c r="S736" s="508"/>
      <c r="T736" s="508"/>
      <c r="U736" s="508"/>
      <c r="V736" s="508"/>
      <c r="W736" s="508"/>
      <c r="X736" s="508"/>
      <c r="Y736" s="508"/>
      <c r="Z736" s="508"/>
    </row>
    <row r="737" ht="13.5" customHeight="1">
      <c r="A737" s="426"/>
      <c r="B737" s="508"/>
      <c r="C737" s="508"/>
      <c r="D737" s="508"/>
      <c r="E737" s="508"/>
      <c r="F737" s="426"/>
      <c r="G737" s="426"/>
      <c r="H737" s="426"/>
      <c r="I737" s="426"/>
      <c r="J737" s="508"/>
      <c r="K737" s="508"/>
      <c r="L737" s="508"/>
      <c r="M737" s="508"/>
      <c r="N737" s="508"/>
      <c r="O737" s="508"/>
      <c r="P737" s="508"/>
      <c r="Q737" s="508"/>
      <c r="R737" s="508"/>
      <c r="S737" s="508"/>
      <c r="T737" s="508"/>
      <c r="U737" s="508"/>
      <c r="V737" s="508"/>
      <c r="W737" s="508"/>
      <c r="X737" s="508"/>
      <c r="Y737" s="508"/>
      <c r="Z737" s="508"/>
    </row>
    <row r="738" ht="13.5" customHeight="1">
      <c r="A738" s="426"/>
      <c r="B738" s="508"/>
      <c r="C738" s="508"/>
      <c r="D738" s="508"/>
      <c r="E738" s="508"/>
      <c r="F738" s="426"/>
      <c r="G738" s="426"/>
      <c r="H738" s="426"/>
      <c r="I738" s="426"/>
      <c r="J738" s="508"/>
      <c r="K738" s="508"/>
      <c r="L738" s="508"/>
      <c r="M738" s="508"/>
      <c r="N738" s="508"/>
      <c r="O738" s="508"/>
      <c r="P738" s="508"/>
      <c r="Q738" s="508"/>
      <c r="R738" s="508"/>
      <c r="S738" s="508"/>
      <c r="T738" s="508"/>
      <c r="U738" s="508"/>
      <c r="V738" s="508"/>
      <c r="W738" s="508"/>
      <c r="X738" s="508"/>
      <c r="Y738" s="508"/>
      <c r="Z738" s="508"/>
    </row>
    <row r="739" ht="13.5" customHeight="1">
      <c r="A739" s="426"/>
      <c r="B739" s="508"/>
      <c r="C739" s="508"/>
      <c r="D739" s="508"/>
      <c r="E739" s="508"/>
      <c r="F739" s="426"/>
      <c r="G739" s="426"/>
      <c r="H739" s="426"/>
      <c r="I739" s="426"/>
      <c r="J739" s="508"/>
      <c r="K739" s="508"/>
      <c r="L739" s="508"/>
      <c r="M739" s="508"/>
      <c r="N739" s="508"/>
      <c r="O739" s="508"/>
      <c r="P739" s="508"/>
      <c r="Q739" s="508"/>
      <c r="R739" s="508"/>
      <c r="S739" s="508"/>
      <c r="T739" s="508"/>
      <c r="U739" s="508"/>
      <c r="V739" s="508"/>
      <c r="W739" s="508"/>
      <c r="X739" s="508"/>
      <c r="Y739" s="508"/>
      <c r="Z739" s="508"/>
    </row>
    <row r="740" ht="13.5" customHeight="1">
      <c r="A740" s="426"/>
      <c r="B740" s="508"/>
      <c r="C740" s="508"/>
      <c r="D740" s="508"/>
      <c r="E740" s="508"/>
      <c r="F740" s="426"/>
      <c r="G740" s="426"/>
      <c r="H740" s="426"/>
      <c r="I740" s="426"/>
      <c r="J740" s="508"/>
      <c r="K740" s="508"/>
      <c r="L740" s="508"/>
      <c r="M740" s="508"/>
      <c r="N740" s="508"/>
      <c r="O740" s="508"/>
      <c r="P740" s="508"/>
      <c r="Q740" s="508"/>
      <c r="R740" s="508"/>
      <c r="S740" s="508"/>
      <c r="T740" s="508"/>
      <c r="U740" s="508"/>
      <c r="V740" s="508"/>
      <c r="W740" s="508"/>
      <c r="X740" s="508"/>
      <c r="Y740" s="508"/>
      <c r="Z740" s="508"/>
    </row>
    <row r="741" ht="13.5" customHeight="1">
      <c r="A741" s="426"/>
      <c r="B741" s="508"/>
      <c r="C741" s="508"/>
      <c r="D741" s="508"/>
      <c r="E741" s="508"/>
      <c r="F741" s="426"/>
      <c r="G741" s="426"/>
      <c r="H741" s="426"/>
      <c r="I741" s="426"/>
      <c r="J741" s="508"/>
      <c r="K741" s="508"/>
      <c r="L741" s="508"/>
      <c r="M741" s="508"/>
      <c r="N741" s="508"/>
      <c r="O741" s="508"/>
      <c r="P741" s="508"/>
      <c r="Q741" s="508"/>
      <c r="R741" s="508"/>
      <c r="S741" s="508"/>
      <c r="T741" s="508"/>
      <c r="U741" s="508"/>
      <c r="V741" s="508"/>
      <c r="W741" s="508"/>
      <c r="X741" s="508"/>
      <c r="Y741" s="508"/>
      <c r="Z741" s="508"/>
    </row>
    <row r="742" ht="13.5" customHeight="1">
      <c r="A742" s="426"/>
      <c r="B742" s="508"/>
      <c r="C742" s="508"/>
      <c r="D742" s="508"/>
      <c r="E742" s="508"/>
      <c r="F742" s="426"/>
      <c r="G742" s="426"/>
      <c r="H742" s="426"/>
      <c r="I742" s="426"/>
      <c r="J742" s="508"/>
      <c r="K742" s="508"/>
      <c r="L742" s="508"/>
      <c r="M742" s="508"/>
      <c r="N742" s="508"/>
      <c r="O742" s="508"/>
      <c r="P742" s="508"/>
      <c r="Q742" s="508"/>
      <c r="R742" s="508"/>
      <c r="S742" s="508"/>
      <c r="T742" s="508"/>
      <c r="U742" s="508"/>
      <c r="V742" s="508"/>
      <c r="W742" s="508"/>
      <c r="X742" s="508"/>
      <c r="Y742" s="508"/>
      <c r="Z742" s="508"/>
    </row>
    <row r="743" ht="13.5" customHeight="1">
      <c r="A743" s="426"/>
      <c r="B743" s="508"/>
      <c r="C743" s="508"/>
      <c r="D743" s="508"/>
      <c r="E743" s="508"/>
      <c r="F743" s="426"/>
      <c r="G743" s="426"/>
      <c r="H743" s="426"/>
      <c r="I743" s="426"/>
      <c r="J743" s="508"/>
      <c r="K743" s="508"/>
      <c r="L743" s="508"/>
      <c r="M743" s="508"/>
      <c r="N743" s="508"/>
      <c r="O743" s="508"/>
      <c r="P743" s="508"/>
      <c r="Q743" s="508"/>
      <c r="R743" s="508"/>
      <c r="S743" s="508"/>
      <c r="T743" s="508"/>
      <c r="U743" s="508"/>
      <c r="V743" s="508"/>
      <c r="W743" s="508"/>
      <c r="X743" s="508"/>
      <c r="Y743" s="508"/>
      <c r="Z743" s="508"/>
    </row>
    <row r="744" ht="13.5" customHeight="1">
      <c r="A744" s="426"/>
      <c r="B744" s="508"/>
      <c r="C744" s="508"/>
      <c r="D744" s="508"/>
      <c r="E744" s="508"/>
      <c r="F744" s="426"/>
      <c r="G744" s="426"/>
      <c r="H744" s="426"/>
      <c r="I744" s="426"/>
      <c r="J744" s="508"/>
      <c r="K744" s="508"/>
      <c r="L744" s="508"/>
      <c r="M744" s="508"/>
      <c r="N744" s="508"/>
      <c r="O744" s="508"/>
      <c r="P744" s="508"/>
      <c r="Q744" s="508"/>
      <c r="R744" s="508"/>
      <c r="S744" s="508"/>
      <c r="T744" s="508"/>
      <c r="U744" s="508"/>
      <c r="V744" s="508"/>
      <c r="W744" s="508"/>
      <c r="X744" s="508"/>
      <c r="Y744" s="508"/>
      <c r="Z744" s="508"/>
    </row>
    <row r="745" ht="13.5" customHeight="1">
      <c r="A745" s="426"/>
      <c r="B745" s="508"/>
      <c r="C745" s="508"/>
      <c r="D745" s="508"/>
      <c r="E745" s="508"/>
      <c r="F745" s="426"/>
      <c r="G745" s="426"/>
      <c r="H745" s="426"/>
      <c r="I745" s="426"/>
      <c r="J745" s="508"/>
      <c r="K745" s="508"/>
      <c r="L745" s="508"/>
      <c r="M745" s="508"/>
      <c r="N745" s="508"/>
      <c r="O745" s="508"/>
      <c r="P745" s="508"/>
      <c r="Q745" s="508"/>
      <c r="R745" s="508"/>
      <c r="S745" s="508"/>
      <c r="T745" s="508"/>
      <c r="U745" s="508"/>
      <c r="V745" s="508"/>
      <c r="W745" s="508"/>
      <c r="X745" s="508"/>
      <c r="Y745" s="508"/>
      <c r="Z745" s="508"/>
    </row>
    <row r="746" ht="13.5" customHeight="1">
      <c r="A746" s="426"/>
      <c r="B746" s="508"/>
      <c r="C746" s="508"/>
      <c r="D746" s="508"/>
      <c r="E746" s="508"/>
      <c r="F746" s="426"/>
      <c r="G746" s="426"/>
      <c r="H746" s="426"/>
      <c r="I746" s="426"/>
      <c r="J746" s="508"/>
      <c r="K746" s="508"/>
      <c r="L746" s="508"/>
      <c r="M746" s="508"/>
      <c r="N746" s="508"/>
      <c r="O746" s="508"/>
      <c r="P746" s="508"/>
      <c r="Q746" s="508"/>
      <c r="R746" s="508"/>
      <c r="S746" s="508"/>
      <c r="T746" s="508"/>
      <c r="U746" s="508"/>
      <c r="V746" s="508"/>
      <c r="W746" s="508"/>
      <c r="X746" s="508"/>
      <c r="Y746" s="508"/>
      <c r="Z746" s="508"/>
    </row>
    <row r="747" ht="13.5" customHeight="1">
      <c r="A747" s="426"/>
      <c r="B747" s="508"/>
      <c r="C747" s="508"/>
      <c r="D747" s="508"/>
      <c r="E747" s="508"/>
      <c r="F747" s="426"/>
      <c r="G747" s="426"/>
      <c r="H747" s="426"/>
      <c r="I747" s="426"/>
      <c r="J747" s="508"/>
      <c r="K747" s="508"/>
      <c r="L747" s="508"/>
      <c r="M747" s="508"/>
      <c r="N747" s="508"/>
      <c r="O747" s="508"/>
      <c r="P747" s="508"/>
      <c r="Q747" s="508"/>
      <c r="R747" s="508"/>
      <c r="S747" s="508"/>
      <c r="T747" s="508"/>
      <c r="U747" s="508"/>
      <c r="V747" s="508"/>
      <c r="W747" s="508"/>
      <c r="X747" s="508"/>
      <c r="Y747" s="508"/>
      <c r="Z747" s="508"/>
    </row>
    <row r="748" ht="13.5" customHeight="1">
      <c r="A748" s="426"/>
      <c r="B748" s="508"/>
      <c r="C748" s="508"/>
      <c r="D748" s="508"/>
      <c r="E748" s="508"/>
      <c r="F748" s="426"/>
      <c r="G748" s="426"/>
      <c r="H748" s="426"/>
      <c r="I748" s="426"/>
      <c r="J748" s="508"/>
      <c r="K748" s="508"/>
      <c r="L748" s="508"/>
      <c r="M748" s="508"/>
      <c r="N748" s="508"/>
      <c r="O748" s="508"/>
      <c r="P748" s="508"/>
      <c r="Q748" s="508"/>
      <c r="R748" s="508"/>
      <c r="S748" s="508"/>
      <c r="T748" s="508"/>
      <c r="U748" s="508"/>
      <c r="V748" s="508"/>
      <c r="W748" s="508"/>
      <c r="X748" s="508"/>
      <c r="Y748" s="508"/>
      <c r="Z748" s="508"/>
    </row>
    <row r="749" ht="13.5" customHeight="1">
      <c r="A749" s="426"/>
      <c r="B749" s="508"/>
      <c r="C749" s="508"/>
      <c r="D749" s="508"/>
      <c r="E749" s="508"/>
      <c r="F749" s="426"/>
      <c r="G749" s="426"/>
      <c r="H749" s="426"/>
      <c r="I749" s="426"/>
      <c r="J749" s="508"/>
      <c r="K749" s="508"/>
      <c r="L749" s="508"/>
      <c r="M749" s="508"/>
      <c r="N749" s="508"/>
      <c r="O749" s="508"/>
      <c r="P749" s="508"/>
      <c r="Q749" s="508"/>
      <c r="R749" s="508"/>
      <c r="S749" s="508"/>
      <c r="T749" s="508"/>
      <c r="U749" s="508"/>
      <c r="V749" s="508"/>
      <c r="W749" s="508"/>
      <c r="X749" s="508"/>
      <c r="Y749" s="508"/>
      <c r="Z749" s="508"/>
    </row>
    <row r="750" ht="13.5" customHeight="1">
      <c r="A750" s="426"/>
      <c r="B750" s="508"/>
      <c r="C750" s="508"/>
      <c r="D750" s="508"/>
      <c r="E750" s="508"/>
      <c r="F750" s="426"/>
      <c r="G750" s="426"/>
      <c r="H750" s="426"/>
      <c r="I750" s="426"/>
      <c r="J750" s="508"/>
      <c r="K750" s="508"/>
      <c r="L750" s="508"/>
      <c r="M750" s="508"/>
      <c r="N750" s="508"/>
      <c r="O750" s="508"/>
      <c r="P750" s="508"/>
      <c r="Q750" s="508"/>
      <c r="R750" s="508"/>
      <c r="S750" s="508"/>
      <c r="T750" s="508"/>
      <c r="U750" s="508"/>
      <c r="V750" s="508"/>
      <c r="W750" s="508"/>
      <c r="X750" s="508"/>
      <c r="Y750" s="508"/>
      <c r="Z750" s="508"/>
    </row>
    <row r="751" ht="13.5" customHeight="1">
      <c r="A751" s="426"/>
      <c r="B751" s="508"/>
      <c r="C751" s="508"/>
      <c r="D751" s="508"/>
      <c r="E751" s="508"/>
      <c r="F751" s="426"/>
      <c r="G751" s="426"/>
      <c r="H751" s="426"/>
      <c r="I751" s="426"/>
      <c r="J751" s="508"/>
      <c r="K751" s="508"/>
      <c r="L751" s="508"/>
      <c r="M751" s="508"/>
      <c r="N751" s="508"/>
      <c r="O751" s="508"/>
      <c r="P751" s="508"/>
      <c r="Q751" s="508"/>
      <c r="R751" s="508"/>
      <c r="S751" s="508"/>
      <c r="T751" s="508"/>
      <c r="U751" s="508"/>
      <c r="V751" s="508"/>
      <c r="W751" s="508"/>
      <c r="X751" s="508"/>
      <c r="Y751" s="508"/>
      <c r="Z751" s="508"/>
    </row>
    <row r="752" ht="13.5" customHeight="1">
      <c r="A752" s="426"/>
      <c r="B752" s="508"/>
      <c r="C752" s="508"/>
      <c r="D752" s="508"/>
      <c r="E752" s="508"/>
      <c r="F752" s="426"/>
      <c r="G752" s="426"/>
      <c r="H752" s="426"/>
      <c r="I752" s="426"/>
      <c r="J752" s="508"/>
      <c r="K752" s="508"/>
      <c r="L752" s="508"/>
      <c r="M752" s="508"/>
      <c r="N752" s="508"/>
      <c r="O752" s="508"/>
      <c r="P752" s="508"/>
      <c r="Q752" s="508"/>
      <c r="R752" s="508"/>
      <c r="S752" s="508"/>
      <c r="T752" s="508"/>
      <c r="U752" s="508"/>
      <c r="V752" s="508"/>
      <c r="W752" s="508"/>
      <c r="X752" s="508"/>
      <c r="Y752" s="508"/>
      <c r="Z752" s="508"/>
    </row>
    <row r="753" ht="13.5" customHeight="1">
      <c r="A753" s="426"/>
      <c r="B753" s="508"/>
      <c r="C753" s="508"/>
      <c r="D753" s="508"/>
      <c r="E753" s="508"/>
      <c r="F753" s="426"/>
      <c r="G753" s="426"/>
      <c r="H753" s="426"/>
      <c r="I753" s="426"/>
      <c r="J753" s="508"/>
      <c r="K753" s="508"/>
      <c r="L753" s="508"/>
      <c r="M753" s="508"/>
      <c r="N753" s="508"/>
      <c r="O753" s="508"/>
      <c r="P753" s="508"/>
      <c r="Q753" s="508"/>
      <c r="R753" s="508"/>
      <c r="S753" s="508"/>
      <c r="T753" s="508"/>
      <c r="U753" s="508"/>
      <c r="V753" s="508"/>
      <c r="W753" s="508"/>
      <c r="X753" s="508"/>
      <c r="Y753" s="508"/>
      <c r="Z753" s="508"/>
    </row>
    <row r="754" ht="13.5" customHeight="1">
      <c r="A754" s="426"/>
      <c r="B754" s="508"/>
      <c r="C754" s="508"/>
      <c r="D754" s="508"/>
      <c r="E754" s="508"/>
      <c r="F754" s="426"/>
      <c r="G754" s="426"/>
      <c r="H754" s="426"/>
      <c r="I754" s="426"/>
      <c r="J754" s="508"/>
      <c r="K754" s="508"/>
      <c r="L754" s="508"/>
      <c r="M754" s="508"/>
      <c r="N754" s="508"/>
      <c r="O754" s="508"/>
      <c r="P754" s="508"/>
      <c r="Q754" s="508"/>
      <c r="R754" s="508"/>
      <c r="S754" s="508"/>
      <c r="T754" s="508"/>
      <c r="U754" s="508"/>
      <c r="V754" s="508"/>
      <c r="W754" s="508"/>
      <c r="X754" s="508"/>
      <c r="Y754" s="508"/>
      <c r="Z754" s="508"/>
    </row>
    <row r="755" ht="13.5" customHeight="1">
      <c r="A755" s="426"/>
      <c r="B755" s="508"/>
      <c r="C755" s="508"/>
      <c r="D755" s="508"/>
      <c r="E755" s="508"/>
      <c r="F755" s="426"/>
      <c r="G755" s="426"/>
      <c r="H755" s="426"/>
      <c r="I755" s="426"/>
      <c r="J755" s="508"/>
      <c r="K755" s="508"/>
      <c r="L755" s="508"/>
      <c r="M755" s="508"/>
      <c r="N755" s="508"/>
      <c r="O755" s="508"/>
      <c r="P755" s="508"/>
      <c r="Q755" s="508"/>
      <c r="R755" s="508"/>
      <c r="S755" s="508"/>
      <c r="T755" s="508"/>
      <c r="U755" s="508"/>
      <c r="V755" s="508"/>
      <c r="W755" s="508"/>
      <c r="X755" s="508"/>
      <c r="Y755" s="508"/>
      <c r="Z755" s="508"/>
    </row>
    <row r="756" ht="13.5" customHeight="1">
      <c r="A756" s="426"/>
      <c r="B756" s="508"/>
      <c r="C756" s="508"/>
      <c r="D756" s="508"/>
      <c r="E756" s="508"/>
      <c r="F756" s="426"/>
      <c r="G756" s="426"/>
      <c r="H756" s="426"/>
      <c r="I756" s="426"/>
      <c r="J756" s="508"/>
      <c r="K756" s="508"/>
      <c r="L756" s="508"/>
      <c r="M756" s="508"/>
      <c r="N756" s="508"/>
      <c r="O756" s="508"/>
      <c r="P756" s="508"/>
      <c r="Q756" s="508"/>
      <c r="R756" s="508"/>
      <c r="S756" s="508"/>
      <c r="T756" s="508"/>
      <c r="U756" s="508"/>
      <c r="V756" s="508"/>
      <c r="W756" s="508"/>
      <c r="X756" s="508"/>
      <c r="Y756" s="508"/>
      <c r="Z756" s="508"/>
    </row>
    <row r="757" ht="13.5" customHeight="1">
      <c r="A757" s="426"/>
      <c r="B757" s="508"/>
      <c r="C757" s="508"/>
      <c r="D757" s="508"/>
      <c r="E757" s="508"/>
      <c r="F757" s="426"/>
      <c r="G757" s="426"/>
      <c r="H757" s="426"/>
      <c r="I757" s="426"/>
      <c r="J757" s="508"/>
      <c r="K757" s="508"/>
      <c r="L757" s="508"/>
      <c r="M757" s="508"/>
      <c r="N757" s="508"/>
      <c r="O757" s="508"/>
      <c r="P757" s="508"/>
      <c r="Q757" s="508"/>
      <c r="R757" s="508"/>
      <c r="S757" s="508"/>
      <c r="T757" s="508"/>
      <c r="U757" s="508"/>
      <c r="V757" s="508"/>
      <c r="W757" s="508"/>
      <c r="X757" s="508"/>
      <c r="Y757" s="508"/>
      <c r="Z757" s="508"/>
    </row>
    <row r="758" ht="13.5" customHeight="1">
      <c r="A758" s="426"/>
      <c r="B758" s="508"/>
      <c r="C758" s="508"/>
      <c r="D758" s="508"/>
      <c r="E758" s="508"/>
      <c r="F758" s="426"/>
      <c r="G758" s="426"/>
      <c r="H758" s="426"/>
      <c r="I758" s="426"/>
      <c r="J758" s="508"/>
      <c r="K758" s="508"/>
      <c r="L758" s="508"/>
      <c r="M758" s="508"/>
      <c r="N758" s="508"/>
      <c r="O758" s="508"/>
      <c r="P758" s="508"/>
      <c r="Q758" s="508"/>
      <c r="R758" s="508"/>
      <c r="S758" s="508"/>
      <c r="T758" s="508"/>
      <c r="U758" s="508"/>
      <c r="V758" s="508"/>
      <c r="W758" s="508"/>
      <c r="X758" s="508"/>
      <c r="Y758" s="508"/>
      <c r="Z758" s="508"/>
    </row>
    <row r="759" ht="13.5" customHeight="1">
      <c r="A759" s="426"/>
      <c r="B759" s="508"/>
      <c r="C759" s="508"/>
      <c r="D759" s="508"/>
      <c r="E759" s="508"/>
      <c r="F759" s="426"/>
      <c r="G759" s="426"/>
      <c r="H759" s="426"/>
      <c r="I759" s="426"/>
      <c r="J759" s="508"/>
      <c r="K759" s="508"/>
      <c r="L759" s="508"/>
      <c r="M759" s="508"/>
      <c r="N759" s="508"/>
      <c r="O759" s="508"/>
      <c r="P759" s="508"/>
      <c r="Q759" s="508"/>
      <c r="R759" s="508"/>
      <c r="S759" s="508"/>
      <c r="T759" s="508"/>
      <c r="U759" s="508"/>
      <c r="V759" s="508"/>
      <c r="W759" s="508"/>
      <c r="X759" s="508"/>
      <c r="Y759" s="508"/>
      <c r="Z759" s="508"/>
    </row>
    <row r="760" ht="13.5" customHeight="1">
      <c r="A760" s="426"/>
      <c r="B760" s="508"/>
      <c r="C760" s="508"/>
      <c r="D760" s="508"/>
      <c r="E760" s="508"/>
      <c r="F760" s="426"/>
      <c r="G760" s="426"/>
      <c r="H760" s="426"/>
      <c r="I760" s="426"/>
      <c r="J760" s="508"/>
      <c r="K760" s="508"/>
      <c r="L760" s="508"/>
      <c r="M760" s="508"/>
      <c r="N760" s="508"/>
      <c r="O760" s="508"/>
      <c r="P760" s="508"/>
      <c r="Q760" s="508"/>
      <c r="R760" s="508"/>
      <c r="S760" s="508"/>
      <c r="T760" s="508"/>
      <c r="U760" s="508"/>
      <c r="V760" s="508"/>
      <c r="W760" s="508"/>
      <c r="X760" s="508"/>
      <c r="Y760" s="508"/>
      <c r="Z760" s="508"/>
    </row>
    <row r="761" ht="13.5" customHeight="1">
      <c r="A761" s="426"/>
      <c r="B761" s="508"/>
      <c r="C761" s="508"/>
      <c r="D761" s="508"/>
      <c r="E761" s="508"/>
      <c r="F761" s="426"/>
      <c r="G761" s="426"/>
      <c r="H761" s="426"/>
      <c r="I761" s="426"/>
      <c r="J761" s="508"/>
      <c r="K761" s="508"/>
      <c r="L761" s="508"/>
      <c r="M761" s="508"/>
      <c r="N761" s="508"/>
      <c r="O761" s="508"/>
      <c r="P761" s="508"/>
      <c r="Q761" s="508"/>
      <c r="R761" s="508"/>
      <c r="S761" s="508"/>
      <c r="T761" s="508"/>
      <c r="U761" s="508"/>
      <c r="V761" s="508"/>
      <c r="W761" s="508"/>
      <c r="X761" s="508"/>
      <c r="Y761" s="508"/>
      <c r="Z761" s="508"/>
    </row>
    <row r="762" ht="13.5" customHeight="1">
      <c r="A762" s="426"/>
      <c r="B762" s="508"/>
      <c r="C762" s="508"/>
      <c r="D762" s="508"/>
      <c r="E762" s="508"/>
      <c r="F762" s="426"/>
      <c r="G762" s="426"/>
      <c r="H762" s="426"/>
      <c r="I762" s="426"/>
      <c r="J762" s="508"/>
      <c r="K762" s="508"/>
      <c r="L762" s="508"/>
      <c r="M762" s="508"/>
      <c r="N762" s="508"/>
      <c r="O762" s="508"/>
      <c r="P762" s="508"/>
      <c r="Q762" s="508"/>
      <c r="R762" s="508"/>
      <c r="S762" s="508"/>
      <c r="T762" s="508"/>
      <c r="U762" s="508"/>
      <c r="V762" s="508"/>
      <c r="W762" s="508"/>
      <c r="X762" s="508"/>
      <c r="Y762" s="508"/>
      <c r="Z762" s="508"/>
    </row>
    <row r="763" ht="13.5" customHeight="1">
      <c r="A763" s="426"/>
      <c r="B763" s="508"/>
      <c r="C763" s="508"/>
      <c r="D763" s="508"/>
      <c r="E763" s="508"/>
      <c r="F763" s="426"/>
      <c r="G763" s="426"/>
      <c r="H763" s="426"/>
      <c r="I763" s="426"/>
      <c r="J763" s="508"/>
      <c r="K763" s="508"/>
      <c r="L763" s="508"/>
      <c r="M763" s="508"/>
      <c r="N763" s="508"/>
      <c r="O763" s="508"/>
      <c r="P763" s="508"/>
      <c r="Q763" s="508"/>
      <c r="R763" s="508"/>
      <c r="S763" s="508"/>
      <c r="T763" s="508"/>
      <c r="U763" s="508"/>
      <c r="V763" s="508"/>
      <c r="W763" s="508"/>
      <c r="X763" s="508"/>
      <c r="Y763" s="508"/>
      <c r="Z763" s="508"/>
    </row>
    <row r="764" ht="13.5" customHeight="1">
      <c r="A764" s="426"/>
      <c r="B764" s="508"/>
      <c r="C764" s="508"/>
      <c r="D764" s="508"/>
      <c r="E764" s="508"/>
      <c r="F764" s="426"/>
      <c r="G764" s="426"/>
      <c r="H764" s="426"/>
      <c r="I764" s="426"/>
      <c r="J764" s="508"/>
      <c r="K764" s="508"/>
      <c r="L764" s="508"/>
      <c r="M764" s="508"/>
      <c r="N764" s="508"/>
      <c r="O764" s="508"/>
      <c r="P764" s="508"/>
      <c r="Q764" s="508"/>
      <c r="R764" s="508"/>
      <c r="S764" s="508"/>
      <c r="T764" s="508"/>
      <c r="U764" s="508"/>
      <c r="V764" s="508"/>
      <c r="W764" s="508"/>
      <c r="X764" s="508"/>
      <c r="Y764" s="508"/>
      <c r="Z764" s="508"/>
    </row>
    <row r="765" ht="13.5" customHeight="1">
      <c r="A765" s="426"/>
      <c r="B765" s="508"/>
      <c r="C765" s="508"/>
      <c r="D765" s="508"/>
      <c r="E765" s="508"/>
      <c r="F765" s="426"/>
      <c r="G765" s="426"/>
      <c r="H765" s="426"/>
      <c r="I765" s="426"/>
      <c r="J765" s="508"/>
      <c r="K765" s="508"/>
      <c r="L765" s="508"/>
      <c r="M765" s="508"/>
      <c r="N765" s="508"/>
      <c r="O765" s="508"/>
      <c r="P765" s="508"/>
      <c r="Q765" s="508"/>
      <c r="R765" s="508"/>
      <c r="S765" s="508"/>
      <c r="T765" s="508"/>
      <c r="U765" s="508"/>
      <c r="V765" s="508"/>
      <c r="W765" s="508"/>
      <c r="X765" s="508"/>
      <c r="Y765" s="508"/>
      <c r="Z765" s="508"/>
    </row>
    <row r="766" ht="13.5" customHeight="1">
      <c r="A766" s="426"/>
      <c r="B766" s="508"/>
      <c r="C766" s="508"/>
      <c r="D766" s="508"/>
      <c r="E766" s="508"/>
      <c r="F766" s="426"/>
      <c r="G766" s="426"/>
      <c r="H766" s="426"/>
      <c r="I766" s="426"/>
      <c r="J766" s="508"/>
      <c r="K766" s="508"/>
      <c r="L766" s="508"/>
      <c r="M766" s="508"/>
      <c r="N766" s="508"/>
      <c r="O766" s="508"/>
      <c r="P766" s="508"/>
      <c r="Q766" s="508"/>
      <c r="R766" s="508"/>
      <c r="S766" s="508"/>
      <c r="T766" s="508"/>
      <c r="U766" s="508"/>
      <c r="V766" s="508"/>
      <c r="W766" s="508"/>
      <c r="X766" s="508"/>
      <c r="Y766" s="508"/>
      <c r="Z766" s="508"/>
    </row>
    <row r="767" ht="13.5" customHeight="1">
      <c r="A767" s="426"/>
      <c r="B767" s="508"/>
      <c r="C767" s="508"/>
      <c r="D767" s="508"/>
      <c r="E767" s="508"/>
      <c r="F767" s="426"/>
      <c r="G767" s="426"/>
      <c r="H767" s="426"/>
      <c r="I767" s="426"/>
      <c r="J767" s="508"/>
      <c r="K767" s="508"/>
      <c r="L767" s="508"/>
      <c r="M767" s="508"/>
      <c r="N767" s="508"/>
      <c r="O767" s="508"/>
      <c r="P767" s="508"/>
      <c r="Q767" s="508"/>
      <c r="R767" s="508"/>
      <c r="S767" s="508"/>
      <c r="T767" s="508"/>
      <c r="U767" s="508"/>
      <c r="V767" s="508"/>
      <c r="W767" s="508"/>
      <c r="X767" s="508"/>
      <c r="Y767" s="508"/>
      <c r="Z767" s="508"/>
    </row>
    <row r="768" ht="13.5" customHeight="1">
      <c r="A768" s="426"/>
      <c r="B768" s="508"/>
      <c r="C768" s="508"/>
      <c r="D768" s="508"/>
      <c r="E768" s="508"/>
      <c r="F768" s="426"/>
      <c r="G768" s="426"/>
      <c r="H768" s="426"/>
      <c r="I768" s="426"/>
      <c r="J768" s="508"/>
      <c r="K768" s="508"/>
      <c r="L768" s="508"/>
      <c r="M768" s="508"/>
      <c r="N768" s="508"/>
      <c r="O768" s="508"/>
      <c r="P768" s="508"/>
      <c r="Q768" s="508"/>
      <c r="R768" s="508"/>
      <c r="S768" s="508"/>
      <c r="T768" s="508"/>
      <c r="U768" s="508"/>
      <c r="V768" s="508"/>
      <c r="W768" s="508"/>
      <c r="X768" s="508"/>
      <c r="Y768" s="508"/>
      <c r="Z768" s="508"/>
    </row>
    <row r="769" ht="13.5" customHeight="1">
      <c r="A769" s="426"/>
      <c r="B769" s="508"/>
      <c r="C769" s="508"/>
      <c r="D769" s="508"/>
      <c r="E769" s="508"/>
      <c r="F769" s="426"/>
      <c r="G769" s="426"/>
      <c r="H769" s="426"/>
      <c r="I769" s="426"/>
      <c r="J769" s="508"/>
      <c r="K769" s="508"/>
      <c r="L769" s="508"/>
      <c r="M769" s="508"/>
      <c r="N769" s="508"/>
      <c r="O769" s="508"/>
      <c r="P769" s="508"/>
      <c r="Q769" s="508"/>
      <c r="R769" s="508"/>
      <c r="S769" s="508"/>
      <c r="T769" s="508"/>
      <c r="U769" s="508"/>
      <c r="V769" s="508"/>
      <c r="W769" s="508"/>
      <c r="X769" s="508"/>
      <c r="Y769" s="508"/>
      <c r="Z769" s="508"/>
    </row>
    <row r="770" ht="13.5" customHeight="1">
      <c r="A770" s="426"/>
      <c r="B770" s="508"/>
      <c r="C770" s="508"/>
      <c r="D770" s="508"/>
      <c r="E770" s="508"/>
      <c r="F770" s="426"/>
      <c r="G770" s="426"/>
      <c r="H770" s="426"/>
      <c r="I770" s="426"/>
      <c r="J770" s="508"/>
      <c r="K770" s="508"/>
      <c r="L770" s="508"/>
      <c r="M770" s="508"/>
      <c r="N770" s="508"/>
      <c r="O770" s="508"/>
      <c r="P770" s="508"/>
      <c r="Q770" s="508"/>
      <c r="R770" s="508"/>
      <c r="S770" s="508"/>
      <c r="T770" s="508"/>
      <c r="U770" s="508"/>
      <c r="V770" s="508"/>
      <c r="W770" s="508"/>
      <c r="X770" s="508"/>
      <c r="Y770" s="508"/>
      <c r="Z770" s="508"/>
    </row>
    <row r="771" ht="13.5" customHeight="1">
      <c r="A771" s="426"/>
      <c r="B771" s="508"/>
      <c r="C771" s="508"/>
      <c r="D771" s="508"/>
      <c r="E771" s="508"/>
      <c r="F771" s="426"/>
      <c r="G771" s="426"/>
      <c r="H771" s="426"/>
      <c r="I771" s="426"/>
      <c r="J771" s="508"/>
      <c r="K771" s="508"/>
      <c r="L771" s="508"/>
      <c r="M771" s="508"/>
      <c r="N771" s="508"/>
      <c r="O771" s="508"/>
      <c r="P771" s="508"/>
      <c r="Q771" s="508"/>
      <c r="R771" s="508"/>
      <c r="S771" s="508"/>
      <c r="T771" s="508"/>
      <c r="U771" s="508"/>
      <c r="V771" s="508"/>
      <c r="W771" s="508"/>
      <c r="X771" s="508"/>
      <c r="Y771" s="508"/>
      <c r="Z771" s="508"/>
    </row>
    <row r="772" ht="13.5" customHeight="1">
      <c r="A772" s="426"/>
      <c r="B772" s="508"/>
      <c r="C772" s="508"/>
      <c r="D772" s="508"/>
      <c r="E772" s="508"/>
      <c r="F772" s="426"/>
      <c r="G772" s="426"/>
      <c r="H772" s="426"/>
      <c r="I772" s="426"/>
      <c r="J772" s="508"/>
      <c r="K772" s="508"/>
      <c r="L772" s="508"/>
      <c r="M772" s="508"/>
      <c r="N772" s="508"/>
      <c r="O772" s="508"/>
      <c r="P772" s="508"/>
      <c r="Q772" s="508"/>
      <c r="R772" s="508"/>
      <c r="S772" s="508"/>
      <c r="T772" s="508"/>
      <c r="U772" s="508"/>
      <c r="V772" s="508"/>
      <c r="W772" s="508"/>
      <c r="X772" s="508"/>
      <c r="Y772" s="508"/>
      <c r="Z772" s="508"/>
    </row>
    <row r="773" ht="13.5" customHeight="1">
      <c r="A773" s="426"/>
      <c r="B773" s="508"/>
      <c r="C773" s="508"/>
      <c r="D773" s="508"/>
      <c r="E773" s="508"/>
      <c r="F773" s="426"/>
      <c r="G773" s="426"/>
      <c r="H773" s="426"/>
      <c r="I773" s="426"/>
      <c r="J773" s="508"/>
      <c r="K773" s="508"/>
      <c r="L773" s="508"/>
      <c r="M773" s="508"/>
      <c r="N773" s="508"/>
      <c r="O773" s="508"/>
      <c r="P773" s="508"/>
      <c r="Q773" s="508"/>
      <c r="R773" s="508"/>
      <c r="S773" s="508"/>
      <c r="T773" s="508"/>
      <c r="U773" s="508"/>
      <c r="V773" s="508"/>
      <c r="W773" s="508"/>
      <c r="X773" s="508"/>
      <c r="Y773" s="508"/>
      <c r="Z773" s="508"/>
    </row>
    <row r="774" ht="13.5" customHeight="1">
      <c r="A774" s="426"/>
      <c r="B774" s="508"/>
      <c r="C774" s="508"/>
      <c r="D774" s="508"/>
      <c r="E774" s="508"/>
      <c r="F774" s="426"/>
      <c r="G774" s="426"/>
      <c r="H774" s="426"/>
      <c r="I774" s="426"/>
      <c r="J774" s="508"/>
      <c r="K774" s="508"/>
      <c r="L774" s="508"/>
      <c r="M774" s="508"/>
      <c r="N774" s="508"/>
      <c r="O774" s="508"/>
      <c r="P774" s="508"/>
      <c r="Q774" s="508"/>
      <c r="R774" s="508"/>
      <c r="S774" s="508"/>
      <c r="T774" s="508"/>
      <c r="U774" s="508"/>
      <c r="V774" s="508"/>
      <c r="W774" s="508"/>
      <c r="X774" s="508"/>
      <c r="Y774" s="508"/>
      <c r="Z774" s="508"/>
    </row>
    <row r="775" ht="13.5" customHeight="1">
      <c r="A775" s="426"/>
      <c r="B775" s="508"/>
      <c r="C775" s="508"/>
      <c r="D775" s="508"/>
      <c r="E775" s="508"/>
      <c r="F775" s="426"/>
      <c r="G775" s="426"/>
      <c r="H775" s="426"/>
      <c r="I775" s="426"/>
      <c r="J775" s="508"/>
      <c r="K775" s="508"/>
      <c r="L775" s="508"/>
      <c r="M775" s="508"/>
      <c r="N775" s="508"/>
      <c r="O775" s="508"/>
      <c r="P775" s="508"/>
      <c r="Q775" s="508"/>
      <c r="R775" s="508"/>
      <c r="S775" s="508"/>
      <c r="T775" s="508"/>
      <c r="U775" s="508"/>
      <c r="V775" s="508"/>
      <c r="W775" s="508"/>
      <c r="X775" s="508"/>
      <c r="Y775" s="508"/>
      <c r="Z775" s="508"/>
    </row>
    <row r="776" ht="13.5" customHeight="1">
      <c r="A776" s="426"/>
      <c r="B776" s="508"/>
      <c r="C776" s="508"/>
      <c r="D776" s="508"/>
      <c r="E776" s="508"/>
      <c r="F776" s="426"/>
      <c r="G776" s="426"/>
      <c r="H776" s="426"/>
      <c r="I776" s="426"/>
      <c r="J776" s="508"/>
      <c r="K776" s="508"/>
      <c r="L776" s="508"/>
      <c r="M776" s="508"/>
      <c r="N776" s="508"/>
      <c r="O776" s="508"/>
      <c r="P776" s="508"/>
      <c r="Q776" s="508"/>
      <c r="R776" s="508"/>
      <c r="S776" s="508"/>
      <c r="T776" s="508"/>
      <c r="U776" s="508"/>
      <c r="V776" s="508"/>
      <c r="W776" s="508"/>
      <c r="X776" s="508"/>
      <c r="Y776" s="508"/>
      <c r="Z776" s="508"/>
    </row>
    <row r="777" ht="13.5" customHeight="1">
      <c r="A777" s="426"/>
      <c r="B777" s="508"/>
      <c r="C777" s="508"/>
      <c r="D777" s="508"/>
      <c r="E777" s="508"/>
      <c r="F777" s="426"/>
      <c r="G777" s="426"/>
      <c r="H777" s="426"/>
      <c r="I777" s="426"/>
      <c r="J777" s="508"/>
      <c r="K777" s="508"/>
      <c r="L777" s="508"/>
      <c r="M777" s="508"/>
      <c r="N777" s="508"/>
      <c r="O777" s="508"/>
      <c r="P777" s="508"/>
      <c r="Q777" s="508"/>
      <c r="R777" s="508"/>
      <c r="S777" s="508"/>
      <c r="T777" s="508"/>
      <c r="U777" s="508"/>
      <c r="V777" s="508"/>
      <c r="W777" s="508"/>
      <c r="X777" s="508"/>
      <c r="Y777" s="508"/>
      <c r="Z777" s="508"/>
    </row>
    <row r="778" ht="13.5" customHeight="1">
      <c r="A778" s="426"/>
      <c r="B778" s="508"/>
      <c r="C778" s="508"/>
      <c r="D778" s="508"/>
      <c r="E778" s="508"/>
      <c r="F778" s="426"/>
      <c r="G778" s="426"/>
      <c r="H778" s="426"/>
      <c r="I778" s="426"/>
      <c r="J778" s="508"/>
      <c r="K778" s="508"/>
      <c r="L778" s="508"/>
      <c r="M778" s="508"/>
      <c r="N778" s="508"/>
      <c r="O778" s="508"/>
      <c r="P778" s="508"/>
      <c r="Q778" s="508"/>
      <c r="R778" s="508"/>
      <c r="S778" s="508"/>
      <c r="T778" s="508"/>
      <c r="U778" s="508"/>
      <c r="V778" s="508"/>
      <c r="W778" s="508"/>
      <c r="X778" s="508"/>
      <c r="Y778" s="508"/>
      <c r="Z778" s="508"/>
    </row>
    <row r="779" ht="13.5" customHeight="1">
      <c r="A779" s="426"/>
      <c r="B779" s="508"/>
      <c r="C779" s="508"/>
      <c r="D779" s="508"/>
      <c r="E779" s="508"/>
      <c r="F779" s="426"/>
      <c r="G779" s="426"/>
      <c r="H779" s="426"/>
      <c r="I779" s="426"/>
      <c r="J779" s="508"/>
      <c r="K779" s="508"/>
      <c r="L779" s="508"/>
      <c r="M779" s="508"/>
      <c r="N779" s="508"/>
      <c r="O779" s="508"/>
      <c r="P779" s="508"/>
      <c r="Q779" s="508"/>
      <c r="R779" s="508"/>
      <c r="S779" s="508"/>
      <c r="T779" s="508"/>
      <c r="U779" s="508"/>
      <c r="V779" s="508"/>
      <c r="W779" s="508"/>
      <c r="X779" s="508"/>
      <c r="Y779" s="508"/>
      <c r="Z779" s="508"/>
    </row>
    <row r="780" ht="13.5" customHeight="1">
      <c r="A780" s="426"/>
      <c r="B780" s="508"/>
      <c r="C780" s="508"/>
      <c r="D780" s="508"/>
      <c r="E780" s="508"/>
      <c r="F780" s="426"/>
      <c r="G780" s="426"/>
      <c r="H780" s="426"/>
      <c r="I780" s="426"/>
      <c r="J780" s="508"/>
      <c r="K780" s="508"/>
      <c r="L780" s="508"/>
      <c r="M780" s="508"/>
      <c r="N780" s="508"/>
      <c r="O780" s="508"/>
      <c r="P780" s="508"/>
      <c r="Q780" s="508"/>
      <c r="R780" s="508"/>
      <c r="S780" s="508"/>
      <c r="T780" s="508"/>
      <c r="U780" s="508"/>
      <c r="V780" s="508"/>
      <c r="W780" s="508"/>
      <c r="X780" s="508"/>
      <c r="Y780" s="508"/>
      <c r="Z780" s="508"/>
    </row>
    <row r="781" ht="13.5" customHeight="1">
      <c r="A781" s="426"/>
      <c r="B781" s="508"/>
      <c r="C781" s="508"/>
      <c r="D781" s="508"/>
      <c r="E781" s="508"/>
      <c r="F781" s="426"/>
      <c r="G781" s="426"/>
      <c r="H781" s="426"/>
      <c r="I781" s="426"/>
      <c r="J781" s="508"/>
      <c r="K781" s="508"/>
      <c r="L781" s="508"/>
      <c r="M781" s="508"/>
      <c r="N781" s="508"/>
      <c r="O781" s="508"/>
      <c r="P781" s="508"/>
      <c r="Q781" s="508"/>
      <c r="R781" s="508"/>
      <c r="S781" s="508"/>
      <c r="T781" s="508"/>
      <c r="U781" s="508"/>
      <c r="V781" s="508"/>
      <c r="W781" s="508"/>
      <c r="X781" s="508"/>
      <c r="Y781" s="508"/>
      <c r="Z781" s="508"/>
    </row>
    <row r="782" ht="13.5" customHeight="1">
      <c r="A782" s="426"/>
      <c r="B782" s="508"/>
      <c r="C782" s="508"/>
      <c r="D782" s="508"/>
      <c r="E782" s="508"/>
      <c r="F782" s="426"/>
      <c r="G782" s="426"/>
      <c r="H782" s="426"/>
      <c r="I782" s="426"/>
      <c r="J782" s="508"/>
      <c r="K782" s="508"/>
      <c r="L782" s="508"/>
      <c r="M782" s="508"/>
      <c r="N782" s="508"/>
      <c r="O782" s="508"/>
      <c r="P782" s="508"/>
      <c r="Q782" s="508"/>
      <c r="R782" s="508"/>
      <c r="S782" s="508"/>
      <c r="T782" s="508"/>
      <c r="U782" s="508"/>
      <c r="V782" s="508"/>
      <c r="W782" s="508"/>
      <c r="X782" s="508"/>
      <c r="Y782" s="508"/>
      <c r="Z782" s="508"/>
    </row>
    <row r="783" ht="13.5" customHeight="1">
      <c r="A783" s="426"/>
      <c r="B783" s="508"/>
      <c r="C783" s="508"/>
      <c r="D783" s="508"/>
      <c r="E783" s="508"/>
      <c r="F783" s="426"/>
      <c r="G783" s="426"/>
      <c r="H783" s="426"/>
      <c r="I783" s="426"/>
      <c r="J783" s="508"/>
      <c r="K783" s="508"/>
      <c r="L783" s="508"/>
      <c r="M783" s="508"/>
      <c r="N783" s="508"/>
      <c r="O783" s="508"/>
      <c r="P783" s="508"/>
      <c r="Q783" s="508"/>
      <c r="R783" s="508"/>
      <c r="S783" s="508"/>
      <c r="T783" s="508"/>
      <c r="U783" s="508"/>
      <c r="V783" s="508"/>
      <c r="W783" s="508"/>
      <c r="X783" s="508"/>
      <c r="Y783" s="508"/>
      <c r="Z783" s="508"/>
    </row>
    <row r="784" ht="13.5" customHeight="1">
      <c r="A784" s="426"/>
      <c r="B784" s="508"/>
      <c r="C784" s="508"/>
      <c r="D784" s="508"/>
      <c r="E784" s="508"/>
      <c r="F784" s="426"/>
      <c r="G784" s="426"/>
      <c r="H784" s="426"/>
      <c r="I784" s="426"/>
      <c r="J784" s="508"/>
      <c r="K784" s="508"/>
      <c r="L784" s="508"/>
      <c r="M784" s="508"/>
      <c r="N784" s="508"/>
      <c r="O784" s="508"/>
      <c r="P784" s="508"/>
      <c r="Q784" s="508"/>
      <c r="R784" s="508"/>
      <c r="S784" s="508"/>
      <c r="T784" s="508"/>
      <c r="U784" s="508"/>
      <c r="V784" s="508"/>
      <c r="W784" s="508"/>
      <c r="X784" s="508"/>
      <c r="Y784" s="508"/>
      <c r="Z784" s="508"/>
    </row>
    <row r="785" ht="13.5" customHeight="1">
      <c r="A785" s="426"/>
      <c r="B785" s="508"/>
      <c r="C785" s="508"/>
      <c r="D785" s="508"/>
      <c r="E785" s="508"/>
      <c r="F785" s="426"/>
      <c r="G785" s="426"/>
      <c r="H785" s="426"/>
      <c r="I785" s="426"/>
      <c r="J785" s="508"/>
      <c r="K785" s="508"/>
      <c r="L785" s="508"/>
      <c r="M785" s="508"/>
      <c r="N785" s="508"/>
      <c r="O785" s="508"/>
      <c r="P785" s="508"/>
      <c r="Q785" s="508"/>
      <c r="R785" s="508"/>
      <c r="S785" s="508"/>
      <c r="T785" s="508"/>
      <c r="U785" s="508"/>
      <c r="V785" s="508"/>
      <c r="W785" s="508"/>
      <c r="X785" s="508"/>
      <c r="Y785" s="508"/>
      <c r="Z785" s="508"/>
    </row>
    <row r="786" ht="13.5" customHeight="1">
      <c r="A786" s="426"/>
      <c r="B786" s="508"/>
      <c r="C786" s="508"/>
      <c r="D786" s="508"/>
      <c r="E786" s="508"/>
      <c r="F786" s="426"/>
      <c r="G786" s="426"/>
      <c r="H786" s="426"/>
      <c r="I786" s="426"/>
      <c r="J786" s="508"/>
      <c r="K786" s="508"/>
      <c r="L786" s="508"/>
      <c r="M786" s="508"/>
      <c r="N786" s="508"/>
      <c r="O786" s="508"/>
      <c r="P786" s="508"/>
      <c r="Q786" s="508"/>
      <c r="R786" s="508"/>
      <c r="S786" s="508"/>
      <c r="T786" s="508"/>
      <c r="U786" s="508"/>
      <c r="V786" s="508"/>
      <c r="W786" s="508"/>
      <c r="X786" s="508"/>
      <c r="Y786" s="508"/>
      <c r="Z786" s="508"/>
    </row>
    <row r="787" ht="13.5" customHeight="1">
      <c r="A787" s="426"/>
      <c r="B787" s="508"/>
      <c r="C787" s="508"/>
      <c r="D787" s="508"/>
      <c r="E787" s="508"/>
      <c r="F787" s="426"/>
      <c r="G787" s="426"/>
      <c r="H787" s="426"/>
      <c r="I787" s="426"/>
      <c r="J787" s="508"/>
      <c r="K787" s="508"/>
      <c r="L787" s="508"/>
      <c r="M787" s="508"/>
      <c r="N787" s="508"/>
      <c r="O787" s="508"/>
      <c r="P787" s="508"/>
      <c r="Q787" s="508"/>
      <c r="R787" s="508"/>
      <c r="S787" s="508"/>
      <c r="T787" s="508"/>
      <c r="U787" s="508"/>
      <c r="V787" s="508"/>
      <c r="W787" s="508"/>
      <c r="X787" s="508"/>
      <c r="Y787" s="508"/>
      <c r="Z787" s="508"/>
    </row>
    <row r="788" ht="13.5" customHeight="1">
      <c r="A788" s="426"/>
      <c r="B788" s="508"/>
      <c r="C788" s="508"/>
      <c r="D788" s="508"/>
      <c r="E788" s="508"/>
      <c r="F788" s="426"/>
      <c r="G788" s="426"/>
      <c r="H788" s="426"/>
      <c r="I788" s="426"/>
      <c r="J788" s="508"/>
      <c r="K788" s="508"/>
      <c r="L788" s="508"/>
      <c r="M788" s="508"/>
      <c r="N788" s="508"/>
      <c r="O788" s="508"/>
      <c r="P788" s="508"/>
      <c r="Q788" s="508"/>
      <c r="R788" s="508"/>
      <c r="S788" s="508"/>
      <c r="T788" s="508"/>
      <c r="U788" s="508"/>
      <c r="V788" s="508"/>
      <c r="W788" s="508"/>
      <c r="X788" s="508"/>
      <c r="Y788" s="508"/>
      <c r="Z788" s="508"/>
    </row>
    <row r="789" ht="13.5" customHeight="1">
      <c r="A789" s="426"/>
      <c r="B789" s="508"/>
      <c r="C789" s="508"/>
      <c r="D789" s="508"/>
      <c r="E789" s="508"/>
      <c r="F789" s="426"/>
      <c r="G789" s="426"/>
      <c r="H789" s="426"/>
      <c r="I789" s="426"/>
      <c r="J789" s="508"/>
      <c r="K789" s="508"/>
      <c r="L789" s="508"/>
      <c r="M789" s="508"/>
      <c r="N789" s="508"/>
      <c r="O789" s="508"/>
      <c r="P789" s="508"/>
      <c r="Q789" s="508"/>
      <c r="R789" s="508"/>
      <c r="S789" s="508"/>
      <c r="T789" s="508"/>
      <c r="U789" s="508"/>
      <c r="V789" s="508"/>
      <c r="W789" s="508"/>
      <c r="X789" s="508"/>
      <c r="Y789" s="508"/>
      <c r="Z789" s="508"/>
    </row>
    <row r="790" ht="13.5" customHeight="1">
      <c r="A790" s="426"/>
      <c r="B790" s="508"/>
      <c r="C790" s="508"/>
      <c r="D790" s="508"/>
      <c r="E790" s="508"/>
      <c r="F790" s="426"/>
      <c r="G790" s="426"/>
      <c r="H790" s="426"/>
      <c r="I790" s="426"/>
      <c r="J790" s="508"/>
      <c r="K790" s="508"/>
      <c r="L790" s="508"/>
      <c r="M790" s="508"/>
      <c r="N790" s="508"/>
      <c r="O790" s="508"/>
      <c r="P790" s="508"/>
      <c r="Q790" s="508"/>
      <c r="R790" s="508"/>
      <c r="S790" s="508"/>
      <c r="T790" s="508"/>
      <c r="U790" s="508"/>
      <c r="V790" s="508"/>
      <c r="W790" s="508"/>
      <c r="X790" s="508"/>
      <c r="Y790" s="508"/>
      <c r="Z790" s="508"/>
    </row>
    <row r="791" ht="13.5" customHeight="1">
      <c r="A791" s="426"/>
      <c r="B791" s="508"/>
      <c r="C791" s="508"/>
      <c r="D791" s="508"/>
      <c r="E791" s="508"/>
      <c r="F791" s="426"/>
      <c r="G791" s="426"/>
      <c r="H791" s="426"/>
      <c r="I791" s="426"/>
      <c r="J791" s="508"/>
      <c r="K791" s="508"/>
      <c r="L791" s="508"/>
      <c r="M791" s="508"/>
      <c r="N791" s="508"/>
      <c r="O791" s="508"/>
      <c r="P791" s="508"/>
      <c r="Q791" s="508"/>
      <c r="R791" s="508"/>
      <c r="S791" s="508"/>
      <c r="T791" s="508"/>
      <c r="U791" s="508"/>
      <c r="V791" s="508"/>
      <c r="W791" s="508"/>
      <c r="X791" s="508"/>
      <c r="Y791" s="508"/>
      <c r="Z791" s="508"/>
    </row>
    <row r="792" ht="13.5" customHeight="1">
      <c r="A792" s="426"/>
      <c r="B792" s="508"/>
      <c r="C792" s="508"/>
      <c r="D792" s="508"/>
      <c r="E792" s="508"/>
      <c r="F792" s="426"/>
      <c r="G792" s="426"/>
      <c r="H792" s="426"/>
      <c r="I792" s="426"/>
      <c r="J792" s="508"/>
      <c r="K792" s="508"/>
      <c r="L792" s="508"/>
      <c r="M792" s="508"/>
      <c r="N792" s="508"/>
      <c r="O792" s="508"/>
      <c r="P792" s="508"/>
      <c r="Q792" s="508"/>
      <c r="R792" s="508"/>
      <c r="S792" s="508"/>
      <c r="T792" s="508"/>
      <c r="U792" s="508"/>
      <c r="V792" s="508"/>
      <c r="W792" s="508"/>
      <c r="X792" s="508"/>
      <c r="Y792" s="508"/>
      <c r="Z792" s="508"/>
    </row>
    <row r="793" ht="13.5" customHeight="1">
      <c r="A793" s="426"/>
      <c r="B793" s="508"/>
      <c r="C793" s="508"/>
      <c r="D793" s="508"/>
      <c r="E793" s="508"/>
      <c r="F793" s="426"/>
      <c r="G793" s="426"/>
      <c r="H793" s="426"/>
      <c r="I793" s="426"/>
      <c r="J793" s="508"/>
      <c r="K793" s="508"/>
      <c r="L793" s="508"/>
      <c r="M793" s="508"/>
      <c r="N793" s="508"/>
      <c r="O793" s="508"/>
      <c r="P793" s="508"/>
      <c r="Q793" s="508"/>
      <c r="R793" s="508"/>
      <c r="S793" s="508"/>
      <c r="T793" s="508"/>
      <c r="U793" s="508"/>
      <c r="V793" s="508"/>
      <c r="W793" s="508"/>
      <c r="X793" s="508"/>
      <c r="Y793" s="508"/>
      <c r="Z793" s="508"/>
    </row>
    <row r="794" ht="13.5" customHeight="1">
      <c r="A794" s="426"/>
      <c r="B794" s="508"/>
      <c r="C794" s="508"/>
      <c r="D794" s="508"/>
      <c r="E794" s="508"/>
      <c r="F794" s="426"/>
      <c r="G794" s="426"/>
      <c r="H794" s="426"/>
      <c r="I794" s="426"/>
      <c r="J794" s="508"/>
      <c r="K794" s="508"/>
      <c r="L794" s="508"/>
      <c r="M794" s="508"/>
      <c r="N794" s="508"/>
      <c r="O794" s="508"/>
      <c r="P794" s="508"/>
      <c r="Q794" s="508"/>
      <c r="R794" s="508"/>
      <c r="S794" s="508"/>
      <c r="T794" s="508"/>
      <c r="U794" s="508"/>
      <c r="V794" s="508"/>
      <c r="W794" s="508"/>
      <c r="X794" s="508"/>
      <c r="Y794" s="508"/>
      <c r="Z794" s="508"/>
    </row>
    <row r="795" ht="13.5" customHeight="1">
      <c r="A795" s="426"/>
      <c r="B795" s="508"/>
      <c r="C795" s="508"/>
      <c r="D795" s="508"/>
      <c r="E795" s="508"/>
      <c r="F795" s="426"/>
      <c r="G795" s="426"/>
      <c r="H795" s="426"/>
      <c r="I795" s="426"/>
      <c r="J795" s="508"/>
      <c r="K795" s="508"/>
      <c r="L795" s="508"/>
      <c r="M795" s="508"/>
      <c r="N795" s="508"/>
      <c r="O795" s="508"/>
      <c r="P795" s="508"/>
      <c r="Q795" s="508"/>
      <c r="R795" s="508"/>
      <c r="S795" s="508"/>
      <c r="T795" s="508"/>
      <c r="U795" s="508"/>
      <c r="V795" s="508"/>
      <c r="W795" s="508"/>
      <c r="X795" s="508"/>
      <c r="Y795" s="508"/>
      <c r="Z795" s="508"/>
    </row>
    <row r="796" ht="13.5" customHeight="1">
      <c r="A796" s="426"/>
      <c r="B796" s="508"/>
      <c r="C796" s="508"/>
      <c r="D796" s="508"/>
      <c r="E796" s="508"/>
      <c r="F796" s="426"/>
      <c r="G796" s="426"/>
      <c r="H796" s="426"/>
      <c r="I796" s="426"/>
      <c r="J796" s="508"/>
      <c r="K796" s="508"/>
      <c r="L796" s="508"/>
      <c r="M796" s="508"/>
      <c r="N796" s="508"/>
      <c r="O796" s="508"/>
      <c r="P796" s="508"/>
      <c r="Q796" s="508"/>
      <c r="R796" s="508"/>
      <c r="S796" s="508"/>
      <c r="T796" s="508"/>
      <c r="U796" s="508"/>
      <c r="V796" s="508"/>
      <c r="W796" s="508"/>
      <c r="X796" s="508"/>
      <c r="Y796" s="508"/>
      <c r="Z796" s="508"/>
    </row>
    <row r="797" ht="13.5" customHeight="1">
      <c r="A797" s="426"/>
      <c r="B797" s="508"/>
      <c r="C797" s="508"/>
      <c r="D797" s="508"/>
      <c r="E797" s="508"/>
      <c r="F797" s="426"/>
      <c r="G797" s="426"/>
      <c r="H797" s="426"/>
      <c r="I797" s="426"/>
      <c r="J797" s="508"/>
      <c r="K797" s="508"/>
      <c r="L797" s="508"/>
      <c r="M797" s="508"/>
      <c r="N797" s="508"/>
      <c r="O797" s="508"/>
      <c r="P797" s="508"/>
      <c r="Q797" s="508"/>
      <c r="R797" s="508"/>
      <c r="S797" s="508"/>
      <c r="T797" s="508"/>
      <c r="U797" s="508"/>
      <c r="V797" s="508"/>
      <c r="W797" s="508"/>
      <c r="X797" s="508"/>
      <c r="Y797" s="508"/>
      <c r="Z797" s="508"/>
    </row>
    <row r="798" ht="13.5" customHeight="1">
      <c r="A798" s="426"/>
      <c r="B798" s="508"/>
      <c r="C798" s="508"/>
      <c r="D798" s="508"/>
      <c r="E798" s="508"/>
      <c r="F798" s="426"/>
      <c r="G798" s="426"/>
      <c r="H798" s="426"/>
      <c r="I798" s="426"/>
      <c r="J798" s="508"/>
      <c r="K798" s="508"/>
      <c r="L798" s="508"/>
      <c r="M798" s="508"/>
      <c r="N798" s="508"/>
      <c r="O798" s="508"/>
      <c r="P798" s="508"/>
      <c r="Q798" s="508"/>
      <c r="R798" s="508"/>
      <c r="S798" s="508"/>
      <c r="T798" s="508"/>
      <c r="U798" s="508"/>
      <c r="V798" s="508"/>
      <c r="W798" s="508"/>
      <c r="X798" s="508"/>
      <c r="Y798" s="508"/>
      <c r="Z798" s="508"/>
    </row>
    <row r="799" ht="13.5" customHeight="1">
      <c r="A799" s="426"/>
      <c r="B799" s="508"/>
      <c r="C799" s="508"/>
      <c r="D799" s="508"/>
      <c r="E799" s="508"/>
      <c r="F799" s="426"/>
      <c r="G799" s="426"/>
      <c r="H799" s="426"/>
      <c r="I799" s="426"/>
      <c r="J799" s="508"/>
      <c r="K799" s="508"/>
      <c r="L799" s="508"/>
      <c r="M799" s="508"/>
      <c r="N799" s="508"/>
      <c r="O799" s="508"/>
      <c r="P799" s="508"/>
      <c r="Q799" s="508"/>
      <c r="R799" s="508"/>
      <c r="S799" s="508"/>
      <c r="T799" s="508"/>
      <c r="U799" s="508"/>
      <c r="V799" s="508"/>
      <c r="W799" s="508"/>
      <c r="X799" s="508"/>
      <c r="Y799" s="508"/>
      <c r="Z799" s="508"/>
    </row>
    <row r="800" ht="13.5" customHeight="1">
      <c r="A800" s="426"/>
      <c r="B800" s="508"/>
      <c r="C800" s="508"/>
      <c r="D800" s="508"/>
      <c r="E800" s="508"/>
      <c r="F800" s="426"/>
      <c r="G800" s="426"/>
      <c r="H800" s="426"/>
      <c r="I800" s="426"/>
      <c r="J800" s="508"/>
      <c r="K800" s="508"/>
      <c r="L800" s="508"/>
      <c r="M800" s="508"/>
      <c r="N800" s="508"/>
      <c r="O800" s="508"/>
      <c r="P800" s="508"/>
      <c r="Q800" s="508"/>
      <c r="R800" s="508"/>
      <c r="S800" s="508"/>
      <c r="T800" s="508"/>
      <c r="U800" s="508"/>
      <c r="V800" s="508"/>
      <c r="W800" s="508"/>
      <c r="X800" s="508"/>
      <c r="Y800" s="508"/>
      <c r="Z800" s="508"/>
    </row>
    <row r="801" ht="13.5" customHeight="1">
      <c r="A801" s="426"/>
      <c r="B801" s="508"/>
      <c r="C801" s="508"/>
      <c r="D801" s="508"/>
      <c r="E801" s="508"/>
      <c r="F801" s="426"/>
      <c r="G801" s="426"/>
      <c r="H801" s="426"/>
      <c r="I801" s="426"/>
      <c r="J801" s="508"/>
      <c r="K801" s="508"/>
      <c r="L801" s="508"/>
      <c r="M801" s="508"/>
      <c r="N801" s="508"/>
      <c r="O801" s="508"/>
      <c r="P801" s="508"/>
      <c r="Q801" s="508"/>
      <c r="R801" s="508"/>
      <c r="S801" s="508"/>
      <c r="T801" s="508"/>
      <c r="U801" s="508"/>
      <c r="V801" s="508"/>
      <c r="W801" s="508"/>
      <c r="X801" s="508"/>
      <c r="Y801" s="508"/>
      <c r="Z801" s="508"/>
    </row>
    <row r="802" ht="13.5" customHeight="1">
      <c r="A802" s="426"/>
      <c r="B802" s="508"/>
      <c r="C802" s="508"/>
      <c r="D802" s="508"/>
      <c r="E802" s="508"/>
      <c r="F802" s="426"/>
      <c r="G802" s="426"/>
      <c r="H802" s="426"/>
      <c r="I802" s="426"/>
      <c r="J802" s="508"/>
      <c r="K802" s="508"/>
      <c r="L802" s="508"/>
      <c r="M802" s="508"/>
      <c r="N802" s="508"/>
      <c r="O802" s="508"/>
      <c r="P802" s="508"/>
      <c r="Q802" s="508"/>
      <c r="R802" s="508"/>
      <c r="S802" s="508"/>
      <c r="T802" s="508"/>
      <c r="U802" s="508"/>
      <c r="V802" s="508"/>
      <c r="W802" s="508"/>
      <c r="X802" s="508"/>
      <c r="Y802" s="508"/>
      <c r="Z802" s="508"/>
    </row>
    <row r="803" ht="13.5" customHeight="1">
      <c r="A803" s="426"/>
      <c r="B803" s="508"/>
      <c r="C803" s="508"/>
      <c r="D803" s="508"/>
      <c r="E803" s="508"/>
      <c r="F803" s="426"/>
      <c r="G803" s="426"/>
      <c r="H803" s="426"/>
      <c r="I803" s="426"/>
      <c r="J803" s="508"/>
      <c r="K803" s="508"/>
      <c r="L803" s="508"/>
      <c r="M803" s="508"/>
      <c r="N803" s="508"/>
      <c r="O803" s="508"/>
      <c r="P803" s="508"/>
      <c r="Q803" s="508"/>
      <c r="R803" s="508"/>
      <c r="S803" s="508"/>
      <c r="T803" s="508"/>
      <c r="U803" s="508"/>
      <c r="V803" s="508"/>
      <c r="W803" s="508"/>
      <c r="X803" s="508"/>
      <c r="Y803" s="508"/>
      <c r="Z803" s="508"/>
    </row>
    <row r="804" ht="13.5" customHeight="1">
      <c r="A804" s="426"/>
      <c r="B804" s="508"/>
      <c r="C804" s="508"/>
      <c r="D804" s="508"/>
      <c r="E804" s="508"/>
      <c r="F804" s="426"/>
      <c r="G804" s="426"/>
      <c r="H804" s="426"/>
      <c r="I804" s="426"/>
      <c r="J804" s="508"/>
      <c r="K804" s="508"/>
      <c r="L804" s="508"/>
      <c r="M804" s="508"/>
      <c r="N804" s="508"/>
      <c r="O804" s="508"/>
      <c r="P804" s="508"/>
      <c r="Q804" s="508"/>
      <c r="R804" s="508"/>
      <c r="S804" s="508"/>
      <c r="T804" s="508"/>
      <c r="U804" s="508"/>
      <c r="V804" s="508"/>
      <c r="W804" s="508"/>
      <c r="X804" s="508"/>
      <c r="Y804" s="508"/>
      <c r="Z804" s="508"/>
    </row>
    <row r="805" ht="13.5" customHeight="1">
      <c r="A805" s="426"/>
      <c r="B805" s="508"/>
      <c r="C805" s="508"/>
      <c r="D805" s="508"/>
      <c r="E805" s="508"/>
      <c r="F805" s="426"/>
      <c r="G805" s="426"/>
      <c r="H805" s="426"/>
      <c r="I805" s="426"/>
      <c r="J805" s="508"/>
      <c r="K805" s="508"/>
      <c r="L805" s="508"/>
      <c r="M805" s="508"/>
      <c r="N805" s="508"/>
      <c r="O805" s="508"/>
      <c r="P805" s="508"/>
      <c r="Q805" s="508"/>
      <c r="R805" s="508"/>
      <c r="S805" s="508"/>
      <c r="T805" s="508"/>
      <c r="U805" s="508"/>
      <c r="V805" s="508"/>
      <c r="W805" s="508"/>
      <c r="X805" s="508"/>
      <c r="Y805" s="508"/>
      <c r="Z805" s="508"/>
    </row>
    <row r="806" ht="13.5" customHeight="1">
      <c r="A806" s="426"/>
      <c r="B806" s="508"/>
      <c r="C806" s="508"/>
      <c r="D806" s="508"/>
      <c r="E806" s="508"/>
      <c r="F806" s="426"/>
      <c r="G806" s="426"/>
      <c r="H806" s="426"/>
      <c r="I806" s="426"/>
      <c r="J806" s="508"/>
      <c r="K806" s="508"/>
      <c r="L806" s="508"/>
      <c r="M806" s="508"/>
      <c r="N806" s="508"/>
      <c r="O806" s="508"/>
      <c r="P806" s="508"/>
      <c r="Q806" s="508"/>
      <c r="R806" s="508"/>
      <c r="S806" s="508"/>
      <c r="T806" s="508"/>
      <c r="U806" s="508"/>
      <c r="V806" s="508"/>
      <c r="W806" s="508"/>
      <c r="X806" s="508"/>
      <c r="Y806" s="508"/>
      <c r="Z806" s="508"/>
    </row>
    <row r="807" ht="13.5" customHeight="1">
      <c r="A807" s="426"/>
      <c r="B807" s="508"/>
      <c r="C807" s="508"/>
      <c r="D807" s="508"/>
      <c r="E807" s="508"/>
      <c r="F807" s="426"/>
      <c r="G807" s="426"/>
      <c r="H807" s="426"/>
      <c r="I807" s="426"/>
      <c r="J807" s="508"/>
      <c r="K807" s="508"/>
      <c r="L807" s="508"/>
      <c r="M807" s="508"/>
      <c r="N807" s="508"/>
      <c r="O807" s="508"/>
      <c r="P807" s="508"/>
      <c r="Q807" s="508"/>
      <c r="R807" s="508"/>
      <c r="S807" s="508"/>
      <c r="T807" s="508"/>
      <c r="U807" s="508"/>
      <c r="V807" s="508"/>
      <c r="W807" s="508"/>
      <c r="X807" s="508"/>
      <c r="Y807" s="508"/>
      <c r="Z807" s="508"/>
    </row>
    <row r="808" ht="13.5" customHeight="1">
      <c r="A808" s="426"/>
      <c r="B808" s="508"/>
      <c r="C808" s="508"/>
      <c r="D808" s="508"/>
      <c r="E808" s="508"/>
      <c r="F808" s="426"/>
      <c r="G808" s="426"/>
      <c r="H808" s="426"/>
      <c r="I808" s="426"/>
      <c r="J808" s="508"/>
      <c r="K808" s="508"/>
      <c r="L808" s="508"/>
      <c r="M808" s="508"/>
      <c r="N808" s="508"/>
      <c r="O808" s="508"/>
      <c r="P808" s="508"/>
      <c r="Q808" s="508"/>
      <c r="R808" s="508"/>
      <c r="S808" s="508"/>
      <c r="T808" s="508"/>
      <c r="U808" s="508"/>
      <c r="V808" s="508"/>
      <c r="W808" s="508"/>
      <c r="X808" s="508"/>
      <c r="Y808" s="508"/>
      <c r="Z808" s="508"/>
    </row>
    <row r="809" ht="13.5" customHeight="1">
      <c r="A809" s="426"/>
      <c r="B809" s="508"/>
      <c r="C809" s="508"/>
      <c r="D809" s="508"/>
      <c r="E809" s="508"/>
      <c r="F809" s="426"/>
      <c r="G809" s="426"/>
      <c r="H809" s="426"/>
      <c r="I809" s="426"/>
      <c r="J809" s="508"/>
      <c r="K809" s="508"/>
      <c r="L809" s="508"/>
      <c r="M809" s="508"/>
      <c r="N809" s="508"/>
      <c r="O809" s="508"/>
      <c r="P809" s="508"/>
      <c r="Q809" s="508"/>
      <c r="R809" s="508"/>
      <c r="S809" s="508"/>
      <c r="T809" s="508"/>
      <c r="U809" s="508"/>
      <c r="V809" s="508"/>
      <c r="W809" s="508"/>
      <c r="X809" s="508"/>
      <c r="Y809" s="508"/>
      <c r="Z809" s="508"/>
    </row>
    <row r="810" ht="13.5" customHeight="1">
      <c r="A810" s="426"/>
      <c r="B810" s="508"/>
      <c r="C810" s="508"/>
      <c r="D810" s="508"/>
      <c r="E810" s="508"/>
      <c r="F810" s="426"/>
      <c r="G810" s="426"/>
      <c r="H810" s="426"/>
      <c r="I810" s="426"/>
      <c r="J810" s="508"/>
      <c r="K810" s="508"/>
      <c r="L810" s="508"/>
      <c r="M810" s="508"/>
      <c r="N810" s="508"/>
      <c r="O810" s="508"/>
      <c r="P810" s="508"/>
      <c r="Q810" s="508"/>
      <c r="R810" s="508"/>
      <c r="S810" s="508"/>
      <c r="T810" s="508"/>
      <c r="U810" s="508"/>
      <c r="V810" s="508"/>
      <c r="W810" s="508"/>
      <c r="X810" s="508"/>
      <c r="Y810" s="508"/>
      <c r="Z810" s="508"/>
    </row>
    <row r="811" ht="13.5" customHeight="1">
      <c r="A811" s="426"/>
      <c r="B811" s="508"/>
      <c r="C811" s="508"/>
      <c r="D811" s="508"/>
      <c r="E811" s="508"/>
      <c r="F811" s="426"/>
      <c r="G811" s="426"/>
      <c r="H811" s="426"/>
      <c r="I811" s="426"/>
      <c r="J811" s="508"/>
      <c r="K811" s="508"/>
      <c r="L811" s="508"/>
      <c r="M811" s="508"/>
      <c r="N811" s="508"/>
      <c r="O811" s="508"/>
      <c r="P811" s="508"/>
      <c r="Q811" s="508"/>
      <c r="R811" s="508"/>
      <c r="S811" s="508"/>
      <c r="T811" s="508"/>
      <c r="U811" s="508"/>
      <c r="V811" s="508"/>
      <c r="W811" s="508"/>
      <c r="X811" s="508"/>
      <c r="Y811" s="508"/>
      <c r="Z811" s="508"/>
    </row>
    <row r="812" ht="13.5" customHeight="1">
      <c r="A812" s="426"/>
      <c r="B812" s="508"/>
      <c r="C812" s="508"/>
      <c r="D812" s="508"/>
      <c r="E812" s="508"/>
      <c r="F812" s="426"/>
      <c r="G812" s="426"/>
      <c r="H812" s="426"/>
      <c r="I812" s="426"/>
      <c r="J812" s="508"/>
      <c r="K812" s="508"/>
      <c r="L812" s="508"/>
      <c r="M812" s="508"/>
      <c r="N812" s="508"/>
      <c r="O812" s="508"/>
      <c r="P812" s="508"/>
      <c r="Q812" s="508"/>
      <c r="R812" s="508"/>
      <c r="S812" s="508"/>
      <c r="T812" s="508"/>
      <c r="U812" s="508"/>
      <c r="V812" s="508"/>
      <c r="W812" s="508"/>
      <c r="X812" s="508"/>
      <c r="Y812" s="508"/>
      <c r="Z812" s="508"/>
    </row>
    <row r="813" ht="13.5" customHeight="1">
      <c r="A813" s="426"/>
      <c r="B813" s="508"/>
      <c r="C813" s="508"/>
      <c r="D813" s="508"/>
      <c r="E813" s="508"/>
      <c r="F813" s="426"/>
      <c r="G813" s="426"/>
      <c r="H813" s="426"/>
      <c r="I813" s="426"/>
      <c r="J813" s="508"/>
      <c r="K813" s="508"/>
      <c r="L813" s="508"/>
      <c r="M813" s="508"/>
      <c r="N813" s="508"/>
      <c r="O813" s="508"/>
      <c r="P813" s="508"/>
      <c r="Q813" s="508"/>
      <c r="R813" s="508"/>
      <c r="S813" s="508"/>
      <c r="T813" s="508"/>
      <c r="U813" s="508"/>
      <c r="V813" s="508"/>
      <c r="W813" s="508"/>
      <c r="X813" s="508"/>
      <c r="Y813" s="508"/>
      <c r="Z813" s="508"/>
    </row>
    <row r="814" ht="13.5" customHeight="1">
      <c r="A814" s="426"/>
      <c r="B814" s="508"/>
      <c r="C814" s="508"/>
      <c r="D814" s="508"/>
      <c r="E814" s="508"/>
      <c r="F814" s="426"/>
      <c r="G814" s="426"/>
      <c r="H814" s="426"/>
      <c r="I814" s="426"/>
      <c r="J814" s="508"/>
      <c r="K814" s="508"/>
      <c r="L814" s="508"/>
      <c r="M814" s="508"/>
      <c r="N814" s="508"/>
      <c r="O814" s="508"/>
      <c r="P814" s="508"/>
      <c r="Q814" s="508"/>
      <c r="R814" s="508"/>
      <c r="S814" s="508"/>
      <c r="T814" s="508"/>
      <c r="U814" s="508"/>
      <c r="V814" s="508"/>
      <c r="W814" s="508"/>
      <c r="X814" s="508"/>
      <c r="Y814" s="508"/>
      <c r="Z814" s="508"/>
    </row>
    <row r="815" ht="13.5" customHeight="1">
      <c r="A815" s="426"/>
      <c r="B815" s="508"/>
      <c r="C815" s="508"/>
      <c r="D815" s="508"/>
      <c r="E815" s="508"/>
      <c r="F815" s="426"/>
      <c r="G815" s="426"/>
      <c r="H815" s="426"/>
      <c r="I815" s="426"/>
      <c r="J815" s="508"/>
      <c r="K815" s="508"/>
      <c r="L815" s="508"/>
      <c r="M815" s="508"/>
      <c r="N815" s="508"/>
      <c r="O815" s="508"/>
      <c r="P815" s="508"/>
      <c r="Q815" s="508"/>
      <c r="R815" s="508"/>
      <c r="S815" s="508"/>
      <c r="T815" s="508"/>
      <c r="U815" s="508"/>
      <c r="V815" s="508"/>
      <c r="W815" s="508"/>
      <c r="X815" s="508"/>
      <c r="Y815" s="508"/>
      <c r="Z815" s="508"/>
    </row>
    <row r="816" ht="13.5" customHeight="1">
      <c r="A816" s="426"/>
      <c r="B816" s="508"/>
      <c r="C816" s="508"/>
      <c r="D816" s="508"/>
      <c r="E816" s="508"/>
      <c r="F816" s="426"/>
      <c r="G816" s="426"/>
      <c r="H816" s="426"/>
      <c r="I816" s="426"/>
      <c r="J816" s="508"/>
      <c r="K816" s="508"/>
      <c r="L816" s="508"/>
      <c r="M816" s="508"/>
      <c r="N816" s="508"/>
      <c r="O816" s="508"/>
      <c r="P816" s="508"/>
      <c r="Q816" s="508"/>
      <c r="R816" s="508"/>
      <c r="S816" s="508"/>
      <c r="T816" s="508"/>
      <c r="U816" s="508"/>
      <c r="V816" s="508"/>
      <c r="W816" s="508"/>
      <c r="X816" s="508"/>
      <c r="Y816" s="508"/>
      <c r="Z816" s="508"/>
    </row>
    <row r="817" ht="13.5" customHeight="1">
      <c r="A817" s="426"/>
      <c r="B817" s="508"/>
      <c r="C817" s="508"/>
      <c r="D817" s="508"/>
      <c r="E817" s="508"/>
      <c r="F817" s="426"/>
      <c r="G817" s="426"/>
      <c r="H817" s="426"/>
      <c r="I817" s="426"/>
      <c r="J817" s="508"/>
      <c r="K817" s="508"/>
      <c r="L817" s="508"/>
      <c r="M817" s="508"/>
      <c r="N817" s="508"/>
      <c r="O817" s="508"/>
      <c r="P817" s="508"/>
      <c r="Q817" s="508"/>
      <c r="R817" s="508"/>
      <c r="S817" s="508"/>
      <c r="T817" s="508"/>
      <c r="U817" s="508"/>
      <c r="V817" s="508"/>
      <c r="W817" s="508"/>
      <c r="X817" s="508"/>
      <c r="Y817" s="508"/>
      <c r="Z817" s="508"/>
    </row>
    <row r="818" ht="13.5" customHeight="1">
      <c r="A818" s="426"/>
      <c r="B818" s="508"/>
      <c r="C818" s="508"/>
      <c r="D818" s="508"/>
      <c r="E818" s="508"/>
      <c r="F818" s="426"/>
      <c r="G818" s="426"/>
      <c r="H818" s="426"/>
      <c r="I818" s="426"/>
      <c r="J818" s="508"/>
      <c r="K818" s="508"/>
      <c r="L818" s="508"/>
      <c r="M818" s="508"/>
      <c r="N818" s="508"/>
      <c r="O818" s="508"/>
      <c r="P818" s="508"/>
      <c r="Q818" s="508"/>
      <c r="R818" s="508"/>
      <c r="S818" s="508"/>
      <c r="T818" s="508"/>
      <c r="U818" s="508"/>
      <c r="V818" s="508"/>
      <c r="W818" s="508"/>
      <c r="X818" s="508"/>
      <c r="Y818" s="508"/>
      <c r="Z818" s="508"/>
    </row>
    <row r="819" ht="13.5" customHeight="1">
      <c r="A819" s="426"/>
      <c r="B819" s="508"/>
      <c r="C819" s="508"/>
      <c r="D819" s="508"/>
      <c r="E819" s="508"/>
      <c r="F819" s="426"/>
      <c r="G819" s="426"/>
      <c r="H819" s="426"/>
      <c r="I819" s="426"/>
      <c r="J819" s="508"/>
      <c r="K819" s="508"/>
      <c r="L819" s="508"/>
      <c r="M819" s="508"/>
      <c r="N819" s="508"/>
      <c r="O819" s="508"/>
      <c r="P819" s="508"/>
      <c r="Q819" s="508"/>
      <c r="R819" s="508"/>
      <c r="S819" s="508"/>
      <c r="T819" s="508"/>
      <c r="U819" s="508"/>
      <c r="V819" s="508"/>
      <c r="W819" s="508"/>
      <c r="X819" s="508"/>
      <c r="Y819" s="508"/>
      <c r="Z819" s="508"/>
    </row>
    <row r="820" ht="13.5" customHeight="1">
      <c r="A820" s="426"/>
      <c r="B820" s="508"/>
      <c r="C820" s="508"/>
      <c r="D820" s="508"/>
      <c r="E820" s="508"/>
      <c r="F820" s="426"/>
      <c r="G820" s="426"/>
      <c r="H820" s="426"/>
      <c r="I820" s="426"/>
      <c r="J820" s="508"/>
      <c r="K820" s="508"/>
      <c r="L820" s="508"/>
      <c r="M820" s="508"/>
      <c r="N820" s="508"/>
      <c r="O820" s="508"/>
      <c r="P820" s="508"/>
      <c r="Q820" s="508"/>
      <c r="R820" s="508"/>
      <c r="S820" s="508"/>
      <c r="T820" s="508"/>
      <c r="U820" s="508"/>
      <c r="V820" s="508"/>
      <c r="W820" s="508"/>
      <c r="X820" s="508"/>
      <c r="Y820" s="508"/>
      <c r="Z820" s="508"/>
    </row>
    <row r="821" ht="13.5" customHeight="1">
      <c r="A821" s="426"/>
      <c r="B821" s="508"/>
      <c r="C821" s="508"/>
      <c r="D821" s="508"/>
      <c r="E821" s="508"/>
      <c r="F821" s="426"/>
      <c r="G821" s="426"/>
      <c r="H821" s="426"/>
      <c r="I821" s="426"/>
      <c r="J821" s="508"/>
      <c r="K821" s="508"/>
      <c r="L821" s="508"/>
      <c r="M821" s="508"/>
      <c r="N821" s="508"/>
      <c r="O821" s="508"/>
      <c r="P821" s="508"/>
      <c r="Q821" s="508"/>
      <c r="R821" s="508"/>
      <c r="S821" s="508"/>
      <c r="T821" s="508"/>
      <c r="U821" s="508"/>
      <c r="V821" s="508"/>
      <c r="W821" s="508"/>
      <c r="X821" s="508"/>
      <c r="Y821" s="508"/>
      <c r="Z821" s="508"/>
    </row>
    <row r="822" ht="13.5" customHeight="1">
      <c r="A822" s="426"/>
      <c r="B822" s="508"/>
      <c r="C822" s="508"/>
      <c r="D822" s="508"/>
      <c r="E822" s="508"/>
      <c r="F822" s="426"/>
      <c r="G822" s="426"/>
      <c r="H822" s="426"/>
      <c r="I822" s="426"/>
      <c r="J822" s="508"/>
      <c r="K822" s="508"/>
      <c r="L822" s="508"/>
      <c r="M822" s="508"/>
      <c r="N822" s="508"/>
      <c r="O822" s="508"/>
      <c r="P822" s="508"/>
      <c r="Q822" s="508"/>
      <c r="R822" s="508"/>
      <c r="S822" s="508"/>
      <c r="T822" s="508"/>
      <c r="U822" s="508"/>
      <c r="V822" s="508"/>
      <c r="W822" s="508"/>
      <c r="X822" s="508"/>
      <c r="Y822" s="508"/>
      <c r="Z822" s="508"/>
    </row>
    <row r="823" ht="13.5" customHeight="1">
      <c r="A823" s="426"/>
      <c r="B823" s="508"/>
      <c r="C823" s="508"/>
      <c r="D823" s="508"/>
      <c r="E823" s="508"/>
      <c r="F823" s="426"/>
      <c r="G823" s="426"/>
      <c r="H823" s="426"/>
      <c r="I823" s="426"/>
      <c r="J823" s="508"/>
      <c r="K823" s="508"/>
      <c r="L823" s="508"/>
      <c r="M823" s="508"/>
      <c r="N823" s="508"/>
      <c r="O823" s="508"/>
      <c r="P823" s="508"/>
      <c r="Q823" s="508"/>
      <c r="R823" s="508"/>
      <c r="S823" s="508"/>
      <c r="T823" s="508"/>
      <c r="U823" s="508"/>
      <c r="V823" s="508"/>
      <c r="W823" s="508"/>
      <c r="X823" s="508"/>
      <c r="Y823" s="508"/>
      <c r="Z823" s="508"/>
    </row>
    <row r="824" ht="13.5" customHeight="1">
      <c r="A824" s="426"/>
      <c r="B824" s="508"/>
      <c r="C824" s="508"/>
      <c r="D824" s="508"/>
      <c r="E824" s="508"/>
      <c r="F824" s="426"/>
      <c r="G824" s="426"/>
      <c r="H824" s="426"/>
      <c r="I824" s="426"/>
      <c r="J824" s="508"/>
      <c r="K824" s="508"/>
      <c r="L824" s="508"/>
      <c r="M824" s="508"/>
      <c r="N824" s="508"/>
      <c r="O824" s="508"/>
      <c r="P824" s="508"/>
      <c r="Q824" s="508"/>
      <c r="R824" s="508"/>
      <c r="S824" s="508"/>
      <c r="T824" s="508"/>
      <c r="U824" s="508"/>
      <c r="V824" s="508"/>
      <c r="W824" s="508"/>
      <c r="X824" s="508"/>
      <c r="Y824" s="508"/>
      <c r="Z824" s="508"/>
    </row>
    <row r="825" ht="13.5" customHeight="1">
      <c r="A825" s="426"/>
      <c r="B825" s="508"/>
      <c r="C825" s="508"/>
      <c r="D825" s="508"/>
      <c r="E825" s="508"/>
      <c r="F825" s="426"/>
      <c r="G825" s="426"/>
      <c r="H825" s="426"/>
      <c r="I825" s="426"/>
      <c r="J825" s="508"/>
      <c r="K825" s="508"/>
      <c r="L825" s="508"/>
      <c r="M825" s="508"/>
      <c r="N825" s="508"/>
      <c r="O825" s="508"/>
      <c r="P825" s="508"/>
      <c r="Q825" s="508"/>
      <c r="R825" s="508"/>
      <c r="S825" s="508"/>
      <c r="T825" s="508"/>
      <c r="U825" s="508"/>
      <c r="V825" s="508"/>
      <c r="W825" s="508"/>
      <c r="X825" s="508"/>
      <c r="Y825" s="508"/>
      <c r="Z825" s="508"/>
    </row>
    <row r="826" ht="13.5" customHeight="1">
      <c r="A826" s="426"/>
      <c r="B826" s="508"/>
      <c r="C826" s="508"/>
      <c r="D826" s="508"/>
      <c r="E826" s="508"/>
      <c r="F826" s="426"/>
      <c r="G826" s="426"/>
      <c r="H826" s="426"/>
      <c r="I826" s="426"/>
      <c r="J826" s="508"/>
      <c r="K826" s="508"/>
      <c r="L826" s="508"/>
      <c r="M826" s="508"/>
      <c r="N826" s="508"/>
      <c r="O826" s="508"/>
      <c r="P826" s="508"/>
      <c r="Q826" s="508"/>
      <c r="R826" s="508"/>
      <c r="S826" s="508"/>
      <c r="T826" s="508"/>
      <c r="U826" s="508"/>
      <c r="V826" s="508"/>
      <c r="W826" s="508"/>
      <c r="X826" s="508"/>
      <c r="Y826" s="508"/>
      <c r="Z826" s="508"/>
    </row>
    <row r="827" ht="13.5" customHeight="1">
      <c r="A827" s="426"/>
      <c r="B827" s="508"/>
      <c r="C827" s="508"/>
      <c r="D827" s="508"/>
      <c r="E827" s="508"/>
      <c r="F827" s="426"/>
      <c r="G827" s="426"/>
      <c r="H827" s="426"/>
      <c r="I827" s="426"/>
      <c r="J827" s="508"/>
      <c r="K827" s="508"/>
      <c r="L827" s="508"/>
      <c r="M827" s="508"/>
      <c r="N827" s="508"/>
      <c r="O827" s="508"/>
      <c r="P827" s="508"/>
      <c r="Q827" s="508"/>
      <c r="R827" s="508"/>
      <c r="S827" s="508"/>
      <c r="T827" s="508"/>
      <c r="U827" s="508"/>
      <c r="V827" s="508"/>
      <c r="W827" s="508"/>
      <c r="X827" s="508"/>
      <c r="Y827" s="508"/>
      <c r="Z827" s="508"/>
    </row>
    <row r="828" ht="13.5" customHeight="1">
      <c r="A828" s="426"/>
      <c r="B828" s="508"/>
      <c r="C828" s="508"/>
      <c r="D828" s="508"/>
      <c r="E828" s="508"/>
      <c r="F828" s="426"/>
      <c r="G828" s="426"/>
      <c r="H828" s="426"/>
      <c r="I828" s="426"/>
      <c r="J828" s="508"/>
      <c r="K828" s="508"/>
      <c r="L828" s="508"/>
      <c r="M828" s="508"/>
      <c r="N828" s="508"/>
      <c r="O828" s="508"/>
      <c r="P828" s="508"/>
      <c r="Q828" s="508"/>
      <c r="R828" s="508"/>
      <c r="S828" s="508"/>
      <c r="T828" s="508"/>
      <c r="U828" s="508"/>
      <c r="V828" s="508"/>
      <c r="W828" s="508"/>
      <c r="X828" s="508"/>
      <c r="Y828" s="508"/>
      <c r="Z828" s="508"/>
    </row>
    <row r="829" ht="13.5" customHeight="1">
      <c r="A829" s="426"/>
      <c r="B829" s="508"/>
      <c r="C829" s="508"/>
      <c r="D829" s="508"/>
      <c r="E829" s="508"/>
      <c r="F829" s="426"/>
      <c r="G829" s="426"/>
      <c r="H829" s="426"/>
      <c r="I829" s="426"/>
      <c r="J829" s="508"/>
      <c r="K829" s="508"/>
      <c r="L829" s="508"/>
      <c r="M829" s="508"/>
      <c r="N829" s="508"/>
      <c r="O829" s="508"/>
      <c r="P829" s="508"/>
      <c r="Q829" s="508"/>
      <c r="R829" s="508"/>
      <c r="S829" s="508"/>
      <c r="T829" s="508"/>
      <c r="U829" s="508"/>
      <c r="V829" s="508"/>
      <c r="W829" s="508"/>
      <c r="X829" s="508"/>
      <c r="Y829" s="508"/>
      <c r="Z829" s="508"/>
    </row>
    <row r="830" ht="13.5" customHeight="1">
      <c r="A830" s="426"/>
      <c r="B830" s="508"/>
      <c r="C830" s="508"/>
      <c r="D830" s="508"/>
      <c r="E830" s="508"/>
      <c r="F830" s="426"/>
      <c r="G830" s="426"/>
      <c r="H830" s="426"/>
      <c r="I830" s="426"/>
      <c r="J830" s="508"/>
      <c r="K830" s="508"/>
      <c r="L830" s="508"/>
      <c r="M830" s="508"/>
      <c r="N830" s="508"/>
      <c r="O830" s="508"/>
      <c r="P830" s="508"/>
      <c r="Q830" s="508"/>
      <c r="R830" s="508"/>
      <c r="S830" s="508"/>
      <c r="T830" s="508"/>
      <c r="U830" s="508"/>
      <c r="V830" s="508"/>
      <c r="W830" s="508"/>
      <c r="X830" s="508"/>
      <c r="Y830" s="508"/>
      <c r="Z830" s="508"/>
    </row>
    <row r="831" ht="13.5" customHeight="1">
      <c r="A831" s="426"/>
      <c r="B831" s="508"/>
      <c r="C831" s="508"/>
      <c r="D831" s="508"/>
      <c r="E831" s="508"/>
      <c r="F831" s="426"/>
      <c r="G831" s="426"/>
      <c r="H831" s="426"/>
      <c r="I831" s="426"/>
      <c r="J831" s="508"/>
      <c r="K831" s="508"/>
      <c r="L831" s="508"/>
      <c r="M831" s="508"/>
      <c r="N831" s="508"/>
      <c r="O831" s="508"/>
      <c r="P831" s="508"/>
      <c r="Q831" s="508"/>
      <c r="R831" s="508"/>
      <c r="S831" s="508"/>
      <c r="T831" s="508"/>
      <c r="U831" s="508"/>
      <c r="V831" s="508"/>
      <c r="W831" s="508"/>
      <c r="X831" s="508"/>
      <c r="Y831" s="508"/>
      <c r="Z831" s="508"/>
    </row>
    <row r="832" ht="13.5" customHeight="1">
      <c r="A832" s="426"/>
      <c r="B832" s="508"/>
      <c r="C832" s="508"/>
      <c r="D832" s="508"/>
      <c r="E832" s="508"/>
      <c r="F832" s="426"/>
      <c r="G832" s="426"/>
      <c r="H832" s="426"/>
      <c r="I832" s="426"/>
      <c r="J832" s="508"/>
      <c r="K832" s="508"/>
      <c r="L832" s="508"/>
      <c r="M832" s="508"/>
      <c r="N832" s="508"/>
      <c r="O832" s="508"/>
      <c r="P832" s="508"/>
      <c r="Q832" s="508"/>
      <c r="R832" s="508"/>
      <c r="S832" s="508"/>
      <c r="T832" s="508"/>
      <c r="U832" s="508"/>
      <c r="V832" s="508"/>
      <c r="W832" s="508"/>
      <c r="X832" s="508"/>
      <c r="Y832" s="508"/>
      <c r="Z832" s="508"/>
    </row>
    <row r="833" ht="13.5" customHeight="1">
      <c r="A833" s="426"/>
      <c r="B833" s="508"/>
      <c r="C833" s="508"/>
      <c r="D833" s="508"/>
      <c r="E833" s="508"/>
      <c r="F833" s="426"/>
      <c r="G833" s="426"/>
      <c r="H833" s="426"/>
      <c r="I833" s="426"/>
      <c r="J833" s="508"/>
      <c r="K833" s="508"/>
      <c r="L833" s="508"/>
      <c r="M833" s="508"/>
      <c r="N833" s="508"/>
      <c r="O833" s="508"/>
      <c r="P833" s="508"/>
      <c r="Q833" s="508"/>
      <c r="R833" s="508"/>
      <c r="S833" s="508"/>
      <c r="T833" s="508"/>
      <c r="U833" s="508"/>
      <c r="V833" s="508"/>
      <c r="W833" s="508"/>
      <c r="X833" s="508"/>
      <c r="Y833" s="508"/>
      <c r="Z833" s="508"/>
    </row>
    <row r="834" ht="13.5" customHeight="1">
      <c r="A834" s="426"/>
      <c r="B834" s="508"/>
      <c r="C834" s="508"/>
      <c r="D834" s="508"/>
      <c r="E834" s="508"/>
      <c r="F834" s="426"/>
      <c r="G834" s="426"/>
      <c r="H834" s="426"/>
      <c r="I834" s="426"/>
      <c r="J834" s="508"/>
      <c r="K834" s="508"/>
      <c r="L834" s="508"/>
      <c r="M834" s="508"/>
      <c r="N834" s="508"/>
      <c r="O834" s="508"/>
      <c r="P834" s="508"/>
      <c r="Q834" s="508"/>
      <c r="R834" s="508"/>
      <c r="S834" s="508"/>
      <c r="T834" s="508"/>
      <c r="U834" s="508"/>
      <c r="V834" s="508"/>
      <c r="W834" s="508"/>
      <c r="X834" s="508"/>
      <c r="Y834" s="508"/>
      <c r="Z834" s="508"/>
    </row>
    <row r="835" ht="13.5" customHeight="1">
      <c r="A835" s="426"/>
      <c r="B835" s="508"/>
      <c r="C835" s="508"/>
      <c r="D835" s="508"/>
      <c r="E835" s="508"/>
      <c r="F835" s="426"/>
      <c r="G835" s="426"/>
      <c r="H835" s="426"/>
      <c r="I835" s="426"/>
      <c r="J835" s="508"/>
      <c r="K835" s="508"/>
      <c r="L835" s="508"/>
      <c r="M835" s="508"/>
      <c r="N835" s="508"/>
      <c r="O835" s="508"/>
      <c r="P835" s="508"/>
      <c r="Q835" s="508"/>
      <c r="R835" s="508"/>
      <c r="S835" s="508"/>
      <c r="T835" s="508"/>
      <c r="U835" s="508"/>
      <c r="V835" s="508"/>
      <c r="W835" s="508"/>
      <c r="X835" s="508"/>
      <c r="Y835" s="508"/>
      <c r="Z835" s="508"/>
    </row>
    <row r="836" ht="13.5" customHeight="1">
      <c r="A836" s="426"/>
      <c r="B836" s="508"/>
      <c r="C836" s="508"/>
      <c r="D836" s="508"/>
      <c r="E836" s="508"/>
      <c r="F836" s="426"/>
      <c r="G836" s="426"/>
      <c r="H836" s="426"/>
      <c r="I836" s="426"/>
      <c r="J836" s="508"/>
      <c r="K836" s="508"/>
      <c r="L836" s="508"/>
      <c r="M836" s="508"/>
      <c r="N836" s="508"/>
      <c r="O836" s="508"/>
      <c r="P836" s="508"/>
      <c r="Q836" s="508"/>
      <c r="R836" s="508"/>
      <c r="S836" s="508"/>
      <c r="T836" s="508"/>
      <c r="U836" s="508"/>
      <c r="V836" s="508"/>
      <c r="W836" s="508"/>
      <c r="X836" s="508"/>
      <c r="Y836" s="508"/>
      <c r="Z836" s="508"/>
    </row>
    <row r="837" ht="13.5" customHeight="1">
      <c r="A837" s="426"/>
      <c r="B837" s="508"/>
      <c r="C837" s="508"/>
      <c r="D837" s="508"/>
      <c r="E837" s="508"/>
      <c r="F837" s="426"/>
      <c r="G837" s="426"/>
      <c r="H837" s="426"/>
      <c r="I837" s="426"/>
      <c r="J837" s="508"/>
      <c r="K837" s="508"/>
      <c r="L837" s="508"/>
      <c r="M837" s="508"/>
      <c r="N837" s="508"/>
      <c r="O837" s="508"/>
      <c r="P837" s="508"/>
      <c r="Q837" s="508"/>
      <c r="R837" s="508"/>
      <c r="S837" s="508"/>
      <c r="T837" s="508"/>
      <c r="U837" s="508"/>
      <c r="V837" s="508"/>
      <c r="W837" s="508"/>
      <c r="X837" s="508"/>
      <c r="Y837" s="508"/>
      <c r="Z837" s="508"/>
    </row>
    <row r="838" ht="13.5" customHeight="1">
      <c r="A838" s="426"/>
      <c r="B838" s="508"/>
      <c r="C838" s="508"/>
      <c r="D838" s="508"/>
      <c r="E838" s="508"/>
      <c r="F838" s="426"/>
      <c r="G838" s="426"/>
      <c r="H838" s="426"/>
      <c r="I838" s="426"/>
      <c r="J838" s="508"/>
      <c r="K838" s="508"/>
      <c r="L838" s="508"/>
      <c r="M838" s="508"/>
      <c r="N838" s="508"/>
      <c r="O838" s="508"/>
      <c r="P838" s="508"/>
      <c r="Q838" s="508"/>
      <c r="R838" s="508"/>
      <c r="S838" s="508"/>
      <c r="T838" s="508"/>
      <c r="U838" s="508"/>
      <c r="V838" s="508"/>
      <c r="W838" s="508"/>
      <c r="X838" s="508"/>
      <c r="Y838" s="508"/>
      <c r="Z838" s="508"/>
    </row>
    <row r="839" ht="13.5" customHeight="1">
      <c r="A839" s="426"/>
      <c r="B839" s="508"/>
      <c r="C839" s="508"/>
      <c r="D839" s="508"/>
      <c r="E839" s="508"/>
      <c r="F839" s="426"/>
      <c r="G839" s="426"/>
      <c r="H839" s="426"/>
      <c r="I839" s="426"/>
      <c r="J839" s="508"/>
      <c r="K839" s="508"/>
      <c r="L839" s="508"/>
      <c r="M839" s="508"/>
      <c r="N839" s="508"/>
      <c r="O839" s="508"/>
      <c r="P839" s="508"/>
      <c r="Q839" s="508"/>
      <c r="R839" s="508"/>
      <c r="S839" s="508"/>
      <c r="T839" s="508"/>
      <c r="U839" s="508"/>
      <c r="V839" s="508"/>
      <c r="W839" s="508"/>
      <c r="X839" s="508"/>
      <c r="Y839" s="508"/>
      <c r="Z839" s="508"/>
    </row>
    <row r="840" ht="13.5" customHeight="1">
      <c r="A840" s="426"/>
      <c r="B840" s="508"/>
      <c r="C840" s="508"/>
      <c r="D840" s="508"/>
      <c r="E840" s="508"/>
      <c r="F840" s="426"/>
      <c r="G840" s="426"/>
      <c r="H840" s="426"/>
      <c r="I840" s="426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8"/>
      <c r="Z840" s="508"/>
    </row>
    <row r="841" ht="13.5" customHeight="1">
      <c r="A841" s="426"/>
      <c r="B841" s="508"/>
      <c r="C841" s="508"/>
      <c r="D841" s="508"/>
      <c r="E841" s="508"/>
      <c r="F841" s="426"/>
      <c r="G841" s="426"/>
      <c r="H841" s="426"/>
      <c r="I841" s="426"/>
      <c r="J841" s="508"/>
      <c r="K841" s="508"/>
      <c r="L841" s="508"/>
      <c r="M841" s="508"/>
      <c r="N841" s="508"/>
      <c r="O841" s="508"/>
      <c r="P841" s="508"/>
      <c r="Q841" s="508"/>
      <c r="R841" s="508"/>
      <c r="S841" s="508"/>
      <c r="T841" s="508"/>
      <c r="U841" s="508"/>
      <c r="V841" s="508"/>
      <c r="W841" s="508"/>
      <c r="X841" s="508"/>
      <c r="Y841" s="508"/>
      <c r="Z841" s="508"/>
    </row>
    <row r="842" ht="13.5" customHeight="1">
      <c r="A842" s="426"/>
      <c r="B842" s="508"/>
      <c r="C842" s="508"/>
      <c r="D842" s="508"/>
      <c r="E842" s="508"/>
      <c r="F842" s="426"/>
      <c r="G842" s="426"/>
      <c r="H842" s="426"/>
      <c r="I842" s="426"/>
      <c r="J842" s="508"/>
      <c r="K842" s="508"/>
      <c r="L842" s="508"/>
      <c r="M842" s="508"/>
      <c r="N842" s="508"/>
      <c r="O842" s="508"/>
      <c r="P842" s="508"/>
      <c r="Q842" s="508"/>
      <c r="R842" s="508"/>
      <c r="S842" s="508"/>
      <c r="T842" s="508"/>
      <c r="U842" s="508"/>
      <c r="V842" s="508"/>
      <c r="W842" s="508"/>
      <c r="X842" s="508"/>
      <c r="Y842" s="508"/>
      <c r="Z842" s="508"/>
    </row>
    <row r="843" ht="13.5" customHeight="1">
      <c r="A843" s="426"/>
      <c r="B843" s="508"/>
      <c r="C843" s="508"/>
      <c r="D843" s="508"/>
      <c r="E843" s="508"/>
      <c r="F843" s="426"/>
      <c r="G843" s="426"/>
      <c r="H843" s="426"/>
      <c r="I843" s="426"/>
      <c r="J843" s="508"/>
      <c r="K843" s="508"/>
      <c r="L843" s="508"/>
      <c r="M843" s="508"/>
      <c r="N843" s="508"/>
      <c r="O843" s="508"/>
      <c r="P843" s="508"/>
      <c r="Q843" s="508"/>
      <c r="R843" s="508"/>
      <c r="S843" s="508"/>
      <c r="T843" s="508"/>
      <c r="U843" s="508"/>
      <c r="V843" s="508"/>
      <c r="W843" s="508"/>
      <c r="X843" s="508"/>
      <c r="Y843" s="508"/>
      <c r="Z843" s="508"/>
    </row>
    <row r="844" ht="13.5" customHeight="1">
      <c r="A844" s="426"/>
      <c r="B844" s="508"/>
      <c r="C844" s="508"/>
      <c r="D844" s="508"/>
      <c r="E844" s="508"/>
      <c r="F844" s="426"/>
      <c r="G844" s="426"/>
      <c r="H844" s="426"/>
      <c r="I844" s="426"/>
      <c r="J844" s="508"/>
      <c r="K844" s="508"/>
      <c r="L844" s="508"/>
      <c r="M844" s="508"/>
      <c r="N844" s="508"/>
      <c r="O844" s="508"/>
      <c r="P844" s="508"/>
      <c r="Q844" s="508"/>
      <c r="R844" s="508"/>
      <c r="S844" s="508"/>
      <c r="T844" s="508"/>
      <c r="U844" s="508"/>
      <c r="V844" s="508"/>
      <c r="W844" s="508"/>
      <c r="X844" s="508"/>
      <c r="Y844" s="508"/>
      <c r="Z844" s="508"/>
    </row>
    <row r="845" ht="13.5" customHeight="1">
      <c r="A845" s="426"/>
      <c r="B845" s="508"/>
      <c r="C845" s="508"/>
      <c r="D845" s="508"/>
      <c r="E845" s="508"/>
      <c r="F845" s="426"/>
      <c r="G845" s="426"/>
      <c r="H845" s="426"/>
      <c r="I845" s="426"/>
      <c r="J845" s="508"/>
      <c r="K845" s="508"/>
      <c r="L845" s="508"/>
      <c r="M845" s="508"/>
      <c r="N845" s="508"/>
      <c r="O845" s="508"/>
      <c r="P845" s="508"/>
      <c r="Q845" s="508"/>
      <c r="R845" s="508"/>
      <c r="S845" s="508"/>
      <c r="T845" s="508"/>
      <c r="U845" s="508"/>
      <c r="V845" s="508"/>
      <c r="W845" s="508"/>
      <c r="X845" s="508"/>
      <c r="Y845" s="508"/>
      <c r="Z845" s="508"/>
    </row>
    <row r="846" ht="13.5" customHeight="1">
      <c r="A846" s="426"/>
      <c r="B846" s="508"/>
      <c r="C846" s="508"/>
      <c r="D846" s="508"/>
      <c r="E846" s="508"/>
      <c r="F846" s="426"/>
      <c r="G846" s="426"/>
      <c r="H846" s="426"/>
      <c r="I846" s="426"/>
      <c r="J846" s="508"/>
      <c r="K846" s="508"/>
      <c r="L846" s="508"/>
      <c r="M846" s="508"/>
      <c r="N846" s="508"/>
      <c r="O846" s="508"/>
      <c r="P846" s="508"/>
      <c r="Q846" s="508"/>
      <c r="R846" s="508"/>
      <c r="S846" s="508"/>
      <c r="T846" s="508"/>
      <c r="U846" s="508"/>
      <c r="V846" s="508"/>
      <c r="W846" s="508"/>
      <c r="X846" s="508"/>
      <c r="Y846" s="508"/>
      <c r="Z846" s="508"/>
    </row>
    <row r="847" ht="13.5" customHeight="1">
      <c r="A847" s="426"/>
      <c r="B847" s="508"/>
      <c r="C847" s="508"/>
      <c r="D847" s="508"/>
      <c r="E847" s="508"/>
      <c r="F847" s="426"/>
      <c r="G847" s="426"/>
      <c r="H847" s="426"/>
      <c r="I847" s="426"/>
      <c r="J847" s="508"/>
      <c r="K847" s="508"/>
      <c r="L847" s="508"/>
      <c r="M847" s="508"/>
      <c r="N847" s="508"/>
      <c r="O847" s="508"/>
      <c r="P847" s="508"/>
      <c r="Q847" s="508"/>
      <c r="R847" s="508"/>
      <c r="S847" s="508"/>
      <c r="T847" s="508"/>
      <c r="U847" s="508"/>
      <c r="V847" s="508"/>
      <c r="W847" s="508"/>
      <c r="X847" s="508"/>
      <c r="Y847" s="508"/>
      <c r="Z847" s="508"/>
    </row>
    <row r="848" ht="13.5" customHeight="1">
      <c r="A848" s="426"/>
      <c r="B848" s="508"/>
      <c r="C848" s="508"/>
      <c r="D848" s="508"/>
      <c r="E848" s="508"/>
      <c r="F848" s="426"/>
      <c r="G848" s="426"/>
      <c r="H848" s="426"/>
      <c r="I848" s="426"/>
      <c r="J848" s="508"/>
      <c r="K848" s="508"/>
      <c r="L848" s="508"/>
      <c r="M848" s="508"/>
      <c r="N848" s="508"/>
      <c r="O848" s="508"/>
      <c r="P848" s="508"/>
      <c r="Q848" s="508"/>
      <c r="R848" s="508"/>
      <c r="S848" s="508"/>
      <c r="T848" s="508"/>
      <c r="U848" s="508"/>
      <c r="V848" s="508"/>
      <c r="W848" s="508"/>
      <c r="X848" s="508"/>
      <c r="Y848" s="508"/>
      <c r="Z848" s="508"/>
    </row>
    <row r="849" ht="13.5" customHeight="1">
      <c r="A849" s="426"/>
      <c r="B849" s="508"/>
      <c r="C849" s="508"/>
      <c r="D849" s="508"/>
      <c r="E849" s="508"/>
      <c r="F849" s="426"/>
      <c r="G849" s="426"/>
      <c r="H849" s="426"/>
      <c r="I849" s="426"/>
      <c r="J849" s="508"/>
      <c r="K849" s="508"/>
      <c r="L849" s="508"/>
      <c r="M849" s="508"/>
      <c r="N849" s="508"/>
      <c r="O849" s="508"/>
      <c r="P849" s="508"/>
      <c r="Q849" s="508"/>
      <c r="R849" s="508"/>
      <c r="S849" s="508"/>
      <c r="T849" s="508"/>
      <c r="U849" s="508"/>
      <c r="V849" s="508"/>
      <c r="W849" s="508"/>
      <c r="X849" s="508"/>
      <c r="Y849" s="508"/>
      <c r="Z849" s="508"/>
    </row>
    <row r="850" ht="13.5" customHeight="1">
      <c r="A850" s="426"/>
      <c r="B850" s="508"/>
      <c r="C850" s="508"/>
      <c r="D850" s="508"/>
      <c r="E850" s="508"/>
      <c r="F850" s="426"/>
      <c r="G850" s="426"/>
      <c r="H850" s="426"/>
      <c r="I850" s="426"/>
      <c r="J850" s="508"/>
      <c r="K850" s="508"/>
      <c r="L850" s="508"/>
      <c r="M850" s="508"/>
      <c r="N850" s="508"/>
      <c r="O850" s="508"/>
      <c r="P850" s="508"/>
      <c r="Q850" s="508"/>
      <c r="R850" s="508"/>
      <c r="S850" s="508"/>
      <c r="T850" s="508"/>
      <c r="U850" s="508"/>
      <c r="V850" s="508"/>
      <c r="W850" s="508"/>
      <c r="X850" s="508"/>
      <c r="Y850" s="508"/>
      <c r="Z850" s="508"/>
    </row>
    <row r="851" ht="13.5" customHeight="1">
      <c r="A851" s="426"/>
      <c r="B851" s="508"/>
      <c r="C851" s="508"/>
      <c r="D851" s="508"/>
      <c r="E851" s="508"/>
      <c r="F851" s="426"/>
      <c r="G851" s="426"/>
      <c r="H851" s="426"/>
      <c r="I851" s="426"/>
      <c r="J851" s="508"/>
      <c r="K851" s="508"/>
      <c r="L851" s="508"/>
      <c r="M851" s="508"/>
      <c r="N851" s="508"/>
      <c r="O851" s="508"/>
      <c r="P851" s="508"/>
      <c r="Q851" s="508"/>
      <c r="R851" s="508"/>
      <c r="S851" s="508"/>
      <c r="T851" s="508"/>
      <c r="U851" s="508"/>
      <c r="V851" s="508"/>
      <c r="W851" s="508"/>
      <c r="X851" s="508"/>
      <c r="Y851" s="508"/>
      <c r="Z851" s="508"/>
    </row>
    <row r="852" ht="13.5" customHeight="1">
      <c r="A852" s="426"/>
      <c r="B852" s="508"/>
      <c r="C852" s="508"/>
      <c r="D852" s="508"/>
      <c r="E852" s="508"/>
      <c r="F852" s="426"/>
      <c r="G852" s="426"/>
      <c r="H852" s="426"/>
      <c r="I852" s="426"/>
      <c r="J852" s="508"/>
      <c r="K852" s="508"/>
      <c r="L852" s="508"/>
      <c r="M852" s="508"/>
      <c r="N852" s="508"/>
      <c r="O852" s="508"/>
      <c r="P852" s="508"/>
      <c r="Q852" s="508"/>
      <c r="R852" s="508"/>
      <c r="S852" s="508"/>
      <c r="T852" s="508"/>
      <c r="U852" s="508"/>
      <c r="V852" s="508"/>
      <c r="W852" s="508"/>
      <c r="X852" s="508"/>
      <c r="Y852" s="508"/>
      <c r="Z852" s="508"/>
    </row>
    <row r="853" ht="13.5" customHeight="1">
      <c r="A853" s="426"/>
      <c r="B853" s="508"/>
      <c r="C853" s="508"/>
      <c r="D853" s="508"/>
      <c r="E853" s="508"/>
      <c r="F853" s="426"/>
      <c r="G853" s="426"/>
      <c r="H853" s="426"/>
      <c r="I853" s="426"/>
      <c r="J853" s="508"/>
      <c r="K853" s="508"/>
      <c r="L853" s="508"/>
      <c r="M853" s="508"/>
      <c r="N853" s="508"/>
      <c r="O853" s="508"/>
      <c r="P853" s="508"/>
      <c r="Q853" s="508"/>
      <c r="R853" s="508"/>
      <c r="S853" s="508"/>
      <c r="T853" s="508"/>
      <c r="U853" s="508"/>
      <c r="V853" s="508"/>
      <c r="W853" s="508"/>
      <c r="X853" s="508"/>
      <c r="Y853" s="508"/>
      <c r="Z853" s="508"/>
    </row>
    <row r="854" ht="13.5" customHeight="1">
      <c r="A854" s="426"/>
      <c r="B854" s="508"/>
      <c r="C854" s="508"/>
      <c r="D854" s="508"/>
      <c r="E854" s="508"/>
      <c r="F854" s="426"/>
      <c r="G854" s="426"/>
      <c r="H854" s="426"/>
      <c r="I854" s="426"/>
      <c r="J854" s="508"/>
      <c r="K854" s="508"/>
      <c r="L854" s="508"/>
      <c r="M854" s="508"/>
      <c r="N854" s="508"/>
      <c r="O854" s="508"/>
      <c r="P854" s="508"/>
      <c r="Q854" s="508"/>
      <c r="R854" s="508"/>
      <c r="S854" s="508"/>
      <c r="T854" s="508"/>
      <c r="U854" s="508"/>
      <c r="V854" s="508"/>
      <c r="W854" s="508"/>
      <c r="X854" s="508"/>
      <c r="Y854" s="508"/>
      <c r="Z854" s="508"/>
    </row>
    <row r="855" ht="13.5" customHeight="1">
      <c r="A855" s="426"/>
      <c r="B855" s="508"/>
      <c r="C855" s="508"/>
      <c r="D855" s="508"/>
      <c r="E855" s="508"/>
      <c r="F855" s="426"/>
      <c r="G855" s="426"/>
      <c r="H855" s="426"/>
      <c r="I855" s="426"/>
      <c r="J855" s="508"/>
      <c r="K855" s="508"/>
      <c r="L855" s="508"/>
      <c r="M855" s="508"/>
      <c r="N855" s="508"/>
      <c r="O855" s="508"/>
      <c r="P855" s="508"/>
      <c r="Q855" s="508"/>
      <c r="R855" s="508"/>
      <c r="S855" s="508"/>
      <c r="T855" s="508"/>
      <c r="U855" s="508"/>
      <c r="V855" s="508"/>
      <c r="W855" s="508"/>
      <c r="X855" s="508"/>
      <c r="Y855" s="508"/>
      <c r="Z855" s="508"/>
    </row>
    <row r="856" ht="13.5" customHeight="1">
      <c r="A856" s="426"/>
      <c r="B856" s="508"/>
      <c r="C856" s="508"/>
      <c r="D856" s="508"/>
      <c r="E856" s="508"/>
      <c r="F856" s="426"/>
      <c r="G856" s="426"/>
      <c r="H856" s="426"/>
      <c r="I856" s="426"/>
      <c r="J856" s="508"/>
      <c r="K856" s="508"/>
      <c r="L856" s="508"/>
      <c r="M856" s="508"/>
      <c r="N856" s="508"/>
      <c r="O856" s="508"/>
      <c r="P856" s="508"/>
      <c r="Q856" s="508"/>
      <c r="R856" s="508"/>
      <c r="S856" s="508"/>
      <c r="T856" s="508"/>
      <c r="U856" s="508"/>
      <c r="V856" s="508"/>
      <c r="W856" s="508"/>
      <c r="X856" s="508"/>
      <c r="Y856" s="508"/>
      <c r="Z856" s="508"/>
    </row>
    <row r="857" ht="13.5" customHeight="1">
      <c r="A857" s="426"/>
      <c r="B857" s="508"/>
      <c r="C857" s="508"/>
      <c r="D857" s="508"/>
      <c r="E857" s="508"/>
      <c r="F857" s="426"/>
      <c r="G857" s="426"/>
      <c r="H857" s="426"/>
      <c r="I857" s="426"/>
      <c r="J857" s="508"/>
      <c r="K857" s="508"/>
      <c r="L857" s="508"/>
      <c r="M857" s="508"/>
      <c r="N857" s="508"/>
      <c r="O857" s="508"/>
      <c r="P857" s="508"/>
      <c r="Q857" s="508"/>
      <c r="R857" s="508"/>
      <c r="S857" s="508"/>
      <c r="T857" s="508"/>
      <c r="U857" s="508"/>
      <c r="V857" s="508"/>
      <c r="W857" s="508"/>
      <c r="X857" s="508"/>
      <c r="Y857" s="508"/>
      <c r="Z857" s="508"/>
    </row>
    <row r="858" ht="13.5" customHeight="1">
      <c r="A858" s="426"/>
      <c r="B858" s="508"/>
      <c r="C858" s="508"/>
      <c r="D858" s="508"/>
      <c r="E858" s="508"/>
      <c r="F858" s="426"/>
      <c r="G858" s="426"/>
      <c r="H858" s="426"/>
      <c r="I858" s="426"/>
      <c r="J858" s="508"/>
      <c r="K858" s="508"/>
      <c r="L858" s="508"/>
      <c r="M858" s="508"/>
      <c r="N858" s="508"/>
      <c r="O858" s="508"/>
      <c r="P858" s="508"/>
      <c r="Q858" s="508"/>
      <c r="R858" s="508"/>
      <c r="S858" s="508"/>
      <c r="T858" s="508"/>
      <c r="U858" s="508"/>
      <c r="V858" s="508"/>
      <c r="W858" s="508"/>
      <c r="X858" s="508"/>
      <c r="Y858" s="508"/>
      <c r="Z858" s="508"/>
    </row>
    <row r="859" ht="13.5" customHeight="1">
      <c r="A859" s="426"/>
      <c r="B859" s="508"/>
      <c r="C859" s="508"/>
      <c r="D859" s="508"/>
      <c r="E859" s="508"/>
      <c r="F859" s="426"/>
      <c r="G859" s="426"/>
      <c r="H859" s="426"/>
      <c r="I859" s="426"/>
      <c r="J859" s="508"/>
      <c r="K859" s="508"/>
      <c r="L859" s="508"/>
      <c r="M859" s="508"/>
      <c r="N859" s="508"/>
      <c r="O859" s="508"/>
      <c r="P859" s="508"/>
      <c r="Q859" s="508"/>
      <c r="R859" s="508"/>
      <c r="S859" s="508"/>
      <c r="T859" s="508"/>
      <c r="U859" s="508"/>
      <c r="V859" s="508"/>
      <c r="W859" s="508"/>
      <c r="X859" s="508"/>
      <c r="Y859" s="508"/>
      <c r="Z859" s="508"/>
    </row>
    <row r="860" ht="13.5" customHeight="1">
      <c r="A860" s="426"/>
      <c r="B860" s="508"/>
      <c r="C860" s="508"/>
      <c r="D860" s="508"/>
      <c r="E860" s="508"/>
      <c r="F860" s="426"/>
      <c r="G860" s="426"/>
      <c r="H860" s="426"/>
      <c r="I860" s="426"/>
      <c r="J860" s="508"/>
      <c r="K860" s="508"/>
      <c r="L860" s="508"/>
      <c r="M860" s="508"/>
      <c r="N860" s="508"/>
      <c r="O860" s="508"/>
      <c r="P860" s="508"/>
      <c r="Q860" s="508"/>
      <c r="R860" s="508"/>
      <c r="S860" s="508"/>
      <c r="T860" s="508"/>
      <c r="U860" s="508"/>
      <c r="V860" s="508"/>
      <c r="W860" s="508"/>
      <c r="X860" s="508"/>
      <c r="Y860" s="508"/>
      <c r="Z860" s="508"/>
    </row>
    <row r="861" ht="13.5" customHeight="1">
      <c r="A861" s="426"/>
      <c r="B861" s="508"/>
      <c r="C861" s="508"/>
      <c r="D861" s="508"/>
      <c r="E861" s="508"/>
      <c r="F861" s="426"/>
      <c r="G861" s="426"/>
      <c r="H861" s="426"/>
      <c r="I861" s="426"/>
      <c r="J861" s="508"/>
      <c r="K861" s="508"/>
      <c r="L861" s="508"/>
      <c r="M861" s="508"/>
      <c r="N861" s="508"/>
      <c r="O861" s="508"/>
      <c r="P861" s="508"/>
      <c r="Q861" s="508"/>
      <c r="R861" s="508"/>
      <c r="S861" s="508"/>
      <c r="T861" s="508"/>
      <c r="U861" s="508"/>
      <c r="V861" s="508"/>
      <c r="W861" s="508"/>
      <c r="X861" s="508"/>
      <c r="Y861" s="508"/>
      <c r="Z861" s="508"/>
    </row>
    <row r="862" ht="13.5" customHeight="1">
      <c r="A862" s="426"/>
      <c r="B862" s="508"/>
      <c r="C862" s="508"/>
      <c r="D862" s="508"/>
      <c r="E862" s="508"/>
      <c r="F862" s="426"/>
      <c r="G862" s="426"/>
      <c r="H862" s="426"/>
      <c r="I862" s="426"/>
      <c r="J862" s="508"/>
      <c r="K862" s="508"/>
      <c r="L862" s="508"/>
      <c r="M862" s="508"/>
      <c r="N862" s="508"/>
      <c r="O862" s="508"/>
      <c r="P862" s="508"/>
      <c r="Q862" s="508"/>
      <c r="R862" s="508"/>
      <c r="S862" s="508"/>
      <c r="T862" s="508"/>
      <c r="U862" s="508"/>
      <c r="V862" s="508"/>
      <c r="W862" s="508"/>
      <c r="X862" s="508"/>
      <c r="Y862" s="508"/>
      <c r="Z862" s="508"/>
    </row>
    <row r="863" ht="13.5" customHeight="1">
      <c r="A863" s="426"/>
      <c r="B863" s="508"/>
      <c r="C863" s="508"/>
      <c r="D863" s="508"/>
      <c r="E863" s="508"/>
      <c r="F863" s="426"/>
      <c r="G863" s="426"/>
      <c r="H863" s="426"/>
      <c r="I863" s="426"/>
      <c r="J863" s="508"/>
      <c r="K863" s="508"/>
      <c r="L863" s="508"/>
      <c r="M863" s="508"/>
      <c r="N863" s="508"/>
      <c r="O863" s="508"/>
      <c r="P863" s="508"/>
      <c r="Q863" s="508"/>
      <c r="R863" s="508"/>
      <c r="S863" s="508"/>
      <c r="T863" s="508"/>
      <c r="U863" s="508"/>
      <c r="V863" s="508"/>
      <c r="W863" s="508"/>
      <c r="X863" s="508"/>
      <c r="Y863" s="508"/>
      <c r="Z863" s="508"/>
    </row>
    <row r="864" ht="13.5" customHeight="1">
      <c r="A864" s="426"/>
      <c r="B864" s="508"/>
      <c r="C864" s="508"/>
      <c r="D864" s="508"/>
      <c r="E864" s="508"/>
      <c r="F864" s="426"/>
      <c r="G864" s="426"/>
      <c r="H864" s="426"/>
      <c r="I864" s="426"/>
      <c r="J864" s="508"/>
      <c r="K864" s="508"/>
      <c r="L864" s="508"/>
      <c r="M864" s="508"/>
      <c r="N864" s="508"/>
      <c r="O864" s="508"/>
      <c r="P864" s="508"/>
      <c r="Q864" s="508"/>
      <c r="R864" s="508"/>
      <c r="S864" s="508"/>
      <c r="T864" s="508"/>
      <c r="U864" s="508"/>
      <c r="V864" s="508"/>
      <c r="W864" s="508"/>
      <c r="X864" s="508"/>
      <c r="Y864" s="508"/>
      <c r="Z864" s="508"/>
    </row>
    <row r="865" ht="13.5" customHeight="1">
      <c r="A865" s="426"/>
      <c r="B865" s="508"/>
      <c r="C865" s="508"/>
      <c r="D865" s="508"/>
      <c r="E865" s="508"/>
      <c r="F865" s="426"/>
      <c r="G865" s="426"/>
      <c r="H865" s="426"/>
      <c r="I865" s="426"/>
      <c r="J865" s="508"/>
      <c r="K865" s="508"/>
      <c r="L865" s="508"/>
      <c r="M865" s="508"/>
      <c r="N865" s="508"/>
      <c r="O865" s="508"/>
      <c r="P865" s="508"/>
      <c r="Q865" s="508"/>
      <c r="R865" s="508"/>
      <c r="S865" s="508"/>
      <c r="T865" s="508"/>
      <c r="U865" s="508"/>
      <c r="V865" s="508"/>
      <c r="W865" s="508"/>
      <c r="X865" s="508"/>
      <c r="Y865" s="508"/>
      <c r="Z865" s="508"/>
    </row>
    <row r="866" ht="13.5" customHeight="1">
      <c r="A866" s="426"/>
      <c r="B866" s="508"/>
      <c r="C866" s="508"/>
      <c r="D866" s="508"/>
      <c r="E866" s="508"/>
      <c r="F866" s="426"/>
      <c r="G866" s="426"/>
      <c r="H866" s="426"/>
      <c r="I866" s="426"/>
      <c r="J866" s="508"/>
      <c r="K866" s="508"/>
      <c r="L866" s="508"/>
      <c r="M866" s="508"/>
      <c r="N866" s="508"/>
      <c r="O866" s="508"/>
      <c r="P866" s="508"/>
      <c r="Q866" s="508"/>
      <c r="R866" s="508"/>
      <c r="S866" s="508"/>
      <c r="T866" s="508"/>
      <c r="U866" s="508"/>
      <c r="V866" s="508"/>
      <c r="W866" s="508"/>
      <c r="X866" s="508"/>
      <c r="Y866" s="508"/>
      <c r="Z866" s="508"/>
    </row>
    <row r="867" ht="13.5" customHeight="1">
      <c r="A867" s="426"/>
      <c r="B867" s="508"/>
      <c r="C867" s="508"/>
      <c r="D867" s="508"/>
      <c r="E867" s="508"/>
      <c r="F867" s="426"/>
      <c r="G867" s="426"/>
      <c r="H867" s="426"/>
      <c r="I867" s="426"/>
      <c r="J867" s="508"/>
      <c r="K867" s="508"/>
      <c r="L867" s="508"/>
      <c r="M867" s="508"/>
      <c r="N867" s="508"/>
      <c r="O867" s="508"/>
      <c r="P867" s="508"/>
      <c r="Q867" s="508"/>
      <c r="R867" s="508"/>
      <c r="S867" s="508"/>
      <c r="T867" s="508"/>
      <c r="U867" s="508"/>
      <c r="V867" s="508"/>
      <c r="W867" s="508"/>
      <c r="X867" s="508"/>
      <c r="Y867" s="508"/>
      <c r="Z867" s="508"/>
    </row>
    <row r="868" ht="13.5" customHeight="1">
      <c r="A868" s="426"/>
      <c r="B868" s="508"/>
      <c r="C868" s="508"/>
      <c r="D868" s="508"/>
      <c r="E868" s="508"/>
      <c r="F868" s="426"/>
      <c r="G868" s="426"/>
      <c r="H868" s="426"/>
      <c r="I868" s="426"/>
      <c r="J868" s="508"/>
      <c r="K868" s="508"/>
      <c r="L868" s="508"/>
      <c r="M868" s="508"/>
      <c r="N868" s="508"/>
      <c r="O868" s="508"/>
      <c r="P868" s="508"/>
      <c r="Q868" s="508"/>
      <c r="R868" s="508"/>
      <c r="S868" s="508"/>
      <c r="T868" s="508"/>
      <c r="U868" s="508"/>
      <c r="V868" s="508"/>
      <c r="W868" s="508"/>
      <c r="X868" s="508"/>
      <c r="Y868" s="508"/>
      <c r="Z868" s="508"/>
    </row>
    <row r="869" ht="13.5" customHeight="1">
      <c r="A869" s="426"/>
      <c r="B869" s="508"/>
      <c r="C869" s="508"/>
      <c r="D869" s="508"/>
      <c r="E869" s="508"/>
      <c r="F869" s="426"/>
      <c r="G869" s="426"/>
      <c r="H869" s="426"/>
      <c r="I869" s="426"/>
      <c r="J869" s="508"/>
      <c r="K869" s="508"/>
      <c r="L869" s="508"/>
      <c r="M869" s="508"/>
      <c r="N869" s="508"/>
      <c r="O869" s="508"/>
      <c r="P869" s="508"/>
      <c r="Q869" s="508"/>
      <c r="R869" s="508"/>
      <c r="S869" s="508"/>
      <c r="T869" s="508"/>
      <c r="U869" s="508"/>
      <c r="V869" s="508"/>
      <c r="W869" s="508"/>
      <c r="X869" s="508"/>
      <c r="Y869" s="508"/>
      <c r="Z869" s="508"/>
    </row>
    <row r="870" ht="13.5" customHeight="1">
      <c r="A870" s="426"/>
      <c r="B870" s="508"/>
      <c r="C870" s="508"/>
      <c r="D870" s="508"/>
      <c r="E870" s="508"/>
      <c r="F870" s="426"/>
      <c r="G870" s="426"/>
      <c r="H870" s="426"/>
      <c r="I870" s="426"/>
      <c r="J870" s="508"/>
      <c r="K870" s="508"/>
      <c r="L870" s="508"/>
      <c r="M870" s="508"/>
      <c r="N870" s="508"/>
      <c r="O870" s="508"/>
      <c r="P870" s="508"/>
      <c r="Q870" s="508"/>
      <c r="R870" s="508"/>
      <c r="S870" s="508"/>
      <c r="T870" s="508"/>
      <c r="U870" s="508"/>
      <c r="V870" s="508"/>
      <c r="W870" s="508"/>
      <c r="X870" s="508"/>
      <c r="Y870" s="508"/>
      <c r="Z870" s="508"/>
    </row>
    <row r="871" ht="13.5" customHeight="1">
      <c r="A871" s="426"/>
      <c r="B871" s="508"/>
      <c r="C871" s="508"/>
      <c r="D871" s="508"/>
      <c r="E871" s="508"/>
      <c r="F871" s="426"/>
      <c r="G871" s="426"/>
      <c r="H871" s="426"/>
      <c r="I871" s="426"/>
      <c r="J871" s="508"/>
      <c r="K871" s="508"/>
      <c r="L871" s="508"/>
      <c r="M871" s="508"/>
      <c r="N871" s="508"/>
      <c r="O871" s="508"/>
      <c r="P871" s="508"/>
      <c r="Q871" s="508"/>
      <c r="R871" s="508"/>
      <c r="S871" s="508"/>
      <c r="T871" s="508"/>
      <c r="U871" s="508"/>
      <c r="V871" s="508"/>
      <c r="W871" s="508"/>
      <c r="X871" s="508"/>
      <c r="Y871" s="508"/>
      <c r="Z871" s="508"/>
    </row>
    <row r="872" ht="13.5" customHeight="1">
      <c r="A872" s="426"/>
      <c r="B872" s="508"/>
      <c r="C872" s="508"/>
      <c r="D872" s="508"/>
      <c r="E872" s="508"/>
      <c r="F872" s="426"/>
      <c r="G872" s="426"/>
      <c r="H872" s="426"/>
      <c r="I872" s="426"/>
      <c r="J872" s="508"/>
      <c r="K872" s="508"/>
      <c r="L872" s="508"/>
      <c r="M872" s="508"/>
      <c r="N872" s="508"/>
      <c r="O872" s="508"/>
      <c r="P872" s="508"/>
      <c r="Q872" s="508"/>
      <c r="R872" s="508"/>
      <c r="S872" s="508"/>
      <c r="T872" s="508"/>
      <c r="U872" s="508"/>
      <c r="V872" s="508"/>
      <c r="W872" s="508"/>
      <c r="X872" s="508"/>
      <c r="Y872" s="508"/>
      <c r="Z872" s="508"/>
    </row>
    <row r="873" ht="13.5" customHeight="1">
      <c r="A873" s="426"/>
      <c r="B873" s="508"/>
      <c r="C873" s="508"/>
      <c r="D873" s="508"/>
      <c r="E873" s="508"/>
      <c r="F873" s="426"/>
      <c r="G873" s="426"/>
      <c r="H873" s="426"/>
      <c r="I873" s="426"/>
      <c r="J873" s="508"/>
      <c r="K873" s="508"/>
      <c r="L873" s="508"/>
      <c r="M873" s="508"/>
      <c r="N873" s="508"/>
      <c r="O873" s="508"/>
      <c r="P873" s="508"/>
      <c r="Q873" s="508"/>
      <c r="R873" s="508"/>
      <c r="S873" s="508"/>
      <c r="T873" s="508"/>
      <c r="U873" s="508"/>
      <c r="V873" s="508"/>
      <c r="W873" s="508"/>
      <c r="X873" s="508"/>
      <c r="Y873" s="508"/>
      <c r="Z873" s="508"/>
    </row>
    <row r="874" ht="13.5" customHeight="1">
      <c r="A874" s="426"/>
      <c r="B874" s="508"/>
      <c r="C874" s="508"/>
      <c r="D874" s="508"/>
      <c r="E874" s="508"/>
      <c r="F874" s="426"/>
      <c r="G874" s="426"/>
      <c r="H874" s="426"/>
      <c r="I874" s="426"/>
      <c r="J874" s="508"/>
      <c r="K874" s="508"/>
      <c r="L874" s="508"/>
      <c r="M874" s="508"/>
      <c r="N874" s="508"/>
      <c r="O874" s="508"/>
      <c r="P874" s="508"/>
      <c r="Q874" s="508"/>
      <c r="R874" s="508"/>
      <c r="S874" s="508"/>
      <c r="T874" s="508"/>
      <c r="U874" s="508"/>
      <c r="V874" s="508"/>
      <c r="W874" s="508"/>
      <c r="X874" s="508"/>
      <c r="Y874" s="508"/>
      <c r="Z874" s="508"/>
    </row>
    <row r="875" ht="13.5" customHeight="1">
      <c r="A875" s="426"/>
      <c r="B875" s="508"/>
      <c r="C875" s="508"/>
      <c r="D875" s="508"/>
      <c r="E875" s="508"/>
      <c r="F875" s="426"/>
      <c r="G875" s="426"/>
      <c r="H875" s="426"/>
      <c r="I875" s="426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508"/>
      <c r="Y875" s="508"/>
      <c r="Z875" s="508"/>
    </row>
    <row r="876" ht="13.5" customHeight="1">
      <c r="A876" s="426"/>
      <c r="B876" s="508"/>
      <c r="C876" s="508"/>
      <c r="D876" s="508"/>
      <c r="E876" s="508"/>
      <c r="F876" s="426"/>
      <c r="G876" s="426"/>
      <c r="H876" s="426"/>
      <c r="I876" s="426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8"/>
      <c r="Z876" s="508"/>
    </row>
    <row r="877" ht="13.5" customHeight="1">
      <c r="A877" s="426"/>
      <c r="B877" s="508"/>
      <c r="C877" s="508"/>
      <c r="D877" s="508"/>
      <c r="E877" s="508"/>
      <c r="F877" s="426"/>
      <c r="G877" s="426"/>
      <c r="H877" s="426"/>
      <c r="I877" s="426"/>
      <c r="J877" s="508"/>
      <c r="K877" s="508"/>
      <c r="L877" s="508"/>
      <c r="M877" s="508"/>
      <c r="N877" s="508"/>
      <c r="O877" s="508"/>
      <c r="P877" s="508"/>
      <c r="Q877" s="508"/>
      <c r="R877" s="508"/>
      <c r="S877" s="508"/>
      <c r="T877" s="508"/>
      <c r="U877" s="508"/>
      <c r="V877" s="508"/>
      <c r="W877" s="508"/>
      <c r="X877" s="508"/>
      <c r="Y877" s="508"/>
      <c r="Z877" s="508"/>
    </row>
    <row r="878" ht="13.5" customHeight="1">
      <c r="A878" s="426"/>
      <c r="B878" s="508"/>
      <c r="C878" s="508"/>
      <c r="D878" s="508"/>
      <c r="E878" s="508"/>
      <c r="F878" s="426"/>
      <c r="G878" s="426"/>
      <c r="H878" s="426"/>
      <c r="I878" s="426"/>
      <c r="J878" s="508"/>
      <c r="K878" s="508"/>
      <c r="L878" s="508"/>
      <c r="M878" s="508"/>
      <c r="N878" s="508"/>
      <c r="O878" s="508"/>
      <c r="P878" s="508"/>
      <c r="Q878" s="508"/>
      <c r="R878" s="508"/>
      <c r="S878" s="508"/>
      <c r="T878" s="508"/>
      <c r="U878" s="508"/>
      <c r="V878" s="508"/>
      <c r="W878" s="508"/>
      <c r="X878" s="508"/>
      <c r="Y878" s="508"/>
      <c r="Z878" s="508"/>
    </row>
    <row r="879" ht="13.5" customHeight="1">
      <c r="A879" s="426"/>
      <c r="B879" s="508"/>
      <c r="C879" s="508"/>
      <c r="D879" s="508"/>
      <c r="E879" s="508"/>
      <c r="F879" s="426"/>
      <c r="G879" s="426"/>
      <c r="H879" s="426"/>
      <c r="I879" s="426"/>
      <c r="J879" s="508"/>
      <c r="K879" s="508"/>
      <c r="L879" s="508"/>
      <c r="M879" s="508"/>
      <c r="N879" s="508"/>
      <c r="O879" s="508"/>
      <c r="P879" s="508"/>
      <c r="Q879" s="508"/>
      <c r="R879" s="508"/>
      <c r="S879" s="508"/>
      <c r="T879" s="508"/>
      <c r="U879" s="508"/>
      <c r="V879" s="508"/>
      <c r="W879" s="508"/>
      <c r="X879" s="508"/>
      <c r="Y879" s="508"/>
      <c r="Z879" s="508"/>
    </row>
    <row r="880" ht="13.5" customHeight="1">
      <c r="A880" s="426"/>
      <c r="B880" s="508"/>
      <c r="C880" s="508"/>
      <c r="D880" s="508"/>
      <c r="E880" s="508"/>
      <c r="F880" s="426"/>
      <c r="G880" s="426"/>
      <c r="H880" s="426"/>
      <c r="I880" s="426"/>
      <c r="J880" s="508"/>
      <c r="K880" s="508"/>
      <c r="L880" s="508"/>
      <c r="M880" s="508"/>
      <c r="N880" s="508"/>
      <c r="O880" s="508"/>
      <c r="P880" s="508"/>
      <c r="Q880" s="508"/>
      <c r="R880" s="508"/>
      <c r="S880" s="508"/>
      <c r="T880" s="508"/>
      <c r="U880" s="508"/>
      <c r="V880" s="508"/>
      <c r="W880" s="508"/>
      <c r="X880" s="508"/>
      <c r="Y880" s="508"/>
      <c r="Z880" s="508"/>
    </row>
    <row r="881" ht="13.5" customHeight="1">
      <c r="A881" s="426"/>
      <c r="B881" s="508"/>
      <c r="C881" s="508"/>
      <c r="D881" s="508"/>
      <c r="E881" s="508"/>
      <c r="F881" s="426"/>
      <c r="G881" s="426"/>
      <c r="H881" s="426"/>
      <c r="I881" s="426"/>
      <c r="J881" s="508"/>
      <c r="K881" s="508"/>
      <c r="L881" s="508"/>
      <c r="M881" s="508"/>
      <c r="N881" s="508"/>
      <c r="O881" s="508"/>
      <c r="P881" s="508"/>
      <c r="Q881" s="508"/>
      <c r="R881" s="508"/>
      <c r="S881" s="508"/>
      <c r="T881" s="508"/>
      <c r="U881" s="508"/>
      <c r="V881" s="508"/>
      <c r="W881" s="508"/>
      <c r="X881" s="508"/>
      <c r="Y881" s="508"/>
      <c r="Z881" s="508"/>
    </row>
    <row r="882" ht="13.5" customHeight="1">
      <c r="A882" s="426"/>
      <c r="B882" s="508"/>
      <c r="C882" s="508"/>
      <c r="D882" s="508"/>
      <c r="E882" s="508"/>
      <c r="F882" s="426"/>
      <c r="G882" s="426"/>
      <c r="H882" s="426"/>
      <c r="I882" s="426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U882" s="508"/>
      <c r="V882" s="508"/>
      <c r="W882" s="508"/>
      <c r="X882" s="508"/>
      <c r="Y882" s="508"/>
      <c r="Z882" s="508"/>
    </row>
    <row r="883" ht="13.5" customHeight="1">
      <c r="A883" s="426"/>
      <c r="B883" s="508"/>
      <c r="C883" s="508"/>
      <c r="D883" s="508"/>
      <c r="E883" s="508"/>
      <c r="F883" s="426"/>
      <c r="G883" s="426"/>
      <c r="H883" s="426"/>
      <c r="I883" s="426"/>
      <c r="J883" s="508"/>
      <c r="K883" s="508"/>
      <c r="L883" s="508"/>
      <c r="M883" s="508"/>
      <c r="N883" s="508"/>
      <c r="O883" s="508"/>
      <c r="P883" s="508"/>
      <c r="Q883" s="508"/>
      <c r="R883" s="508"/>
      <c r="S883" s="508"/>
      <c r="T883" s="508"/>
      <c r="U883" s="508"/>
      <c r="V883" s="508"/>
      <c r="W883" s="508"/>
      <c r="X883" s="508"/>
      <c r="Y883" s="508"/>
      <c r="Z883" s="508"/>
    </row>
    <row r="884" ht="13.5" customHeight="1">
      <c r="A884" s="426"/>
      <c r="B884" s="508"/>
      <c r="C884" s="508"/>
      <c r="D884" s="508"/>
      <c r="E884" s="508"/>
      <c r="F884" s="426"/>
      <c r="G884" s="426"/>
      <c r="H884" s="426"/>
      <c r="I884" s="426"/>
      <c r="J884" s="508"/>
      <c r="K884" s="508"/>
      <c r="L884" s="508"/>
      <c r="M884" s="508"/>
      <c r="N884" s="508"/>
      <c r="O884" s="508"/>
      <c r="P884" s="508"/>
      <c r="Q884" s="508"/>
      <c r="R884" s="508"/>
      <c r="S884" s="508"/>
      <c r="T884" s="508"/>
      <c r="U884" s="508"/>
      <c r="V884" s="508"/>
      <c r="W884" s="508"/>
      <c r="X884" s="508"/>
      <c r="Y884" s="508"/>
      <c r="Z884" s="508"/>
    </row>
    <row r="885" ht="13.5" customHeight="1">
      <c r="A885" s="426"/>
      <c r="B885" s="508"/>
      <c r="C885" s="508"/>
      <c r="D885" s="508"/>
      <c r="E885" s="508"/>
      <c r="F885" s="426"/>
      <c r="G885" s="426"/>
      <c r="H885" s="426"/>
      <c r="I885" s="426"/>
      <c r="J885" s="508"/>
      <c r="K885" s="508"/>
      <c r="L885" s="508"/>
      <c r="M885" s="508"/>
      <c r="N885" s="508"/>
      <c r="O885" s="508"/>
      <c r="P885" s="508"/>
      <c r="Q885" s="508"/>
      <c r="R885" s="508"/>
      <c r="S885" s="508"/>
      <c r="T885" s="508"/>
      <c r="U885" s="508"/>
      <c r="V885" s="508"/>
      <c r="W885" s="508"/>
      <c r="X885" s="508"/>
      <c r="Y885" s="508"/>
      <c r="Z885" s="508"/>
    </row>
    <row r="886" ht="13.5" customHeight="1">
      <c r="A886" s="426"/>
      <c r="B886" s="508"/>
      <c r="C886" s="508"/>
      <c r="D886" s="508"/>
      <c r="E886" s="508"/>
      <c r="F886" s="426"/>
      <c r="G886" s="426"/>
      <c r="H886" s="426"/>
      <c r="I886" s="426"/>
      <c r="J886" s="508"/>
      <c r="K886" s="508"/>
      <c r="L886" s="508"/>
      <c r="M886" s="508"/>
      <c r="N886" s="508"/>
      <c r="O886" s="508"/>
      <c r="P886" s="508"/>
      <c r="Q886" s="508"/>
      <c r="R886" s="508"/>
      <c r="S886" s="508"/>
      <c r="T886" s="508"/>
      <c r="U886" s="508"/>
      <c r="V886" s="508"/>
      <c r="W886" s="508"/>
      <c r="X886" s="508"/>
      <c r="Y886" s="508"/>
      <c r="Z886" s="508"/>
    </row>
    <row r="887" ht="13.5" customHeight="1">
      <c r="A887" s="426"/>
      <c r="B887" s="508"/>
      <c r="C887" s="508"/>
      <c r="D887" s="508"/>
      <c r="E887" s="508"/>
      <c r="F887" s="426"/>
      <c r="G887" s="426"/>
      <c r="H887" s="426"/>
      <c r="I887" s="426"/>
      <c r="J887" s="508"/>
      <c r="K887" s="508"/>
      <c r="L887" s="508"/>
      <c r="M887" s="508"/>
      <c r="N887" s="508"/>
      <c r="O887" s="508"/>
      <c r="P887" s="508"/>
      <c r="Q887" s="508"/>
      <c r="R887" s="508"/>
      <c r="S887" s="508"/>
      <c r="T887" s="508"/>
      <c r="U887" s="508"/>
      <c r="V887" s="508"/>
      <c r="W887" s="508"/>
      <c r="X887" s="508"/>
      <c r="Y887" s="508"/>
      <c r="Z887" s="508"/>
    </row>
    <row r="888" ht="13.5" customHeight="1">
      <c r="A888" s="426"/>
      <c r="B888" s="508"/>
      <c r="C888" s="508"/>
      <c r="D888" s="508"/>
      <c r="E888" s="508"/>
      <c r="F888" s="426"/>
      <c r="G888" s="426"/>
      <c r="H888" s="426"/>
      <c r="I888" s="426"/>
      <c r="J888" s="508"/>
      <c r="K888" s="508"/>
      <c r="L888" s="508"/>
      <c r="M888" s="508"/>
      <c r="N888" s="508"/>
      <c r="O888" s="508"/>
      <c r="P888" s="508"/>
      <c r="Q888" s="508"/>
      <c r="R888" s="508"/>
      <c r="S888" s="508"/>
      <c r="T888" s="508"/>
      <c r="U888" s="508"/>
      <c r="V888" s="508"/>
      <c r="W888" s="508"/>
      <c r="X888" s="508"/>
      <c r="Y888" s="508"/>
      <c r="Z888" s="508"/>
    </row>
    <row r="889" ht="13.5" customHeight="1">
      <c r="A889" s="426"/>
      <c r="B889" s="508"/>
      <c r="C889" s="508"/>
      <c r="D889" s="508"/>
      <c r="E889" s="508"/>
      <c r="F889" s="426"/>
      <c r="G889" s="426"/>
      <c r="H889" s="426"/>
      <c r="I889" s="426"/>
      <c r="J889" s="508"/>
      <c r="K889" s="508"/>
      <c r="L889" s="508"/>
      <c r="M889" s="508"/>
      <c r="N889" s="508"/>
      <c r="O889" s="508"/>
      <c r="P889" s="508"/>
      <c r="Q889" s="508"/>
      <c r="R889" s="508"/>
      <c r="S889" s="508"/>
      <c r="T889" s="508"/>
      <c r="U889" s="508"/>
      <c r="V889" s="508"/>
      <c r="W889" s="508"/>
      <c r="X889" s="508"/>
      <c r="Y889" s="508"/>
      <c r="Z889" s="508"/>
    </row>
    <row r="890" ht="13.5" customHeight="1">
      <c r="A890" s="426"/>
      <c r="B890" s="508"/>
      <c r="C890" s="508"/>
      <c r="D890" s="508"/>
      <c r="E890" s="508"/>
      <c r="F890" s="426"/>
      <c r="G890" s="426"/>
      <c r="H890" s="426"/>
      <c r="I890" s="426"/>
      <c r="J890" s="508"/>
      <c r="K890" s="508"/>
      <c r="L890" s="508"/>
      <c r="M890" s="508"/>
      <c r="N890" s="508"/>
      <c r="O890" s="508"/>
      <c r="P890" s="508"/>
      <c r="Q890" s="508"/>
      <c r="R890" s="508"/>
      <c r="S890" s="508"/>
      <c r="T890" s="508"/>
      <c r="U890" s="508"/>
      <c r="V890" s="508"/>
      <c r="W890" s="508"/>
      <c r="X890" s="508"/>
      <c r="Y890" s="508"/>
      <c r="Z890" s="508"/>
    </row>
    <row r="891" ht="13.5" customHeight="1">
      <c r="A891" s="426"/>
      <c r="B891" s="508"/>
      <c r="C891" s="508"/>
      <c r="D891" s="508"/>
      <c r="E891" s="508"/>
      <c r="F891" s="426"/>
      <c r="G891" s="426"/>
      <c r="H891" s="426"/>
      <c r="I891" s="426"/>
      <c r="J891" s="508"/>
      <c r="K891" s="508"/>
      <c r="L891" s="508"/>
      <c r="M891" s="508"/>
      <c r="N891" s="508"/>
      <c r="O891" s="508"/>
      <c r="P891" s="508"/>
      <c r="Q891" s="508"/>
      <c r="R891" s="508"/>
      <c r="S891" s="508"/>
      <c r="T891" s="508"/>
      <c r="U891" s="508"/>
      <c r="V891" s="508"/>
      <c r="W891" s="508"/>
      <c r="X891" s="508"/>
      <c r="Y891" s="508"/>
      <c r="Z891" s="508"/>
    </row>
    <row r="892" ht="13.5" customHeight="1">
      <c r="A892" s="426"/>
      <c r="B892" s="508"/>
      <c r="C892" s="508"/>
      <c r="D892" s="508"/>
      <c r="E892" s="508"/>
      <c r="F892" s="426"/>
      <c r="G892" s="426"/>
      <c r="H892" s="426"/>
      <c r="I892" s="426"/>
      <c r="J892" s="508"/>
      <c r="K892" s="508"/>
      <c r="L892" s="508"/>
      <c r="M892" s="508"/>
      <c r="N892" s="508"/>
      <c r="O892" s="508"/>
      <c r="P892" s="508"/>
      <c r="Q892" s="508"/>
      <c r="R892" s="508"/>
      <c r="S892" s="508"/>
      <c r="T892" s="508"/>
      <c r="U892" s="508"/>
      <c r="V892" s="508"/>
      <c r="W892" s="508"/>
      <c r="X892" s="508"/>
      <c r="Y892" s="508"/>
      <c r="Z892" s="508"/>
    </row>
    <row r="893" ht="13.5" customHeight="1">
      <c r="A893" s="426"/>
      <c r="B893" s="508"/>
      <c r="C893" s="508"/>
      <c r="D893" s="508"/>
      <c r="E893" s="508"/>
      <c r="F893" s="426"/>
      <c r="G893" s="426"/>
      <c r="H893" s="426"/>
      <c r="I893" s="426"/>
      <c r="J893" s="508"/>
      <c r="K893" s="508"/>
      <c r="L893" s="508"/>
      <c r="M893" s="508"/>
      <c r="N893" s="508"/>
      <c r="O893" s="508"/>
      <c r="P893" s="508"/>
      <c r="Q893" s="508"/>
      <c r="R893" s="508"/>
      <c r="S893" s="508"/>
      <c r="T893" s="508"/>
      <c r="U893" s="508"/>
      <c r="V893" s="508"/>
      <c r="W893" s="508"/>
      <c r="X893" s="508"/>
      <c r="Y893" s="508"/>
      <c r="Z893" s="508"/>
    </row>
    <row r="894" ht="13.5" customHeight="1">
      <c r="A894" s="426"/>
      <c r="B894" s="508"/>
      <c r="C894" s="508"/>
      <c r="D894" s="508"/>
      <c r="E894" s="508"/>
      <c r="F894" s="426"/>
      <c r="G894" s="426"/>
      <c r="H894" s="426"/>
      <c r="I894" s="426"/>
      <c r="J894" s="508"/>
      <c r="K894" s="508"/>
      <c r="L894" s="508"/>
      <c r="M894" s="508"/>
      <c r="N894" s="508"/>
      <c r="O894" s="508"/>
      <c r="P894" s="508"/>
      <c r="Q894" s="508"/>
      <c r="R894" s="508"/>
      <c r="S894" s="508"/>
      <c r="T894" s="508"/>
      <c r="U894" s="508"/>
      <c r="V894" s="508"/>
      <c r="W894" s="508"/>
      <c r="X894" s="508"/>
      <c r="Y894" s="508"/>
      <c r="Z894" s="508"/>
    </row>
    <row r="895" ht="13.5" customHeight="1">
      <c r="A895" s="426"/>
      <c r="B895" s="508"/>
      <c r="C895" s="508"/>
      <c r="D895" s="508"/>
      <c r="E895" s="508"/>
      <c r="F895" s="426"/>
      <c r="G895" s="426"/>
      <c r="H895" s="426"/>
      <c r="I895" s="426"/>
      <c r="J895" s="508"/>
      <c r="K895" s="508"/>
      <c r="L895" s="508"/>
      <c r="M895" s="508"/>
      <c r="N895" s="508"/>
      <c r="O895" s="508"/>
      <c r="P895" s="508"/>
      <c r="Q895" s="508"/>
      <c r="R895" s="508"/>
      <c r="S895" s="508"/>
      <c r="T895" s="508"/>
      <c r="U895" s="508"/>
      <c r="V895" s="508"/>
      <c r="W895" s="508"/>
      <c r="X895" s="508"/>
      <c r="Y895" s="508"/>
      <c r="Z895" s="508"/>
    </row>
    <row r="896" ht="13.5" customHeight="1">
      <c r="A896" s="426"/>
      <c r="B896" s="508"/>
      <c r="C896" s="508"/>
      <c r="D896" s="508"/>
      <c r="E896" s="508"/>
      <c r="F896" s="426"/>
      <c r="G896" s="426"/>
      <c r="H896" s="426"/>
      <c r="I896" s="426"/>
      <c r="J896" s="508"/>
      <c r="K896" s="508"/>
      <c r="L896" s="508"/>
      <c r="M896" s="508"/>
      <c r="N896" s="508"/>
      <c r="O896" s="508"/>
      <c r="P896" s="508"/>
      <c r="Q896" s="508"/>
      <c r="R896" s="508"/>
      <c r="S896" s="508"/>
      <c r="T896" s="508"/>
      <c r="U896" s="508"/>
      <c r="V896" s="508"/>
      <c r="W896" s="508"/>
      <c r="X896" s="508"/>
      <c r="Y896" s="508"/>
      <c r="Z896" s="508"/>
    </row>
    <row r="897" ht="13.5" customHeight="1">
      <c r="A897" s="426"/>
      <c r="B897" s="508"/>
      <c r="C897" s="508"/>
      <c r="D897" s="508"/>
      <c r="E897" s="508"/>
      <c r="F897" s="426"/>
      <c r="G897" s="426"/>
      <c r="H897" s="426"/>
      <c r="I897" s="426"/>
      <c r="J897" s="508"/>
      <c r="K897" s="508"/>
      <c r="L897" s="508"/>
      <c r="M897" s="508"/>
      <c r="N897" s="508"/>
      <c r="O897" s="508"/>
      <c r="P897" s="508"/>
      <c r="Q897" s="508"/>
      <c r="R897" s="508"/>
      <c r="S897" s="508"/>
      <c r="T897" s="508"/>
      <c r="U897" s="508"/>
      <c r="V897" s="508"/>
      <c r="W897" s="508"/>
      <c r="X897" s="508"/>
      <c r="Y897" s="508"/>
      <c r="Z897" s="508"/>
    </row>
    <row r="898" ht="13.5" customHeight="1">
      <c r="A898" s="426"/>
      <c r="B898" s="508"/>
      <c r="C898" s="508"/>
      <c r="D898" s="508"/>
      <c r="E898" s="508"/>
      <c r="F898" s="426"/>
      <c r="G898" s="426"/>
      <c r="H898" s="426"/>
      <c r="I898" s="426"/>
      <c r="J898" s="508"/>
      <c r="K898" s="508"/>
      <c r="L898" s="508"/>
      <c r="M898" s="508"/>
      <c r="N898" s="508"/>
      <c r="O898" s="508"/>
      <c r="P898" s="508"/>
      <c r="Q898" s="508"/>
      <c r="R898" s="508"/>
      <c r="S898" s="508"/>
      <c r="T898" s="508"/>
      <c r="U898" s="508"/>
      <c r="V898" s="508"/>
      <c r="W898" s="508"/>
      <c r="X898" s="508"/>
      <c r="Y898" s="508"/>
      <c r="Z898" s="508"/>
    </row>
    <row r="899" ht="13.5" customHeight="1">
      <c r="A899" s="426"/>
      <c r="B899" s="508"/>
      <c r="C899" s="508"/>
      <c r="D899" s="508"/>
      <c r="E899" s="508"/>
      <c r="F899" s="426"/>
      <c r="G899" s="426"/>
      <c r="H899" s="426"/>
      <c r="I899" s="426"/>
      <c r="J899" s="508"/>
      <c r="K899" s="508"/>
      <c r="L899" s="508"/>
      <c r="M899" s="508"/>
      <c r="N899" s="508"/>
      <c r="O899" s="508"/>
      <c r="P899" s="508"/>
      <c r="Q899" s="508"/>
      <c r="R899" s="508"/>
      <c r="S899" s="508"/>
      <c r="T899" s="508"/>
      <c r="U899" s="508"/>
      <c r="V899" s="508"/>
      <c r="W899" s="508"/>
      <c r="X899" s="508"/>
      <c r="Y899" s="508"/>
      <c r="Z899" s="508"/>
    </row>
    <row r="900" ht="13.5" customHeight="1">
      <c r="A900" s="426"/>
      <c r="B900" s="508"/>
      <c r="C900" s="508"/>
      <c r="D900" s="508"/>
      <c r="E900" s="508"/>
      <c r="F900" s="426"/>
      <c r="G900" s="426"/>
      <c r="H900" s="426"/>
      <c r="I900" s="426"/>
      <c r="J900" s="508"/>
      <c r="K900" s="508"/>
      <c r="L900" s="508"/>
      <c r="M900" s="508"/>
      <c r="N900" s="508"/>
      <c r="O900" s="508"/>
      <c r="P900" s="508"/>
      <c r="Q900" s="508"/>
      <c r="R900" s="508"/>
      <c r="S900" s="508"/>
      <c r="T900" s="508"/>
      <c r="U900" s="508"/>
      <c r="V900" s="508"/>
      <c r="W900" s="508"/>
      <c r="X900" s="508"/>
      <c r="Y900" s="508"/>
      <c r="Z900" s="508"/>
    </row>
    <row r="901" ht="13.5" customHeight="1">
      <c r="A901" s="426"/>
      <c r="B901" s="508"/>
      <c r="C901" s="508"/>
      <c r="D901" s="508"/>
      <c r="E901" s="508"/>
      <c r="F901" s="426"/>
      <c r="G901" s="426"/>
      <c r="H901" s="426"/>
      <c r="I901" s="426"/>
      <c r="J901" s="508"/>
      <c r="K901" s="508"/>
      <c r="L901" s="508"/>
      <c r="M901" s="508"/>
      <c r="N901" s="508"/>
      <c r="O901" s="508"/>
      <c r="P901" s="508"/>
      <c r="Q901" s="508"/>
      <c r="R901" s="508"/>
      <c r="S901" s="508"/>
      <c r="T901" s="508"/>
      <c r="U901" s="508"/>
      <c r="V901" s="508"/>
      <c r="W901" s="508"/>
      <c r="X901" s="508"/>
      <c r="Y901" s="508"/>
      <c r="Z901" s="508"/>
    </row>
    <row r="902" ht="13.5" customHeight="1">
      <c r="A902" s="426"/>
      <c r="B902" s="508"/>
      <c r="C902" s="508"/>
      <c r="D902" s="508"/>
      <c r="E902" s="508"/>
      <c r="F902" s="426"/>
      <c r="G902" s="426"/>
      <c r="H902" s="426"/>
      <c r="I902" s="426"/>
      <c r="J902" s="508"/>
      <c r="K902" s="508"/>
      <c r="L902" s="508"/>
      <c r="M902" s="508"/>
      <c r="N902" s="508"/>
      <c r="O902" s="508"/>
      <c r="P902" s="508"/>
      <c r="Q902" s="508"/>
      <c r="R902" s="508"/>
      <c r="S902" s="508"/>
      <c r="T902" s="508"/>
      <c r="U902" s="508"/>
      <c r="V902" s="508"/>
      <c r="W902" s="508"/>
      <c r="X902" s="508"/>
      <c r="Y902" s="508"/>
      <c r="Z902" s="508"/>
    </row>
    <row r="903" ht="13.5" customHeight="1">
      <c r="A903" s="426"/>
      <c r="B903" s="508"/>
      <c r="C903" s="508"/>
      <c r="D903" s="508"/>
      <c r="E903" s="508"/>
      <c r="F903" s="426"/>
      <c r="G903" s="426"/>
      <c r="H903" s="426"/>
      <c r="I903" s="426"/>
      <c r="J903" s="508"/>
      <c r="K903" s="508"/>
      <c r="L903" s="508"/>
      <c r="M903" s="508"/>
      <c r="N903" s="508"/>
      <c r="O903" s="508"/>
      <c r="P903" s="508"/>
      <c r="Q903" s="508"/>
      <c r="R903" s="508"/>
      <c r="S903" s="508"/>
      <c r="T903" s="508"/>
      <c r="U903" s="508"/>
      <c r="V903" s="508"/>
      <c r="W903" s="508"/>
      <c r="X903" s="508"/>
      <c r="Y903" s="508"/>
      <c r="Z903" s="508"/>
    </row>
    <row r="904" ht="13.5" customHeight="1">
      <c r="A904" s="426"/>
      <c r="B904" s="508"/>
      <c r="C904" s="508"/>
      <c r="D904" s="508"/>
      <c r="E904" s="508"/>
      <c r="F904" s="426"/>
      <c r="G904" s="426"/>
      <c r="H904" s="426"/>
      <c r="I904" s="426"/>
      <c r="J904" s="508"/>
      <c r="K904" s="508"/>
      <c r="L904" s="508"/>
      <c r="M904" s="508"/>
      <c r="N904" s="508"/>
      <c r="O904" s="508"/>
      <c r="P904" s="508"/>
      <c r="Q904" s="508"/>
      <c r="R904" s="508"/>
      <c r="S904" s="508"/>
      <c r="T904" s="508"/>
      <c r="U904" s="508"/>
      <c r="V904" s="508"/>
      <c r="W904" s="508"/>
      <c r="X904" s="508"/>
      <c r="Y904" s="508"/>
      <c r="Z904" s="508"/>
    </row>
    <row r="905" ht="13.5" customHeight="1">
      <c r="A905" s="426"/>
      <c r="B905" s="508"/>
      <c r="C905" s="508"/>
      <c r="D905" s="508"/>
      <c r="E905" s="508"/>
      <c r="F905" s="426"/>
      <c r="G905" s="426"/>
      <c r="H905" s="426"/>
      <c r="I905" s="426"/>
      <c r="J905" s="508"/>
      <c r="K905" s="508"/>
      <c r="L905" s="508"/>
      <c r="M905" s="508"/>
      <c r="N905" s="508"/>
      <c r="O905" s="508"/>
      <c r="P905" s="508"/>
      <c r="Q905" s="508"/>
      <c r="R905" s="508"/>
      <c r="S905" s="508"/>
      <c r="T905" s="508"/>
      <c r="U905" s="508"/>
      <c r="V905" s="508"/>
      <c r="W905" s="508"/>
      <c r="X905" s="508"/>
      <c r="Y905" s="508"/>
      <c r="Z905" s="508"/>
    </row>
    <row r="906" ht="13.5" customHeight="1">
      <c r="A906" s="426"/>
      <c r="B906" s="508"/>
      <c r="C906" s="508"/>
      <c r="D906" s="508"/>
      <c r="E906" s="508"/>
      <c r="F906" s="426"/>
      <c r="G906" s="426"/>
      <c r="H906" s="426"/>
      <c r="I906" s="426"/>
      <c r="J906" s="508"/>
      <c r="K906" s="508"/>
      <c r="L906" s="508"/>
      <c r="M906" s="508"/>
      <c r="N906" s="508"/>
      <c r="O906" s="508"/>
      <c r="P906" s="508"/>
      <c r="Q906" s="508"/>
      <c r="R906" s="508"/>
      <c r="S906" s="508"/>
      <c r="T906" s="508"/>
      <c r="U906" s="508"/>
      <c r="V906" s="508"/>
      <c r="W906" s="508"/>
      <c r="X906" s="508"/>
      <c r="Y906" s="508"/>
      <c r="Z906" s="508"/>
    </row>
    <row r="907" ht="13.5" customHeight="1">
      <c r="A907" s="426"/>
      <c r="B907" s="508"/>
      <c r="C907" s="508"/>
      <c r="D907" s="508"/>
      <c r="E907" s="508"/>
      <c r="F907" s="426"/>
      <c r="G907" s="426"/>
      <c r="H907" s="426"/>
      <c r="I907" s="426"/>
      <c r="J907" s="508"/>
      <c r="K907" s="508"/>
      <c r="L907" s="508"/>
      <c r="M907" s="508"/>
      <c r="N907" s="508"/>
      <c r="O907" s="508"/>
      <c r="P907" s="508"/>
      <c r="Q907" s="508"/>
      <c r="R907" s="508"/>
      <c r="S907" s="508"/>
      <c r="T907" s="508"/>
      <c r="U907" s="508"/>
      <c r="V907" s="508"/>
      <c r="W907" s="508"/>
      <c r="X907" s="508"/>
      <c r="Y907" s="508"/>
      <c r="Z907" s="508"/>
    </row>
    <row r="908" ht="13.5" customHeight="1">
      <c r="A908" s="426"/>
      <c r="B908" s="508"/>
      <c r="C908" s="508"/>
      <c r="D908" s="508"/>
      <c r="E908" s="508"/>
      <c r="F908" s="426"/>
      <c r="G908" s="426"/>
      <c r="H908" s="426"/>
      <c r="I908" s="426"/>
      <c r="J908" s="508"/>
      <c r="K908" s="508"/>
      <c r="L908" s="508"/>
      <c r="M908" s="508"/>
      <c r="N908" s="508"/>
      <c r="O908" s="508"/>
      <c r="P908" s="508"/>
      <c r="Q908" s="508"/>
      <c r="R908" s="508"/>
      <c r="S908" s="508"/>
      <c r="T908" s="508"/>
      <c r="U908" s="508"/>
      <c r="V908" s="508"/>
      <c r="W908" s="508"/>
      <c r="X908" s="508"/>
      <c r="Y908" s="508"/>
      <c r="Z908" s="508"/>
    </row>
    <row r="909" ht="13.5" customHeight="1">
      <c r="A909" s="426"/>
      <c r="B909" s="508"/>
      <c r="C909" s="508"/>
      <c r="D909" s="508"/>
      <c r="E909" s="508"/>
      <c r="F909" s="426"/>
      <c r="G909" s="426"/>
      <c r="H909" s="426"/>
      <c r="I909" s="426"/>
      <c r="J909" s="508"/>
      <c r="K909" s="508"/>
      <c r="L909" s="508"/>
      <c r="M909" s="508"/>
      <c r="N909" s="508"/>
      <c r="O909" s="508"/>
      <c r="P909" s="508"/>
      <c r="Q909" s="508"/>
      <c r="R909" s="508"/>
      <c r="S909" s="508"/>
      <c r="T909" s="508"/>
      <c r="U909" s="508"/>
      <c r="V909" s="508"/>
      <c r="W909" s="508"/>
      <c r="X909" s="508"/>
      <c r="Y909" s="508"/>
      <c r="Z909" s="508"/>
    </row>
    <row r="910" ht="13.5" customHeight="1">
      <c r="A910" s="426"/>
      <c r="B910" s="508"/>
      <c r="C910" s="508"/>
      <c r="D910" s="508"/>
      <c r="E910" s="508"/>
      <c r="F910" s="426"/>
      <c r="G910" s="426"/>
      <c r="H910" s="426"/>
      <c r="I910" s="426"/>
      <c r="J910" s="508"/>
      <c r="K910" s="508"/>
      <c r="L910" s="508"/>
      <c r="M910" s="508"/>
      <c r="N910" s="508"/>
      <c r="O910" s="508"/>
      <c r="P910" s="508"/>
      <c r="Q910" s="508"/>
      <c r="R910" s="508"/>
      <c r="S910" s="508"/>
      <c r="T910" s="508"/>
      <c r="U910" s="508"/>
      <c r="V910" s="508"/>
      <c r="W910" s="508"/>
      <c r="X910" s="508"/>
      <c r="Y910" s="508"/>
      <c r="Z910" s="508"/>
    </row>
    <row r="911" ht="13.5" customHeight="1">
      <c r="A911" s="426"/>
      <c r="B911" s="508"/>
      <c r="C911" s="508"/>
      <c r="D911" s="508"/>
      <c r="E911" s="508"/>
      <c r="F911" s="426"/>
      <c r="G911" s="426"/>
      <c r="H911" s="426"/>
      <c r="I911" s="426"/>
      <c r="J911" s="508"/>
      <c r="K911" s="508"/>
      <c r="L911" s="508"/>
      <c r="M911" s="508"/>
      <c r="N911" s="508"/>
      <c r="O911" s="508"/>
      <c r="P911" s="508"/>
      <c r="Q911" s="508"/>
      <c r="R911" s="508"/>
      <c r="S911" s="508"/>
      <c r="T911" s="508"/>
      <c r="U911" s="508"/>
      <c r="V911" s="508"/>
      <c r="W911" s="508"/>
      <c r="X911" s="508"/>
      <c r="Y911" s="508"/>
      <c r="Z911" s="508"/>
    </row>
    <row r="912" ht="13.5" customHeight="1">
      <c r="A912" s="426"/>
      <c r="B912" s="508"/>
      <c r="C912" s="508"/>
      <c r="D912" s="508"/>
      <c r="E912" s="508"/>
      <c r="F912" s="426"/>
      <c r="G912" s="426"/>
      <c r="H912" s="426"/>
      <c r="I912" s="426"/>
      <c r="J912" s="508"/>
      <c r="K912" s="508"/>
      <c r="L912" s="508"/>
      <c r="M912" s="508"/>
      <c r="N912" s="508"/>
      <c r="O912" s="508"/>
      <c r="P912" s="508"/>
      <c r="Q912" s="508"/>
      <c r="R912" s="508"/>
      <c r="S912" s="508"/>
      <c r="T912" s="508"/>
      <c r="U912" s="508"/>
      <c r="V912" s="508"/>
      <c r="W912" s="508"/>
      <c r="X912" s="508"/>
      <c r="Y912" s="508"/>
      <c r="Z912" s="508"/>
    </row>
    <row r="913" ht="13.5" customHeight="1">
      <c r="A913" s="426"/>
      <c r="B913" s="508"/>
      <c r="C913" s="508"/>
      <c r="D913" s="508"/>
      <c r="E913" s="508"/>
      <c r="F913" s="426"/>
      <c r="G913" s="426"/>
      <c r="H913" s="426"/>
      <c r="I913" s="426"/>
      <c r="J913" s="508"/>
      <c r="K913" s="508"/>
      <c r="L913" s="508"/>
      <c r="M913" s="508"/>
      <c r="N913" s="508"/>
      <c r="O913" s="508"/>
      <c r="P913" s="508"/>
      <c r="Q913" s="508"/>
      <c r="R913" s="508"/>
      <c r="S913" s="508"/>
      <c r="T913" s="508"/>
      <c r="U913" s="508"/>
      <c r="V913" s="508"/>
      <c r="W913" s="508"/>
      <c r="X913" s="508"/>
      <c r="Y913" s="508"/>
      <c r="Z913" s="508"/>
    </row>
    <row r="914" ht="13.5" customHeight="1">
      <c r="A914" s="426"/>
      <c r="B914" s="508"/>
      <c r="C914" s="508"/>
      <c r="D914" s="508"/>
      <c r="E914" s="508"/>
      <c r="F914" s="426"/>
      <c r="G914" s="426"/>
      <c r="H914" s="426"/>
      <c r="I914" s="426"/>
      <c r="J914" s="508"/>
      <c r="K914" s="508"/>
      <c r="L914" s="508"/>
      <c r="M914" s="508"/>
      <c r="N914" s="508"/>
      <c r="O914" s="508"/>
      <c r="P914" s="508"/>
      <c r="Q914" s="508"/>
      <c r="R914" s="508"/>
      <c r="S914" s="508"/>
      <c r="T914" s="508"/>
      <c r="U914" s="508"/>
      <c r="V914" s="508"/>
      <c r="W914" s="508"/>
      <c r="X914" s="508"/>
      <c r="Y914" s="508"/>
      <c r="Z914" s="508"/>
    </row>
    <row r="915" ht="13.5" customHeight="1">
      <c r="A915" s="426"/>
      <c r="B915" s="508"/>
      <c r="C915" s="508"/>
      <c r="D915" s="508"/>
      <c r="E915" s="508"/>
      <c r="F915" s="426"/>
      <c r="G915" s="426"/>
      <c r="H915" s="426"/>
      <c r="I915" s="426"/>
      <c r="J915" s="508"/>
      <c r="K915" s="508"/>
      <c r="L915" s="508"/>
      <c r="M915" s="508"/>
      <c r="N915" s="508"/>
      <c r="O915" s="508"/>
      <c r="P915" s="508"/>
      <c r="Q915" s="508"/>
      <c r="R915" s="508"/>
      <c r="S915" s="508"/>
      <c r="T915" s="508"/>
      <c r="U915" s="508"/>
      <c r="V915" s="508"/>
      <c r="W915" s="508"/>
      <c r="X915" s="508"/>
      <c r="Y915" s="508"/>
      <c r="Z915" s="508"/>
    </row>
    <row r="916" ht="13.5" customHeight="1">
      <c r="A916" s="426"/>
      <c r="B916" s="508"/>
      <c r="C916" s="508"/>
      <c r="D916" s="508"/>
      <c r="E916" s="508"/>
      <c r="F916" s="426"/>
      <c r="G916" s="426"/>
      <c r="H916" s="426"/>
      <c r="I916" s="426"/>
      <c r="J916" s="508"/>
      <c r="K916" s="508"/>
      <c r="L916" s="508"/>
      <c r="M916" s="508"/>
      <c r="N916" s="508"/>
      <c r="O916" s="508"/>
      <c r="P916" s="508"/>
      <c r="Q916" s="508"/>
      <c r="R916" s="508"/>
      <c r="S916" s="508"/>
      <c r="T916" s="508"/>
      <c r="U916" s="508"/>
      <c r="V916" s="508"/>
      <c r="W916" s="508"/>
      <c r="X916" s="508"/>
      <c r="Y916" s="508"/>
      <c r="Z916" s="508"/>
    </row>
    <row r="917" ht="13.5" customHeight="1">
      <c r="A917" s="426"/>
      <c r="B917" s="508"/>
      <c r="C917" s="508"/>
      <c r="D917" s="508"/>
      <c r="E917" s="508"/>
      <c r="F917" s="426"/>
      <c r="G917" s="426"/>
      <c r="H917" s="426"/>
      <c r="I917" s="426"/>
      <c r="J917" s="508"/>
      <c r="K917" s="508"/>
      <c r="L917" s="508"/>
      <c r="M917" s="508"/>
      <c r="N917" s="508"/>
      <c r="O917" s="508"/>
      <c r="P917" s="508"/>
      <c r="Q917" s="508"/>
      <c r="R917" s="508"/>
      <c r="S917" s="508"/>
      <c r="T917" s="508"/>
      <c r="U917" s="508"/>
      <c r="V917" s="508"/>
      <c r="W917" s="508"/>
      <c r="X917" s="508"/>
      <c r="Y917" s="508"/>
      <c r="Z917" s="508"/>
    </row>
    <row r="918" ht="13.5" customHeight="1">
      <c r="A918" s="426"/>
      <c r="B918" s="508"/>
      <c r="C918" s="508"/>
      <c r="D918" s="508"/>
      <c r="E918" s="508"/>
      <c r="F918" s="426"/>
      <c r="G918" s="426"/>
      <c r="H918" s="426"/>
      <c r="I918" s="426"/>
      <c r="J918" s="508"/>
      <c r="K918" s="508"/>
      <c r="L918" s="508"/>
      <c r="M918" s="508"/>
      <c r="N918" s="508"/>
      <c r="O918" s="508"/>
      <c r="P918" s="508"/>
      <c r="Q918" s="508"/>
      <c r="R918" s="508"/>
      <c r="S918" s="508"/>
      <c r="T918" s="508"/>
      <c r="U918" s="508"/>
      <c r="V918" s="508"/>
      <c r="W918" s="508"/>
      <c r="X918" s="508"/>
      <c r="Y918" s="508"/>
      <c r="Z918" s="508"/>
    </row>
    <row r="919" ht="13.5" customHeight="1">
      <c r="A919" s="426"/>
      <c r="B919" s="508"/>
      <c r="C919" s="508"/>
      <c r="D919" s="508"/>
      <c r="E919" s="508"/>
      <c r="F919" s="426"/>
      <c r="G919" s="426"/>
      <c r="H919" s="426"/>
      <c r="I919" s="426"/>
      <c r="J919" s="508"/>
      <c r="K919" s="508"/>
      <c r="L919" s="508"/>
      <c r="M919" s="508"/>
      <c r="N919" s="508"/>
      <c r="O919" s="508"/>
      <c r="P919" s="508"/>
      <c r="Q919" s="508"/>
      <c r="R919" s="508"/>
      <c r="S919" s="508"/>
      <c r="T919" s="508"/>
      <c r="U919" s="508"/>
      <c r="V919" s="508"/>
      <c r="W919" s="508"/>
      <c r="X919" s="508"/>
      <c r="Y919" s="508"/>
      <c r="Z919" s="508"/>
    </row>
    <row r="920" ht="13.5" customHeight="1">
      <c r="A920" s="426"/>
      <c r="B920" s="508"/>
      <c r="C920" s="508"/>
      <c r="D920" s="508"/>
      <c r="E920" s="508"/>
      <c r="F920" s="426"/>
      <c r="G920" s="426"/>
      <c r="H920" s="426"/>
      <c r="I920" s="426"/>
      <c r="J920" s="508"/>
      <c r="K920" s="508"/>
      <c r="L920" s="508"/>
      <c r="M920" s="508"/>
      <c r="N920" s="508"/>
      <c r="O920" s="508"/>
      <c r="P920" s="508"/>
      <c r="Q920" s="508"/>
      <c r="R920" s="508"/>
      <c r="S920" s="508"/>
      <c r="T920" s="508"/>
      <c r="U920" s="508"/>
      <c r="V920" s="508"/>
      <c r="W920" s="508"/>
      <c r="X920" s="508"/>
      <c r="Y920" s="508"/>
      <c r="Z920" s="508"/>
    </row>
    <row r="921" ht="13.5" customHeight="1">
      <c r="A921" s="426"/>
      <c r="B921" s="508"/>
      <c r="C921" s="508"/>
      <c r="D921" s="508"/>
      <c r="E921" s="508"/>
      <c r="F921" s="426"/>
      <c r="G921" s="426"/>
      <c r="H921" s="426"/>
      <c r="I921" s="426"/>
      <c r="J921" s="508"/>
      <c r="K921" s="508"/>
      <c r="L921" s="508"/>
      <c r="M921" s="508"/>
      <c r="N921" s="508"/>
      <c r="O921" s="508"/>
      <c r="P921" s="508"/>
      <c r="Q921" s="508"/>
      <c r="R921" s="508"/>
      <c r="S921" s="508"/>
      <c r="T921" s="508"/>
      <c r="U921" s="508"/>
      <c r="V921" s="508"/>
      <c r="W921" s="508"/>
      <c r="X921" s="508"/>
      <c r="Y921" s="508"/>
      <c r="Z921" s="508"/>
    </row>
    <row r="922" ht="13.5" customHeight="1">
      <c r="A922" s="426"/>
      <c r="B922" s="508"/>
      <c r="C922" s="508"/>
      <c r="D922" s="508"/>
      <c r="E922" s="508"/>
      <c r="F922" s="426"/>
      <c r="G922" s="426"/>
      <c r="H922" s="426"/>
      <c r="I922" s="426"/>
      <c r="J922" s="508"/>
      <c r="K922" s="508"/>
      <c r="L922" s="508"/>
      <c r="M922" s="508"/>
      <c r="N922" s="508"/>
      <c r="O922" s="508"/>
      <c r="P922" s="508"/>
      <c r="Q922" s="508"/>
      <c r="R922" s="508"/>
      <c r="S922" s="508"/>
      <c r="T922" s="508"/>
      <c r="U922" s="508"/>
      <c r="V922" s="508"/>
      <c r="W922" s="508"/>
      <c r="X922" s="508"/>
      <c r="Y922" s="508"/>
      <c r="Z922" s="508"/>
    </row>
    <row r="923" ht="13.5" customHeight="1">
      <c r="A923" s="426"/>
      <c r="B923" s="508"/>
      <c r="C923" s="508"/>
      <c r="D923" s="508"/>
      <c r="E923" s="508"/>
      <c r="F923" s="426"/>
      <c r="G923" s="426"/>
      <c r="H923" s="426"/>
      <c r="I923" s="426"/>
      <c r="J923" s="508"/>
      <c r="K923" s="508"/>
      <c r="L923" s="508"/>
      <c r="M923" s="508"/>
      <c r="N923" s="508"/>
      <c r="O923" s="508"/>
      <c r="P923" s="508"/>
      <c r="Q923" s="508"/>
      <c r="R923" s="508"/>
      <c r="S923" s="508"/>
      <c r="T923" s="508"/>
      <c r="U923" s="508"/>
      <c r="V923" s="508"/>
      <c r="W923" s="508"/>
      <c r="X923" s="508"/>
      <c r="Y923" s="508"/>
      <c r="Z923" s="508"/>
    </row>
    <row r="924" ht="13.5" customHeight="1">
      <c r="A924" s="426"/>
      <c r="B924" s="508"/>
      <c r="C924" s="508"/>
      <c r="D924" s="508"/>
      <c r="E924" s="508"/>
      <c r="F924" s="426"/>
      <c r="G924" s="426"/>
      <c r="H924" s="426"/>
      <c r="I924" s="426"/>
      <c r="J924" s="508"/>
      <c r="K924" s="508"/>
      <c r="L924" s="508"/>
      <c r="M924" s="508"/>
      <c r="N924" s="508"/>
      <c r="O924" s="508"/>
      <c r="P924" s="508"/>
      <c r="Q924" s="508"/>
      <c r="R924" s="508"/>
      <c r="S924" s="508"/>
      <c r="T924" s="508"/>
      <c r="U924" s="508"/>
      <c r="V924" s="508"/>
      <c r="W924" s="508"/>
      <c r="X924" s="508"/>
      <c r="Y924" s="508"/>
      <c r="Z924" s="508"/>
    </row>
    <row r="925" ht="13.5" customHeight="1">
      <c r="A925" s="426"/>
      <c r="B925" s="508"/>
      <c r="C925" s="508"/>
      <c r="D925" s="508"/>
      <c r="E925" s="508"/>
      <c r="F925" s="426"/>
      <c r="G925" s="426"/>
      <c r="H925" s="426"/>
      <c r="I925" s="426"/>
      <c r="J925" s="508"/>
      <c r="K925" s="508"/>
      <c r="L925" s="508"/>
      <c r="M925" s="508"/>
      <c r="N925" s="508"/>
      <c r="O925" s="508"/>
      <c r="P925" s="508"/>
      <c r="Q925" s="508"/>
      <c r="R925" s="508"/>
      <c r="S925" s="508"/>
      <c r="T925" s="508"/>
      <c r="U925" s="508"/>
      <c r="V925" s="508"/>
      <c r="W925" s="508"/>
      <c r="X925" s="508"/>
      <c r="Y925" s="508"/>
      <c r="Z925" s="508"/>
    </row>
    <row r="926" ht="13.5" customHeight="1">
      <c r="A926" s="426"/>
      <c r="B926" s="508"/>
      <c r="C926" s="508"/>
      <c r="D926" s="508"/>
      <c r="E926" s="508"/>
      <c r="F926" s="426"/>
      <c r="G926" s="426"/>
      <c r="H926" s="426"/>
      <c r="I926" s="426"/>
      <c r="J926" s="508"/>
      <c r="K926" s="508"/>
      <c r="L926" s="508"/>
      <c r="M926" s="508"/>
      <c r="N926" s="508"/>
      <c r="O926" s="508"/>
      <c r="P926" s="508"/>
      <c r="Q926" s="508"/>
      <c r="R926" s="508"/>
      <c r="S926" s="508"/>
      <c r="T926" s="508"/>
      <c r="U926" s="508"/>
      <c r="V926" s="508"/>
      <c r="W926" s="508"/>
      <c r="X926" s="508"/>
      <c r="Y926" s="508"/>
      <c r="Z926" s="508"/>
    </row>
    <row r="927" ht="13.5" customHeight="1">
      <c r="A927" s="426"/>
      <c r="B927" s="508"/>
      <c r="C927" s="508"/>
      <c r="D927" s="508"/>
      <c r="E927" s="508"/>
      <c r="F927" s="426"/>
      <c r="G927" s="426"/>
      <c r="H927" s="426"/>
      <c r="I927" s="426"/>
      <c r="J927" s="508"/>
      <c r="K927" s="508"/>
      <c r="L927" s="508"/>
      <c r="M927" s="508"/>
      <c r="N927" s="508"/>
      <c r="O927" s="508"/>
      <c r="P927" s="508"/>
      <c r="Q927" s="508"/>
      <c r="R927" s="508"/>
      <c r="S927" s="508"/>
      <c r="T927" s="508"/>
      <c r="U927" s="508"/>
      <c r="V927" s="508"/>
      <c r="W927" s="508"/>
      <c r="X927" s="508"/>
      <c r="Y927" s="508"/>
      <c r="Z927" s="508"/>
    </row>
    <row r="928" ht="13.5" customHeight="1">
      <c r="A928" s="426"/>
      <c r="B928" s="508"/>
      <c r="C928" s="508"/>
      <c r="D928" s="508"/>
      <c r="E928" s="508"/>
      <c r="F928" s="426"/>
      <c r="G928" s="426"/>
      <c r="H928" s="426"/>
      <c r="I928" s="426"/>
      <c r="J928" s="508"/>
      <c r="K928" s="508"/>
      <c r="L928" s="508"/>
      <c r="M928" s="508"/>
      <c r="N928" s="508"/>
      <c r="O928" s="508"/>
      <c r="P928" s="508"/>
      <c r="Q928" s="508"/>
      <c r="R928" s="508"/>
      <c r="S928" s="508"/>
      <c r="T928" s="508"/>
      <c r="U928" s="508"/>
      <c r="V928" s="508"/>
      <c r="W928" s="508"/>
      <c r="X928" s="508"/>
      <c r="Y928" s="508"/>
      <c r="Z928" s="508"/>
    </row>
    <row r="929" ht="13.5" customHeight="1">
      <c r="A929" s="426"/>
      <c r="B929" s="508"/>
      <c r="C929" s="508"/>
      <c r="D929" s="508"/>
      <c r="E929" s="508"/>
      <c r="F929" s="426"/>
      <c r="G929" s="426"/>
      <c r="H929" s="426"/>
      <c r="I929" s="426"/>
      <c r="J929" s="508"/>
      <c r="K929" s="508"/>
      <c r="L929" s="508"/>
      <c r="M929" s="508"/>
      <c r="N929" s="508"/>
      <c r="O929" s="508"/>
      <c r="P929" s="508"/>
      <c r="Q929" s="508"/>
      <c r="R929" s="508"/>
      <c r="S929" s="508"/>
      <c r="T929" s="508"/>
      <c r="U929" s="508"/>
      <c r="V929" s="508"/>
      <c r="W929" s="508"/>
      <c r="X929" s="508"/>
      <c r="Y929" s="508"/>
      <c r="Z929" s="508"/>
    </row>
    <row r="930" ht="13.5" customHeight="1">
      <c r="A930" s="426"/>
      <c r="B930" s="508"/>
      <c r="C930" s="508"/>
      <c r="D930" s="508"/>
      <c r="E930" s="508"/>
      <c r="F930" s="426"/>
      <c r="G930" s="426"/>
      <c r="H930" s="426"/>
      <c r="I930" s="426"/>
      <c r="J930" s="508"/>
      <c r="K930" s="508"/>
      <c r="L930" s="508"/>
      <c r="M930" s="508"/>
      <c r="N930" s="508"/>
      <c r="O930" s="508"/>
      <c r="P930" s="508"/>
      <c r="Q930" s="508"/>
      <c r="R930" s="508"/>
      <c r="S930" s="508"/>
      <c r="T930" s="508"/>
      <c r="U930" s="508"/>
      <c r="V930" s="508"/>
      <c r="W930" s="508"/>
      <c r="X930" s="508"/>
      <c r="Y930" s="508"/>
      <c r="Z930" s="508"/>
    </row>
    <row r="931" ht="13.5" customHeight="1">
      <c r="A931" s="426"/>
      <c r="B931" s="508"/>
      <c r="C931" s="508"/>
      <c r="D931" s="508"/>
      <c r="E931" s="508"/>
      <c r="F931" s="426"/>
      <c r="G931" s="426"/>
      <c r="H931" s="426"/>
      <c r="I931" s="426"/>
      <c r="J931" s="508"/>
      <c r="K931" s="508"/>
      <c r="L931" s="508"/>
      <c r="M931" s="508"/>
      <c r="N931" s="508"/>
      <c r="O931" s="508"/>
      <c r="P931" s="508"/>
      <c r="Q931" s="508"/>
      <c r="R931" s="508"/>
      <c r="S931" s="508"/>
      <c r="T931" s="508"/>
      <c r="U931" s="508"/>
      <c r="V931" s="508"/>
      <c r="W931" s="508"/>
      <c r="X931" s="508"/>
      <c r="Y931" s="508"/>
      <c r="Z931" s="508"/>
    </row>
    <row r="932" ht="13.5" customHeight="1">
      <c r="A932" s="426"/>
      <c r="B932" s="508"/>
      <c r="C932" s="508"/>
      <c r="D932" s="508"/>
      <c r="E932" s="508"/>
      <c r="F932" s="426"/>
      <c r="G932" s="426"/>
      <c r="H932" s="426"/>
      <c r="I932" s="426"/>
      <c r="J932" s="508"/>
      <c r="K932" s="508"/>
      <c r="L932" s="508"/>
      <c r="M932" s="508"/>
      <c r="N932" s="508"/>
      <c r="O932" s="508"/>
      <c r="P932" s="508"/>
      <c r="Q932" s="508"/>
      <c r="R932" s="508"/>
      <c r="S932" s="508"/>
      <c r="T932" s="508"/>
      <c r="U932" s="508"/>
      <c r="V932" s="508"/>
      <c r="W932" s="508"/>
      <c r="X932" s="508"/>
      <c r="Y932" s="508"/>
      <c r="Z932" s="508"/>
    </row>
    <row r="933" ht="13.5" customHeight="1">
      <c r="A933" s="426"/>
      <c r="B933" s="508"/>
      <c r="C933" s="508"/>
      <c r="D933" s="508"/>
      <c r="E933" s="508"/>
      <c r="F933" s="426"/>
      <c r="G933" s="426"/>
      <c r="H933" s="426"/>
      <c r="I933" s="426"/>
      <c r="J933" s="508"/>
      <c r="K933" s="508"/>
      <c r="L933" s="508"/>
      <c r="M933" s="508"/>
      <c r="N933" s="508"/>
      <c r="O933" s="508"/>
      <c r="P933" s="508"/>
      <c r="Q933" s="508"/>
      <c r="R933" s="508"/>
      <c r="S933" s="508"/>
      <c r="T933" s="508"/>
      <c r="U933" s="508"/>
      <c r="V933" s="508"/>
      <c r="W933" s="508"/>
      <c r="X933" s="508"/>
      <c r="Y933" s="508"/>
      <c r="Z933" s="508"/>
    </row>
    <row r="934" ht="13.5" customHeight="1">
      <c r="A934" s="426"/>
      <c r="B934" s="508"/>
      <c r="C934" s="508"/>
      <c r="D934" s="508"/>
      <c r="E934" s="508"/>
      <c r="F934" s="426"/>
      <c r="G934" s="426"/>
      <c r="H934" s="426"/>
      <c r="I934" s="426"/>
      <c r="J934" s="508"/>
      <c r="K934" s="508"/>
      <c r="L934" s="508"/>
      <c r="M934" s="508"/>
      <c r="N934" s="508"/>
      <c r="O934" s="508"/>
      <c r="P934" s="508"/>
      <c r="Q934" s="508"/>
      <c r="R934" s="508"/>
      <c r="S934" s="508"/>
      <c r="T934" s="508"/>
      <c r="U934" s="508"/>
      <c r="V934" s="508"/>
      <c r="W934" s="508"/>
      <c r="X934" s="508"/>
      <c r="Y934" s="508"/>
      <c r="Z934" s="508"/>
    </row>
    <row r="935" ht="13.5" customHeight="1">
      <c r="A935" s="426"/>
      <c r="B935" s="508"/>
      <c r="C935" s="508"/>
      <c r="D935" s="508"/>
      <c r="E935" s="508"/>
      <c r="F935" s="426"/>
      <c r="G935" s="426"/>
      <c r="H935" s="426"/>
      <c r="I935" s="426"/>
      <c r="J935" s="508"/>
      <c r="K935" s="508"/>
      <c r="L935" s="508"/>
      <c r="M935" s="508"/>
      <c r="N935" s="508"/>
      <c r="O935" s="508"/>
      <c r="P935" s="508"/>
      <c r="Q935" s="508"/>
      <c r="R935" s="508"/>
      <c r="S935" s="508"/>
      <c r="T935" s="508"/>
      <c r="U935" s="508"/>
      <c r="V935" s="508"/>
      <c r="W935" s="508"/>
      <c r="X935" s="508"/>
      <c r="Y935" s="508"/>
      <c r="Z935" s="508"/>
    </row>
    <row r="936" ht="13.5" customHeight="1">
      <c r="A936" s="426"/>
      <c r="B936" s="508"/>
      <c r="C936" s="508"/>
      <c r="D936" s="508"/>
      <c r="E936" s="508"/>
      <c r="F936" s="426"/>
      <c r="G936" s="426"/>
      <c r="H936" s="426"/>
      <c r="I936" s="426"/>
      <c r="J936" s="508"/>
      <c r="K936" s="508"/>
      <c r="L936" s="508"/>
      <c r="M936" s="508"/>
      <c r="N936" s="508"/>
      <c r="O936" s="508"/>
      <c r="P936" s="508"/>
      <c r="Q936" s="508"/>
      <c r="R936" s="508"/>
      <c r="S936" s="508"/>
      <c r="T936" s="508"/>
      <c r="U936" s="508"/>
      <c r="V936" s="508"/>
      <c r="W936" s="508"/>
      <c r="X936" s="508"/>
      <c r="Y936" s="508"/>
      <c r="Z936" s="508"/>
    </row>
    <row r="937" ht="13.5" customHeight="1">
      <c r="A937" s="426"/>
      <c r="B937" s="508"/>
      <c r="C937" s="508"/>
      <c r="D937" s="508"/>
      <c r="E937" s="508"/>
      <c r="F937" s="426"/>
      <c r="G937" s="426"/>
      <c r="H937" s="426"/>
      <c r="I937" s="426"/>
      <c r="J937" s="508"/>
      <c r="K937" s="508"/>
      <c r="L937" s="508"/>
      <c r="M937" s="508"/>
      <c r="N937" s="508"/>
      <c r="O937" s="508"/>
      <c r="P937" s="508"/>
      <c r="Q937" s="508"/>
      <c r="R937" s="508"/>
      <c r="S937" s="508"/>
      <c r="T937" s="508"/>
      <c r="U937" s="508"/>
      <c r="V937" s="508"/>
      <c r="W937" s="508"/>
      <c r="X937" s="508"/>
      <c r="Y937" s="508"/>
      <c r="Z937" s="508"/>
    </row>
    <row r="938" ht="13.5" customHeight="1">
      <c r="A938" s="426"/>
      <c r="B938" s="508"/>
      <c r="C938" s="508"/>
      <c r="D938" s="508"/>
      <c r="E938" s="508"/>
      <c r="F938" s="426"/>
      <c r="G938" s="426"/>
      <c r="H938" s="426"/>
      <c r="I938" s="426"/>
      <c r="J938" s="508"/>
      <c r="K938" s="508"/>
      <c r="L938" s="508"/>
      <c r="M938" s="508"/>
      <c r="N938" s="508"/>
      <c r="O938" s="508"/>
      <c r="P938" s="508"/>
      <c r="Q938" s="508"/>
      <c r="R938" s="508"/>
      <c r="S938" s="508"/>
      <c r="T938" s="508"/>
      <c r="U938" s="508"/>
      <c r="V938" s="508"/>
      <c r="W938" s="508"/>
      <c r="X938" s="508"/>
      <c r="Y938" s="508"/>
      <c r="Z938" s="508"/>
    </row>
    <row r="939" ht="13.5" customHeight="1">
      <c r="A939" s="426"/>
      <c r="B939" s="508"/>
      <c r="C939" s="508"/>
      <c r="D939" s="508"/>
      <c r="E939" s="508"/>
      <c r="F939" s="426"/>
      <c r="G939" s="426"/>
      <c r="H939" s="426"/>
      <c r="I939" s="426"/>
      <c r="J939" s="508"/>
      <c r="K939" s="508"/>
      <c r="L939" s="508"/>
      <c r="M939" s="508"/>
      <c r="N939" s="508"/>
      <c r="O939" s="508"/>
      <c r="P939" s="508"/>
      <c r="Q939" s="508"/>
      <c r="R939" s="508"/>
      <c r="S939" s="508"/>
      <c r="T939" s="508"/>
      <c r="U939" s="508"/>
      <c r="V939" s="508"/>
      <c r="W939" s="508"/>
      <c r="X939" s="508"/>
      <c r="Y939" s="508"/>
      <c r="Z939" s="508"/>
    </row>
    <row r="940" ht="13.5" customHeight="1">
      <c r="A940" s="426"/>
      <c r="B940" s="508"/>
      <c r="C940" s="508"/>
      <c r="D940" s="508"/>
      <c r="E940" s="508"/>
      <c r="F940" s="426"/>
      <c r="G940" s="426"/>
      <c r="H940" s="426"/>
      <c r="I940" s="426"/>
      <c r="J940" s="508"/>
      <c r="K940" s="508"/>
      <c r="L940" s="508"/>
      <c r="M940" s="508"/>
      <c r="N940" s="508"/>
      <c r="O940" s="508"/>
      <c r="P940" s="508"/>
      <c r="Q940" s="508"/>
      <c r="R940" s="508"/>
      <c r="S940" s="508"/>
      <c r="T940" s="508"/>
      <c r="U940" s="508"/>
      <c r="V940" s="508"/>
      <c r="W940" s="508"/>
      <c r="X940" s="508"/>
      <c r="Y940" s="508"/>
      <c r="Z940" s="508"/>
    </row>
    <row r="941" ht="13.5" customHeight="1">
      <c r="A941" s="426"/>
      <c r="B941" s="508"/>
      <c r="C941" s="508"/>
      <c r="D941" s="508"/>
      <c r="E941" s="508"/>
      <c r="F941" s="426"/>
      <c r="G941" s="426"/>
      <c r="H941" s="426"/>
      <c r="I941" s="426"/>
      <c r="J941" s="508"/>
      <c r="K941" s="508"/>
      <c r="L941" s="508"/>
      <c r="M941" s="508"/>
      <c r="N941" s="508"/>
      <c r="O941" s="508"/>
      <c r="P941" s="508"/>
      <c r="Q941" s="508"/>
      <c r="R941" s="508"/>
      <c r="S941" s="508"/>
      <c r="T941" s="508"/>
      <c r="U941" s="508"/>
      <c r="V941" s="508"/>
      <c r="W941" s="508"/>
      <c r="X941" s="508"/>
      <c r="Y941" s="508"/>
      <c r="Z941" s="508"/>
    </row>
    <row r="942" ht="13.5" customHeight="1">
      <c r="A942" s="426"/>
      <c r="B942" s="508"/>
      <c r="C942" s="508"/>
      <c r="D942" s="508"/>
      <c r="E942" s="508"/>
      <c r="F942" s="426"/>
      <c r="G942" s="426"/>
      <c r="H942" s="426"/>
      <c r="I942" s="426"/>
      <c r="J942" s="508"/>
      <c r="K942" s="508"/>
      <c r="L942" s="508"/>
      <c r="M942" s="508"/>
      <c r="N942" s="508"/>
      <c r="O942" s="508"/>
      <c r="P942" s="508"/>
      <c r="Q942" s="508"/>
      <c r="R942" s="508"/>
      <c r="S942" s="508"/>
      <c r="T942" s="508"/>
      <c r="U942" s="508"/>
      <c r="V942" s="508"/>
      <c r="W942" s="508"/>
      <c r="X942" s="508"/>
      <c r="Y942" s="508"/>
      <c r="Z942" s="508"/>
    </row>
    <row r="943" ht="13.5" customHeight="1">
      <c r="A943" s="426"/>
      <c r="B943" s="508"/>
      <c r="C943" s="508"/>
      <c r="D943" s="508"/>
      <c r="E943" s="508"/>
      <c r="F943" s="426"/>
      <c r="G943" s="426"/>
      <c r="H943" s="426"/>
      <c r="I943" s="426"/>
      <c r="J943" s="508"/>
      <c r="K943" s="508"/>
      <c r="L943" s="508"/>
      <c r="M943" s="508"/>
      <c r="N943" s="508"/>
      <c r="O943" s="508"/>
      <c r="P943" s="508"/>
      <c r="Q943" s="508"/>
      <c r="R943" s="508"/>
      <c r="S943" s="508"/>
      <c r="T943" s="508"/>
      <c r="U943" s="508"/>
      <c r="V943" s="508"/>
      <c r="W943" s="508"/>
      <c r="X943" s="508"/>
      <c r="Y943" s="508"/>
      <c r="Z943" s="508"/>
    </row>
    <row r="944" ht="13.5" customHeight="1">
      <c r="A944" s="426"/>
      <c r="B944" s="508"/>
      <c r="C944" s="508"/>
      <c r="D944" s="508"/>
      <c r="E944" s="508"/>
      <c r="F944" s="426"/>
      <c r="G944" s="426"/>
      <c r="H944" s="426"/>
      <c r="I944" s="426"/>
      <c r="J944" s="508"/>
      <c r="K944" s="508"/>
      <c r="L944" s="508"/>
      <c r="M944" s="508"/>
      <c r="N944" s="508"/>
      <c r="O944" s="508"/>
      <c r="P944" s="508"/>
      <c r="Q944" s="508"/>
      <c r="R944" s="508"/>
      <c r="S944" s="508"/>
      <c r="T944" s="508"/>
      <c r="U944" s="508"/>
      <c r="V944" s="508"/>
      <c r="W944" s="508"/>
      <c r="X944" s="508"/>
      <c r="Y944" s="508"/>
      <c r="Z944" s="508"/>
    </row>
    <row r="945" ht="13.5" customHeight="1">
      <c r="A945" s="426"/>
      <c r="B945" s="508"/>
      <c r="C945" s="508"/>
      <c r="D945" s="508"/>
      <c r="E945" s="508"/>
      <c r="F945" s="426"/>
      <c r="G945" s="426"/>
      <c r="H945" s="426"/>
      <c r="I945" s="426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508"/>
      <c r="Y945" s="508"/>
      <c r="Z945" s="508"/>
    </row>
    <row r="946" ht="13.5" customHeight="1">
      <c r="A946" s="426"/>
      <c r="B946" s="508"/>
      <c r="C946" s="508"/>
      <c r="D946" s="508"/>
      <c r="E946" s="508"/>
      <c r="F946" s="426"/>
      <c r="G946" s="426"/>
      <c r="H946" s="426"/>
      <c r="I946" s="426"/>
      <c r="J946" s="508"/>
      <c r="K946" s="508"/>
      <c r="L946" s="508"/>
      <c r="M946" s="508"/>
      <c r="N946" s="508"/>
      <c r="O946" s="508"/>
      <c r="P946" s="508"/>
      <c r="Q946" s="508"/>
      <c r="R946" s="508"/>
      <c r="S946" s="508"/>
      <c r="T946" s="508"/>
      <c r="U946" s="508"/>
      <c r="V946" s="508"/>
      <c r="W946" s="508"/>
      <c r="X946" s="508"/>
      <c r="Y946" s="508"/>
      <c r="Z946" s="508"/>
    </row>
    <row r="947" ht="13.5" customHeight="1">
      <c r="A947" s="426"/>
      <c r="B947" s="508"/>
      <c r="C947" s="508"/>
      <c r="D947" s="508"/>
      <c r="E947" s="508"/>
      <c r="F947" s="426"/>
      <c r="G947" s="426"/>
      <c r="H947" s="426"/>
      <c r="I947" s="426"/>
      <c r="J947" s="508"/>
      <c r="K947" s="508"/>
      <c r="L947" s="508"/>
      <c r="M947" s="508"/>
      <c r="N947" s="508"/>
      <c r="O947" s="508"/>
      <c r="P947" s="508"/>
      <c r="Q947" s="508"/>
      <c r="R947" s="508"/>
      <c r="S947" s="508"/>
      <c r="T947" s="508"/>
      <c r="U947" s="508"/>
      <c r="V947" s="508"/>
      <c r="W947" s="508"/>
      <c r="X947" s="508"/>
      <c r="Y947" s="508"/>
      <c r="Z947" s="508"/>
    </row>
    <row r="948" ht="13.5" customHeight="1">
      <c r="A948" s="426"/>
      <c r="B948" s="508"/>
      <c r="C948" s="508"/>
      <c r="D948" s="508"/>
      <c r="E948" s="508"/>
      <c r="F948" s="426"/>
      <c r="G948" s="426"/>
      <c r="H948" s="426"/>
      <c r="I948" s="426"/>
      <c r="J948" s="508"/>
      <c r="K948" s="508"/>
      <c r="L948" s="508"/>
      <c r="M948" s="508"/>
      <c r="N948" s="508"/>
      <c r="O948" s="508"/>
      <c r="P948" s="508"/>
      <c r="Q948" s="508"/>
      <c r="R948" s="508"/>
      <c r="S948" s="508"/>
      <c r="T948" s="508"/>
      <c r="U948" s="508"/>
      <c r="V948" s="508"/>
      <c r="W948" s="508"/>
      <c r="X948" s="508"/>
      <c r="Y948" s="508"/>
      <c r="Z948" s="508"/>
    </row>
    <row r="949" ht="13.5" customHeight="1">
      <c r="A949" s="426"/>
      <c r="B949" s="508"/>
      <c r="C949" s="508"/>
      <c r="D949" s="508"/>
      <c r="E949" s="508"/>
      <c r="F949" s="426"/>
      <c r="G949" s="426"/>
      <c r="H949" s="426"/>
      <c r="I949" s="426"/>
      <c r="J949" s="508"/>
      <c r="K949" s="508"/>
      <c r="L949" s="508"/>
      <c r="M949" s="508"/>
      <c r="N949" s="508"/>
      <c r="O949" s="508"/>
      <c r="P949" s="508"/>
      <c r="Q949" s="508"/>
      <c r="R949" s="508"/>
      <c r="S949" s="508"/>
      <c r="T949" s="508"/>
      <c r="U949" s="508"/>
      <c r="V949" s="508"/>
      <c r="W949" s="508"/>
      <c r="X949" s="508"/>
      <c r="Y949" s="508"/>
      <c r="Z949" s="508"/>
    </row>
    <row r="950" ht="13.5" customHeight="1">
      <c r="A950" s="426"/>
      <c r="B950" s="508"/>
      <c r="C950" s="508"/>
      <c r="D950" s="508"/>
      <c r="E950" s="508"/>
      <c r="F950" s="426"/>
      <c r="G950" s="426"/>
      <c r="H950" s="426"/>
      <c r="I950" s="426"/>
      <c r="J950" s="508"/>
      <c r="K950" s="508"/>
      <c r="L950" s="508"/>
      <c r="M950" s="508"/>
      <c r="N950" s="508"/>
      <c r="O950" s="508"/>
      <c r="P950" s="508"/>
      <c r="Q950" s="508"/>
      <c r="R950" s="508"/>
      <c r="S950" s="508"/>
      <c r="T950" s="508"/>
      <c r="U950" s="508"/>
      <c r="V950" s="508"/>
      <c r="W950" s="508"/>
      <c r="X950" s="508"/>
      <c r="Y950" s="508"/>
      <c r="Z950" s="508"/>
    </row>
    <row r="951" ht="13.5" customHeight="1">
      <c r="A951" s="426"/>
      <c r="B951" s="508"/>
      <c r="C951" s="508"/>
      <c r="D951" s="508"/>
      <c r="E951" s="508"/>
      <c r="F951" s="426"/>
      <c r="G951" s="426"/>
      <c r="H951" s="426"/>
      <c r="I951" s="426"/>
      <c r="J951" s="508"/>
      <c r="K951" s="508"/>
      <c r="L951" s="508"/>
      <c r="M951" s="508"/>
      <c r="N951" s="508"/>
      <c r="O951" s="508"/>
      <c r="P951" s="508"/>
      <c r="Q951" s="508"/>
      <c r="R951" s="508"/>
      <c r="S951" s="508"/>
      <c r="T951" s="508"/>
      <c r="U951" s="508"/>
      <c r="V951" s="508"/>
      <c r="W951" s="508"/>
      <c r="X951" s="508"/>
      <c r="Y951" s="508"/>
      <c r="Z951" s="508"/>
    </row>
    <row r="952" ht="13.5" customHeight="1">
      <c r="A952" s="426"/>
      <c r="B952" s="508"/>
      <c r="C952" s="508"/>
      <c r="D952" s="508"/>
      <c r="E952" s="508"/>
      <c r="F952" s="426"/>
      <c r="G952" s="426"/>
      <c r="H952" s="426"/>
      <c r="I952" s="426"/>
      <c r="J952" s="508"/>
      <c r="K952" s="508"/>
      <c r="L952" s="508"/>
      <c r="M952" s="508"/>
      <c r="N952" s="508"/>
      <c r="O952" s="508"/>
      <c r="P952" s="508"/>
      <c r="Q952" s="508"/>
      <c r="R952" s="508"/>
      <c r="S952" s="508"/>
      <c r="T952" s="508"/>
      <c r="U952" s="508"/>
      <c r="V952" s="508"/>
      <c r="W952" s="508"/>
      <c r="X952" s="508"/>
      <c r="Y952" s="508"/>
      <c r="Z952" s="508"/>
    </row>
    <row r="953" ht="13.5" customHeight="1">
      <c r="A953" s="426"/>
      <c r="B953" s="508"/>
      <c r="C953" s="508"/>
      <c r="D953" s="508"/>
      <c r="E953" s="508"/>
      <c r="F953" s="426"/>
      <c r="G953" s="426"/>
      <c r="H953" s="426"/>
      <c r="I953" s="426"/>
      <c r="J953" s="508"/>
      <c r="K953" s="508"/>
      <c r="L953" s="508"/>
      <c r="M953" s="508"/>
      <c r="N953" s="508"/>
      <c r="O953" s="508"/>
      <c r="P953" s="508"/>
      <c r="Q953" s="508"/>
      <c r="R953" s="508"/>
      <c r="S953" s="508"/>
      <c r="T953" s="508"/>
      <c r="U953" s="508"/>
      <c r="V953" s="508"/>
      <c r="W953" s="508"/>
      <c r="X953" s="508"/>
      <c r="Y953" s="508"/>
      <c r="Z953" s="508"/>
    </row>
    <row r="954" ht="13.5" customHeight="1">
      <c r="A954" s="426"/>
      <c r="B954" s="508"/>
      <c r="C954" s="508"/>
      <c r="D954" s="508"/>
      <c r="E954" s="508"/>
      <c r="F954" s="426"/>
      <c r="G954" s="426"/>
      <c r="H954" s="426"/>
      <c r="I954" s="426"/>
      <c r="J954" s="508"/>
      <c r="K954" s="508"/>
      <c r="L954" s="508"/>
      <c r="M954" s="508"/>
      <c r="N954" s="508"/>
      <c r="O954" s="508"/>
      <c r="P954" s="508"/>
      <c r="Q954" s="508"/>
      <c r="R954" s="508"/>
      <c r="S954" s="508"/>
      <c r="T954" s="508"/>
      <c r="U954" s="508"/>
      <c r="V954" s="508"/>
      <c r="W954" s="508"/>
      <c r="X954" s="508"/>
      <c r="Y954" s="508"/>
      <c r="Z954" s="508"/>
    </row>
    <row r="955" ht="13.5" customHeight="1">
      <c r="A955" s="426"/>
      <c r="B955" s="508"/>
      <c r="C955" s="508"/>
      <c r="D955" s="508"/>
      <c r="E955" s="508"/>
      <c r="F955" s="426"/>
      <c r="G955" s="426"/>
      <c r="H955" s="426"/>
      <c r="I955" s="426"/>
      <c r="J955" s="508"/>
      <c r="K955" s="508"/>
      <c r="L955" s="508"/>
      <c r="M955" s="508"/>
      <c r="N955" s="508"/>
      <c r="O955" s="508"/>
      <c r="P955" s="508"/>
      <c r="Q955" s="508"/>
      <c r="R955" s="508"/>
      <c r="S955" s="508"/>
      <c r="T955" s="508"/>
      <c r="U955" s="508"/>
      <c r="V955" s="508"/>
      <c r="W955" s="508"/>
      <c r="X955" s="508"/>
      <c r="Y955" s="508"/>
      <c r="Z955" s="508"/>
    </row>
    <row r="956" ht="13.5" customHeight="1">
      <c r="A956" s="426"/>
      <c r="B956" s="508"/>
      <c r="C956" s="508"/>
      <c r="D956" s="508"/>
      <c r="E956" s="508"/>
      <c r="F956" s="426"/>
      <c r="G956" s="426"/>
      <c r="H956" s="426"/>
      <c r="I956" s="426"/>
      <c r="J956" s="508"/>
      <c r="K956" s="508"/>
      <c r="L956" s="508"/>
      <c r="M956" s="508"/>
      <c r="N956" s="508"/>
      <c r="O956" s="508"/>
      <c r="P956" s="508"/>
      <c r="Q956" s="508"/>
      <c r="R956" s="508"/>
      <c r="S956" s="508"/>
      <c r="T956" s="508"/>
      <c r="U956" s="508"/>
      <c r="V956" s="508"/>
      <c r="W956" s="508"/>
      <c r="X956" s="508"/>
      <c r="Y956" s="508"/>
      <c r="Z956" s="508"/>
    </row>
    <row r="957" ht="13.5" customHeight="1">
      <c r="A957" s="426"/>
      <c r="B957" s="508"/>
      <c r="C957" s="508"/>
      <c r="D957" s="508"/>
      <c r="E957" s="508"/>
      <c r="F957" s="426"/>
      <c r="G957" s="426"/>
      <c r="H957" s="426"/>
      <c r="I957" s="426"/>
      <c r="J957" s="508"/>
      <c r="K957" s="508"/>
      <c r="L957" s="508"/>
      <c r="M957" s="508"/>
      <c r="N957" s="508"/>
      <c r="O957" s="508"/>
      <c r="P957" s="508"/>
      <c r="Q957" s="508"/>
      <c r="R957" s="508"/>
      <c r="S957" s="508"/>
      <c r="T957" s="508"/>
      <c r="U957" s="508"/>
      <c r="V957" s="508"/>
      <c r="W957" s="508"/>
      <c r="X957" s="508"/>
      <c r="Y957" s="508"/>
      <c r="Z957" s="508"/>
    </row>
    <row r="958" ht="13.5" customHeight="1">
      <c r="A958" s="426"/>
      <c r="B958" s="508"/>
      <c r="C958" s="508"/>
      <c r="D958" s="508"/>
      <c r="E958" s="508"/>
      <c r="F958" s="426"/>
      <c r="G958" s="426"/>
      <c r="H958" s="426"/>
      <c r="I958" s="426"/>
      <c r="J958" s="508"/>
      <c r="K958" s="508"/>
      <c r="L958" s="508"/>
      <c r="M958" s="508"/>
      <c r="N958" s="508"/>
      <c r="O958" s="508"/>
      <c r="P958" s="508"/>
      <c r="Q958" s="508"/>
      <c r="R958" s="508"/>
      <c r="S958" s="508"/>
      <c r="T958" s="508"/>
      <c r="U958" s="508"/>
      <c r="V958" s="508"/>
      <c r="W958" s="508"/>
      <c r="X958" s="508"/>
      <c r="Y958" s="508"/>
      <c r="Z958" s="508"/>
    </row>
    <row r="959" ht="13.5" customHeight="1">
      <c r="A959" s="426"/>
      <c r="B959" s="508"/>
      <c r="C959" s="508"/>
      <c r="D959" s="508"/>
      <c r="E959" s="508"/>
      <c r="F959" s="426"/>
      <c r="G959" s="426"/>
      <c r="H959" s="426"/>
      <c r="I959" s="426"/>
      <c r="J959" s="508"/>
      <c r="K959" s="508"/>
      <c r="L959" s="508"/>
      <c r="M959" s="508"/>
      <c r="N959" s="508"/>
      <c r="O959" s="508"/>
      <c r="P959" s="508"/>
      <c r="Q959" s="508"/>
      <c r="R959" s="508"/>
      <c r="S959" s="508"/>
      <c r="T959" s="508"/>
      <c r="U959" s="508"/>
      <c r="V959" s="508"/>
      <c r="W959" s="508"/>
      <c r="X959" s="508"/>
      <c r="Y959" s="508"/>
      <c r="Z959" s="508"/>
    </row>
    <row r="960" ht="13.5" customHeight="1">
      <c r="A960" s="426"/>
      <c r="B960" s="508"/>
      <c r="C960" s="508"/>
      <c r="D960" s="508"/>
      <c r="E960" s="508"/>
      <c r="F960" s="426"/>
      <c r="G960" s="426"/>
      <c r="H960" s="426"/>
      <c r="I960" s="426"/>
      <c r="J960" s="508"/>
      <c r="K960" s="508"/>
      <c r="L960" s="508"/>
      <c r="M960" s="508"/>
      <c r="N960" s="508"/>
      <c r="O960" s="508"/>
      <c r="P960" s="508"/>
      <c r="Q960" s="508"/>
      <c r="R960" s="508"/>
      <c r="S960" s="508"/>
      <c r="T960" s="508"/>
      <c r="U960" s="508"/>
      <c r="V960" s="508"/>
      <c r="W960" s="508"/>
      <c r="X960" s="508"/>
      <c r="Y960" s="508"/>
      <c r="Z960" s="508"/>
    </row>
    <row r="961" ht="13.5" customHeight="1">
      <c r="A961" s="426"/>
      <c r="B961" s="508"/>
      <c r="C961" s="508"/>
      <c r="D961" s="508"/>
      <c r="E961" s="508"/>
      <c r="F961" s="426"/>
      <c r="G961" s="426"/>
      <c r="H961" s="426"/>
      <c r="I961" s="426"/>
      <c r="J961" s="508"/>
      <c r="K961" s="508"/>
      <c r="L961" s="508"/>
      <c r="M961" s="508"/>
      <c r="N961" s="508"/>
      <c r="O961" s="508"/>
      <c r="P961" s="508"/>
      <c r="Q961" s="508"/>
      <c r="R961" s="508"/>
      <c r="S961" s="508"/>
      <c r="T961" s="508"/>
      <c r="U961" s="508"/>
      <c r="V961" s="508"/>
      <c r="W961" s="508"/>
      <c r="X961" s="508"/>
      <c r="Y961" s="508"/>
      <c r="Z961" s="508"/>
    </row>
    <row r="962" ht="13.5" customHeight="1">
      <c r="A962" s="426"/>
      <c r="B962" s="508"/>
      <c r="C962" s="508"/>
      <c r="D962" s="508"/>
      <c r="E962" s="508"/>
      <c r="F962" s="426"/>
      <c r="G962" s="426"/>
      <c r="H962" s="426"/>
      <c r="I962" s="426"/>
      <c r="J962" s="508"/>
      <c r="K962" s="508"/>
      <c r="L962" s="508"/>
      <c r="M962" s="508"/>
      <c r="N962" s="508"/>
      <c r="O962" s="508"/>
      <c r="P962" s="508"/>
      <c r="Q962" s="508"/>
      <c r="R962" s="508"/>
      <c r="S962" s="508"/>
      <c r="T962" s="508"/>
      <c r="U962" s="508"/>
      <c r="V962" s="508"/>
      <c r="W962" s="508"/>
      <c r="X962" s="508"/>
      <c r="Y962" s="508"/>
      <c r="Z962" s="508"/>
    </row>
    <row r="963" ht="13.5" customHeight="1">
      <c r="A963" s="426"/>
      <c r="B963" s="508"/>
      <c r="C963" s="508"/>
      <c r="D963" s="508"/>
      <c r="E963" s="508"/>
      <c r="F963" s="426"/>
      <c r="G963" s="426"/>
      <c r="H963" s="426"/>
      <c r="I963" s="426"/>
      <c r="J963" s="508"/>
      <c r="K963" s="508"/>
      <c r="L963" s="508"/>
      <c r="M963" s="508"/>
      <c r="N963" s="508"/>
      <c r="O963" s="508"/>
      <c r="P963" s="508"/>
      <c r="Q963" s="508"/>
      <c r="R963" s="508"/>
      <c r="S963" s="508"/>
      <c r="T963" s="508"/>
      <c r="U963" s="508"/>
      <c r="V963" s="508"/>
      <c r="W963" s="508"/>
      <c r="X963" s="508"/>
      <c r="Y963" s="508"/>
      <c r="Z963" s="508"/>
    </row>
    <row r="964" ht="13.5" customHeight="1">
      <c r="A964" s="426"/>
      <c r="B964" s="508"/>
      <c r="C964" s="508"/>
      <c r="D964" s="508"/>
      <c r="E964" s="508"/>
      <c r="F964" s="426"/>
      <c r="G964" s="426"/>
      <c r="H964" s="426"/>
      <c r="I964" s="426"/>
      <c r="J964" s="508"/>
      <c r="K964" s="508"/>
      <c r="L964" s="508"/>
      <c r="M964" s="508"/>
      <c r="N964" s="508"/>
      <c r="O964" s="508"/>
      <c r="P964" s="508"/>
      <c r="Q964" s="508"/>
      <c r="R964" s="508"/>
      <c r="S964" s="508"/>
      <c r="T964" s="508"/>
      <c r="U964" s="508"/>
      <c r="V964" s="508"/>
      <c r="W964" s="508"/>
      <c r="X964" s="508"/>
      <c r="Y964" s="508"/>
      <c r="Z964" s="508"/>
    </row>
    <row r="965" ht="13.5" customHeight="1">
      <c r="A965" s="426"/>
      <c r="B965" s="508"/>
      <c r="C965" s="508"/>
      <c r="D965" s="508"/>
      <c r="E965" s="508"/>
      <c r="F965" s="426"/>
      <c r="G965" s="426"/>
      <c r="H965" s="426"/>
      <c r="I965" s="426"/>
      <c r="J965" s="508"/>
      <c r="K965" s="508"/>
      <c r="L965" s="508"/>
      <c r="M965" s="508"/>
      <c r="N965" s="508"/>
      <c r="O965" s="508"/>
      <c r="P965" s="508"/>
      <c r="Q965" s="508"/>
      <c r="R965" s="508"/>
      <c r="S965" s="508"/>
      <c r="T965" s="508"/>
      <c r="U965" s="508"/>
      <c r="V965" s="508"/>
      <c r="W965" s="508"/>
      <c r="X965" s="508"/>
      <c r="Y965" s="508"/>
      <c r="Z965" s="508"/>
    </row>
    <row r="966" ht="13.5" customHeight="1">
      <c r="A966" s="426"/>
      <c r="B966" s="508"/>
      <c r="C966" s="508"/>
      <c r="D966" s="508"/>
      <c r="E966" s="508"/>
      <c r="F966" s="426"/>
      <c r="G966" s="426"/>
      <c r="H966" s="426"/>
      <c r="I966" s="426"/>
      <c r="J966" s="508"/>
      <c r="K966" s="508"/>
      <c r="L966" s="508"/>
      <c r="M966" s="508"/>
      <c r="N966" s="508"/>
      <c r="O966" s="508"/>
      <c r="P966" s="508"/>
      <c r="Q966" s="508"/>
      <c r="R966" s="508"/>
      <c r="S966" s="508"/>
      <c r="T966" s="508"/>
      <c r="U966" s="508"/>
      <c r="V966" s="508"/>
      <c r="W966" s="508"/>
      <c r="X966" s="508"/>
      <c r="Y966" s="508"/>
      <c r="Z966" s="508"/>
    </row>
    <row r="967" ht="13.5" customHeight="1">
      <c r="A967" s="426"/>
      <c r="B967" s="508"/>
      <c r="C967" s="508"/>
      <c r="D967" s="508"/>
      <c r="E967" s="508"/>
      <c r="F967" s="426"/>
      <c r="G967" s="426"/>
      <c r="H967" s="426"/>
      <c r="I967" s="426"/>
      <c r="J967" s="508"/>
      <c r="K967" s="508"/>
      <c r="L967" s="508"/>
      <c r="M967" s="508"/>
      <c r="N967" s="508"/>
      <c r="O967" s="508"/>
      <c r="P967" s="508"/>
      <c r="Q967" s="508"/>
      <c r="R967" s="508"/>
      <c r="S967" s="508"/>
      <c r="T967" s="508"/>
      <c r="U967" s="508"/>
      <c r="V967" s="508"/>
      <c r="W967" s="508"/>
      <c r="X967" s="508"/>
      <c r="Y967" s="508"/>
      <c r="Z967" s="508"/>
    </row>
    <row r="968" ht="13.5" customHeight="1">
      <c r="A968" s="426"/>
      <c r="B968" s="508"/>
      <c r="C968" s="508"/>
      <c r="D968" s="508"/>
      <c r="E968" s="508"/>
      <c r="F968" s="426"/>
      <c r="G968" s="426"/>
      <c r="H968" s="426"/>
      <c r="I968" s="426"/>
      <c r="J968" s="508"/>
      <c r="K968" s="508"/>
      <c r="L968" s="508"/>
      <c r="M968" s="508"/>
      <c r="N968" s="508"/>
      <c r="O968" s="508"/>
      <c r="P968" s="508"/>
      <c r="Q968" s="508"/>
      <c r="R968" s="508"/>
      <c r="S968" s="508"/>
      <c r="T968" s="508"/>
      <c r="U968" s="508"/>
      <c r="V968" s="508"/>
      <c r="W968" s="508"/>
      <c r="X968" s="508"/>
      <c r="Y968" s="508"/>
      <c r="Z968" s="508"/>
    </row>
    <row r="969" ht="13.5" customHeight="1">
      <c r="A969" s="426"/>
      <c r="B969" s="508"/>
      <c r="C969" s="508"/>
      <c r="D969" s="508"/>
      <c r="E969" s="508"/>
      <c r="F969" s="426"/>
      <c r="G969" s="426"/>
      <c r="H969" s="426"/>
      <c r="I969" s="426"/>
      <c r="J969" s="508"/>
      <c r="K969" s="508"/>
      <c r="L969" s="508"/>
      <c r="M969" s="508"/>
      <c r="N969" s="508"/>
      <c r="O969" s="508"/>
      <c r="P969" s="508"/>
      <c r="Q969" s="508"/>
      <c r="R969" s="508"/>
      <c r="S969" s="508"/>
      <c r="T969" s="508"/>
      <c r="U969" s="508"/>
      <c r="V969" s="508"/>
      <c r="W969" s="508"/>
      <c r="X969" s="508"/>
      <c r="Y969" s="508"/>
      <c r="Z969" s="508"/>
    </row>
    <row r="970" ht="13.5" customHeight="1">
      <c r="A970" s="426"/>
      <c r="B970" s="508"/>
      <c r="C970" s="508"/>
      <c r="D970" s="508"/>
      <c r="E970" s="508"/>
      <c r="F970" s="426"/>
      <c r="G970" s="426"/>
      <c r="H970" s="426"/>
      <c r="I970" s="426"/>
      <c r="J970" s="508"/>
      <c r="K970" s="508"/>
      <c r="L970" s="508"/>
      <c r="M970" s="508"/>
      <c r="N970" s="508"/>
      <c r="O970" s="508"/>
      <c r="P970" s="508"/>
      <c r="Q970" s="508"/>
      <c r="R970" s="508"/>
      <c r="S970" s="508"/>
      <c r="T970" s="508"/>
      <c r="U970" s="508"/>
      <c r="V970" s="508"/>
      <c r="W970" s="508"/>
      <c r="X970" s="508"/>
      <c r="Y970" s="508"/>
      <c r="Z970" s="508"/>
    </row>
    <row r="971" ht="13.5" customHeight="1">
      <c r="A971" s="426"/>
      <c r="B971" s="508"/>
      <c r="C971" s="508"/>
      <c r="D971" s="508"/>
      <c r="E971" s="508"/>
      <c r="F971" s="426"/>
      <c r="G971" s="426"/>
      <c r="H971" s="426"/>
      <c r="I971" s="426"/>
      <c r="J971" s="508"/>
      <c r="K971" s="508"/>
      <c r="L971" s="508"/>
      <c r="M971" s="508"/>
      <c r="N971" s="508"/>
      <c r="O971" s="508"/>
      <c r="P971" s="508"/>
      <c r="Q971" s="508"/>
      <c r="R971" s="508"/>
      <c r="S971" s="508"/>
      <c r="T971" s="508"/>
      <c r="U971" s="508"/>
      <c r="V971" s="508"/>
      <c r="W971" s="508"/>
      <c r="X971" s="508"/>
      <c r="Y971" s="508"/>
      <c r="Z971" s="508"/>
    </row>
    <row r="972" ht="13.5" customHeight="1">
      <c r="A972" s="426"/>
      <c r="B972" s="508"/>
      <c r="C972" s="508"/>
      <c r="D972" s="508"/>
      <c r="E972" s="508"/>
      <c r="F972" s="426"/>
      <c r="G972" s="426"/>
      <c r="H972" s="426"/>
      <c r="I972" s="426"/>
      <c r="J972" s="508"/>
      <c r="K972" s="508"/>
      <c r="L972" s="508"/>
      <c r="M972" s="508"/>
      <c r="N972" s="508"/>
      <c r="O972" s="508"/>
      <c r="P972" s="508"/>
      <c r="Q972" s="508"/>
      <c r="R972" s="508"/>
      <c r="S972" s="508"/>
      <c r="T972" s="508"/>
      <c r="U972" s="508"/>
      <c r="V972" s="508"/>
      <c r="W972" s="508"/>
      <c r="X972" s="508"/>
      <c r="Y972" s="508"/>
      <c r="Z972" s="508"/>
    </row>
    <row r="973" ht="13.5" customHeight="1">
      <c r="A973" s="426"/>
      <c r="B973" s="508"/>
      <c r="C973" s="508"/>
      <c r="D973" s="508"/>
      <c r="E973" s="508"/>
      <c r="F973" s="426"/>
      <c r="G973" s="426"/>
      <c r="H973" s="426"/>
      <c r="I973" s="426"/>
      <c r="J973" s="508"/>
      <c r="K973" s="508"/>
      <c r="L973" s="508"/>
      <c r="M973" s="508"/>
      <c r="N973" s="508"/>
      <c r="O973" s="508"/>
      <c r="P973" s="508"/>
      <c r="Q973" s="508"/>
      <c r="R973" s="508"/>
      <c r="S973" s="508"/>
      <c r="T973" s="508"/>
      <c r="U973" s="508"/>
      <c r="V973" s="508"/>
      <c r="W973" s="508"/>
      <c r="X973" s="508"/>
      <c r="Y973" s="508"/>
      <c r="Z973" s="508"/>
    </row>
    <row r="974" ht="13.5" customHeight="1">
      <c r="A974" s="426"/>
      <c r="B974" s="508"/>
      <c r="C974" s="508"/>
      <c r="D974" s="508"/>
      <c r="E974" s="508"/>
      <c r="F974" s="426"/>
      <c r="G974" s="426"/>
      <c r="H974" s="426"/>
      <c r="I974" s="426"/>
      <c r="J974" s="508"/>
      <c r="K974" s="508"/>
      <c r="L974" s="508"/>
      <c r="M974" s="508"/>
      <c r="N974" s="508"/>
      <c r="O974" s="508"/>
      <c r="P974" s="508"/>
      <c r="Q974" s="508"/>
      <c r="R974" s="508"/>
      <c r="S974" s="508"/>
      <c r="T974" s="508"/>
      <c r="U974" s="508"/>
      <c r="V974" s="508"/>
      <c r="W974" s="508"/>
      <c r="X974" s="508"/>
      <c r="Y974" s="508"/>
      <c r="Z974" s="508"/>
    </row>
    <row r="975" ht="13.5" customHeight="1">
      <c r="A975" s="426"/>
      <c r="B975" s="508"/>
      <c r="C975" s="508"/>
      <c r="D975" s="508"/>
      <c r="E975" s="508"/>
      <c r="F975" s="426"/>
      <c r="G975" s="426"/>
      <c r="H975" s="426"/>
      <c r="I975" s="426"/>
      <c r="J975" s="508"/>
      <c r="K975" s="508"/>
      <c r="L975" s="508"/>
      <c r="M975" s="508"/>
      <c r="N975" s="508"/>
      <c r="O975" s="508"/>
      <c r="P975" s="508"/>
      <c r="Q975" s="508"/>
      <c r="R975" s="508"/>
      <c r="S975" s="508"/>
      <c r="T975" s="508"/>
      <c r="U975" s="508"/>
      <c r="V975" s="508"/>
      <c r="W975" s="508"/>
      <c r="X975" s="508"/>
      <c r="Y975" s="508"/>
      <c r="Z975" s="508"/>
    </row>
    <row r="976" ht="13.5" customHeight="1">
      <c r="A976" s="426"/>
      <c r="B976" s="508"/>
      <c r="C976" s="508"/>
      <c r="D976" s="508"/>
      <c r="E976" s="508"/>
      <c r="F976" s="426"/>
      <c r="G976" s="426"/>
      <c r="H976" s="426"/>
      <c r="I976" s="426"/>
      <c r="J976" s="508"/>
      <c r="K976" s="508"/>
      <c r="L976" s="508"/>
      <c r="M976" s="508"/>
      <c r="N976" s="508"/>
      <c r="O976" s="508"/>
      <c r="P976" s="508"/>
      <c r="Q976" s="508"/>
      <c r="R976" s="508"/>
      <c r="S976" s="508"/>
      <c r="T976" s="508"/>
      <c r="U976" s="508"/>
      <c r="V976" s="508"/>
      <c r="W976" s="508"/>
      <c r="X976" s="508"/>
      <c r="Y976" s="508"/>
      <c r="Z976" s="508"/>
    </row>
    <row r="977" ht="13.5" customHeight="1">
      <c r="A977" s="426"/>
      <c r="B977" s="508"/>
      <c r="C977" s="508"/>
      <c r="D977" s="508"/>
      <c r="E977" s="508"/>
      <c r="F977" s="426"/>
      <c r="G977" s="426"/>
      <c r="H977" s="426"/>
      <c r="I977" s="426"/>
      <c r="J977" s="508"/>
      <c r="K977" s="508"/>
      <c r="L977" s="508"/>
      <c r="M977" s="508"/>
      <c r="N977" s="508"/>
      <c r="O977" s="508"/>
      <c r="P977" s="508"/>
      <c r="Q977" s="508"/>
      <c r="R977" s="508"/>
      <c r="S977" s="508"/>
      <c r="T977" s="508"/>
      <c r="U977" s="508"/>
      <c r="V977" s="508"/>
      <c r="W977" s="508"/>
      <c r="X977" s="508"/>
      <c r="Y977" s="508"/>
      <c r="Z977" s="508"/>
    </row>
    <row r="978" ht="13.5" customHeight="1">
      <c r="A978" s="426"/>
      <c r="B978" s="508"/>
      <c r="C978" s="508"/>
      <c r="D978" s="508"/>
      <c r="E978" s="508"/>
      <c r="F978" s="426"/>
      <c r="G978" s="426"/>
      <c r="H978" s="426"/>
      <c r="I978" s="426"/>
      <c r="J978" s="508"/>
      <c r="K978" s="508"/>
      <c r="L978" s="508"/>
      <c r="M978" s="508"/>
      <c r="N978" s="508"/>
      <c r="O978" s="508"/>
      <c r="P978" s="508"/>
      <c r="Q978" s="508"/>
      <c r="R978" s="508"/>
      <c r="S978" s="508"/>
      <c r="T978" s="508"/>
      <c r="U978" s="508"/>
      <c r="V978" s="508"/>
      <c r="W978" s="508"/>
      <c r="X978" s="508"/>
      <c r="Y978" s="508"/>
      <c r="Z978" s="508"/>
    </row>
    <row r="979" ht="13.5" customHeight="1">
      <c r="A979" s="426"/>
      <c r="B979" s="508"/>
      <c r="C979" s="508"/>
      <c r="D979" s="508"/>
      <c r="E979" s="508"/>
      <c r="F979" s="426"/>
      <c r="G979" s="426"/>
      <c r="H979" s="426"/>
      <c r="I979" s="426"/>
      <c r="J979" s="508"/>
      <c r="K979" s="508"/>
      <c r="L979" s="508"/>
      <c r="M979" s="508"/>
      <c r="N979" s="508"/>
      <c r="O979" s="508"/>
      <c r="P979" s="508"/>
      <c r="Q979" s="508"/>
      <c r="R979" s="508"/>
      <c r="S979" s="508"/>
      <c r="T979" s="508"/>
      <c r="U979" s="508"/>
      <c r="V979" s="508"/>
      <c r="W979" s="508"/>
      <c r="X979" s="508"/>
      <c r="Y979" s="508"/>
      <c r="Z979" s="508"/>
    </row>
    <row r="980" ht="13.5" customHeight="1">
      <c r="A980" s="426"/>
      <c r="B980" s="508"/>
      <c r="C980" s="508"/>
      <c r="D980" s="508"/>
      <c r="E980" s="508"/>
      <c r="F980" s="426"/>
      <c r="G980" s="426"/>
      <c r="H980" s="426"/>
      <c r="I980" s="426"/>
      <c r="J980" s="508"/>
      <c r="K980" s="508"/>
      <c r="L980" s="508"/>
      <c r="M980" s="508"/>
      <c r="N980" s="508"/>
      <c r="O980" s="508"/>
      <c r="P980" s="508"/>
      <c r="Q980" s="508"/>
      <c r="R980" s="508"/>
      <c r="S980" s="508"/>
      <c r="T980" s="508"/>
      <c r="U980" s="508"/>
      <c r="V980" s="508"/>
      <c r="W980" s="508"/>
      <c r="X980" s="508"/>
      <c r="Y980" s="508"/>
      <c r="Z980" s="508"/>
    </row>
    <row r="981" ht="13.5" customHeight="1">
      <c r="A981" s="426"/>
      <c r="B981" s="508"/>
      <c r="C981" s="508"/>
      <c r="D981" s="508"/>
      <c r="E981" s="508"/>
      <c r="F981" s="426"/>
      <c r="G981" s="426"/>
      <c r="H981" s="426"/>
      <c r="I981" s="426"/>
      <c r="J981" s="508"/>
      <c r="K981" s="508"/>
      <c r="L981" s="508"/>
      <c r="M981" s="508"/>
      <c r="N981" s="508"/>
      <c r="O981" s="508"/>
      <c r="P981" s="508"/>
      <c r="Q981" s="508"/>
      <c r="R981" s="508"/>
      <c r="S981" s="508"/>
      <c r="T981" s="508"/>
      <c r="U981" s="508"/>
      <c r="V981" s="508"/>
      <c r="W981" s="508"/>
      <c r="X981" s="508"/>
      <c r="Y981" s="508"/>
      <c r="Z981" s="508"/>
    </row>
    <row r="982" ht="13.5" customHeight="1">
      <c r="A982" s="426"/>
      <c r="B982" s="508"/>
      <c r="C982" s="508"/>
      <c r="D982" s="508"/>
      <c r="E982" s="508"/>
      <c r="F982" s="426"/>
      <c r="G982" s="426"/>
      <c r="H982" s="426"/>
      <c r="I982" s="426"/>
      <c r="J982" s="508"/>
      <c r="K982" s="508"/>
      <c r="L982" s="508"/>
      <c r="M982" s="508"/>
      <c r="N982" s="508"/>
      <c r="O982" s="508"/>
      <c r="P982" s="508"/>
      <c r="Q982" s="508"/>
      <c r="R982" s="508"/>
      <c r="S982" s="508"/>
      <c r="T982" s="508"/>
      <c r="U982" s="508"/>
      <c r="V982" s="508"/>
      <c r="W982" s="508"/>
      <c r="X982" s="508"/>
      <c r="Y982" s="508"/>
      <c r="Z982" s="508"/>
    </row>
    <row r="983" ht="13.5" customHeight="1">
      <c r="A983" s="426"/>
      <c r="B983" s="508"/>
      <c r="C983" s="508"/>
      <c r="D983" s="508"/>
      <c r="E983" s="508"/>
      <c r="F983" s="426"/>
      <c r="G983" s="426"/>
      <c r="H983" s="426"/>
      <c r="I983" s="426"/>
      <c r="J983" s="508"/>
      <c r="K983" s="508"/>
      <c r="L983" s="508"/>
      <c r="M983" s="508"/>
      <c r="N983" s="508"/>
      <c r="O983" s="508"/>
      <c r="P983" s="508"/>
      <c r="Q983" s="508"/>
      <c r="R983" s="508"/>
      <c r="S983" s="508"/>
      <c r="T983" s="508"/>
      <c r="U983" s="508"/>
      <c r="V983" s="508"/>
      <c r="W983" s="508"/>
      <c r="X983" s="508"/>
      <c r="Y983" s="508"/>
      <c r="Z983" s="508"/>
    </row>
    <row r="984" ht="13.5" customHeight="1">
      <c r="A984" s="426"/>
      <c r="B984" s="508"/>
      <c r="C984" s="508"/>
      <c r="D984" s="508"/>
      <c r="E984" s="508"/>
      <c r="F984" s="426"/>
      <c r="G984" s="426"/>
      <c r="H984" s="426"/>
      <c r="I984" s="426"/>
      <c r="J984" s="508"/>
      <c r="K984" s="508"/>
      <c r="L984" s="508"/>
      <c r="M984" s="508"/>
      <c r="N984" s="508"/>
      <c r="O984" s="508"/>
      <c r="P984" s="508"/>
      <c r="Q984" s="508"/>
      <c r="R984" s="508"/>
      <c r="S984" s="508"/>
      <c r="T984" s="508"/>
      <c r="U984" s="508"/>
      <c r="V984" s="508"/>
      <c r="W984" s="508"/>
      <c r="X984" s="508"/>
      <c r="Y984" s="508"/>
      <c r="Z984" s="508"/>
    </row>
    <row r="985" ht="13.5" customHeight="1">
      <c r="A985" s="426"/>
      <c r="B985" s="508"/>
      <c r="C985" s="508"/>
      <c r="D985" s="508"/>
      <c r="E985" s="508"/>
      <c r="F985" s="426"/>
      <c r="G985" s="426"/>
      <c r="H985" s="426"/>
      <c r="I985" s="426"/>
      <c r="J985" s="508"/>
      <c r="K985" s="508"/>
      <c r="L985" s="508"/>
      <c r="M985" s="508"/>
      <c r="N985" s="508"/>
      <c r="O985" s="508"/>
      <c r="P985" s="508"/>
      <c r="Q985" s="508"/>
      <c r="R985" s="508"/>
      <c r="S985" s="508"/>
      <c r="T985" s="508"/>
      <c r="U985" s="508"/>
      <c r="V985" s="508"/>
      <c r="W985" s="508"/>
      <c r="X985" s="508"/>
      <c r="Y985" s="508"/>
      <c r="Z985" s="508"/>
    </row>
    <row r="986" ht="13.5" customHeight="1">
      <c r="A986" s="426"/>
      <c r="B986" s="508"/>
      <c r="C986" s="508"/>
      <c r="D986" s="508"/>
      <c r="E986" s="508"/>
      <c r="F986" s="426"/>
      <c r="G986" s="426"/>
      <c r="H986" s="426"/>
      <c r="I986" s="426"/>
      <c r="J986" s="508"/>
      <c r="K986" s="508"/>
      <c r="L986" s="508"/>
      <c r="M986" s="508"/>
      <c r="N986" s="508"/>
      <c r="O986" s="508"/>
      <c r="P986" s="508"/>
      <c r="Q986" s="508"/>
      <c r="R986" s="508"/>
      <c r="S986" s="508"/>
      <c r="T986" s="508"/>
      <c r="U986" s="508"/>
      <c r="V986" s="508"/>
      <c r="W986" s="508"/>
      <c r="X986" s="508"/>
      <c r="Y986" s="508"/>
      <c r="Z986" s="508"/>
    </row>
    <row r="987" ht="13.5" customHeight="1">
      <c r="A987" s="426"/>
      <c r="B987" s="508"/>
      <c r="C987" s="508"/>
      <c r="D987" s="508"/>
      <c r="E987" s="508"/>
      <c r="F987" s="426"/>
      <c r="G987" s="426"/>
      <c r="H987" s="426"/>
      <c r="I987" s="426"/>
      <c r="J987" s="508"/>
      <c r="K987" s="508"/>
      <c r="L987" s="508"/>
      <c r="M987" s="508"/>
      <c r="N987" s="508"/>
      <c r="O987" s="508"/>
      <c r="P987" s="508"/>
      <c r="Q987" s="508"/>
      <c r="R987" s="508"/>
      <c r="S987" s="508"/>
      <c r="T987" s="508"/>
      <c r="U987" s="508"/>
      <c r="V987" s="508"/>
      <c r="W987" s="508"/>
      <c r="X987" s="508"/>
      <c r="Y987" s="508"/>
      <c r="Z987" s="508"/>
    </row>
    <row r="988" ht="13.5" customHeight="1">
      <c r="A988" s="426"/>
      <c r="B988" s="508"/>
      <c r="C988" s="508"/>
      <c r="D988" s="508"/>
      <c r="E988" s="508"/>
      <c r="F988" s="426"/>
      <c r="G988" s="426"/>
      <c r="H988" s="426"/>
      <c r="I988" s="426"/>
      <c r="J988" s="508"/>
      <c r="K988" s="508"/>
      <c r="L988" s="508"/>
      <c r="M988" s="508"/>
      <c r="N988" s="508"/>
      <c r="O988" s="508"/>
      <c r="P988" s="508"/>
      <c r="Q988" s="508"/>
      <c r="R988" s="508"/>
      <c r="S988" s="508"/>
      <c r="T988" s="508"/>
      <c r="U988" s="508"/>
      <c r="V988" s="508"/>
      <c r="W988" s="508"/>
      <c r="X988" s="508"/>
      <c r="Y988" s="508"/>
      <c r="Z988" s="508"/>
    </row>
    <row r="989" ht="13.5" customHeight="1">
      <c r="A989" s="426"/>
      <c r="B989" s="508"/>
      <c r="C989" s="508"/>
      <c r="D989" s="508"/>
      <c r="E989" s="508"/>
      <c r="F989" s="426"/>
      <c r="G989" s="426"/>
      <c r="H989" s="426"/>
      <c r="I989" s="426"/>
      <c r="J989" s="508"/>
      <c r="K989" s="508"/>
      <c r="L989" s="508"/>
      <c r="M989" s="508"/>
      <c r="N989" s="508"/>
      <c r="O989" s="508"/>
      <c r="P989" s="508"/>
      <c r="Q989" s="508"/>
      <c r="R989" s="508"/>
      <c r="S989" s="508"/>
      <c r="T989" s="508"/>
      <c r="U989" s="508"/>
      <c r="V989" s="508"/>
      <c r="W989" s="508"/>
      <c r="X989" s="508"/>
      <c r="Y989" s="508"/>
      <c r="Z989" s="508"/>
    </row>
    <row r="990" ht="13.5" customHeight="1">
      <c r="A990" s="426"/>
      <c r="B990" s="508"/>
      <c r="C990" s="508"/>
      <c r="D990" s="508"/>
      <c r="E990" s="508"/>
      <c r="F990" s="426"/>
      <c r="G990" s="426"/>
      <c r="H990" s="426"/>
      <c r="I990" s="426"/>
      <c r="J990" s="508"/>
      <c r="K990" s="508"/>
      <c r="L990" s="508"/>
      <c r="M990" s="508"/>
      <c r="N990" s="508"/>
      <c r="O990" s="508"/>
      <c r="P990" s="508"/>
      <c r="Q990" s="508"/>
      <c r="R990" s="508"/>
      <c r="S990" s="508"/>
      <c r="T990" s="508"/>
      <c r="U990" s="508"/>
      <c r="V990" s="508"/>
      <c r="W990" s="508"/>
      <c r="X990" s="508"/>
      <c r="Y990" s="508"/>
      <c r="Z990" s="508"/>
    </row>
    <row r="991" ht="13.5" customHeight="1">
      <c r="A991" s="426"/>
      <c r="B991" s="508"/>
      <c r="C991" s="508"/>
      <c r="D991" s="508"/>
      <c r="E991" s="508"/>
      <c r="F991" s="426"/>
      <c r="G991" s="426"/>
      <c r="H991" s="426"/>
      <c r="I991" s="426"/>
      <c r="J991" s="508"/>
      <c r="K991" s="508"/>
      <c r="L991" s="508"/>
      <c r="M991" s="508"/>
      <c r="N991" s="508"/>
      <c r="O991" s="508"/>
      <c r="P991" s="508"/>
      <c r="Q991" s="508"/>
      <c r="R991" s="508"/>
      <c r="S991" s="508"/>
      <c r="T991" s="508"/>
      <c r="U991" s="508"/>
      <c r="V991" s="508"/>
      <c r="W991" s="508"/>
      <c r="X991" s="508"/>
      <c r="Y991" s="508"/>
      <c r="Z991" s="508"/>
    </row>
    <row r="992" ht="13.5" customHeight="1">
      <c r="A992" s="426"/>
      <c r="B992" s="508"/>
      <c r="C992" s="508"/>
      <c r="D992" s="508"/>
      <c r="E992" s="508"/>
      <c r="F992" s="426"/>
      <c r="G992" s="426"/>
      <c r="H992" s="426"/>
      <c r="I992" s="426"/>
      <c r="J992" s="508"/>
      <c r="K992" s="508"/>
      <c r="L992" s="508"/>
      <c r="M992" s="508"/>
      <c r="N992" s="508"/>
      <c r="O992" s="508"/>
      <c r="P992" s="508"/>
      <c r="Q992" s="508"/>
      <c r="R992" s="508"/>
      <c r="S992" s="508"/>
      <c r="T992" s="508"/>
      <c r="U992" s="508"/>
      <c r="V992" s="508"/>
      <c r="W992" s="508"/>
      <c r="X992" s="508"/>
      <c r="Y992" s="508"/>
      <c r="Z992" s="508"/>
    </row>
    <row r="993" ht="13.5" customHeight="1">
      <c r="A993" s="426"/>
      <c r="B993" s="508"/>
      <c r="C993" s="508"/>
      <c r="D993" s="508"/>
      <c r="E993" s="508"/>
      <c r="F993" s="426"/>
      <c r="G993" s="426"/>
      <c r="H993" s="426"/>
      <c r="I993" s="426"/>
      <c r="J993" s="508"/>
      <c r="K993" s="508"/>
      <c r="L993" s="508"/>
      <c r="M993" s="508"/>
      <c r="N993" s="508"/>
      <c r="O993" s="508"/>
      <c r="P993" s="508"/>
      <c r="Q993" s="508"/>
      <c r="R993" s="508"/>
      <c r="S993" s="508"/>
      <c r="T993" s="508"/>
      <c r="U993" s="508"/>
      <c r="V993" s="508"/>
      <c r="W993" s="508"/>
      <c r="X993" s="508"/>
      <c r="Y993" s="508"/>
      <c r="Z993" s="508"/>
    </row>
    <row r="994" ht="13.5" customHeight="1">
      <c r="A994" s="426"/>
      <c r="B994" s="508"/>
      <c r="C994" s="508"/>
      <c r="D994" s="508"/>
      <c r="E994" s="508"/>
      <c r="F994" s="426"/>
      <c r="G994" s="426"/>
      <c r="H994" s="426"/>
      <c r="I994" s="426"/>
      <c r="J994" s="508"/>
      <c r="K994" s="508"/>
      <c r="L994" s="508"/>
      <c r="M994" s="508"/>
      <c r="N994" s="508"/>
      <c r="O994" s="508"/>
      <c r="P994" s="508"/>
      <c r="Q994" s="508"/>
      <c r="R994" s="508"/>
      <c r="S994" s="508"/>
      <c r="T994" s="508"/>
      <c r="U994" s="508"/>
      <c r="V994" s="508"/>
      <c r="W994" s="508"/>
      <c r="X994" s="508"/>
      <c r="Y994" s="508"/>
      <c r="Z994" s="508"/>
    </row>
    <row r="995" ht="13.5" customHeight="1">
      <c r="A995" s="426"/>
      <c r="B995" s="508"/>
      <c r="C995" s="508"/>
      <c r="D995" s="508"/>
      <c r="E995" s="508"/>
      <c r="F995" s="426"/>
      <c r="G995" s="426"/>
      <c r="H995" s="426"/>
      <c r="I995" s="426"/>
      <c r="J995" s="508"/>
      <c r="K995" s="508"/>
      <c r="L995" s="508"/>
      <c r="M995" s="508"/>
      <c r="N995" s="508"/>
      <c r="O995" s="508"/>
      <c r="P995" s="508"/>
      <c r="Q995" s="508"/>
      <c r="R995" s="508"/>
      <c r="S995" s="508"/>
      <c r="T995" s="508"/>
      <c r="U995" s="508"/>
      <c r="V995" s="508"/>
      <c r="W995" s="508"/>
      <c r="X995" s="508"/>
      <c r="Y995" s="508"/>
      <c r="Z995" s="508"/>
    </row>
    <row r="996" ht="13.5" customHeight="1">
      <c r="A996" s="426"/>
      <c r="B996" s="508"/>
      <c r="C996" s="508"/>
      <c r="D996" s="508"/>
      <c r="E996" s="508"/>
      <c r="F996" s="426"/>
      <c r="G996" s="426"/>
      <c r="H996" s="426"/>
      <c r="I996" s="426"/>
      <c r="J996" s="508"/>
      <c r="K996" s="508"/>
      <c r="L996" s="508"/>
      <c r="M996" s="508"/>
      <c r="N996" s="508"/>
      <c r="O996" s="508"/>
      <c r="P996" s="508"/>
      <c r="Q996" s="508"/>
      <c r="R996" s="508"/>
      <c r="S996" s="508"/>
      <c r="T996" s="508"/>
      <c r="U996" s="508"/>
      <c r="V996" s="508"/>
      <c r="W996" s="508"/>
      <c r="X996" s="508"/>
      <c r="Y996" s="508"/>
      <c r="Z996" s="508"/>
    </row>
    <row r="997" ht="13.5" customHeight="1">
      <c r="A997" s="426"/>
      <c r="B997" s="508"/>
      <c r="C997" s="508"/>
      <c r="D997" s="508"/>
      <c r="E997" s="508"/>
      <c r="F997" s="426"/>
      <c r="G997" s="426"/>
      <c r="H997" s="426"/>
      <c r="I997" s="426"/>
      <c r="J997" s="508"/>
      <c r="K997" s="508"/>
      <c r="L997" s="508"/>
      <c r="M997" s="508"/>
      <c r="N997" s="508"/>
      <c r="O997" s="508"/>
      <c r="P997" s="508"/>
      <c r="Q997" s="508"/>
      <c r="R997" s="508"/>
      <c r="S997" s="508"/>
      <c r="T997" s="508"/>
      <c r="U997" s="508"/>
      <c r="V997" s="508"/>
      <c r="W997" s="508"/>
      <c r="X997" s="508"/>
      <c r="Y997" s="508"/>
      <c r="Z997" s="508"/>
    </row>
    <row r="998" ht="13.5" customHeight="1">
      <c r="A998" s="426"/>
      <c r="B998" s="508"/>
      <c r="C998" s="508"/>
      <c r="D998" s="508"/>
      <c r="E998" s="508"/>
      <c r="F998" s="426"/>
      <c r="G998" s="426"/>
      <c r="H998" s="426"/>
      <c r="I998" s="426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8"/>
      <c r="Z998" s="508"/>
    </row>
    <row r="999" ht="13.5" customHeight="1">
      <c r="A999" s="426"/>
      <c r="B999" s="508"/>
      <c r="C999" s="508"/>
      <c r="D999" s="508"/>
      <c r="E999" s="508"/>
      <c r="F999" s="426"/>
      <c r="G999" s="426"/>
      <c r="H999" s="426"/>
      <c r="I999" s="426"/>
      <c r="J999" s="508"/>
      <c r="K999" s="508"/>
      <c r="L999" s="508"/>
      <c r="M999" s="508"/>
      <c r="N999" s="508"/>
      <c r="O999" s="508"/>
      <c r="P999" s="508"/>
      <c r="Q999" s="508"/>
      <c r="R999" s="508"/>
      <c r="S999" s="508"/>
      <c r="T999" s="508"/>
      <c r="U999" s="508"/>
      <c r="V999" s="508"/>
      <c r="W999" s="508"/>
      <c r="X999" s="508"/>
      <c r="Y999" s="508"/>
      <c r="Z999" s="508"/>
    </row>
    <row r="1000" ht="13.5" customHeight="1">
      <c r="A1000" s="426"/>
      <c r="B1000" s="508"/>
      <c r="C1000" s="508"/>
      <c r="D1000" s="508"/>
      <c r="E1000" s="508"/>
      <c r="F1000" s="426"/>
      <c r="G1000" s="426"/>
      <c r="H1000" s="426"/>
      <c r="I1000" s="426"/>
      <c r="J1000" s="508"/>
      <c r="K1000" s="508"/>
      <c r="L1000" s="508"/>
      <c r="M1000" s="508"/>
      <c r="N1000" s="508"/>
      <c r="O1000" s="508"/>
      <c r="P1000" s="508"/>
      <c r="Q1000" s="508"/>
      <c r="R1000" s="508"/>
      <c r="S1000" s="508"/>
      <c r="T1000" s="508"/>
      <c r="U1000" s="508"/>
      <c r="V1000" s="508"/>
      <c r="W1000" s="508"/>
      <c r="X1000" s="508"/>
      <c r="Y1000" s="508"/>
      <c r="Z1000" s="508"/>
    </row>
  </sheetData>
  <mergeCells count="1">
    <mergeCell ref="B8:E8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>
      <pane xSplit="5.0" topLeftCell="F1" activePane="topRight" state="frozen"/>
      <selection activeCell="G2" sqref="G2" pane="topRight"/>
    </sheetView>
  </sheetViews>
  <sheetFormatPr customHeight="1" defaultColWidth="14.43" defaultRowHeight="15.0"/>
  <cols>
    <col customWidth="1" min="1" max="1" width="9.0"/>
    <col customWidth="1" min="2" max="2" width="2.71"/>
    <col customWidth="1" min="3" max="3" width="30.14"/>
    <col customWidth="1" hidden="1" min="4" max="4" width="12.0"/>
    <col customWidth="1" hidden="1" min="5" max="5" width="9.0"/>
    <col customWidth="1" hidden="1" min="6" max="6" width="12.0"/>
    <col customWidth="1" hidden="1" min="7" max="7" width="10.71"/>
    <col customWidth="1" hidden="1" min="8" max="8" width="12.0"/>
    <col customWidth="1" hidden="1" min="9" max="9" width="10.71"/>
    <col customWidth="1" hidden="1" min="10" max="10" width="12.0"/>
    <col customWidth="1" hidden="1" min="11" max="11" width="9.0"/>
    <col customWidth="1" min="12" max="12" width="12.0"/>
    <col customWidth="1" min="13" max="13" width="9.0"/>
    <col customWidth="1" hidden="1" min="14" max="14" width="11.86"/>
    <col customWidth="1" hidden="1" min="15" max="15" width="17.57"/>
    <col customWidth="1" hidden="1" min="16" max="16" width="12.0"/>
    <col customWidth="1" hidden="1" min="17" max="17" width="9.29"/>
    <col customWidth="1" min="18" max="18" width="12.0"/>
    <col customWidth="1" min="19" max="19" width="10.71"/>
    <col customWidth="1" hidden="1" min="20" max="20" width="12.0"/>
    <col customWidth="1" hidden="1" min="21" max="21" width="7.0"/>
    <col customWidth="1" min="22" max="22" width="12.0"/>
    <col customWidth="1" min="23" max="23" width="10.71"/>
    <col customWidth="1" min="24" max="24" width="12.0"/>
    <col customWidth="1" min="25" max="25" width="10.71"/>
    <col customWidth="1" min="26" max="26" width="8.14"/>
    <col customWidth="1" hidden="1" min="27" max="28" width="12.0"/>
    <col customWidth="1" min="29" max="30" width="8.86"/>
  </cols>
  <sheetData>
    <row r="1" ht="12.0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ht="85.5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ht="12.0" customHeight="1">
      <c r="A3" s="68"/>
      <c r="B3" s="132" t="s">
        <v>106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ht="12.0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ht="12.0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ht="12.0" customHeight="1">
      <c r="A6" s="68"/>
      <c r="B6" s="69" t="s">
        <v>107</v>
      </c>
      <c r="C6" s="69"/>
      <c r="D6" s="133" t="s">
        <v>108</v>
      </c>
      <c r="E6" s="134">
        <f>+D9/E9</f>
        <v>1995.98</v>
      </c>
      <c r="F6" s="134"/>
      <c r="G6" s="135">
        <v>2011.84</v>
      </c>
      <c r="H6" s="135"/>
      <c r="I6" s="135">
        <v>1962.53</v>
      </c>
      <c r="J6" s="135"/>
      <c r="K6" s="135">
        <v>1990.53</v>
      </c>
      <c r="L6" s="134" t="s">
        <v>108</v>
      </c>
      <c r="M6" s="134">
        <v>2489.53</v>
      </c>
      <c r="N6" s="133"/>
      <c r="O6" s="136">
        <v>2463.23</v>
      </c>
      <c r="P6" s="136"/>
      <c r="Q6" s="136">
        <v>2470.83</v>
      </c>
      <c r="R6" s="136"/>
      <c r="S6" s="136">
        <v>2452.44</v>
      </c>
      <c r="T6" s="136"/>
      <c r="U6" s="136">
        <v>2419.42</v>
      </c>
      <c r="V6" s="136"/>
      <c r="W6" s="136">
        <v>2402.35</v>
      </c>
      <c r="X6" s="134"/>
      <c r="Y6" s="134">
        <f>+'Avlaga uglug'!T5</f>
        <v>2349.21</v>
      </c>
      <c r="Z6" s="68"/>
      <c r="AA6" s="68"/>
      <c r="AB6" s="68"/>
      <c r="AC6" s="68"/>
      <c r="AD6" s="68"/>
    </row>
    <row r="7" ht="15.0" customHeight="1">
      <c r="A7" s="137"/>
      <c r="B7" s="138" t="s">
        <v>109</v>
      </c>
      <c r="C7" s="139" t="s">
        <v>110</v>
      </c>
      <c r="D7" s="140" t="s">
        <v>4</v>
      </c>
      <c r="E7" s="18"/>
      <c r="F7" s="140" t="s">
        <v>6</v>
      </c>
      <c r="G7" s="18"/>
      <c r="H7" s="140" t="s">
        <v>8</v>
      </c>
      <c r="I7" s="18"/>
      <c r="J7" s="140" t="s">
        <v>17</v>
      </c>
      <c r="K7" s="18"/>
      <c r="L7" s="140" t="s">
        <v>111</v>
      </c>
      <c r="M7" s="18"/>
      <c r="N7" s="141" t="s">
        <v>13</v>
      </c>
      <c r="O7" s="142"/>
      <c r="P7" s="143" t="s">
        <v>14</v>
      </c>
      <c r="Q7" s="143"/>
      <c r="R7" s="140" t="s">
        <v>18</v>
      </c>
      <c r="S7" s="142"/>
      <c r="T7" s="144" t="s">
        <v>16</v>
      </c>
      <c r="U7" s="142"/>
      <c r="V7" s="144" t="s">
        <v>17</v>
      </c>
      <c r="W7" s="142"/>
      <c r="X7" s="144" t="s">
        <v>18</v>
      </c>
      <c r="Y7" s="142"/>
      <c r="Z7" s="145" t="s">
        <v>112</v>
      </c>
      <c r="AA7" s="146" t="s">
        <v>20</v>
      </c>
      <c r="AB7" s="139" t="s">
        <v>113</v>
      </c>
      <c r="AC7" s="147"/>
      <c r="AD7" s="147"/>
    </row>
    <row r="8" ht="12.0" customHeight="1">
      <c r="A8" s="137"/>
      <c r="B8" s="19"/>
      <c r="C8" s="19"/>
      <c r="D8" s="148" t="s">
        <v>114</v>
      </c>
      <c r="E8" s="148" t="s">
        <v>115</v>
      </c>
      <c r="F8" s="148" t="s">
        <v>114</v>
      </c>
      <c r="G8" s="148" t="s">
        <v>115</v>
      </c>
      <c r="H8" s="148" t="s">
        <v>114</v>
      </c>
      <c r="I8" s="148" t="s">
        <v>115</v>
      </c>
      <c r="J8" s="148"/>
      <c r="K8" s="148"/>
      <c r="L8" s="148" t="s">
        <v>114</v>
      </c>
      <c r="M8" s="148" t="s">
        <v>115</v>
      </c>
      <c r="N8" s="149" t="s">
        <v>114</v>
      </c>
      <c r="O8" s="148" t="s">
        <v>115</v>
      </c>
      <c r="P8" s="148" t="s">
        <v>114</v>
      </c>
      <c r="Q8" s="148" t="s">
        <v>115</v>
      </c>
      <c r="R8" s="148" t="s">
        <v>114</v>
      </c>
      <c r="S8" s="148" t="s">
        <v>115</v>
      </c>
      <c r="T8" s="148" t="s">
        <v>114</v>
      </c>
      <c r="U8" s="148" t="s">
        <v>115</v>
      </c>
      <c r="V8" s="148" t="s">
        <v>114</v>
      </c>
      <c r="W8" s="148" t="s">
        <v>115</v>
      </c>
      <c r="X8" s="148" t="s">
        <v>114</v>
      </c>
      <c r="Y8" s="148" t="s">
        <v>115</v>
      </c>
      <c r="Z8" s="150"/>
      <c r="AA8" s="146" t="s">
        <v>116</v>
      </c>
      <c r="AB8" s="19"/>
      <c r="AC8" s="147"/>
      <c r="AD8" s="147"/>
    </row>
    <row r="9" ht="12.0" customHeight="1">
      <c r="A9" s="68"/>
      <c r="B9" s="68">
        <v>1.0</v>
      </c>
      <c r="C9" s="70" t="s">
        <v>117</v>
      </c>
      <c r="D9" s="66">
        <v>1.496985E9</v>
      </c>
      <c r="E9" s="66">
        <v>750000.0</v>
      </c>
      <c r="F9" s="66">
        <v>1.50888E9</v>
      </c>
      <c r="G9" s="66">
        <v>750000.0</v>
      </c>
      <c r="H9" s="66">
        <f t="shared" ref="H9:H12" si="1">+$I$6*I9</f>
        <v>1471897500</v>
      </c>
      <c r="I9" s="66">
        <v>750000.0</v>
      </c>
      <c r="J9" s="66">
        <v>1.4928975E9</v>
      </c>
      <c r="K9" s="66">
        <v>750000.0</v>
      </c>
      <c r="L9" s="66">
        <v>1.8671475000000002E9</v>
      </c>
      <c r="M9" s="66">
        <v>750000.0</v>
      </c>
      <c r="N9" s="151">
        <f>+O9*O6</f>
        <v>1847422500</v>
      </c>
      <c r="O9" s="66">
        <f>+'Avlaga uglug'!J32</f>
        <v>750000</v>
      </c>
      <c r="P9" s="66">
        <v>1.871653725E9</v>
      </c>
      <c r="Q9" s="66">
        <v>750000.0</v>
      </c>
      <c r="R9" s="66">
        <v>1.83933E9</v>
      </c>
      <c r="S9" s="66">
        <v>750000.0</v>
      </c>
      <c r="T9" s="66">
        <v>1.814565E9</v>
      </c>
      <c r="U9" s="66">
        <v>750000.0</v>
      </c>
      <c r="V9" s="66">
        <v>1.8017625E9</v>
      </c>
      <c r="W9" s="66">
        <v>750000.0</v>
      </c>
      <c r="X9" s="66">
        <f>+Y6*Y9</f>
        <v>1761907500</v>
      </c>
      <c r="Y9" s="66">
        <v>750000.0</v>
      </c>
      <c r="Z9" s="152">
        <v>0.12</v>
      </c>
      <c r="AA9" s="153">
        <f t="shared" ref="AA9:AA18" si="2">+N9-D9</f>
        <v>350437500</v>
      </c>
      <c r="AB9" s="68"/>
      <c r="AC9" s="2"/>
      <c r="AD9" s="2"/>
    </row>
    <row r="10" ht="12.0" hidden="1" customHeight="1">
      <c r="A10" s="68"/>
      <c r="B10" s="68">
        <v>2.0</v>
      </c>
      <c r="C10" s="70" t="s">
        <v>118</v>
      </c>
      <c r="D10" s="66"/>
      <c r="E10" s="66"/>
      <c r="F10" s="66"/>
      <c r="G10" s="66"/>
      <c r="H10" s="66">
        <f t="shared" si="1"/>
        <v>0</v>
      </c>
      <c r="I10" s="66"/>
      <c r="J10" s="66"/>
      <c r="K10" s="66"/>
      <c r="L10" s="66"/>
      <c r="M10" s="66"/>
      <c r="N10" s="151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152"/>
      <c r="AA10" s="153">
        <f t="shared" si="2"/>
        <v>0</v>
      </c>
      <c r="AB10" s="68"/>
      <c r="AC10" s="2"/>
      <c r="AD10" s="2"/>
    </row>
    <row r="11" ht="12.0" customHeight="1">
      <c r="A11" s="68"/>
      <c r="B11" s="68">
        <v>2.0</v>
      </c>
      <c r="C11" s="67" t="s">
        <v>119</v>
      </c>
      <c r="D11" s="66">
        <v>1.072121894788E8</v>
      </c>
      <c r="E11" s="154">
        <v>53714.06</v>
      </c>
      <c r="F11" s="154">
        <v>1.0806409447039999E8</v>
      </c>
      <c r="G11" s="154">
        <v>53714.06</v>
      </c>
      <c r="H11" s="66">
        <f t="shared" si="1"/>
        <v>105415454.2</v>
      </c>
      <c r="I11" s="154">
        <v>53714.06</v>
      </c>
      <c r="J11" s="154">
        <v>1.069194478518E8</v>
      </c>
      <c r="K11" s="154">
        <v>53714.06</v>
      </c>
      <c r="L11" s="154">
        <v>0.0</v>
      </c>
      <c r="M11" s="154"/>
      <c r="N11" s="151">
        <f>+O11*AJ3</f>
        <v>0</v>
      </c>
      <c r="O11" s="154"/>
      <c r="P11" s="154">
        <v>0.0</v>
      </c>
      <c r="Q11" s="154"/>
      <c r="R11" s="154">
        <v>0.0</v>
      </c>
      <c r="S11" s="154"/>
      <c r="T11" s="154">
        <v>0.0</v>
      </c>
      <c r="U11" s="154"/>
      <c r="V11" s="154">
        <v>0.0</v>
      </c>
      <c r="W11" s="154"/>
      <c r="X11" s="154">
        <v>0.0</v>
      </c>
      <c r="Y11" s="154"/>
      <c r="Z11" s="152"/>
      <c r="AA11" s="153">
        <f t="shared" si="2"/>
        <v>-107212189.5</v>
      </c>
      <c r="AB11" s="68"/>
      <c r="AC11" s="2"/>
      <c r="AD11" s="2"/>
    </row>
    <row r="12" ht="12.0" customHeight="1">
      <c r="A12" s="68"/>
      <c r="B12" s="68">
        <v>3.0</v>
      </c>
      <c r="C12" s="67" t="s">
        <v>120</v>
      </c>
      <c r="D12" s="66">
        <v>9979900.0</v>
      </c>
      <c r="E12" s="154">
        <v>5000.0</v>
      </c>
      <c r="F12" s="154">
        <v>1.00592E7</v>
      </c>
      <c r="G12" s="154">
        <v>5000.0</v>
      </c>
      <c r="H12" s="66">
        <f t="shared" si="1"/>
        <v>9812650</v>
      </c>
      <c r="I12" s="154">
        <v>5000.0</v>
      </c>
      <c r="J12" s="154">
        <v>9952650.0</v>
      </c>
      <c r="K12" s="154">
        <v>5000.0</v>
      </c>
      <c r="L12" s="154">
        <v>1.2447650000000002E7</v>
      </c>
      <c r="M12" s="154">
        <v>5000.0</v>
      </c>
      <c r="N12" s="151">
        <f>+O12*O6</f>
        <v>12316150</v>
      </c>
      <c r="O12" s="154">
        <f>+'Avlaga uglug'!J33</f>
        <v>5000</v>
      </c>
      <c r="P12" s="154">
        <v>1.235415E7</v>
      </c>
      <c r="Q12" s="154">
        <v>5000.0</v>
      </c>
      <c r="R12" s="154">
        <v>1.22622E7</v>
      </c>
      <c r="S12" s="154">
        <v>5000.0</v>
      </c>
      <c r="T12" s="154">
        <v>1.20971E7</v>
      </c>
      <c r="U12" s="154">
        <v>5000.0</v>
      </c>
      <c r="V12" s="154">
        <v>1.201175E7</v>
      </c>
      <c r="W12" s="154">
        <v>5000.0</v>
      </c>
      <c r="X12" s="154">
        <f>+Y12*Y6</f>
        <v>11746050</v>
      </c>
      <c r="Y12" s="154">
        <v>5000.0</v>
      </c>
      <c r="Z12" s="152">
        <v>0.18</v>
      </c>
      <c r="AA12" s="153">
        <f t="shared" si="2"/>
        <v>2336250</v>
      </c>
      <c r="AB12" s="70">
        <f>(1340+188)*O6</f>
        <v>3763815.44</v>
      </c>
      <c r="AC12" s="2"/>
      <c r="AD12" s="2"/>
    </row>
    <row r="13" ht="12.0" customHeight="1">
      <c r="A13" s="68"/>
      <c r="B13" s="68">
        <v>4.0</v>
      </c>
      <c r="C13" s="67" t="s">
        <v>121</v>
      </c>
      <c r="D13" s="66"/>
      <c r="E13" s="154"/>
      <c r="F13" s="154"/>
      <c r="G13" s="154"/>
      <c r="H13" s="154">
        <v>2.0E7</v>
      </c>
      <c r="I13" s="154"/>
      <c r="J13" s="154">
        <v>2.0E7</v>
      </c>
      <c r="K13" s="154"/>
      <c r="L13" s="154">
        <v>1.066178959E8</v>
      </c>
      <c r="M13" s="154"/>
      <c r="N13" s="151">
        <f>+'Avlaga uglug'!I34</f>
        <v>104717153.8</v>
      </c>
      <c r="O13" s="154"/>
      <c r="P13" s="154">
        <v>1.0159317376E8</v>
      </c>
      <c r="Q13" s="154"/>
      <c r="R13" s="154">
        <v>9.73015259E7</v>
      </c>
      <c r="S13" s="154"/>
      <c r="T13" s="154">
        <v>9.41789289E7</v>
      </c>
      <c r="U13" s="154"/>
      <c r="V13" s="154">
        <v>9.09141649E7</v>
      </c>
      <c r="W13" s="154"/>
      <c r="X13" s="154">
        <f>+'Avlaga uglug'!S34</f>
        <v>161014469.6</v>
      </c>
      <c r="Y13" s="154"/>
      <c r="Z13" s="152">
        <v>0.18</v>
      </c>
      <c r="AA13" s="153">
        <f t="shared" si="2"/>
        <v>104717153.8</v>
      </c>
      <c r="AB13" s="70">
        <v>420630.0</v>
      </c>
      <c r="AC13" s="2"/>
      <c r="AD13" s="2"/>
    </row>
    <row r="14" ht="12.0" customHeight="1">
      <c r="A14" s="68"/>
      <c r="B14" s="68">
        <v>7.0</v>
      </c>
      <c r="C14" s="67" t="s">
        <v>122</v>
      </c>
      <c r="D14" s="66">
        <v>9.15E8</v>
      </c>
      <c r="E14" s="154"/>
      <c r="F14" s="154">
        <v>1.9459763820800003E7</v>
      </c>
      <c r="G14" s="154">
        <v>9672.62</v>
      </c>
      <c r="H14" s="154"/>
      <c r="I14" s="154"/>
      <c r="J14" s="154">
        <v>3.91589402886E7</v>
      </c>
      <c r="K14" s="154">
        <v>19672.62</v>
      </c>
      <c r="L14" s="154">
        <v>4.0232934E7</v>
      </c>
      <c r="M14" s="154"/>
      <c r="N14" s="151">
        <f>+'Avlaga uglug'!I35</f>
        <v>38093129.14</v>
      </c>
      <c r="O14" s="154"/>
      <c r="P14" s="154">
        <v>3.809312914E7</v>
      </c>
      <c r="Q14" s="154"/>
      <c r="R14" s="154">
        <v>2.8566995979999995E8</v>
      </c>
      <c r="S14" s="154"/>
      <c r="T14" s="154">
        <v>2.843742128E8</v>
      </c>
      <c r="U14" s="154"/>
      <c r="V14" s="154">
        <v>1.3775876779999998E8</v>
      </c>
      <c r="W14" s="154"/>
      <c r="X14" s="154" t="str">
        <f>+'Avlaga uglug'!S35</f>
        <v>#REF!</v>
      </c>
      <c r="Y14" s="154"/>
      <c r="Z14" s="152">
        <v>0.22</v>
      </c>
      <c r="AA14" s="153">
        <f t="shared" si="2"/>
        <v>-876906870.9</v>
      </c>
      <c r="AB14" s="70"/>
      <c r="AC14" s="2"/>
      <c r="AD14" s="2"/>
    </row>
    <row r="15" ht="11.25" customHeight="1">
      <c r="A15" s="68"/>
      <c r="B15" s="68">
        <v>8.0</v>
      </c>
      <c r="C15" s="67" t="s">
        <v>123</v>
      </c>
      <c r="D15" s="66"/>
      <c r="E15" s="154"/>
      <c r="F15" s="154">
        <v>9.0E7</v>
      </c>
      <c r="G15" s="154"/>
      <c r="H15" s="154"/>
      <c r="I15" s="154"/>
      <c r="J15" s="154">
        <v>9.0E7</v>
      </c>
      <c r="K15" s="154"/>
      <c r="L15" s="154">
        <v>1.1278657929E8</v>
      </c>
      <c r="M15" s="154"/>
      <c r="N15" s="151" t="str">
        <f>+'Avlaga uglug'!I36</f>
        <v>#REF!</v>
      </c>
      <c r="O15" s="154"/>
      <c r="P15" s="154">
        <v>0.0</v>
      </c>
      <c r="Q15" s="154"/>
      <c r="R15" s="154">
        <v>0.0</v>
      </c>
      <c r="S15" s="154"/>
      <c r="T15" s="154">
        <v>0.0</v>
      </c>
      <c r="U15" s="154"/>
      <c r="V15" s="154">
        <v>0.0</v>
      </c>
      <c r="W15" s="154"/>
      <c r="X15" s="154">
        <v>0.0</v>
      </c>
      <c r="Y15" s="154"/>
      <c r="Z15" s="152">
        <v>0.12</v>
      </c>
      <c r="AA15" s="153" t="str">
        <f t="shared" si="2"/>
        <v>#REF!</v>
      </c>
      <c r="AB15" s="70"/>
      <c r="AC15" s="2"/>
      <c r="AD15" s="2"/>
    </row>
    <row r="16" ht="12.0" hidden="1" customHeight="1">
      <c r="A16" s="68"/>
      <c r="B16" s="68">
        <v>9.0</v>
      </c>
      <c r="C16" s="67" t="s">
        <v>124</v>
      </c>
      <c r="D16" s="66"/>
      <c r="E16" s="154"/>
      <c r="F16" s="154">
        <v>5.721075E8</v>
      </c>
      <c r="G16" s="154"/>
      <c r="H16" s="154"/>
      <c r="I16" s="154"/>
      <c r="J16" s="154">
        <v>5.721075E8</v>
      </c>
      <c r="K16" s="154"/>
      <c r="L16" s="154"/>
      <c r="M16" s="154"/>
      <c r="N16" s="151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2"/>
      <c r="AA16" s="153">
        <f t="shared" si="2"/>
        <v>0</v>
      </c>
      <c r="AB16" s="70"/>
      <c r="AC16" s="2"/>
      <c r="AD16" s="2"/>
    </row>
    <row r="17" ht="12.0" hidden="1" customHeight="1">
      <c r="A17" s="68"/>
      <c r="B17" s="68">
        <v>10.0</v>
      </c>
      <c r="C17" s="67" t="s">
        <v>125</v>
      </c>
      <c r="D17" s="66"/>
      <c r="E17" s="154"/>
      <c r="F17" s="154">
        <v>6.840256E7</v>
      </c>
      <c r="G17" s="154">
        <v>34000.0</v>
      </c>
      <c r="H17" s="154"/>
      <c r="I17" s="154"/>
      <c r="J17" s="154">
        <v>6.767802E7</v>
      </c>
      <c r="K17" s="154">
        <v>34000.0</v>
      </c>
      <c r="L17" s="154"/>
      <c r="M17" s="154"/>
      <c r="N17" s="151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2"/>
      <c r="AA17" s="153">
        <f t="shared" si="2"/>
        <v>0</v>
      </c>
      <c r="AB17" s="70"/>
      <c r="AC17" s="2"/>
      <c r="AD17" s="2"/>
    </row>
    <row r="18" ht="12.0" customHeight="1">
      <c r="A18" s="68"/>
      <c r="B18" s="68">
        <v>9.0</v>
      </c>
      <c r="C18" s="67" t="s">
        <v>126</v>
      </c>
      <c r="D18" s="66"/>
      <c r="E18" s="154"/>
      <c r="F18" s="154">
        <v>5.7538885E9</v>
      </c>
      <c r="G18" s="154"/>
      <c r="H18" s="154"/>
      <c r="I18" s="154"/>
      <c r="J18" s="154">
        <v>5.7538885E9</v>
      </c>
      <c r="K18" s="154"/>
      <c r="L18" s="154">
        <v>6.4788714882E8</v>
      </c>
      <c r="M18" s="154"/>
      <c r="N18" s="151" t="str">
        <f>+'Avlaga uglug'!I37</f>
        <v>#REF!</v>
      </c>
      <c r="O18" s="154"/>
      <c r="P18" s="154">
        <v>4.456258882E7</v>
      </c>
      <c r="Q18" s="154"/>
      <c r="R18" s="154">
        <v>1.107056377E8</v>
      </c>
      <c r="S18" s="154"/>
      <c r="T18" s="154">
        <v>1.77794537E7</v>
      </c>
      <c r="U18" s="154"/>
      <c r="V18" s="154">
        <v>2164994.26</v>
      </c>
      <c r="W18" s="154"/>
      <c r="X18" s="154" t="str">
        <f>+'Avlaga uglug'!S37</f>
        <v>#REF!</v>
      </c>
      <c r="Y18" s="154"/>
      <c r="Z18" s="152"/>
      <c r="AA18" s="153" t="str">
        <f t="shared" si="2"/>
        <v>#REF!</v>
      </c>
      <c r="AB18" s="70"/>
      <c r="AC18" s="2"/>
      <c r="AD18" s="2"/>
    </row>
    <row r="19" ht="12.0" customHeight="1">
      <c r="A19" s="68"/>
      <c r="B19" s="68">
        <v>10.0</v>
      </c>
      <c r="C19" s="67" t="s">
        <v>127</v>
      </c>
      <c r="D19" s="66"/>
      <c r="E19" s="154"/>
      <c r="F19" s="154"/>
      <c r="G19" s="154"/>
      <c r="H19" s="154"/>
      <c r="I19" s="154"/>
      <c r="J19" s="154"/>
      <c r="K19" s="154"/>
      <c r="L19" s="154">
        <v>3.49987606184E9</v>
      </c>
      <c r="M19" s="154"/>
      <c r="N19" s="151"/>
      <c r="O19" s="154"/>
      <c r="P19" s="154"/>
      <c r="Q19" s="154"/>
      <c r="R19" s="154">
        <v>3.49116243132E9</v>
      </c>
      <c r="S19" s="154"/>
      <c r="T19" s="154">
        <v>3.49116243132E9</v>
      </c>
      <c r="U19" s="154"/>
      <c r="V19" s="154">
        <v>2.5617017876E9</v>
      </c>
      <c r="W19" s="154"/>
      <c r="X19" s="154" t="str">
        <f>+'Avlaga uglug'!S38</f>
        <v>#REF!</v>
      </c>
      <c r="Y19" s="154"/>
      <c r="Z19" s="152"/>
      <c r="AA19" s="153"/>
      <c r="AB19" s="70"/>
      <c r="AC19" s="2"/>
      <c r="AD19" s="2"/>
    </row>
    <row r="20" ht="12.0" customHeight="1">
      <c r="A20" s="68"/>
      <c r="B20" s="68">
        <v>11.0</v>
      </c>
      <c r="C20" s="67" t="s">
        <v>128</v>
      </c>
      <c r="D20" s="66"/>
      <c r="E20" s="154"/>
      <c r="F20" s="154">
        <v>5.3733027456E8</v>
      </c>
      <c r="G20" s="154">
        <v>267084.0</v>
      </c>
      <c r="H20" s="154"/>
      <c r="I20" s="154"/>
      <c r="J20" s="154">
        <v>4.7294594694E8</v>
      </c>
      <c r="K20" s="154">
        <v>237598.0</v>
      </c>
      <c r="L20" s="154">
        <v>1.5795412501E9</v>
      </c>
      <c r="M20" s="154"/>
      <c r="N20" s="151">
        <v>1.5795412501E9</v>
      </c>
      <c r="O20" s="154"/>
      <c r="P20" s="154">
        <v>1.5795412501E9</v>
      </c>
      <c r="Q20" s="154"/>
      <c r="R20" s="154">
        <v>1.5795412501E9</v>
      </c>
      <c r="S20" s="154"/>
      <c r="T20" s="154">
        <v>1.5795412501E9</v>
      </c>
      <c r="U20" s="154"/>
      <c r="V20" s="154">
        <v>1.5795412501E9</v>
      </c>
      <c r="W20" s="154"/>
      <c r="X20" s="154">
        <v>1.5795412501E9</v>
      </c>
      <c r="Y20" s="154"/>
      <c r="Z20" s="152">
        <v>0.12</v>
      </c>
      <c r="AA20" s="153">
        <f t="shared" ref="AA20:AA21" si="3">+N20-D20</f>
        <v>1579541250</v>
      </c>
      <c r="AB20" s="70">
        <f>+' Intrest income'!M21</f>
        <v>14125341.82</v>
      </c>
      <c r="AC20" s="2"/>
      <c r="AD20" s="2"/>
    </row>
    <row r="21" ht="12.0" customHeight="1">
      <c r="A21" s="68"/>
      <c r="B21" s="68">
        <v>12.0</v>
      </c>
      <c r="C21" s="67" t="s">
        <v>129</v>
      </c>
      <c r="D21" s="66"/>
      <c r="E21" s="154"/>
      <c r="F21" s="154"/>
      <c r="G21" s="154"/>
      <c r="H21" s="154"/>
      <c r="I21" s="154"/>
      <c r="J21" s="154">
        <v>1.0E8</v>
      </c>
      <c r="K21" s="154"/>
      <c r="L21" s="154">
        <v>1.59200962346E9</v>
      </c>
      <c r="M21" s="154">
        <v>639482.0</v>
      </c>
      <c r="N21" s="151">
        <f>+'Avlaga uglug'!I41</f>
        <v>1473311192</v>
      </c>
      <c r="O21" s="66">
        <f>+'Avlaga uglug'!J41</f>
        <v>598121.65</v>
      </c>
      <c r="P21" s="66">
        <v>1.4778569164695E9</v>
      </c>
      <c r="Q21" s="66">
        <v>598121.65</v>
      </c>
      <c r="R21" s="66">
        <v>1.466857459326E9</v>
      </c>
      <c r="S21" s="66">
        <v>598121.65</v>
      </c>
      <c r="T21" s="66">
        <v>4.3400146298480004E8</v>
      </c>
      <c r="U21" s="66">
        <v>179382.44</v>
      </c>
      <c r="V21" s="66">
        <v>4.3093940473399997E8</v>
      </c>
      <c r="W21" s="66">
        <v>179382.44</v>
      </c>
      <c r="X21" s="154">
        <f>+Y21*Y6</f>
        <v>421407021.9</v>
      </c>
      <c r="Y21" s="154">
        <f>+'Avlaga uglug'!T41</f>
        <v>179382.44</v>
      </c>
      <c r="Z21" s="152">
        <v>0.08</v>
      </c>
      <c r="AA21" s="153">
        <f t="shared" si="3"/>
        <v>1473311192</v>
      </c>
      <c r="AB21" s="70">
        <f>+' Intrest income'!G10</f>
        <v>8655011.607</v>
      </c>
      <c r="AC21" s="2"/>
      <c r="AD21" s="2"/>
    </row>
    <row r="22" ht="12.0" customHeight="1">
      <c r="A22" s="68"/>
      <c r="B22" s="68">
        <v>13.0</v>
      </c>
      <c r="C22" s="155" t="s">
        <v>130</v>
      </c>
      <c r="D22" s="66"/>
      <c r="E22" s="154"/>
      <c r="F22" s="154"/>
      <c r="G22" s="154"/>
      <c r="H22" s="154"/>
      <c r="I22" s="154"/>
      <c r="J22" s="154"/>
      <c r="K22" s="154"/>
      <c r="L22" s="154"/>
      <c r="M22" s="154"/>
      <c r="N22" s="151"/>
      <c r="O22" s="66"/>
      <c r="P22" s="66"/>
      <c r="Q22" s="66"/>
      <c r="R22" s="66"/>
      <c r="S22" s="66"/>
      <c r="T22" s="66">
        <v>8.0E8</v>
      </c>
      <c r="U22" s="66"/>
      <c r="V22" s="66">
        <v>8.0E8</v>
      </c>
      <c r="W22" s="66"/>
      <c r="X22" s="154" t="str">
        <f>+'Avlaga uglug'!S42</f>
        <v>#REF!</v>
      </c>
      <c r="Y22" s="154"/>
      <c r="Z22" s="152">
        <v>0.0</v>
      </c>
      <c r="AA22" s="153"/>
      <c r="AB22" s="70"/>
      <c r="AC22" s="2"/>
      <c r="AD22" s="2"/>
    </row>
    <row r="23" ht="12.0" customHeight="1">
      <c r="A23" s="68"/>
      <c r="B23" s="68">
        <v>14.0</v>
      </c>
      <c r="C23" s="70" t="s">
        <v>131</v>
      </c>
      <c r="D23" s="66">
        <v>7.772528951768E8</v>
      </c>
      <c r="E23" s="154">
        <v>389409.16</v>
      </c>
      <c r="F23" s="154">
        <v>1.15E7</v>
      </c>
      <c r="G23" s="154"/>
      <c r="H23" s="154"/>
      <c r="I23" s="154"/>
      <c r="J23" s="154">
        <v>1.15E7</v>
      </c>
      <c r="K23" s="154"/>
      <c r="L23" s="154"/>
      <c r="M23" s="154"/>
      <c r="N23" s="151"/>
      <c r="O23" s="154"/>
      <c r="P23" s="154"/>
      <c r="Q23" s="154"/>
      <c r="R23" s="154">
        <v>1.5E7</v>
      </c>
      <c r="S23" s="154"/>
      <c r="T23" s="154">
        <v>1.5E7</v>
      </c>
      <c r="U23" s="154"/>
      <c r="V23" s="154">
        <v>1.5E7</v>
      </c>
      <c r="W23" s="154"/>
      <c r="X23" s="154">
        <v>1.5E7</v>
      </c>
      <c r="Y23" s="154"/>
      <c r="Z23" s="152">
        <v>0.24</v>
      </c>
      <c r="AA23" s="153"/>
      <c r="AB23" s="70"/>
      <c r="AC23" s="2"/>
      <c r="AD23" s="2"/>
    </row>
    <row r="24" ht="12.0" customHeight="1">
      <c r="A24" s="68"/>
      <c r="B24" s="68">
        <v>15.0</v>
      </c>
      <c r="C24" s="156" t="s">
        <v>132</v>
      </c>
      <c r="D24" s="66"/>
      <c r="E24" s="154"/>
      <c r="F24" s="154"/>
      <c r="G24" s="154"/>
      <c r="H24" s="154"/>
      <c r="I24" s="154"/>
      <c r="J24" s="154"/>
      <c r="K24" s="154"/>
      <c r="L24" s="154"/>
      <c r="M24" s="154"/>
      <c r="N24" s="151"/>
      <c r="O24" s="66"/>
      <c r="P24" s="66"/>
      <c r="Q24" s="66"/>
      <c r="R24" s="66"/>
      <c r="S24" s="66"/>
      <c r="T24" s="66"/>
      <c r="U24" s="66"/>
      <c r="V24" s="66"/>
      <c r="W24" s="66"/>
      <c r="X24" s="154" t="str">
        <f>+'Avlaga uglug'!S43</f>
        <v>#REF!</v>
      </c>
      <c r="Y24" s="154"/>
      <c r="Z24" s="152">
        <v>0.22</v>
      </c>
      <c r="AA24" s="153"/>
      <c r="AB24" s="70"/>
      <c r="AC24" s="2"/>
      <c r="AD24" s="2"/>
    </row>
    <row r="25" ht="12.0" customHeight="1">
      <c r="A25" s="68"/>
      <c r="B25" s="68">
        <v>16.0</v>
      </c>
      <c r="C25" s="156" t="s">
        <v>133</v>
      </c>
      <c r="D25" s="66"/>
      <c r="E25" s="154"/>
      <c r="F25" s="154"/>
      <c r="G25" s="154"/>
      <c r="H25" s="154"/>
      <c r="I25" s="154"/>
      <c r="J25" s="154"/>
      <c r="K25" s="154"/>
      <c r="L25" s="154"/>
      <c r="M25" s="154"/>
      <c r="N25" s="151"/>
      <c r="O25" s="66"/>
      <c r="P25" s="66"/>
      <c r="Q25" s="66"/>
      <c r="R25" s="66"/>
      <c r="S25" s="66"/>
      <c r="T25" s="66"/>
      <c r="U25" s="66"/>
      <c r="V25" s="66"/>
      <c r="W25" s="66"/>
      <c r="X25" s="154" t="str">
        <f>+'Avlaga uglug'!S44</f>
        <v>#REF!</v>
      </c>
      <c r="Y25" s="154"/>
      <c r="Z25" s="152">
        <v>0.22</v>
      </c>
      <c r="AA25" s="153"/>
      <c r="AB25" s="70"/>
      <c r="AC25" s="2"/>
      <c r="AD25" s="2"/>
    </row>
    <row r="26" ht="12.0" customHeight="1">
      <c r="A26" s="68"/>
      <c r="B26" s="68">
        <v>17.0</v>
      </c>
      <c r="C26" s="156" t="s">
        <v>134</v>
      </c>
      <c r="D26" s="66"/>
      <c r="E26" s="154"/>
      <c r="F26" s="154"/>
      <c r="G26" s="154"/>
      <c r="H26" s="154"/>
      <c r="I26" s="154"/>
      <c r="J26" s="154"/>
      <c r="K26" s="154"/>
      <c r="L26" s="154"/>
      <c r="M26" s="154"/>
      <c r="N26" s="151"/>
      <c r="O26" s="66"/>
      <c r="P26" s="66"/>
      <c r="Q26" s="66"/>
      <c r="R26" s="66"/>
      <c r="S26" s="66"/>
      <c r="T26" s="66"/>
      <c r="U26" s="66"/>
      <c r="V26" s="66"/>
      <c r="W26" s="66"/>
      <c r="X26" s="154" t="str">
        <f>+'Avlaga uglug'!S45</f>
        <v>#REF!</v>
      </c>
      <c r="Y26" s="154"/>
      <c r="Z26" s="152">
        <v>0.22</v>
      </c>
      <c r="AA26" s="153"/>
      <c r="AB26" s="70"/>
      <c r="AC26" s="2"/>
      <c r="AD26" s="2"/>
    </row>
    <row r="27" ht="12.0" customHeight="1">
      <c r="A27" s="68"/>
      <c r="B27" s="157" t="s">
        <v>135</v>
      </c>
      <c r="C27" s="158"/>
      <c r="D27" s="159">
        <f t="shared" ref="D27:Y27" si="4">SUM(D9:D26)</f>
        <v>3306429985</v>
      </c>
      <c r="E27" s="159">
        <f t="shared" si="4"/>
        <v>1198123.22</v>
      </c>
      <c r="F27" s="159">
        <f t="shared" si="4"/>
        <v>8679691893</v>
      </c>
      <c r="G27" s="159">
        <f t="shared" si="4"/>
        <v>1119470.68</v>
      </c>
      <c r="H27" s="159">
        <f t="shared" si="4"/>
        <v>1607125604</v>
      </c>
      <c r="I27" s="159">
        <f t="shared" si="4"/>
        <v>808714.06</v>
      </c>
      <c r="J27" s="159">
        <f t="shared" si="4"/>
        <v>8737048505</v>
      </c>
      <c r="K27" s="159">
        <f t="shared" si="4"/>
        <v>1099984.68</v>
      </c>
      <c r="L27" s="159">
        <f t="shared" si="4"/>
        <v>9458546643</v>
      </c>
      <c r="M27" s="159">
        <f t="shared" si="4"/>
        <v>1394482</v>
      </c>
      <c r="N27" s="159" t="str">
        <f t="shared" si="4"/>
        <v>#REF!</v>
      </c>
      <c r="O27" s="159">
        <f t="shared" si="4"/>
        <v>1353121.65</v>
      </c>
      <c r="P27" s="159">
        <f t="shared" si="4"/>
        <v>5125654933</v>
      </c>
      <c r="Q27" s="159">
        <f t="shared" si="4"/>
        <v>1353121.65</v>
      </c>
      <c r="R27" s="159">
        <f t="shared" si="4"/>
        <v>8897830464</v>
      </c>
      <c r="S27" s="159">
        <f t="shared" si="4"/>
        <v>1353121.65</v>
      </c>
      <c r="T27" s="159">
        <f t="shared" si="4"/>
        <v>8542699840</v>
      </c>
      <c r="U27" s="159">
        <f t="shared" si="4"/>
        <v>934382.44</v>
      </c>
      <c r="V27" s="159">
        <f t="shared" si="4"/>
        <v>7431794619</v>
      </c>
      <c r="W27" s="159">
        <f t="shared" si="4"/>
        <v>934382.44</v>
      </c>
      <c r="X27" s="159" t="str">
        <f t="shared" si="4"/>
        <v>#REF!</v>
      </c>
      <c r="Y27" s="159">
        <f t="shared" si="4"/>
        <v>934382.44</v>
      </c>
      <c r="Z27" s="160"/>
      <c r="AA27" s="160" t="str">
        <f t="shared" ref="AA27:AB27" si="5">SUM(AA9:AA26)</f>
        <v>#REF!</v>
      </c>
      <c r="AB27" s="159">
        <f t="shared" si="5"/>
        <v>26964798.87</v>
      </c>
      <c r="AC27" s="2"/>
      <c r="AD27" s="2"/>
    </row>
    <row r="28" ht="12.0" customHeight="1">
      <c r="A28" s="68"/>
      <c r="B28" s="68"/>
      <c r="C28" s="68"/>
      <c r="D28" s="66"/>
      <c r="E28" s="68"/>
      <c r="F28" s="68"/>
      <c r="G28" s="68"/>
      <c r="H28" s="68"/>
      <c r="I28" s="68"/>
      <c r="J28" s="68"/>
      <c r="K28" s="68"/>
      <c r="L28" s="68"/>
      <c r="M28" s="68"/>
      <c r="N28" s="161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2"/>
      <c r="AD28" s="2"/>
    </row>
    <row r="29" ht="12.0" customHeight="1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162"/>
      <c r="O29" s="136"/>
      <c r="P29" s="136"/>
      <c r="Q29" s="136"/>
      <c r="R29" s="136"/>
      <c r="S29" s="136"/>
      <c r="T29" s="136"/>
      <c r="U29" s="136"/>
      <c r="V29" s="136"/>
      <c r="W29" s="136"/>
      <c r="X29" s="68"/>
      <c r="Y29" s="70"/>
      <c r="Z29" s="68"/>
      <c r="AA29" s="68"/>
      <c r="AB29" s="68"/>
      <c r="AC29" s="2"/>
      <c r="AD29" s="2"/>
    </row>
    <row r="30" ht="12.0" customHeight="1">
      <c r="A30" s="68"/>
      <c r="B30" s="163"/>
      <c r="C30" s="138" t="s">
        <v>136</v>
      </c>
      <c r="D30" s="164" t="s">
        <v>137</v>
      </c>
      <c r="E30" s="158"/>
      <c r="F30" s="140" t="s">
        <v>16</v>
      </c>
      <c r="G30" s="18"/>
      <c r="H30" s="140" t="s">
        <v>8</v>
      </c>
      <c r="I30" s="18"/>
      <c r="J30" s="140" t="s">
        <v>17</v>
      </c>
      <c r="K30" s="18"/>
      <c r="L30" s="140" t="s">
        <v>111</v>
      </c>
      <c r="M30" s="18"/>
      <c r="N30" s="141" t="s">
        <v>13</v>
      </c>
      <c r="O30" s="142"/>
      <c r="P30" s="143" t="s">
        <v>14</v>
      </c>
      <c r="Q30" s="143"/>
      <c r="R30" s="140" t="s">
        <v>138</v>
      </c>
      <c r="S30" s="142"/>
      <c r="T30" s="144" t="s">
        <v>16</v>
      </c>
      <c r="U30" s="142"/>
      <c r="V30" s="143" t="s">
        <v>17</v>
      </c>
      <c r="W30" s="143"/>
      <c r="X30" s="144" t="s">
        <v>18</v>
      </c>
      <c r="Y30" s="142"/>
      <c r="Z30" s="145" t="s">
        <v>112</v>
      </c>
      <c r="AA30" s="146" t="s">
        <v>20</v>
      </c>
      <c r="AB30" s="139" t="s">
        <v>139</v>
      </c>
      <c r="AC30" s="2"/>
      <c r="AD30" s="2"/>
    </row>
    <row r="31" ht="12.0" customHeight="1">
      <c r="A31" s="68"/>
      <c r="B31" s="19"/>
      <c r="C31" s="19"/>
      <c r="D31" s="148" t="s">
        <v>114</v>
      </c>
      <c r="E31" s="148" t="s">
        <v>115</v>
      </c>
      <c r="F31" s="148" t="s">
        <v>114</v>
      </c>
      <c r="G31" s="148" t="s">
        <v>115</v>
      </c>
      <c r="H31" s="148" t="s">
        <v>114</v>
      </c>
      <c r="I31" s="148" t="s">
        <v>115</v>
      </c>
      <c r="J31" s="148"/>
      <c r="K31" s="148"/>
      <c r="L31" s="148" t="s">
        <v>114</v>
      </c>
      <c r="M31" s="148" t="s">
        <v>115</v>
      </c>
      <c r="N31" s="149" t="s">
        <v>114</v>
      </c>
      <c r="O31" s="148" t="s">
        <v>115</v>
      </c>
      <c r="P31" s="148" t="s">
        <v>114</v>
      </c>
      <c r="Q31" s="148" t="s">
        <v>115</v>
      </c>
      <c r="R31" s="148" t="s">
        <v>114</v>
      </c>
      <c r="S31" s="148" t="s">
        <v>115</v>
      </c>
      <c r="T31" s="148" t="s">
        <v>114</v>
      </c>
      <c r="U31" s="148" t="s">
        <v>115</v>
      </c>
      <c r="V31" s="148" t="s">
        <v>114</v>
      </c>
      <c r="W31" s="148" t="s">
        <v>115</v>
      </c>
      <c r="X31" s="148" t="s">
        <v>114</v>
      </c>
      <c r="Y31" s="148" t="s">
        <v>115</v>
      </c>
      <c r="Z31" s="150"/>
      <c r="AA31" s="146" t="s">
        <v>116</v>
      </c>
      <c r="AB31" s="19"/>
      <c r="AC31" s="2"/>
      <c r="AD31" s="2"/>
    </row>
    <row r="32" ht="12.0" customHeight="1">
      <c r="A32" s="68"/>
      <c r="B32" s="68">
        <v>1.0</v>
      </c>
      <c r="C32" s="67" t="s">
        <v>140</v>
      </c>
      <c r="D32" s="66"/>
      <c r="E32" s="154"/>
      <c r="F32" s="154"/>
      <c r="G32" s="154"/>
      <c r="H32" s="154"/>
      <c r="I32" s="154"/>
      <c r="J32" s="154"/>
      <c r="K32" s="154"/>
      <c r="L32" s="154">
        <v>4.979060000000001E7</v>
      </c>
      <c r="M32" s="154">
        <v>20000.0</v>
      </c>
      <c r="N32" s="151">
        <f>+O32*O6</f>
        <v>144098955</v>
      </c>
      <c r="O32" s="154">
        <f>+'Avlaga uglug'!J47</f>
        <v>58500</v>
      </c>
      <c r="P32" s="154">
        <v>1.4083731E8</v>
      </c>
      <c r="Q32" s="154">
        <v>57000.0</v>
      </c>
      <c r="R32" s="154">
        <v>3.4027605E8</v>
      </c>
      <c r="S32" s="154">
        <v>138750.0</v>
      </c>
      <c r="T32" s="154">
        <v>4.354956E7</v>
      </c>
      <c r="U32" s="165">
        <v>18000.0</v>
      </c>
      <c r="V32" s="165">
        <v>4.2041125E7</v>
      </c>
      <c r="W32" s="165">
        <v>17500.0</v>
      </c>
      <c r="X32" s="154" t="str">
        <f>+Y32*Y6</f>
        <v>#REF!</v>
      </c>
      <c r="Y32" s="165" t="str">
        <f>+'Avlaga uglug'!T47</f>
        <v>#REF!</v>
      </c>
      <c r="Z32" s="166"/>
      <c r="AA32" s="153">
        <f>+N32-D32</f>
        <v>144098955</v>
      </c>
      <c r="AB32" s="68"/>
      <c r="AC32" s="2"/>
      <c r="AD32" s="2"/>
    </row>
    <row r="33" ht="12.0" customHeight="1">
      <c r="A33" s="68"/>
      <c r="B33" s="68">
        <v>2.0</v>
      </c>
      <c r="C33" s="67" t="s">
        <v>141</v>
      </c>
      <c r="D33" s="66"/>
      <c r="E33" s="154"/>
      <c r="F33" s="154"/>
      <c r="G33" s="154"/>
      <c r="H33" s="154"/>
      <c r="I33" s="154"/>
      <c r="J33" s="154"/>
      <c r="K33" s="154"/>
      <c r="L33" s="154"/>
      <c r="M33" s="154"/>
      <c r="N33" s="151"/>
      <c r="O33" s="154"/>
      <c r="P33" s="154"/>
      <c r="Q33" s="154"/>
      <c r="R33" s="154"/>
      <c r="S33" s="154"/>
      <c r="T33" s="154"/>
      <c r="U33" s="165"/>
      <c r="V33" s="165"/>
      <c r="W33" s="165"/>
      <c r="X33" s="154">
        <f>+Y33*Y6</f>
        <v>28756609.13</v>
      </c>
      <c r="Y33" s="167">
        <f>+'Avlaga uglug'!T46</f>
        <v>12240.97</v>
      </c>
      <c r="Z33" s="166"/>
      <c r="AA33" s="153"/>
      <c r="AB33" s="68"/>
      <c r="AC33" s="2"/>
      <c r="AD33" s="2"/>
    </row>
    <row r="34" ht="12.0" customHeight="1">
      <c r="A34" s="68"/>
      <c r="B34" s="68">
        <v>3.0</v>
      </c>
      <c r="C34" s="67" t="s">
        <v>142</v>
      </c>
      <c r="D34" s="66"/>
      <c r="E34" s="154"/>
      <c r="F34" s="154"/>
      <c r="G34" s="154"/>
      <c r="H34" s="154"/>
      <c r="I34" s="154"/>
      <c r="J34" s="154"/>
      <c r="K34" s="154"/>
      <c r="L34" s="154"/>
      <c r="M34" s="154"/>
      <c r="N34" s="151"/>
      <c r="O34" s="154"/>
      <c r="P34" s="154">
        <v>1.0847403793E8</v>
      </c>
      <c r="Q34" s="154"/>
      <c r="R34" s="154">
        <v>1.0847403793E8</v>
      </c>
      <c r="S34" s="154"/>
      <c r="T34" s="154"/>
      <c r="U34" s="165"/>
      <c r="V34" s="165"/>
      <c r="W34" s="165"/>
      <c r="X34" s="154"/>
      <c r="Y34" s="165"/>
      <c r="Z34" s="166"/>
      <c r="AA34" s="153"/>
      <c r="AB34" s="68"/>
      <c r="AC34" s="2"/>
      <c r="AD34" s="2"/>
    </row>
    <row r="35" ht="12.0" customHeight="1">
      <c r="A35" s="68"/>
      <c r="B35" s="157" t="s">
        <v>135</v>
      </c>
      <c r="C35" s="158"/>
      <c r="D35" s="168">
        <f t="shared" ref="D35:E35" si="6">SUM(D32)</f>
        <v>0</v>
      </c>
      <c r="E35" s="168">
        <f t="shared" si="6"/>
        <v>0</v>
      </c>
      <c r="F35" s="168"/>
      <c r="G35" s="168"/>
      <c r="H35" s="168"/>
      <c r="I35" s="168"/>
      <c r="J35" s="168"/>
      <c r="K35" s="168"/>
      <c r="L35" s="159">
        <f t="shared" ref="L35:O35" si="7">SUM(L32:L34)</f>
        <v>49790600</v>
      </c>
      <c r="M35" s="159">
        <f t="shared" si="7"/>
        <v>20000</v>
      </c>
      <c r="N35" s="159">
        <f t="shared" si="7"/>
        <v>144098955</v>
      </c>
      <c r="O35" s="159">
        <f t="shared" si="7"/>
        <v>58500</v>
      </c>
      <c r="P35" s="159">
        <v>2.4931134793E8</v>
      </c>
      <c r="Q35" s="159">
        <v>57000.0</v>
      </c>
      <c r="R35" s="159">
        <f t="shared" ref="R35:AB35" si="8">SUM(R32:R34)</f>
        <v>448750087.9</v>
      </c>
      <c r="S35" s="159">
        <f t="shared" si="8"/>
        <v>138750</v>
      </c>
      <c r="T35" s="159">
        <f t="shared" si="8"/>
        <v>43549560</v>
      </c>
      <c r="U35" s="169">
        <f t="shared" si="8"/>
        <v>18000</v>
      </c>
      <c r="V35" s="159">
        <f t="shared" si="8"/>
        <v>42041125</v>
      </c>
      <c r="W35" s="169">
        <f t="shared" si="8"/>
        <v>17500</v>
      </c>
      <c r="X35" s="159" t="str">
        <f t="shared" si="8"/>
        <v>#REF!</v>
      </c>
      <c r="Y35" s="169" t="str">
        <f t="shared" si="8"/>
        <v>#REF!</v>
      </c>
      <c r="Z35" s="159">
        <f t="shared" si="8"/>
        <v>0</v>
      </c>
      <c r="AA35" s="159">
        <f t="shared" si="8"/>
        <v>144098955</v>
      </c>
      <c r="AB35" s="159">
        <f t="shared" si="8"/>
        <v>0</v>
      </c>
      <c r="AC35" s="2"/>
      <c r="AD35" s="2"/>
    </row>
    <row r="36" ht="12.0" customHeight="1">
      <c r="A36" s="68"/>
      <c r="B36" s="170"/>
      <c r="C36" s="170" t="s">
        <v>143</v>
      </c>
      <c r="D36" s="159"/>
      <c r="E36" s="170"/>
      <c r="F36" s="170"/>
      <c r="G36" s="170"/>
      <c r="H36" s="170"/>
      <c r="I36" s="170"/>
      <c r="J36" s="170"/>
      <c r="K36" s="170"/>
      <c r="L36" s="159">
        <f t="shared" ref="L36:Y36" si="9">+L35+L27</f>
        <v>9508337243</v>
      </c>
      <c r="M36" s="159">
        <f t="shared" si="9"/>
        <v>1414482</v>
      </c>
      <c r="N36" s="159" t="str">
        <f t="shared" si="9"/>
        <v>#REF!</v>
      </c>
      <c r="O36" s="159">
        <f t="shared" si="9"/>
        <v>1411621.65</v>
      </c>
      <c r="P36" s="159">
        <f t="shared" si="9"/>
        <v>5374966281</v>
      </c>
      <c r="Q36" s="159">
        <f t="shared" si="9"/>
        <v>1410121.65</v>
      </c>
      <c r="R36" s="159">
        <f t="shared" si="9"/>
        <v>9346580552</v>
      </c>
      <c r="S36" s="159">
        <f t="shared" si="9"/>
        <v>1491871.65</v>
      </c>
      <c r="T36" s="159">
        <f t="shared" si="9"/>
        <v>8586249400</v>
      </c>
      <c r="U36" s="169">
        <f t="shared" si="9"/>
        <v>952382.44</v>
      </c>
      <c r="V36" s="159">
        <f t="shared" si="9"/>
        <v>7473835744</v>
      </c>
      <c r="W36" s="169">
        <f t="shared" si="9"/>
        <v>951882.44</v>
      </c>
      <c r="X36" s="159" t="str">
        <f t="shared" si="9"/>
        <v>#REF!</v>
      </c>
      <c r="Y36" s="169" t="str">
        <f t="shared" si="9"/>
        <v>#REF!</v>
      </c>
      <c r="Z36" s="170"/>
      <c r="AA36" s="2"/>
      <c r="AB36" s="2"/>
      <c r="AC36" s="2"/>
      <c r="AD36" s="2"/>
    </row>
    <row r="37" ht="12.0" customHeight="1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6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ht="12.0" customHeight="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171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ht="12.0" customHeight="1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6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ht="12.0" customHeight="1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ht="12.0" customHeight="1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ht="12.0" customHeight="1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ht="12.0" customHeight="1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ht="12.0" customHeight="1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ht="12.0" customHeight="1">
      <c r="A45" s="68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ht="12.0" customHeight="1">
      <c r="A46" s="68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ht="12.0" customHeight="1">
      <c r="A47" s="68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ht="12.0" customHeight="1">
      <c r="A48" s="68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ht="12.0" customHeight="1">
      <c r="A49" s="68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ht="12.0" customHeight="1">
      <c r="A50" s="68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ht="12.0" customHeight="1">
      <c r="A51" s="68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ht="12.0" customHeight="1">
      <c r="A52" s="68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ht="12.0" customHeight="1">
      <c r="A53" s="68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ht="12.0" customHeight="1">
      <c r="A54" s="68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ht="12.0" customHeight="1">
      <c r="A55" s="68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ht="12.0" customHeight="1">
      <c r="A56" s="68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ht="12.0" customHeight="1">
      <c r="A57" s="68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ht="12.0" customHeight="1">
      <c r="A58" s="68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ht="12.0" customHeight="1">
      <c r="A59" s="68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ht="12.0" customHeight="1">
      <c r="A60" s="68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ht="12.0" customHeight="1">
      <c r="A61" s="68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ht="12.0" customHeight="1">
      <c r="A62" s="68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ht="12.0" customHeight="1">
      <c r="A63" s="68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ht="12.0" customHeight="1">
      <c r="A64" s="68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ht="12.0" customHeight="1">
      <c r="A65" s="68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ht="12.0" customHeight="1">
      <c r="A66" s="68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ht="12.0" customHeight="1">
      <c r="A67" s="68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ht="12.0" customHeight="1">
      <c r="A68" s="68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ht="12.0" customHeight="1">
      <c r="A69" s="68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ht="12.0" customHeight="1">
      <c r="A70" s="68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ht="12.0" customHeight="1">
      <c r="A71" s="68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ht="12.0" customHeight="1">
      <c r="A72" s="68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ht="12.0" customHeight="1">
      <c r="A73" s="68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ht="12.0" customHeight="1">
      <c r="A74" s="68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ht="12.0" customHeight="1">
      <c r="A75" s="68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ht="12.0" customHeight="1">
      <c r="A76" s="68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ht="12.0" customHeight="1">
      <c r="A77" s="68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ht="12.0" customHeight="1">
      <c r="A78" s="68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ht="12.0" customHeight="1">
      <c r="A79" s="68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ht="12.0" customHeight="1">
      <c r="A80" s="68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ht="12.0" customHeight="1">
      <c r="A81" s="68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ht="12.0" customHeight="1">
      <c r="A82" s="68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ht="12.0" customHeight="1">
      <c r="A83" s="68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ht="12.0" customHeight="1">
      <c r="A84" s="68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ht="12.0" customHeight="1">
      <c r="A85" s="68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ht="12.0" customHeight="1">
      <c r="A86" s="68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ht="12.0" customHeight="1">
      <c r="A87" s="68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ht="12.0" customHeight="1">
      <c r="A88" s="68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ht="12.0" customHeight="1">
      <c r="A89" s="68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ht="12.0" customHeight="1">
      <c r="A90" s="68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ht="12.0" customHeight="1">
      <c r="A91" s="68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ht="12.0" customHeight="1">
      <c r="A92" s="68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ht="12.0" customHeight="1">
      <c r="A93" s="68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ht="12.0" customHeight="1">
      <c r="A94" s="68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ht="12.0" customHeight="1">
      <c r="A95" s="68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ht="12.0" customHeight="1">
      <c r="A96" s="68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ht="12.0" customHeight="1">
      <c r="A97" s="68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ht="12.0" customHeight="1">
      <c r="A98" s="68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ht="12.0" customHeight="1">
      <c r="A99" s="68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ht="12.0" customHeight="1">
      <c r="A100" s="68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ht="12.0" customHeight="1">
      <c r="A101" s="68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ht="12.0" customHeight="1">
      <c r="A102" s="68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ht="12.0" customHeight="1">
      <c r="A103" s="68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ht="12.0" customHeight="1">
      <c r="A104" s="68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ht="12.0" customHeight="1">
      <c r="A105" s="68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ht="12.0" customHeight="1">
      <c r="A106" s="68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ht="12.0" customHeight="1">
      <c r="A107" s="68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ht="12.0" customHeight="1">
      <c r="A108" s="68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ht="12.0" customHeight="1">
      <c r="A109" s="68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ht="12.0" customHeight="1">
      <c r="A110" s="68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ht="12.0" customHeight="1">
      <c r="A111" s="68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ht="12.0" customHeight="1">
      <c r="A112" s="68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ht="12.0" customHeight="1">
      <c r="A113" s="68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ht="12.0" customHeight="1">
      <c r="A114" s="68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ht="12.0" customHeight="1">
      <c r="A115" s="68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ht="12.0" customHeight="1">
      <c r="A116" s="68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ht="12.0" customHeight="1">
      <c r="A117" s="68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ht="12.0" customHeight="1">
      <c r="A118" s="68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ht="12.0" customHeight="1">
      <c r="A119" s="68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ht="12.0" customHeight="1">
      <c r="A120" s="68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ht="12.0" customHeight="1">
      <c r="A121" s="68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ht="12.0" customHeight="1">
      <c r="A122" s="68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ht="12.0" customHeight="1">
      <c r="A123" s="68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ht="12.0" customHeight="1">
      <c r="A124" s="68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ht="12.0" customHeight="1">
      <c r="A125" s="68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ht="12.0" customHeight="1">
      <c r="A126" s="68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ht="12.0" customHeight="1">
      <c r="A127" s="68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ht="12.0" customHeight="1">
      <c r="A128" s="68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ht="12.0" customHeight="1">
      <c r="A129" s="68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ht="12.0" customHeight="1">
      <c r="A130" s="68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ht="12.0" customHeight="1">
      <c r="A131" s="68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ht="12.0" customHeight="1">
      <c r="A132" s="68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ht="12.0" customHeight="1">
      <c r="A133" s="68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ht="12.0" customHeight="1">
      <c r="A134" s="68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ht="12.0" customHeight="1">
      <c r="A135" s="68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ht="12.0" customHeight="1">
      <c r="A136" s="68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ht="12.0" customHeight="1">
      <c r="A137" s="68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ht="12.0" customHeight="1">
      <c r="A138" s="68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ht="12.0" customHeight="1">
      <c r="A139" s="68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ht="12.0" customHeight="1">
      <c r="A140" s="68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ht="12.0" customHeight="1">
      <c r="A141" s="68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ht="12.0" customHeight="1">
      <c r="A142" s="68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ht="12.0" customHeight="1">
      <c r="A143" s="68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ht="12.0" customHeight="1">
      <c r="A144" s="68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ht="12.0" customHeight="1">
      <c r="A145" s="68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ht="12.0" customHeight="1">
      <c r="A146" s="68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ht="12.0" customHeight="1">
      <c r="A147" s="68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ht="12.0" customHeight="1">
      <c r="A148" s="68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ht="12.0" customHeight="1">
      <c r="A149" s="68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ht="12.0" customHeight="1">
      <c r="A150" s="68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ht="12.0" customHeight="1">
      <c r="A151" s="68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ht="12.0" customHeight="1">
      <c r="A152" s="68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ht="12.0" customHeight="1">
      <c r="A153" s="68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ht="12.0" customHeight="1">
      <c r="A154" s="68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ht="12.0" customHeight="1">
      <c r="A155" s="68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ht="12.0" customHeight="1">
      <c r="A156" s="68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ht="12.0" customHeight="1">
      <c r="A157" s="6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ht="12.0" customHeight="1">
      <c r="A158" s="6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ht="12.0" customHeight="1">
      <c r="A159" s="68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ht="12.0" customHeight="1">
      <c r="A160" s="68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ht="12.0" customHeight="1">
      <c r="A161" s="68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ht="12.0" customHeight="1">
      <c r="A162" s="68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ht="12.0" customHeight="1">
      <c r="A163" s="68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ht="12.0" customHeight="1">
      <c r="A164" s="68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ht="12.0" customHeight="1">
      <c r="A165" s="68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ht="12.0" customHeight="1">
      <c r="A166" s="68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ht="12.0" customHeight="1">
      <c r="A167" s="68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ht="12.0" customHeight="1">
      <c r="A168" s="68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ht="12.0" customHeight="1">
      <c r="A169" s="68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ht="12.0" customHeight="1">
      <c r="A170" s="68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ht="12.0" customHeight="1">
      <c r="A171" s="68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ht="12.0" customHeight="1">
      <c r="A172" s="68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ht="12.0" customHeight="1">
      <c r="A173" s="68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ht="12.0" customHeight="1">
      <c r="A174" s="68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ht="12.0" customHeight="1">
      <c r="A175" s="68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ht="12.0" customHeight="1">
      <c r="A176" s="68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ht="12.0" customHeight="1">
      <c r="A177" s="68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ht="12.0" customHeight="1">
      <c r="A178" s="68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ht="12.0" customHeight="1">
      <c r="A179" s="68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ht="12.0" customHeight="1">
      <c r="A180" s="68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ht="12.0" customHeight="1">
      <c r="A181" s="68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ht="12.0" customHeight="1">
      <c r="A182" s="68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ht="12.0" customHeight="1">
      <c r="A183" s="68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ht="12.0" customHeight="1">
      <c r="A184" s="68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ht="12.0" customHeight="1">
      <c r="A185" s="68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ht="12.0" customHeight="1">
      <c r="A186" s="68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ht="12.0" customHeight="1">
      <c r="A187" s="68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ht="12.0" customHeight="1">
      <c r="A188" s="68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ht="12.0" customHeight="1">
      <c r="A189" s="68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ht="12.0" customHeight="1">
      <c r="A190" s="68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ht="12.0" customHeight="1">
      <c r="A191" s="6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ht="12.0" customHeight="1">
      <c r="A192" s="68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ht="12.0" customHeight="1">
      <c r="A193" s="6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ht="12.0" customHeight="1">
      <c r="A194" s="6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ht="12.0" customHeight="1">
      <c r="A195" s="6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ht="12.0" customHeight="1">
      <c r="A196" s="68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ht="12.0" customHeight="1">
      <c r="A197" s="68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ht="12.0" customHeight="1">
      <c r="A198" s="68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ht="12.0" customHeight="1">
      <c r="A199" s="68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ht="12.0" customHeight="1">
      <c r="A200" s="68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ht="12.0" customHeight="1">
      <c r="A201" s="68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ht="12.0" customHeight="1">
      <c r="A202" s="68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ht="12.0" customHeight="1">
      <c r="A203" s="68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ht="12.0" customHeight="1">
      <c r="A204" s="68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ht="12.0" customHeight="1">
      <c r="A205" s="68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ht="12.0" customHeight="1">
      <c r="A206" s="68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ht="12.0" customHeight="1">
      <c r="A207" s="68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ht="12.0" customHeight="1">
      <c r="A208" s="68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ht="12.0" customHeight="1">
      <c r="A209" s="68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ht="12.0" customHeight="1">
      <c r="A210" s="68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ht="12.0" customHeight="1">
      <c r="A211" s="68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ht="12.0" customHeight="1">
      <c r="A212" s="68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ht="12.0" customHeight="1">
      <c r="A213" s="68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ht="12.0" customHeight="1">
      <c r="A214" s="68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ht="12.0" customHeight="1">
      <c r="A215" s="68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ht="12.0" customHeight="1">
      <c r="A216" s="68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ht="12.0" customHeight="1">
      <c r="A217" s="68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ht="12.0" customHeight="1">
      <c r="A218" s="68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ht="12.0" customHeight="1">
      <c r="A219" s="68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ht="12.0" customHeight="1">
      <c r="A220" s="68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ht="12.0" customHeight="1">
      <c r="A221" s="68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ht="12.0" customHeight="1">
      <c r="A222" s="68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ht="12.0" customHeight="1">
      <c r="A223" s="68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ht="12.0" customHeight="1">
      <c r="A224" s="68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ht="12.0" customHeight="1">
      <c r="A225" s="68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ht="12.0" customHeight="1">
      <c r="A226" s="68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ht="12.0" customHeight="1">
      <c r="A227" s="68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ht="12.0" customHeight="1">
      <c r="A228" s="68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ht="12.0" customHeight="1">
      <c r="A229" s="68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ht="12.0" customHeight="1">
      <c r="A230" s="68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ht="12.0" customHeight="1">
      <c r="A231" s="68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ht="12.0" customHeight="1">
      <c r="A232" s="68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ht="12.0" customHeight="1">
      <c r="A233" s="68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ht="12.0" customHeight="1">
      <c r="A234" s="68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ht="12.0" customHeight="1">
      <c r="A235" s="68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ht="12.0" customHeight="1">
      <c r="A236" s="68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ht="12.0" customHeight="1">
      <c r="A237" s="68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ht="12.0" customHeight="1">
      <c r="A238" s="68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ht="12.0" customHeight="1">
      <c r="A239" s="68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ht="12.0" customHeight="1">
      <c r="A240" s="68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ht="12.0" customHeight="1">
      <c r="A241" s="68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ht="12.0" customHeight="1">
      <c r="A242" s="68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ht="12.0" customHeight="1">
      <c r="A243" s="68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ht="12.0" customHeight="1">
      <c r="A244" s="68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ht="12.0" customHeight="1">
      <c r="A245" s="68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ht="12.0" customHeight="1">
      <c r="A246" s="68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ht="12.0" customHeight="1">
      <c r="A247" s="68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ht="12.0" customHeight="1">
      <c r="A248" s="68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ht="12.0" customHeight="1">
      <c r="A249" s="68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ht="12.0" customHeight="1">
      <c r="A250" s="68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ht="12.0" customHeight="1">
      <c r="A251" s="68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ht="12.0" customHeight="1">
      <c r="A252" s="68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ht="12.0" customHeight="1">
      <c r="A253" s="68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ht="12.0" customHeight="1">
      <c r="A254" s="68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ht="12.0" customHeight="1">
      <c r="A255" s="68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ht="12.0" customHeight="1">
      <c r="A256" s="68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ht="12.0" customHeight="1">
      <c r="A257" s="68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ht="12.0" customHeight="1">
      <c r="A258" s="68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ht="12.0" customHeight="1">
      <c r="A259" s="68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ht="12.0" customHeight="1">
      <c r="A260" s="68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ht="12.0" customHeight="1">
      <c r="A261" s="68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ht="12.0" customHeight="1">
      <c r="A262" s="68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ht="12.0" customHeight="1">
      <c r="A263" s="68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ht="12.0" customHeight="1">
      <c r="A264" s="68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ht="12.0" customHeight="1">
      <c r="A265" s="68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ht="12.0" customHeight="1">
      <c r="A266" s="68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ht="12.0" customHeight="1">
      <c r="A267" s="68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ht="12.0" customHeight="1">
      <c r="A268" s="68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ht="12.0" customHeight="1">
      <c r="A269" s="68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ht="12.0" customHeight="1">
      <c r="A270" s="68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ht="12.0" customHeight="1">
      <c r="A271" s="68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ht="12.0" customHeight="1">
      <c r="A272" s="68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ht="12.0" customHeight="1">
      <c r="A273" s="68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ht="12.0" customHeight="1">
      <c r="A274" s="68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ht="12.0" customHeight="1">
      <c r="A275" s="68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ht="12.0" customHeight="1">
      <c r="A276" s="68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ht="12.0" customHeight="1">
      <c r="A277" s="68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ht="12.0" customHeight="1">
      <c r="A278" s="68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ht="12.0" customHeight="1">
      <c r="A279" s="68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ht="12.0" customHeight="1">
      <c r="A280" s="68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ht="12.0" customHeight="1">
      <c r="A281" s="68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ht="12.0" customHeight="1">
      <c r="A282" s="68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ht="12.0" customHeight="1">
      <c r="A283" s="68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ht="12.0" customHeight="1">
      <c r="A284" s="68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ht="12.0" customHeight="1">
      <c r="A285" s="68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ht="12.0" customHeight="1">
      <c r="A286" s="68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ht="12.0" customHeight="1">
      <c r="A287" s="68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ht="12.0" customHeight="1">
      <c r="A288" s="68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ht="12.0" customHeight="1">
      <c r="A289" s="68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ht="12.0" customHeight="1">
      <c r="A290" s="68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ht="12.0" customHeight="1">
      <c r="A291" s="68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ht="12.0" customHeight="1">
      <c r="A292" s="68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ht="12.0" customHeight="1">
      <c r="A293" s="68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ht="12.0" customHeight="1">
      <c r="A294" s="68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ht="12.0" customHeight="1">
      <c r="A295" s="68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ht="12.0" customHeight="1">
      <c r="A296" s="68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ht="12.0" customHeight="1">
      <c r="A297" s="68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ht="12.0" customHeight="1">
      <c r="A298" s="68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ht="12.0" customHeight="1">
      <c r="A299" s="68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ht="12.0" customHeight="1">
      <c r="A300" s="68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ht="12.0" customHeight="1">
      <c r="A301" s="68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ht="12.0" customHeight="1">
      <c r="A302" s="68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ht="12.0" customHeight="1">
      <c r="A303" s="68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ht="12.0" customHeight="1">
      <c r="A304" s="68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ht="12.0" customHeight="1">
      <c r="A305" s="68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ht="12.0" customHeight="1">
      <c r="A306" s="68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ht="12.0" customHeight="1">
      <c r="A307" s="68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ht="12.0" customHeight="1">
      <c r="A308" s="68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ht="12.0" customHeight="1">
      <c r="A309" s="68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ht="12.0" customHeight="1">
      <c r="A310" s="68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ht="12.0" customHeight="1">
      <c r="A311" s="68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ht="12.0" customHeight="1">
      <c r="A312" s="68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ht="12.0" customHeight="1">
      <c r="A313" s="68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ht="12.0" customHeight="1">
      <c r="A314" s="68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ht="12.0" customHeight="1">
      <c r="A315" s="68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ht="12.0" customHeight="1">
      <c r="A316" s="68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ht="12.0" customHeight="1">
      <c r="A317" s="68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ht="12.0" customHeight="1">
      <c r="A318" s="68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ht="12.0" customHeight="1">
      <c r="A319" s="68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ht="12.0" customHeight="1">
      <c r="A320" s="68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ht="12.0" customHeight="1">
      <c r="A321" s="68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ht="12.0" customHeight="1">
      <c r="A322" s="68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ht="12.0" customHeight="1">
      <c r="A323" s="68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ht="12.0" customHeight="1">
      <c r="A324" s="68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ht="12.0" customHeight="1">
      <c r="A325" s="68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ht="12.0" customHeight="1">
      <c r="A326" s="68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ht="12.0" customHeight="1">
      <c r="A327" s="68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ht="12.0" customHeight="1">
      <c r="A328" s="68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ht="12.0" customHeight="1">
      <c r="A329" s="68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ht="12.0" customHeight="1">
      <c r="A330" s="68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ht="12.0" customHeight="1">
      <c r="A331" s="68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ht="12.0" customHeight="1">
      <c r="A332" s="68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ht="12.0" customHeight="1">
      <c r="A333" s="68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ht="12.0" customHeight="1">
      <c r="A334" s="68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ht="12.0" customHeight="1">
      <c r="A335" s="68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ht="12.0" customHeight="1">
      <c r="A336" s="68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ht="12.0" customHeight="1">
      <c r="A337" s="68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ht="12.0" customHeight="1">
      <c r="A338" s="68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ht="12.0" customHeight="1">
      <c r="A339" s="68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ht="12.0" customHeight="1">
      <c r="A340" s="68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ht="12.0" customHeight="1">
      <c r="A341" s="68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ht="12.0" customHeight="1">
      <c r="A342" s="68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ht="12.0" customHeight="1">
      <c r="A343" s="68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ht="12.0" customHeight="1">
      <c r="A344" s="68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ht="12.0" customHeight="1">
      <c r="A345" s="68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ht="12.0" customHeight="1">
      <c r="A346" s="68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ht="12.0" customHeight="1">
      <c r="A347" s="68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ht="12.0" customHeight="1">
      <c r="A348" s="68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ht="12.0" customHeight="1">
      <c r="A349" s="68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ht="12.0" customHeight="1">
      <c r="A350" s="68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ht="12.0" customHeight="1">
      <c r="A351" s="68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ht="12.0" customHeight="1">
      <c r="A352" s="68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ht="12.0" customHeight="1">
      <c r="A353" s="68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ht="12.0" customHeight="1">
      <c r="A354" s="68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ht="12.0" customHeight="1">
      <c r="A355" s="68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ht="12.0" customHeight="1">
      <c r="A356" s="68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ht="12.0" customHeight="1">
      <c r="A357" s="68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ht="12.0" customHeight="1">
      <c r="A358" s="68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ht="12.0" customHeight="1">
      <c r="A359" s="68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ht="12.0" customHeight="1">
      <c r="A360" s="68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ht="12.0" customHeight="1">
      <c r="A361" s="68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ht="12.0" customHeight="1">
      <c r="A362" s="68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ht="12.0" customHeight="1">
      <c r="A363" s="68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ht="12.0" customHeight="1">
      <c r="A364" s="68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ht="12.0" customHeight="1">
      <c r="A365" s="68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ht="12.0" customHeight="1">
      <c r="A366" s="68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ht="12.0" customHeight="1">
      <c r="A367" s="68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ht="12.0" customHeight="1">
      <c r="A368" s="68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ht="12.0" customHeight="1">
      <c r="A369" s="68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ht="12.0" customHeight="1">
      <c r="A370" s="68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ht="12.0" customHeight="1">
      <c r="A371" s="68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ht="12.0" customHeight="1">
      <c r="A372" s="68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ht="12.0" customHeight="1">
      <c r="A373" s="68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ht="12.0" customHeight="1">
      <c r="A374" s="68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ht="12.0" customHeight="1">
      <c r="A375" s="68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ht="12.0" customHeight="1">
      <c r="A376" s="68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ht="12.0" customHeight="1">
      <c r="A377" s="68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ht="12.0" customHeight="1">
      <c r="A378" s="68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ht="12.0" customHeight="1">
      <c r="A379" s="68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ht="12.0" customHeight="1">
      <c r="A380" s="68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ht="12.0" customHeight="1">
      <c r="A381" s="68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ht="12.0" customHeight="1">
      <c r="A382" s="68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ht="12.0" customHeight="1">
      <c r="A383" s="68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ht="12.0" customHeight="1">
      <c r="A384" s="68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ht="12.0" customHeight="1">
      <c r="A385" s="68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ht="12.0" customHeight="1">
      <c r="A386" s="68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ht="12.0" customHeight="1">
      <c r="A387" s="68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ht="12.0" customHeight="1">
      <c r="A388" s="68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ht="12.0" customHeight="1">
      <c r="A389" s="68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ht="12.0" customHeight="1">
      <c r="A390" s="68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ht="12.0" customHeight="1">
      <c r="A391" s="68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ht="12.0" customHeight="1">
      <c r="A392" s="68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ht="12.0" customHeight="1">
      <c r="A393" s="68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ht="12.0" customHeight="1">
      <c r="A394" s="68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ht="12.0" customHeight="1">
      <c r="A395" s="68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ht="12.0" customHeight="1">
      <c r="A396" s="68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ht="12.0" customHeight="1">
      <c r="A397" s="68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ht="12.0" customHeight="1">
      <c r="A398" s="68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ht="12.0" customHeight="1">
      <c r="A399" s="68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ht="12.0" customHeight="1">
      <c r="A400" s="68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ht="12.0" customHeight="1">
      <c r="A401" s="68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ht="12.0" customHeight="1">
      <c r="A402" s="68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ht="12.0" customHeight="1">
      <c r="A403" s="68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ht="12.0" customHeight="1">
      <c r="A404" s="68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ht="12.0" customHeight="1">
      <c r="A405" s="68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ht="12.0" customHeight="1">
      <c r="A406" s="68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ht="12.0" customHeight="1">
      <c r="A407" s="68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ht="12.0" customHeight="1">
      <c r="A408" s="68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ht="12.0" customHeight="1">
      <c r="A409" s="68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ht="12.0" customHeight="1">
      <c r="A410" s="68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ht="12.0" customHeight="1">
      <c r="A411" s="68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ht="12.0" customHeight="1">
      <c r="A412" s="68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ht="12.0" customHeight="1">
      <c r="A413" s="68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ht="12.0" customHeight="1">
      <c r="A414" s="68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ht="12.0" customHeight="1">
      <c r="A415" s="68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ht="12.0" customHeight="1">
      <c r="A416" s="68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ht="12.0" customHeight="1">
      <c r="A417" s="68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ht="12.0" customHeight="1">
      <c r="A418" s="68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ht="12.0" customHeight="1">
      <c r="A419" s="68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ht="12.0" customHeight="1">
      <c r="A420" s="68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ht="12.0" customHeight="1">
      <c r="A421" s="68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ht="12.0" customHeight="1">
      <c r="A422" s="68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ht="12.0" customHeight="1">
      <c r="A423" s="68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ht="12.0" customHeight="1">
      <c r="A424" s="68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ht="12.0" customHeight="1">
      <c r="A425" s="68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ht="12.0" customHeight="1">
      <c r="A426" s="68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ht="12.0" customHeight="1">
      <c r="A427" s="68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ht="12.0" customHeight="1">
      <c r="A428" s="68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ht="12.0" customHeight="1">
      <c r="A429" s="68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ht="12.0" customHeight="1">
      <c r="A430" s="68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ht="12.0" customHeight="1">
      <c r="A431" s="68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ht="12.0" customHeight="1">
      <c r="A432" s="68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ht="12.0" customHeight="1">
      <c r="A433" s="68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ht="12.0" customHeight="1">
      <c r="A434" s="68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ht="12.0" customHeight="1">
      <c r="A435" s="68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ht="12.0" customHeight="1">
      <c r="A436" s="68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ht="12.0" customHeight="1">
      <c r="A437" s="68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ht="12.0" customHeight="1">
      <c r="A438" s="68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ht="12.0" customHeight="1">
      <c r="A439" s="68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ht="12.0" customHeight="1">
      <c r="A440" s="68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ht="12.0" customHeight="1">
      <c r="A441" s="68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ht="12.0" customHeight="1">
      <c r="A442" s="68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ht="12.0" customHeight="1">
      <c r="A443" s="68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ht="12.0" customHeight="1">
      <c r="A444" s="68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ht="12.0" customHeight="1">
      <c r="A445" s="68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ht="12.0" customHeight="1">
      <c r="A446" s="68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ht="12.0" customHeight="1">
      <c r="A447" s="68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ht="12.0" customHeight="1">
      <c r="A448" s="68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ht="12.0" customHeight="1">
      <c r="A449" s="68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ht="12.0" customHeight="1">
      <c r="A450" s="68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ht="12.0" customHeight="1">
      <c r="A451" s="68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ht="12.0" customHeight="1">
      <c r="A452" s="68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ht="12.0" customHeight="1">
      <c r="A453" s="68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ht="12.0" customHeight="1">
      <c r="A454" s="68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ht="12.0" customHeight="1">
      <c r="A455" s="68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ht="12.0" customHeight="1">
      <c r="A456" s="68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ht="12.0" customHeight="1">
      <c r="A457" s="68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ht="12.0" customHeight="1">
      <c r="A458" s="68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ht="12.0" customHeight="1">
      <c r="A459" s="68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ht="12.0" customHeight="1">
      <c r="A460" s="68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ht="12.0" customHeight="1">
      <c r="A461" s="68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ht="12.0" customHeight="1">
      <c r="A462" s="68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ht="12.0" customHeight="1">
      <c r="A463" s="68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ht="12.0" customHeight="1">
      <c r="A464" s="68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ht="12.0" customHeight="1">
      <c r="A465" s="68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ht="12.0" customHeight="1">
      <c r="A466" s="68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ht="12.0" customHeight="1">
      <c r="A467" s="68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ht="12.0" customHeight="1">
      <c r="A468" s="68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ht="12.0" customHeight="1">
      <c r="A469" s="68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ht="12.0" customHeight="1">
      <c r="A470" s="68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ht="12.0" customHeight="1">
      <c r="A471" s="68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ht="12.0" customHeight="1">
      <c r="A472" s="68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ht="12.0" customHeight="1">
      <c r="A473" s="68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ht="12.0" customHeight="1">
      <c r="A474" s="68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ht="12.0" customHeight="1">
      <c r="A475" s="68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ht="12.0" customHeight="1">
      <c r="A476" s="68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ht="12.0" customHeight="1">
      <c r="A477" s="68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ht="12.0" customHeight="1">
      <c r="A478" s="68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ht="12.0" customHeight="1">
      <c r="A479" s="68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ht="12.0" customHeight="1">
      <c r="A480" s="68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ht="12.0" customHeight="1">
      <c r="A481" s="68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ht="12.0" customHeight="1">
      <c r="A482" s="68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ht="12.0" customHeight="1">
      <c r="A483" s="68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ht="12.0" customHeight="1">
      <c r="A484" s="68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ht="12.0" customHeight="1">
      <c r="A485" s="68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ht="12.0" customHeight="1">
      <c r="A486" s="68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ht="12.0" customHeight="1">
      <c r="A487" s="68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ht="12.0" customHeight="1">
      <c r="A488" s="68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ht="12.0" customHeight="1">
      <c r="A489" s="68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ht="12.0" customHeight="1">
      <c r="A490" s="68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ht="12.0" customHeight="1">
      <c r="A491" s="68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ht="12.0" customHeight="1">
      <c r="A492" s="68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ht="12.0" customHeight="1">
      <c r="A493" s="68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ht="12.0" customHeight="1">
      <c r="A494" s="68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ht="12.0" customHeight="1">
      <c r="A495" s="68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ht="12.0" customHeight="1">
      <c r="A496" s="68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ht="12.0" customHeight="1">
      <c r="A497" s="68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ht="12.0" customHeight="1">
      <c r="A498" s="68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ht="12.0" customHeight="1">
      <c r="A499" s="68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ht="12.0" customHeight="1">
      <c r="A500" s="68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ht="12.0" customHeight="1">
      <c r="A501" s="68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ht="12.0" customHeight="1">
      <c r="A502" s="68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ht="12.0" customHeight="1">
      <c r="A503" s="68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ht="12.0" customHeight="1">
      <c r="A504" s="68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ht="12.0" customHeight="1">
      <c r="A505" s="68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ht="12.0" customHeight="1">
      <c r="A506" s="68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ht="12.0" customHeight="1">
      <c r="A507" s="68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ht="12.0" customHeight="1">
      <c r="A508" s="68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ht="12.0" customHeight="1">
      <c r="A509" s="68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ht="12.0" customHeight="1">
      <c r="A510" s="68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ht="12.0" customHeight="1">
      <c r="A511" s="68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ht="12.0" customHeight="1">
      <c r="A512" s="68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ht="12.0" customHeight="1">
      <c r="A513" s="68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ht="12.0" customHeight="1">
      <c r="A514" s="68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ht="12.0" customHeight="1">
      <c r="A515" s="68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ht="12.0" customHeight="1">
      <c r="A516" s="68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ht="12.0" customHeight="1">
      <c r="A517" s="68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ht="12.0" customHeight="1">
      <c r="A518" s="68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ht="12.0" customHeight="1">
      <c r="A519" s="68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ht="12.0" customHeight="1">
      <c r="A520" s="68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ht="12.0" customHeight="1">
      <c r="A521" s="68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ht="12.0" customHeight="1">
      <c r="A522" s="68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ht="12.0" customHeight="1">
      <c r="A523" s="68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ht="12.0" customHeight="1">
      <c r="A524" s="68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ht="12.0" customHeight="1">
      <c r="A525" s="68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ht="12.0" customHeight="1">
      <c r="A526" s="68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ht="12.0" customHeight="1">
      <c r="A527" s="68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ht="12.0" customHeight="1">
      <c r="A528" s="68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ht="12.0" customHeight="1">
      <c r="A529" s="68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ht="12.0" customHeight="1">
      <c r="A530" s="68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ht="12.0" customHeight="1">
      <c r="A531" s="68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ht="12.0" customHeight="1">
      <c r="A532" s="68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ht="12.0" customHeight="1">
      <c r="A533" s="68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ht="12.0" customHeight="1">
      <c r="A534" s="68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ht="12.0" customHeight="1">
      <c r="A535" s="68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ht="12.0" customHeight="1">
      <c r="A536" s="68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ht="12.0" customHeight="1">
      <c r="A537" s="68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ht="12.0" customHeight="1">
      <c r="A538" s="68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ht="12.0" customHeight="1">
      <c r="A539" s="68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ht="12.0" customHeight="1">
      <c r="A540" s="68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ht="12.0" customHeight="1">
      <c r="A541" s="68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ht="12.0" customHeight="1">
      <c r="A542" s="68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ht="12.0" customHeight="1">
      <c r="A543" s="68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ht="12.0" customHeight="1">
      <c r="A544" s="68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ht="12.0" customHeight="1">
      <c r="A545" s="68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ht="12.0" customHeight="1">
      <c r="A546" s="68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ht="12.0" customHeight="1">
      <c r="A547" s="68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ht="12.0" customHeight="1">
      <c r="A548" s="68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ht="12.0" customHeight="1">
      <c r="A549" s="68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ht="12.0" customHeight="1">
      <c r="A550" s="68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ht="12.0" customHeight="1">
      <c r="A551" s="68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ht="12.0" customHeight="1">
      <c r="A552" s="68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ht="12.0" customHeight="1">
      <c r="A553" s="68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ht="12.0" customHeight="1">
      <c r="A554" s="68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ht="12.0" customHeight="1">
      <c r="A555" s="68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ht="12.0" customHeight="1">
      <c r="A556" s="68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ht="12.0" customHeight="1">
      <c r="A557" s="68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ht="12.0" customHeight="1">
      <c r="A558" s="68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ht="12.0" customHeight="1">
      <c r="A559" s="68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ht="12.0" customHeight="1">
      <c r="A560" s="68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ht="12.0" customHeight="1">
      <c r="A561" s="68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ht="12.0" customHeight="1">
      <c r="A562" s="68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ht="12.0" customHeight="1">
      <c r="A563" s="68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ht="12.0" customHeight="1">
      <c r="A564" s="68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ht="12.0" customHeight="1">
      <c r="A565" s="68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ht="12.0" customHeight="1">
      <c r="A566" s="68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ht="12.0" customHeight="1">
      <c r="A567" s="68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ht="12.0" customHeight="1">
      <c r="A568" s="68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ht="12.0" customHeight="1">
      <c r="A569" s="68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ht="12.0" customHeight="1">
      <c r="A570" s="68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ht="12.0" customHeight="1">
      <c r="A571" s="68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ht="12.0" customHeight="1">
      <c r="A572" s="68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ht="12.0" customHeight="1">
      <c r="A573" s="68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ht="12.0" customHeight="1">
      <c r="A574" s="68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ht="12.0" customHeight="1">
      <c r="A575" s="68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ht="12.0" customHeight="1">
      <c r="A576" s="68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ht="12.0" customHeight="1">
      <c r="A577" s="68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ht="12.0" customHeight="1">
      <c r="A578" s="68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ht="12.0" customHeight="1">
      <c r="A579" s="68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ht="12.0" customHeight="1">
      <c r="A580" s="68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ht="12.0" customHeight="1">
      <c r="A581" s="68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ht="12.0" customHeight="1">
      <c r="A582" s="68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ht="12.0" customHeight="1">
      <c r="A583" s="68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ht="12.0" customHeight="1">
      <c r="A584" s="68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ht="12.0" customHeight="1">
      <c r="A585" s="68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ht="12.0" customHeight="1">
      <c r="A586" s="68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ht="12.0" customHeight="1">
      <c r="A587" s="68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ht="12.0" customHeight="1">
      <c r="A588" s="68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ht="12.0" customHeight="1">
      <c r="A589" s="68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ht="12.0" customHeight="1">
      <c r="A590" s="68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ht="12.0" customHeight="1">
      <c r="A591" s="68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ht="12.0" customHeight="1">
      <c r="A592" s="68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ht="12.0" customHeight="1">
      <c r="A593" s="68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ht="12.0" customHeight="1">
      <c r="A594" s="68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ht="12.0" customHeight="1">
      <c r="A595" s="68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ht="12.0" customHeight="1">
      <c r="A596" s="68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ht="12.0" customHeight="1">
      <c r="A597" s="68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ht="12.0" customHeight="1">
      <c r="A598" s="68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ht="12.0" customHeight="1">
      <c r="A599" s="68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ht="12.0" customHeight="1">
      <c r="A600" s="68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ht="12.0" customHeight="1">
      <c r="A601" s="68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ht="12.0" customHeight="1">
      <c r="A602" s="68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ht="12.0" customHeight="1">
      <c r="A603" s="68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ht="12.0" customHeight="1">
      <c r="A604" s="68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ht="12.0" customHeight="1">
      <c r="A605" s="68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ht="12.0" customHeight="1">
      <c r="A606" s="68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ht="12.0" customHeight="1">
      <c r="A607" s="68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ht="12.0" customHeight="1">
      <c r="A608" s="68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ht="12.0" customHeight="1">
      <c r="A609" s="68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ht="12.0" customHeight="1">
      <c r="A610" s="68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ht="12.0" customHeight="1">
      <c r="A611" s="68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ht="12.0" customHeight="1">
      <c r="A612" s="68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ht="12.0" customHeight="1">
      <c r="A613" s="68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ht="12.0" customHeight="1">
      <c r="A614" s="68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ht="12.0" customHeight="1">
      <c r="A615" s="68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ht="12.0" customHeight="1">
      <c r="A616" s="68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ht="12.0" customHeight="1">
      <c r="A617" s="68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ht="12.0" customHeight="1">
      <c r="A618" s="68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ht="12.0" customHeight="1">
      <c r="A619" s="68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ht="12.0" customHeight="1">
      <c r="A620" s="68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ht="12.0" customHeight="1">
      <c r="A621" s="68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ht="12.0" customHeight="1">
      <c r="A622" s="68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ht="12.0" customHeight="1">
      <c r="A623" s="68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ht="12.0" customHeight="1">
      <c r="A624" s="68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ht="12.0" customHeight="1">
      <c r="A625" s="68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ht="12.0" customHeight="1">
      <c r="A626" s="68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ht="12.0" customHeight="1">
      <c r="A627" s="68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ht="12.0" customHeight="1">
      <c r="A628" s="68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ht="12.0" customHeight="1">
      <c r="A629" s="68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ht="12.0" customHeight="1">
      <c r="A630" s="68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ht="12.0" customHeight="1">
      <c r="A631" s="68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ht="12.0" customHeight="1">
      <c r="A632" s="68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ht="12.0" customHeight="1">
      <c r="A633" s="68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ht="12.0" customHeight="1">
      <c r="A634" s="68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ht="12.0" customHeight="1">
      <c r="A635" s="68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ht="12.0" customHeight="1">
      <c r="A636" s="68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ht="12.0" customHeight="1">
      <c r="A637" s="68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ht="12.0" customHeight="1">
      <c r="A638" s="68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ht="12.0" customHeight="1">
      <c r="A639" s="68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ht="12.0" customHeight="1">
      <c r="A640" s="68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ht="12.0" customHeight="1">
      <c r="A641" s="68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ht="12.0" customHeight="1">
      <c r="A642" s="68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ht="12.0" customHeight="1">
      <c r="A643" s="68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ht="12.0" customHeight="1">
      <c r="A644" s="68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ht="12.0" customHeight="1">
      <c r="A645" s="68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ht="12.0" customHeight="1">
      <c r="A646" s="68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ht="12.0" customHeight="1">
      <c r="A647" s="68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ht="12.0" customHeight="1">
      <c r="A648" s="68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ht="12.0" customHeight="1">
      <c r="A649" s="68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ht="12.0" customHeight="1">
      <c r="A650" s="68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ht="12.0" customHeight="1">
      <c r="A651" s="68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ht="12.0" customHeight="1">
      <c r="A652" s="68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ht="12.0" customHeight="1">
      <c r="A653" s="68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ht="12.0" customHeight="1">
      <c r="A654" s="68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ht="12.0" customHeight="1">
      <c r="A655" s="68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ht="12.0" customHeight="1">
      <c r="A656" s="68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ht="12.0" customHeight="1">
      <c r="A657" s="68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ht="12.0" customHeight="1">
      <c r="A658" s="68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ht="12.0" customHeight="1">
      <c r="A659" s="68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ht="12.0" customHeight="1">
      <c r="A660" s="68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ht="12.0" customHeight="1">
      <c r="A661" s="68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ht="12.0" customHeight="1">
      <c r="A662" s="68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ht="12.0" customHeight="1">
      <c r="A663" s="68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ht="12.0" customHeight="1">
      <c r="A664" s="68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ht="12.0" customHeight="1">
      <c r="A665" s="68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ht="12.0" customHeight="1">
      <c r="A666" s="68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ht="12.0" customHeight="1">
      <c r="A667" s="68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ht="12.0" customHeight="1">
      <c r="A668" s="68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ht="12.0" customHeight="1">
      <c r="A669" s="68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ht="12.0" customHeight="1">
      <c r="A670" s="68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ht="12.0" customHeight="1">
      <c r="A671" s="68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ht="12.0" customHeight="1">
      <c r="A672" s="68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ht="12.0" customHeight="1">
      <c r="A673" s="68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ht="12.0" customHeight="1">
      <c r="A674" s="68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ht="12.0" customHeight="1">
      <c r="A675" s="68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ht="12.0" customHeight="1">
      <c r="A676" s="68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ht="12.0" customHeight="1">
      <c r="A677" s="68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ht="12.0" customHeight="1">
      <c r="A678" s="68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ht="12.0" customHeight="1">
      <c r="A679" s="68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ht="12.0" customHeight="1">
      <c r="A680" s="68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ht="12.0" customHeight="1">
      <c r="A681" s="68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ht="12.0" customHeight="1">
      <c r="A682" s="68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ht="12.0" customHeight="1">
      <c r="A683" s="68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ht="12.0" customHeight="1">
      <c r="A684" s="68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ht="12.0" customHeight="1">
      <c r="A685" s="68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ht="12.0" customHeight="1">
      <c r="A686" s="68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ht="12.0" customHeight="1">
      <c r="A687" s="68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ht="12.0" customHeight="1">
      <c r="A688" s="68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ht="12.0" customHeight="1">
      <c r="A689" s="68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ht="12.0" customHeight="1">
      <c r="A690" s="68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ht="12.0" customHeight="1">
      <c r="A691" s="68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ht="12.0" customHeight="1">
      <c r="A692" s="68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ht="12.0" customHeight="1">
      <c r="A693" s="68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ht="12.0" customHeight="1">
      <c r="A694" s="68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ht="12.0" customHeight="1">
      <c r="A695" s="68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ht="12.0" customHeight="1">
      <c r="A696" s="68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ht="12.0" customHeight="1">
      <c r="A697" s="68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ht="12.0" customHeight="1">
      <c r="A698" s="68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ht="12.0" customHeight="1">
      <c r="A699" s="68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ht="12.0" customHeight="1">
      <c r="A700" s="68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ht="12.0" customHeight="1">
      <c r="A701" s="68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ht="12.0" customHeight="1">
      <c r="A702" s="68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ht="12.0" customHeight="1">
      <c r="A703" s="68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ht="12.0" customHeight="1">
      <c r="A704" s="68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ht="12.0" customHeight="1">
      <c r="A705" s="68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ht="12.0" customHeight="1">
      <c r="A706" s="68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ht="12.0" customHeight="1">
      <c r="A707" s="68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ht="12.0" customHeight="1">
      <c r="A708" s="68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ht="12.0" customHeight="1">
      <c r="A709" s="68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ht="12.0" customHeight="1">
      <c r="A710" s="68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ht="12.0" customHeight="1">
      <c r="A711" s="68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ht="12.0" customHeight="1">
      <c r="A712" s="68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ht="12.0" customHeight="1">
      <c r="A713" s="68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ht="12.0" customHeight="1">
      <c r="A714" s="68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ht="12.0" customHeight="1">
      <c r="A715" s="68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ht="12.0" customHeight="1">
      <c r="A716" s="68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ht="12.0" customHeight="1">
      <c r="A717" s="68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ht="12.0" customHeight="1">
      <c r="A718" s="68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ht="12.0" customHeight="1">
      <c r="A719" s="68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ht="12.0" customHeight="1">
      <c r="A720" s="68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ht="12.0" customHeight="1">
      <c r="A721" s="68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ht="12.0" customHeight="1">
      <c r="A722" s="68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ht="12.0" customHeight="1">
      <c r="A723" s="68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ht="12.0" customHeight="1">
      <c r="A724" s="68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ht="12.0" customHeight="1">
      <c r="A725" s="68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ht="12.0" customHeight="1">
      <c r="A726" s="68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ht="12.0" customHeight="1">
      <c r="A727" s="68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ht="12.0" customHeight="1">
      <c r="A728" s="68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ht="12.0" customHeight="1">
      <c r="A729" s="68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ht="12.0" customHeight="1">
      <c r="A730" s="68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ht="12.0" customHeight="1">
      <c r="A731" s="68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ht="12.0" customHeight="1">
      <c r="A732" s="68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ht="12.0" customHeight="1">
      <c r="A733" s="68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ht="12.0" customHeight="1">
      <c r="A734" s="68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ht="12.0" customHeight="1">
      <c r="A735" s="68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ht="12.0" customHeight="1">
      <c r="A736" s="68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ht="12.0" customHeight="1">
      <c r="A737" s="68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ht="12.0" customHeight="1">
      <c r="A738" s="68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ht="12.0" customHeight="1">
      <c r="A739" s="68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ht="12.0" customHeight="1">
      <c r="A740" s="68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ht="12.0" customHeight="1">
      <c r="A741" s="68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ht="12.0" customHeight="1">
      <c r="A742" s="68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ht="12.0" customHeight="1">
      <c r="A743" s="68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ht="12.0" customHeight="1">
      <c r="A744" s="68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ht="12.0" customHeight="1">
      <c r="A745" s="68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ht="12.0" customHeight="1">
      <c r="A746" s="68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ht="12.0" customHeight="1">
      <c r="A747" s="68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ht="12.0" customHeight="1">
      <c r="A748" s="68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ht="12.0" customHeight="1">
      <c r="A749" s="68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ht="12.0" customHeight="1">
      <c r="A750" s="68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ht="12.0" customHeight="1">
      <c r="A751" s="68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ht="12.0" customHeight="1">
      <c r="A752" s="68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ht="12.0" customHeight="1">
      <c r="A753" s="68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ht="12.0" customHeight="1">
      <c r="A754" s="68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ht="12.0" customHeight="1">
      <c r="A755" s="68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ht="12.0" customHeight="1">
      <c r="A756" s="68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ht="12.0" customHeight="1">
      <c r="A757" s="68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ht="12.0" customHeight="1">
      <c r="A758" s="68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ht="12.0" customHeight="1">
      <c r="A759" s="68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ht="12.0" customHeight="1">
      <c r="A760" s="68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ht="12.0" customHeight="1">
      <c r="A761" s="68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ht="12.0" customHeight="1">
      <c r="A762" s="68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ht="12.0" customHeight="1">
      <c r="A763" s="68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ht="12.0" customHeight="1">
      <c r="A764" s="68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ht="12.0" customHeight="1">
      <c r="A765" s="68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ht="12.0" customHeight="1">
      <c r="A766" s="68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ht="12.0" customHeight="1">
      <c r="A767" s="68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ht="12.0" customHeight="1">
      <c r="A768" s="68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ht="12.0" customHeight="1">
      <c r="A769" s="68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ht="12.0" customHeight="1">
      <c r="A770" s="68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ht="12.0" customHeight="1">
      <c r="A771" s="68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ht="12.0" customHeight="1">
      <c r="A772" s="68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ht="12.0" customHeight="1">
      <c r="A773" s="68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ht="12.0" customHeight="1">
      <c r="A774" s="68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ht="12.0" customHeight="1">
      <c r="A775" s="68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ht="12.0" customHeight="1">
      <c r="A776" s="68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ht="12.0" customHeight="1">
      <c r="A777" s="68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ht="12.0" customHeight="1">
      <c r="A778" s="68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ht="12.0" customHeight="1">
      <c r="A779" s="68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ht="12.0" customHeight="1">
      <c r="A780" s="68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ht="12.0" customHeight="1">
      <c r="A781" s="68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ht="12.0" customHeight="1">
      <c r="A782" s="68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ht="12.0" customHeight="1">
      <c r="A783" s="68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ht="12.0" customHeight="1">
      <c r="A784" s="68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ht="12.0" customHeight="1">
      <c r="A785" s="68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ht="12.0" customHeight="1">
      <c r="A786" s="68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ht="12.0" customHeight="1">
      <c r="A787" s="68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ht="12.0" customHeight="1">
      <c r="A788" s="68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ht="12.0" customHeight="1">
      <c r="A789" s="68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ht="12.0" customHeight="1">
      <c r="A790" s="68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ht="12.0" customHeight="1">
      <c r="A791" s="68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ht="12.0" customHeight="1">
      <c r="A792" s="68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ht="12.0" customHeight="1">
      <c r="A793" s="68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ht="12.0" customHeight="1">
      <c r="A794" s="68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ht="12.0" customHeight="1">
      <c r="A795" s="68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ht="12.0" customHeight="1">
      <c r="A796" s="68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ht="12.0" customHeight="1">
      <c r="A797" s="68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ht="12.0" customHeight="1">
      <c r="A798" s="68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ht="12.0" customHeight="1">
      <c r="A799" s="68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ht="12.0" customHeight="1">
      <c r="A800" s="68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ht="12.0" customHeight="1">
      <c r="A801" s="68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ht="12.0" customHeight="1">
      <c r="A802" s="68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ht="12.0" customHeight="1">
      <c r="A803" s="68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ht="12.0" customHeight="1">
      <c r="A804" s="68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ht="12.0" customHeight="1">
      <c r="A805" s="68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ht="12.0" customHeight="1">
      <c r="A806" s="68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ht="12.0" customHeight="1">
      <c r="A807" s="68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ht="12.0" customHeight="1">
      <c r="A808" s="68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ht="12.0" customHeight="1">
      <c r="A809" s="68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ht="12.0" customHeight="1">
      <c r="A810" s="68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ht="12.0" customHeight="1">
      <c r="A811" s="68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ht="12.0" customHeight="1">
      <c r="A812" s="68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ht="12.0" customHeight="1">
      <c r="A813" s="68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ht="12.0" customHeight="1">
      <c r="A814" s="68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ht="12.0" customHeight="1">
      <c r="A815" s="68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ht="12.0" customHeight="1">
      <c r="A816" s="68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ht="12.0" customHeight="1">
      <c r="A817" s="68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ht="12.0" customHeight="1">
      <c r="A818" s="68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ht="12.0" customHeight="1">
      <c r="A819" s="68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ht="12.0" customHeight="1">
      <c r="A820" s="68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ht="12.0" customHeight="1">
      <c r="A821" s="68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ht="12.0" customHeight="1">
      <c r="A822" s="68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ht="12.0" customHeight="1">
      <c r="A823" s="68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ht="12.0" customHeight="1">
      <c r="A824" s="68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ht="12.0" customHeight="1">
      <c r="A825" s="68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ht="12.0" customHeight="1">
      <c r="A826" s="68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ht="12.0" customHeight="1">
      <c r="A827" s="68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ht="12.0" customHeight="1">
      <c r="A828" s="68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ht="12.0" customHeight="1">
      <c r="A829" s="68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ht="12.0" customHeight="1">
      <c r="A830" s="68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ht="12.0" customHeight="1">
      <c r="A831" s="68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ht="12.0" customHeight="1">
      <c r="A832" s="68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ht="12.0" customHeight="1">
      <c r="A833" s="68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ht="12.0" customHeight="1">
      <c r="A834" s="68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ht="12.0" customHeight="1">
      <c r="A835" s="68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ht="12.0" customHeight="1">
      <c r="A836" s="68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ht="12.0" customHeight="1">
      <c r="A837" s="68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ht="12.0" customHeight="1">
      <c r="A838" s="68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ht="12.0" customHeight="1">
      <c r="A839" s="68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ht="12.0" customHeight="1">
      <c r="A840" s="68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ht="12.0" customHeight="1">
      <c r="A841" s="68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ht="12.0" customHeight="1">
      <c r="A842" s="68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ht="12.0" customHeight="1">
      <c r="A843" s="68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ht="12.0" customHeight="1">
      <c r="A844" s="68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ht="12.0" customHeight="1">
      <c r="A845" s="68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ht="12.0" customHeight="1">
      <c r="A846" s="68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ht="12.0" customHeight="1">
      <c r="A847" s="68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ht="12.0" customHeight="1">
      <c r="A848" s="68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ht="12.0" customHeight="1">
      <c r="A849" s="68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ht="12.0" customHeight="1">
      <c r="A850" s="68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ht="12.0" customHeight="1">
      <c r="A851" s="68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ht="12.0" customHeight="1">
      <c r="A852" s="68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ht="12.0" customHeight="1">
      <c r="A853" s="68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ht="12.0" customHeight="1">
      <c r="A854" s="68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ht="12.0" customHeight="1">
      <c r="A855" s="68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ht="12.0" customHeight="1">
      <c r="A856" s="68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ht="12.0" customHeight="1">
      <c r="A857" s="68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ht="12.0" customHeight="1">
      <c r="A858" s="68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ht="12.0" customHeight="1">
      <c r="A859" s="68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ht="12.0" customHeight="1">
      <c r="A860" s="68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ht="12.0" customHeight="1">
      <c r="A861" s="68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ht="12.0" customHeight="1">
      <c r="A862" s="68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ht="12.0" customHeight="1">
      <c r="A863" s="68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ht="12.0" customHeight="1">
      <c r="A864" s="68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ht="12.0" customHeight="1">
      <c r="A865" s="68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ht="12.0" customHeight="1">
      <c r="A866" s="68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ht="12.0" customHeight="1">
      <c r="A867" s="68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ht="12.0" customHeight="1">
      <c r="A868" s="68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ht="12.0" customHeight="1">
      <c r="A869" s="68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ht="12.0" customHeight="1">
      <c r="A870" s="68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ht="12.0" customHeight="1">
      <c r="A871" s="68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ht="12.0" customHeight="1">
      <c r="A872" s="68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ht="12.0" customHeight="1">
      <c r="A873" s="68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ht="12.0" customHeight="1">
      <c r="A874" s="68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ht="12.0" customHeight="1">
      <c r="A875" s="68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ht="12.0" customHeight="1">
      <c r="A876" s="68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ht="12.0" customHeight="1">
      <c r="A877" s="68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ht="12.0" customHeight="1">
      <c r="A878" s="68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ht="12.0" customHeight="1">
      <c r="A879" s="68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ht="12.0" customHeight="1">
      <c r="A880" s="68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ht="12.0" customHeight="1">
      <c r="A881" s="68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ht="12.0" customHeight="1">
      <c r="A882" s="68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ht="12.0" customHeight="1">
      <c r="A883" s="68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ht="12.0" customHeight="1">
      <c r="A884" s="68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ht="12.0" customHeight="1">
      <c r="A885" s="68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ht="12.0" customHeight="1">
      <c r="A886" s="68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ht="12.0" customHeight="1">
      <c r="A887" s="68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ht="12.0" customHeight="1">
      <c r="A888" s="68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ht="12.0" customHeight="1">
      <c r="A889" s="68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ht="12.0" customHeight="1">
      <c r="A890" s="68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ht="12.0" customHeight="1">
      <c r="A891" s="68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ht="12.0" customHeight="1">
      <c r="A892" s="68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ht="12.0" customHeight="1">
      <c r="A893" s="68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ht="12.0" customHeight="1">
      <c r="A894" s="68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ht="12.0" customHeight="1">
      <c r="A895" s="68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ht="12.0" customHeight="1">
      <c r="A896" s="68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ht="12.0" customHeight="1">
      <c r="A897" s="68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ht="12.0" customHeight="1">
      <c r="A898" s="68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ht="12.0" customHeight="1">
      <c r="A899" s="68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ht="12.0" customHeight="1">
      <c r="A900" s="68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ht="12.0" customHeight="1">
      <c r="A901" s="68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ht="12.0" customHeight="1">
      <c r="A902" s="68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ht="12.0" customHeight="1">
      <c r="A903" s="68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ht="12.0" customHeight="1">
      <c r="A904" s="68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ht="12.0" customHeight="1">
      <c r="A905" s="68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ht="12.0" customHeight="1">
      <c r="A906" s="68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ht="12.0" customHeight="1">
      <c r="A907" s="68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ht="12.0" customHeight="1">
      <c r="A908" s="68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ht="12.0" customHeight="1">
      <c r="A909" s="68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ht="12.0" customHeight="1">
      <c r="A910" s="68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ht="12.0" customHeight="1">
      <c r="A911" s="68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ht="12.0" customHeight="1">
      <c r="A912" s="68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ht="12.0" customHeight="1">
      <c r="A913" s="68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ht="12.0" customHeight="1">
      <c r="A914" s="68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ht="12.0" customHeight="1">
      <c r="A915" s="68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ht="12.0" customHeight="1">
      <c r="A916" s="68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ht="12.0" customHeight="1">
      <c r="A917" s="68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ht="12.0" customHeight="1">
      <c r="A918" s="68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ht="12.0" customHeight="1">
      <c r="A919" s="68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ht="12.0" customHeight="1">
      <c r="A920" s="68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ht="12.0" customHeight="1">
      <c r="A921" s="68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ht="12.0" customHeight="1">
      <c r="A922" s="68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ht="12.0" customHeight="1">
      <c r="A923" s="68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ht="12.0" customHeight="1">
      <c r="A924" s="68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ht="12.0" customHeight="1">
      <c r="A925" s="68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ht="12.0" customHeight="1">
      <c r="A926" s="68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ht="12.0" customHeight="1">
      <c r="A927" s="68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ht="12.0" customHeight="1">
      <c r="A928" s="68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ht="12.0" customHeight="1">
      <c r="A929" s="68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ht="12.0" customHeight="1">
      <c r="A930" s="68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ht="12.0" customHeight="1">
      <c r="A931" s="68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ht="12.0" customHeight="1">
      <c r="A932" s="68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ht="12.0" customHeight="1">
      <c r="A933" s="68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ht="12.0" customHeight="1">
      <c r="A934" s="68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ht="12.0" customHeight="1">
      <c r="A935" s="68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ht="12.0" customHeight="1">
      <c r="A936" s="68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ht="12.0" customHeight="1">
      <c r="A937" s="68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ht="12.0" customHeight="1">
      <c r="A938" s="68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ht="12.0" customHeight="1">
      <c r="A939" s="68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ht="12.0" customHeight="1">
      <c r="A940" s="68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ht="12.0" customHeight="1">
      <c r="A941" s="68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ht="12.0" customHeight="1">
      <c r="A942" s="68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ht="12.0" customHeight="1">
      <c r="A943" s="68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ht="12.0" customHeight="1">
      <c r="A944" s="68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ht="12.0" customHeight="1">
      <c r="A945" s="68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ht="12.0" customHeight="1">
      <c r="A946" s="68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ht="12.0" customHeight="1">
      <c r="A947" s="68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ht="12.0" customHeight="1">
      <c r="A948" s="68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ht="12.0" customHeight="1">
      <c r="A949" s="68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ht="12.0" customHeight="1">
      <c r="A950" s="68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ht="12.0" customHeight="1">
      <c r="A951" s="68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ht="12.0" customHeight="1">
      <c r="A952" s="68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ht="12.0" customHeight="1">
      <c r="A953" s="68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ht="12.0" customHeight="1">
      <c r="A954" s="68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ht="12.0" customHeight="1">
      <c r="A955" s="68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ht="12.0" customHeight="1">
      <c r="A956" s="68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ht="12.0" customHeight="1">
      <c r="A957" s="68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ht="12.0" customHeight="1">
      <c r="A958" s="68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ht="12.0" customHeight="1">
      <c r="A959" s="68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ht="12.0" customHeight="1">
      <c r="A960" s="68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ht="12.0" customHeight="1">
      <c r="A961" s="68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ht="12.0" customHeight="1">
      <c r="A962" s="68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ht="12.0" customHeight="1">
      <c r="A963" s="68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ht="12.0" customHeight="1">
      <c r="A964" s="68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ht="12.0" customHeight="1">
      <c r="A965" s="68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ht="12.0" customHeight="1">
      <c r="A966" s="68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ht="12.0" customHeight="1">
      <c r="A967" s="68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ht="12.0" customHeight="1">
      <c r="A968" s="68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ht="12.0" customHeight="1">
      <c r="A969" s="68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ht="12.0" customHeight="1">
      <c r="A970" s="68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ht="12.0" customHeight="1">
      <c r="A971" s="68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ht="12.0" customHeight="1">
      <c r="A972" s="68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ht="12.0" customHeight="1">
      <c r="A973" s="68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ht="12.0" customHeight="1">
      <c r="A974" s="68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ht="12.0" customHeight="1">
      <c r="A975" s="68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ht="12.0" customHeight="1">
      <c r="A976" s="68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ht="12.0" customHeight="1">
      <c r="A977" s="68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ht="12.0" customHeight="1">
      <c r="A978" s="68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ht="12.0" customHeight="1">
      <c r="A979" s="68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ht="12.0" customHeight="1">
      <c r="A980" s="68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ht="12.0" customHeight="1">
      <c r="A981" s="68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ht="12.0" customHeight="1">
      <c r="A982" s="68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ht="12.0" customHeight="1">
      <c r="A983" s="68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ht="12.0" customHeight="1">
      <c r="A984" s="68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ht="12.0" customHeight="1">
      <c r="A985" s="68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ht="12.0" customHeight="1">
      <c r="A986" s="68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ht="12.0" customHeight="1">
      <c r="A987" s="68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ht="12.0" customHeight="1">
      <c r="A988" s="68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ht="12.0" customHeight="1">
      <c r="A989" s="68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ht="12.0" customHeight="1">
      <c r="A990" s="68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ht="12.0" customHeight="1">
      <c r="A991" s="68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ht="12.0" customHeight="1">
      <c r="A992" s="68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ht="12.0" customHeight="1">
      <c r="A993" s="68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ht="12.0" customHeight="1">
      <c r="A994" s="68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ht="12.0" customHeight="1">
      <c r="A995" s="68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ht="12.0" customHeight="1">
      <c r="A996" s="68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ht="12.0" customHeight="1">
      <c r="A997" s="68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ht="12.0" customHeight="1">
      <c r="A998" s="68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ht="12.0" customHeight="1">
      <c r="A999" s="68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ht="12.0" customHeight="1">
      <c r="A1000" s="68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29">
    <mergeCell ref="N7:O7"/>
    <mergeCell ref="R7:S7"/>
    <mergeCell ref="T7:U7"/>
    <mergeCell ref="V7:W7"/>
    <mergeCell ref="X7:Y7"/>
    <mergeCell ref="Z7:Z8"/>
    <mergeCell ref="AB7:AB8"/>
    <mergeCell ref="B7:B8"/>
    <mergeCell ref="C7:C8"/>
    <mergeCell ref="D7:E7"/>
    <mergeCell ref="F7:G7"/>
    <mergeCell ref="H7:I7"/>
    <mergeCell ref="J7:K7"/>
    <mergeCell ref="L7:M7"/>
    <mergeCell ref="L30:M30"/>
    <mergeCell ref="N30:O30"/>
    <mergeCell ref="R30:S30"/>
    <mergeCell ref="T30:U30"/>
    <mergeCell ref="X30:Y30"/>
    <mergeCell ref="Z30:Z31"/>
    <mergeCell ref="AB30:AB31"/>
    <mergeCell ref="B27:C27"/>
    <mergeCell ref="B30:B31"/>
    <mergeCell ref="C30:C31"/>
    <mergeCell ref="D30:E30"/>
    <mergeCell ref="F30:G30"/>
    <mergeCell ref="H30:I30"/>
    <mergeCell ref="J30:K30"/>
    <mergeCell ref="B35:C35"/>
  </mergeCells>
  <printOptions/>
  <pageMargins bottom="0.75" footer="0.0" header="0.0" left="0.25" right="0.25" top="0.75"/>
  <pageSetup paperSize="9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15.86"/>
    <col customWidth="1" min="3" max="3" width="56.14"/>
    <col customWidth="1" min="4" max="5" width="19.29"/>
  </cols>
  <sheetData>
    <row r="1">
      <c r="A1" s="508"/>
      <c r="B1" s="736"/>
      <c r="C1" s="737" t="s">
        <v>787</v>
      </c>
    </row>
    <row r="2" ht="13.5" customHeight="1">
      <c r="A2" s="508"/>
      <c r="B2" s="736"/>
      <c r="C2" s="738"/>
      <c r="D2" s="738"/>
      <c r="E2" s="738"/>
    </row>
    <row r="3" ht="13.5" customHeight="1">
      <c r="A3" s="508"/>
      <c r="B3" s="736"/>
      <c r="C3" s="681"/>
      <c r="D3" s="738"/>
      <c r="E3" s="738"/>
    </row>
    <row r="4">
      <c r="A4" s="508"/>
      <c r="B4" s="739" t="s">
        <v>0</v>
      </c>
      <c r="C4" s="738"/>
      <c r="D4" s="655" t="s">
        <v>632</v>
      </c>
      <c r="E4" s="655" t="s">
        <v>632</v>
      </c>
    </row>
    <row r="5" ht="13.5" customHeight="1">
      <c r="A5" s="508"/>
      <c r="B5" s="530"/>
      <c r="C5" s="740" t="s">
        <v>778</v>
      </c>
      <c r="D5" s="740" t="s">
        <v>866</v>
      </c>
      <c r="E5" s="740" t="s">
        <v>867</v>
      </c>
    </row>
    <row r="6" ht="13.5" customHeight="1">
      <c r="A6" s="508"/>
      <c r="B6" s="741">
        <v>1.0</v>
      </c>
      <c r="C6" s="742" t="s">
        <v>790</v>
      </c>
      <c r="D6" s="743"/>
      <c r="E6" s="743"/>
    </row>
    <row r="7" ht="13.5" customHeight="1">
      <c r="A7" s="508"/>
      <c r="B7" s="741">
        <v>1.1</v>
      </c>
      <c r="C7" s="743" t="s">
        <v>791</v>
      </c>
      <c r="D7" s="744">
        <v>4.0063267E8</v>
      </c>
      <c r="E7" s="744">
        <v>2.78271503069E9</v>
      </c>
    </row>
    <row r="8" ht="13.5" customHeight="1">
      <c r="A8" s="508"/>
      <c r="B8" s="530" t="s">
        <v>637</v>
      </c>
      <c r="C8" s="745" t="s">
        <v>792</v>
      </c>
      <c r="D8" s="746"/>
      <c r="E8" s="746"/>
    </row>
    <row r="9" ht="13.5" customHeight="1">
      <c r="A9" s="508"/>
      <c r="B9" s="530" t="s">
        <v>639</v>
      </c>
      <c r="C9" s="745" t="s">
        <v>793</v>
      </c>
      <c r="D9" s="744"/>
      <c r="E9" s="744"/>
    </row>
    <row r="10" ht="13.5" customHeight="1">
      <c r="A10" s="508"/>
      <c r="B10" s="530" t="s">
        <v>641</v>
      </c>
      <c r="C10" s="747" t="s">
        <v>794</v>
      </c>
      <c r="D10" s="744"/>
      <c r="E10" s="744"/>
    </row>
    <row r="11" ht="13.5" customHeight="1">
      <c r="A11" s="508"/>
      <c r="B11" s="530" t="s">
        <v>643</v>
      </c>
      <c r="C11" s="745" t="s">
        <v>795</v>
      </c>
      <c r="D11" s="744"/>
      <c r="E11" s="744"/>
    </row>
    <row r="12" ht="13.5" customHeight="1">
      <c r="A12" s="508"/>
      <c r="B12" s="530" t="s">
        <v>645</v>
      </c>
      <c r="C12" s="745" t="s">
        <v>796</v>
      </c>
      <c r="D12" s="744"/>
      <c r="E12" s="744"/>
    </row>
    <row r="13" ht="13.5" customHeight="1">
      <c r="A13" s="508"/>
      <c r="B13" s="530" t="s">
        <v>647</v>
      </c>
      <c r="C13" s="745" t="s">
        <v>797</v>
      </c>
      <c r="D13" s="746">
        <v>4.0063267E8</v>
      </c>
      <c r="E13" s="746"/>
    </row>
    <row r="14" ht="13.5" customHeight="1">
      <c r="A14" s="508"/>
      <c r="B14" s="530">
        <v>1.2</v>
      </c>
      <c r="C14" s="742" t="s">
        <v>798</v>
      </c>
      <c r="D14" s="744">
        <v>3.1478672700599995E9</v>
      </c>
      <c r="E14" s="744">
        <v>8.302908819119999E9</v>
      </c>
    </row>
    <row r="15" ht="13.5" customHeight="1">
      <c r="A15" s="508"/>
      <c r="B15" s="530" t="s">
        <v>658</v>
      </c>
      <c r="C15" s="745" t="s">
        <v>799</v>
      </c>
      <c r="D15" s="713">
        <v>3.5767594565E8</v>
      </c>
      <c r="E15" s="713">
        <v>1.48778451128E9</v>
      </c>
    </row>
    <row r="16" ht="13.5" customHeight="1">
      <c r="A16" s="508"/>
      <c r="B16" s="530" t="s">
        <v>659</v>
      </c>
      <c r="C16" s="745" t="s">
        <v>800</v>
      </c>
      <c r="D16" s="713">
        <v>0.0</v>
      </c>
      <c r="E16" s="713">
        <v>2.7163312056E8</v>
      </c>
    </row>
    <row r="17" ht="13.5" customHeight="1">
      <c r="A17" s="508"/>
      <c r="B17" s="530" t="s">
        <v>660</v>
      </c>
      <c r="C17" s="745" t="s">
        <v>801</v>
      </c>
      <c r="D17" s="713">
        <v>9989540.8</v>
      </c>
      <c r="E17" s="713">
        <v>1.176822375E8</v>
      </c>
    </row>
    <row r="18" ht="13.5" customHeight="1">
      <c r="A18" s="508"/>
      <c r="B18" s="530" t="s">
        <v>662</v>
      </c>
      <c r="C18" s="745" t="s">
        <v>802</v>
      </c>
      <c r="D18" s="713">
        <v>3.979533681E8</v>
      </c>
      <c r="E18" s="713">
        <v>5.203706434E7</v>
      </c>
    </row>
    <row r="19" ht="13.5" customHeight="1">
      <c r="A19" s="508"/>
      <c r="B19" s="530" t="s">
        <v>664</v>
      </c>
      <c r="C19" s="745" t="s">
        <v>803</v>
      </c>
      <c r="D19" s="713">
        <v>7487700.0</v>
      </c>
      <c r="E19" s="713">
        <v>1.3553293002E8</v>
      </c>
    </row>
    <row r="20" ht="13.5" customHeight="1">
      <c r="A20" s="508"/>
      <c r="B20" s="530" t="s">
        <v>666</v>
      </c>
      <c r="C20" s="745" t="s">
        <v>804</v>
      </c>
      <c r="D20" s="713">
        <v>1.24178646486E9</v>
      </c>
      <c r="E20" s="713">
        <v>2.73014484351E9</v>
      </c>
    </row>
    <row r="21" ht="13.5" customHeight="1">
      <c r="A21" s="508"/>
      <c r="B21" s="530" t="s">
        <v>668</v>
      </c>
      <c r="C21" s="745" t="s">
        <v>805</v>
      </c>
      <c r="D21" s="713">
        <v>3.416603673E7</v>
      </c>
      <c r="E21" s="713">
        <v>1.00166726994E9</v>
      </c>
    </row>
    <row r="22" ht="13.5" customHeight="1">
      <c r="A22" s="508"/>
      <c r="B22" s="530" t="s">
        <v>670</v>
      </c>
      <c r="C22" s="745" t="s">
        <v>806</v>
      </c>
      <c r="D22" s="748">
        <v>1.82696858E7</v>
      </c>
      <c r="E22" s="748">
        <v>2.675500654E7</v>
      </c>
    </row>
    <row r="23" ht="13.5" customHeight="1">
      <c r="A23" s="508"/>
      <c r="B23" s="530" t="s">
        <v>672</v>
      </c>
      <c r="C23" s="745" t="s">
        <v>807</v>
      </c>
      <c r="D23" s="713">
        <v>1.08053852812E9</v>
      </c>
      <c r="E23" s="713">
        <v>2.47967183543E9</v>
      </c>
    </row>
    <row r="24" ht="13.5" customHeight="1">
      <c r="A24" s="508"/>
      <c r="B24" s="523">
        <v>1.3</v>
      </c>
      <c r="C24" s="742" t="s">
        <v>808</v>
      </c>
      <c r="D24" s="744">
        <v>-2.7472346000599995E9</v>
      </c>
      <c r="E24" s="744">
        <v>-5.520193788429998E9</v>
      </c>
    </row>
    <row r="25" ht="13.5" customHeight="1">
      <c r="A25" s="508"/>
      <c r="B25" s="741">
        <v>2.0</v>
      </c>
      <c r="C25" s="743" t="s">
        <v>809</v>
      </c>
      <c r="D25" s="744"/>
      <c r="E25" s="744"/>
    </row>
    <row r="26" ht="13.5" customHeight="1">
      <c r="A26" s="508"/>
      <c r="B26" s="530">
        <v>2.1</v>
      </c>
      <c r="C26" s="742" t="s">
        <v>810</v>
      </c>
      <c r="D26" s="744">
        <v>1.9670164120699997E9</v>
      </c>
      <c r="E26" s="744">
        <v>5.116545309951E10</v>
      </c>
    </row>
    <row r="27" ht="13.5" customHeight="1">
      <c r="A27" s="508"/>
      <c r="B27" s="530" t="s">
        <v>676</v>
      </c>
      <c r="C27" s="745" t="s">
        <v>811</v>
      </c>
      <c r="D27" s="746"/>
      <c r="E27" s="746"/>
    </row>
    <row r="28" ht="13.5" customHeight="1">
      <c r="A28" s="508"/>
      <c r="B28" s="530" t="s">
        <v>699</v>
      </c>
      <c r="C28" s="745" t="s">
        <v>812</v>
      </c>
      <c r="D28" s="746">
        <v>0.0</v>
      </c>
      <c r="E28" s="746"/>
    </row>
    <row r="29" ht="13.5" customHeight="1">
      <c r="A29" s="508"/>
      <c r="B29" s="530" t="s">
        <v>813</v>
      </c>
      <c r="C29" s="745" t="s">
        <v>814</v>
      </c>
      <c r="D29" s="746">
        <v>0.0</v>
      </c>
      <c r="E29" s="746">
        <v>1.080040481918E10</v>
      </c>
    </row>
    <row r="30" ht="13.5" customHeight="1">
      <c r="A30" s="508"/>
      <c r="B30" s="530" t="s">
        <v>815</v>
      </c>
      <c r="C30" s="745" t="s">
        <v>816</v>
      </c>
      <c r="D30" s="746">
        <v>0.0</v>
      </c>
      <c r="E30" s="746">
        <v>2.085E10</v>
      </c>
    </row>
    <row r="31" ht="13.5" customHeight="1">
      <c r="A31" s="508"/>
      <c r="B31" s="530" t="s">
        <v>817</v>
      </c>
      <c r="C31" s="745" t="s">
        <v>818</v>
      </c>
      <c r="D31" s="746">
        <v>1.9661167157199998E9</v>
      </c>
      <c r="E31" s="746">
        <v>1.861130242504E10</v>
      </c>
    </row>
    <row r="32" ht="13.5" customHeight="1">
      <c r="A32" s="508"/>
      <c r="B32" s="530" t="s">
        <v>819</v>
      </c>
      <c r="C32" s="745" t="s">
        <v>820</v>
      </c>
      <c r="D32" s="746">
        <v>899696.3499999999</v>
      </c>
      <c r="E32" s="746"/>
    </row>
    <row r="33" ht="14.25" customHeight="1">
      <c r="A33" s="508"/>
      <c r="B33" s="530" t="s">
        <v>821</v>
      </c>
      <c r="C33" s="745" t="s">
        <v>822</v>
      </c>
      <c r="D33" s="746">
        <v>0.0</v>
      </c>
      <c r="E33" s="746">
        <v>9.0374585529E8</v>
      </c>
    </row>
    <row r="34" ht="13.5" customHeight="1">
      <c r="A34" s="508"/>
      <c r="B34" s="530" t="s">
        <v>823</v>
      </c>
      <c r="C34" s="745"/>
      <c r="D34" s="746"/>
      <c r="E34" s="746"/>
    </row>
    <row r="35" ht="13.5" customHeight="1">
      <c r="A35" s="508"/>
      <c r="B35" s="530">
        <v>2.2</v>
      </c>
      <c r="C35" s="742" t="s">
        <v>798</v>
      </c>
      <c r="D35" s="744">
        <v>1.31456103233E9</v>
      </c>
      <c r="E35" s="744">
        <v>4.949244673546E10</v>
      </c>
    </row>
    <row r="36" ht="13.5" customHeight="1">
      <c r="A36" s="508"/>
      <c r="B36" s="530" t="s">
        <v>824</v>
      </c>
      <c r="C36" s="745" t="s">
        <v>825</v>
      </c>
      <c r="D36" s="746">
        <v>722900.0</v>
      </c>
      <c r="E36" s="746">
        <v>6.01044263E8</v>
      </c>
    </row>
    <row r="37" ht="13.5" customHeight="1">
      <c r="A37" s="508"/>
      <c r="B37" s="530" t="s">
        <v>826</v>
      </c>
      <c r="C37" s="745" t="s">
        <v>827</v>
      </c>
      <c r="D37" s="746">
        <v>0.0</v>
      </c>
      <c r="E37" s="746">
        <v>1.0E8</v>
      </c>
    </row>
    <row r="38" ht="13.5" customHeight="1">
      <c r="A38" s="508"/>
      <c r="B38" s="530" t="s">
        <v>828</v>
      </c>
      <c r="C38" s="745" t="s">
        <v>829</v>
      </c>
      <c r="D38" s="746">
        <v>0.0</v>
      </c>
      <c r="E38" s="746">
        <v>1.358747434385E10</v>
      </c>
    </row>
    <row r="39" ht="13.5" customHeight="1">
      <c r="A39" s="508"/>
      <c r="B39" s="530" t="s">
        <v>830</v>
      </c>
      <c r="C39" s="745" t="s">
        <v>831</v>
      </c>
      <c r="D39" s="746">
        <v>1.11227321433E9</v>
      </c>
      <c r="E39" s="746"/>
    </row>
    <row r="40" ht="14.25" customHeight="1">
      <c r="A40" s="508"/>
      <c r="B40" s="530" t="s">
        <v>832</v>
      </c>
      <c r="C40" s="745" t="s">
        <v>833</v>
      </c>
      <c r="D40" s="746">
        <v>2.01564918E8</v>
      </c>
      <c r="E40" s="746">
        <v>3.520392812861E10</v>
      </c>
    </row>
    <row r="41" ht="13.5" customHeight="1">
      <c r="A41" s="508"/>
      <c r="B41" s="749" t="s">
        <v>834</v>
      </c>
      <c r="C41" s="745"/>
      <c r="D41" s="746">
        <v>0.0</v>
      </c>
      <c r="E41" s="746"/>
    </row>
    <row r="42" ht="16.5" customHeight="1">
      <c r="A42" s="508"/>
      <c r="B42" s="530">
        <v>2.3</v>
      </c>
      <c r="C42" s="742" t="s">
        <v>835</v>
      </c>
      <c r="D42" s="744">
        <v>6.524553797399998E8</v>
      </c>
      <c r="E42" s="744">
        <v>1.673006364050003E9</v>
      </c>
    </row>
    <row r="43" ht="13.5" customHeight="1">
      <c r="A43" s="508"/>
      <c r="B43" s="741">
        <v>3.0</v>
      </c>
      <c r="C43" s="743" t="s">
        <v>836</v>
      </c>
      <c r="D43" s="744"/>
      <c r="E43" s="744"/>
    </row>
    <row r="44" ht="13.5" customHeight="1">
      <c r="A44" s="508"/>
      <c r="B44" s="530">
        <v>3.1</v>
      </c>
      <c r="C44" s="742" t="s">
        <v>810</v>
      </c>
      <c r="D44" s="744">
        <v>7.9154760089800005E9</v>
      </c>
      <c r="E44" s="744">
        <v>2.076807941192E10</v>
      </c>
    </row>
    <row r="45" ht="14.25" customHeight="1">
      <c r="A45" s="508"/>
      <c r="B45" s="530" t="s">
        <v>837</v>
      </c>
      <c r="C45" s="745" t="s">
        <v>838</v>
      </c>
      <c r="D45" s="746">
        <v>3.327E9</v>
      </c>
      <c r="E45" s="746">
        <v>2.076807941192E10</v>
      </c>
    </row>
    <row r="46" ht="14.25" customHeight="1">
      <c r="A46" s="508"/>
      <c r="B46" s="530" t="s">
        <v>839</v>
      </c>
      <c r="C46" s="745" t="s">
        <v>840</v>
      </c>
      <c r="D46" s="746">
        <v>4.5884760089800005E9</v>
      </c>
      <c r="E46" s="746"/>
    </row>
    <row r="47" ht="13.5" customHeight="1">
      <c r="A47" s="508"/>
      <c r="B47" s="530" t="s">
        <v>841</v>
      </c>
      <c r="C47" s="745" t="s">
        <v>842</v>
      </c>
      <c r="D47" s="744"/>
      <c r="E47" s="744"/>
    </row>
    <row r="48" ht="13.5" customHeight="1">
      <c r="A48" s="508"/>
      <c r="B48" s="530" t="s">
        <v>843</v>
      </c>
      <c r="C48" s="745"/>
      <c r="D48" s="744"/>
      <c r="E48" s="744"/>
    </row>
    <row r="49" ht="13.5" customHeight="1">
      <c r="A49" s="508"/>
      <c r="B49" s="530">
        <v>3.2</v>
      </c>
      <c r="C49" s="742" t="s">
        <v>798</v>
      </c>
      <c r="D49" s="744">
        <v>5.76296078028E9</v>
      </c>
      <c r="E49" s="744">
        <v>1.670206483478E10</v>
      </c>
    </row>
    <row r="50" ht="13.5" customHeight="1">
      <c r="A50" s="508"/>
      <c r="B50" s="530" t="s">
        <v>844</v>
      </c>
      <c r="C50" s="745" t="s">
        <v>845</v>
      </c>
      <c r="D50" s="746">
        <v>2.33987917671E9</v>
      </c>
      <c r="E50" s="746">
        <v>1.641512376099E10</v>
      </c>
    </row>
    <row r="51" ht="13.5" customHeight="1">
      <c r="A51" s="508"/>
      <c r="B51" s="530" t="s">
        <v>846</v>
      </c>
      <c r="C51" s="745" t="s">
        <v>847</v>
      </c>
      <c r="D51" s="746">
        <v>2.1380442E8</v>
      </c>
      <c r="E51" s="746">
        <v>1.3786308634E8</v>
      </c>
    </row>
    <row r="52" ht="13.5" customHeight="1">
      <c r="A52" s="508"/>
      <c r="B52" s="530" t="s">
        <v>848</v>
      </c>
      <c r="C52" s="745" t="s">
        <v>849</v>
      </c>
      <c r="D52" s="746">
        <v>2.9026185202E9</v>
      </c>
      <c r="E52" s="746"/>
    </row>
    <row r="53" ht="13.5" customHeight="1">
      <c r="A53" s="508"/>
      <c r="B53" s="530" t="s">
        <v>850</v>
      </c>
      <c r="C53" s="745" t="s">
        <v>851</v>
      </c>
      <c r="D53" s="744">
        <v>3.0665866337E8</v>
      </c>
      <c r="E53" s="744">
        <v>1.4907798745E8</v>
      </c>
    </row>
    <row r="54" ht="13.5" customHeight="1">
      <c r="A54" s="716"/>
      <c r="B54" s="523">
        <v>3.3</v>
      </c>
      <c r="C54" s="743" t="s">
        <v>852</v>
      </c>
      <c r="D54" s="526">
        <v>2.152515228700001E9</v>
      </c>
      <c r="E54" s="526">
        <v>4.0660145771399975E9</v>
      </c>
    </row>
    <row r="55" ht="13.5" customHeight="1">
      <c r="A55" s="508"/>
      <c r="B55" s="523">
        <v>4.0</v>
      </c>
      <c r="C55" s="750" t="s">
        <v>853</v>
      </c>
      <c r="D55" s="744"/>
      <c r="E55" s="744"/>
    </row>
    <row r="56" ht="13.5" customHeight="1">
      <c r="A56" s="508"/>
      <c r="B56" s="523">
        <v>4.1</v>
      </c>
      <c r="C56" s="751" t="s">
        <v>854</v>
      </c>
      <c r="D56" s="744">
        <v>5.773600838000107E7</v>
      </c>
      <c r="E56" s="744">
        <v>2.1882715276000214E8</v>
      </c>
    </row>
    <row r="57" ht="13.5" customHeight="1">
      <c r="A57" s="508"/>
      <c r="B57" s="523">
        <v>5.0</v>
      </c>
      <c r="C57" s="751" t="s">
        <v>855</v>
      </c>
      <c r="D57" s="752">
        <v>1.0097166216999999E8</v>
      </c>
      <c r="E57" s="752">
        <v>1.0095789775E8</v>
      </c>
    </row>
    <row r="58" ht="13.5" customHeight="1">
      <c r="A58" s="508"/>
      <c r="B58" s="523">
        <v>6.0</v>
      </c>
      <c r="C58" s="751" t="s">
        <v>856</v>
      </c>
      <c r="D58" s="752">
        <v>9.360681819E7</v>
      </c>
      <c r="E58" s="752">
        <v>3.1978505051000214E8</v>
      </c>
    </row>
    <row r="59" ht="13.5" hidden="1" customHeight="1">
      <c r="A59" s="508"/>
      <c r="B59" s="753"/>
      <c r="C59" s="670"/>
      <c r="D59" s="754">
        <v>-6.510085236000106E7</v>
      </c>
      <c r="E59" s="754"/>
    </row>
    <row r="60" ht="13.5" customHeight="1">
      <c r="A60" s="508"/>
      <c r="B60" s="753"/>
      <c r="C60" s="670"/>
      <c r="D60" s="755">
        <v>-6.51008523600011E7</v>
      </c>
      <c r="E60" s="755"/>
    </row>
    <row r="61" ht="13.5" customHeight="1">
      <c r="A61" s="508"/>
      <c r="B61" s="753"/>
      <c r="C61" s="505" t="s">
        <v>857</v>
      </c>
      <c r="D61" s="673">
        <v>8.625570738000001E7</v>
      </c>
      <c r="E61" s="700" t="s">
        <v>732</v>
      </c>
    </row>
    <row r="62" ht="13.5" customHeight="1">
      <c r="A62" s="508"/>
      <c r="B62" s="753"/>
      <c r="C62" s="505"/>
      <c r="D62" s="756"/>
      <c r="E62" s="325"/>
    </row>
    <row r="63" ht="13.5" customHeight="1">
      <c r="A63" s="508"/>
      <c r="B63" s="736"/>
      <c r="C63" s="505" t="s">
        <v>858</v>
      </c>
      <c r="D63" s="756"/>
      <c r="E63" s="700" t="s">
        <v>735</v>
      </c>
    </row>
    <row r="64" ht="13.5" customHeight="1">
      <c r="A64" s="508"/>
      <c r="B64" s="508"/>
      <c r="C64" s="508"/>
      <c r="D64" s="508"/>
      <c r="E64" s="508"/>
    </row>
    <row r="65" ht="13.5" customHeight="1">
      <c r="A65" s="508"/>
      <c r="B65" s="508"/>
      <c r="C65" s="508"/>
      <c r="D65" s="508"/>
      <c r="E65" s="508"/>
    </row>
    <row r="66" ht="13.5" customHeight="1">
      <c r="A66" s="508"/>
      <c r="B66" s="508"/>
      <c r="C66" s="508"/>
      <c r="D66" s="508"/>
      <c r="E66" s="508"/>
    </row>
    <row r="67" ht="13.5" customHeight="1">
      <c r="A67" s="508"/>
      <c r="B67" s="508"/>
      <c r="C67" s="508"/>
      <c r="D67" s="508"/>
      <c r="E67" s="508"/>
    </row>
    <row r="68" ht="13.5" customHeight="1">
      <c r="A68" s="508"/>
      <c r="B68" s="508"/>
      <c r="C68" s="508"/>
      <c r="D68" s="508"/>
      <c r="E68" s="508"/>
    </row>
    <row r="69" ht="13.5" customHeight="1">
      <c r="A69" s="508"/>
      <c r="B69" s="508"/>
      <c r="C69" s="508"/>
      <c r="D69" s="508"/>
      <c r="E69" s="508"/>
    </row>
    <row r="70" ht="13.5" customHeight="1">
      <c r="A70" s="508"/>
      <c r="B70" s="508"/>
      <c r="C70" s="508"/>
      <c r="D70" s="508"/>
      <c r="E70" s="508"/>
    </row>
    <row r="71" ht="13.5" customHeight="1">
      <c r="A71" s="508"/>
      <c r="B71" s="508"/>
      <c r="C71" s="508"/>
      <c r="D71" s="508"/>
      <c r="E71" s="508"/>
    </row>
    <row r="72" ht="13.5" customHeight="1">
      <c r="A72" s="508"/>
      <c r="B72" s="508"/>
      <c r="C72" s="508"/>
      <c r="D72" s="508"/>
      <c r="E72" s="508"/>
    </row>
    <row r="73" ht="13.5" customHeight="1">
      <c r="A73" s="508"/>
      <c r="B73" s="508"/>
      <c r="C73" s="508"/>
      <c r="D73" s="508"/>
      <c r="E73" s="508"/>
    </row>
    <row r="74" ht="13.5" customHeight="1">
      <c r="A74" s="508"/>
      <c r="B74" s="508"/>
      <c r="C74" s="508"/>
      <c r="D74" s="508"/>
      <c r="E74" s="508"/>
    </row>
    <row r="75" ht="13.5" customHeight="1">
      <c r="A75" s="508"/>
      <c r="B75" s="508"/>
      <c r="C75" s="508"/>
      <c r="D75" s="508"/>
      <c r="E75" s="508"/>
    </row>
    <row r="76" ht="13.5" customHeight="1">
      <c r="A76" s="508"/>
      <c r="B76" s="508"/>
      <c r="C76" s="508"/>
      <c r="D76" s="508"/>
      <c r="E76" s="508"/>
    </row>
    <row r="77" ht="13.5" customHeight="1">
      <c r="A77" s="508"/>
      <c r="B77" s="508"/>
      <c r="C77" s="508"/>
      <c r="D77" s="508"/>
      <c r="E77" s="508"/>
    </row>
    <row r="78" ht="13.5" customHeight="1">
      <c r="A78" s="508"/>
      <c r="B78" s="508"/>
      <c r="C78" s="508"/>
      <c r="D78" s="508"/>
      <c r="E78" s="508"/>
    </row>
    <row r="79" ht="13.5" customHeight="1">
      <c r="A79" s="508"/>
      <c r="B79" s="508"/>
      <c r="C79" s="508"/>
      <c r="D79" s="508"/>
      <c r="E79" s="508"/>
    </row>
    <row r="80" ht="13.5" customHeight="1">
      <c r="A80" s="508"/>
      <c r="B80" s="508"/>
      <c r="C80" s="508"/>
      <c r="D80" s="508"/>
      <c r="E80" s="508"/>
    </row>
    <row r="81" ht="13.5" customHeight="1">
      <c r="A81" s="508"/>
      <c r="B81" s="508"/>
      <c r="C81" s="508"/>
      <c r="D81" s="508"/>
      <c r="E81" s="508"/>
    </row>
    <row r="82" ht="13.5" customHeight="1">
      <c r="A82" s="508"/>
      <c r="B82" s="508"/>
      <c r="C82" s="508"/>
      <c r="D82" s="508"/>
      <c r="E82" s="508"/>
    </row>
    <row r="83" ht="13.5" customHeight="1">
      <c r="A83" s="508"/>
      <c r="B83" s="508"/>
      <c r="C83" s="508"/>
      <c r="D83" s="508"/>
      <c r="E83" s="508"/>
    </row>
    <row r="84" ht="13.5" customHeight="1">
      <c r="A84" s="508"/>
      <c r="B84" s="508"/>
      <c r="C84" s="508"/>
      <c r="D84" s="508"/>
      <c r="E84" s="508"/>
    </row>
    <row r="85" ht="13.5" customHeight="1">
      <c r="A85" s="508"/>
      <c r="B85" s="508"/>
      <c r="C85" s="508"/>
      <c r="D85" s="508"/>
      <c r="E85" s="508"/>
    </row>
    <row r="86" ht="13.5" customHeight="1">
      <c r="A86" s="508"/>
      <c r="B86" s="508"/>
      <c r="C86" s="508"/>
      <c r="D86" s="508"/>
      <c r="E86" s="508"/>
    </row>
    <row r="87" ht="13.5" customHeight="1">
      <c r="A87" s="508"/>
      <c r="B87" s="508"/>
      <c r="C87" s="508"/>
      <c r="D87" s="508"/>
      <c r="E87" s="508"/>
    </row>
    <row r="88" ht="13.5" customHeight="1">
      <c r="A88" s="508"/>
      <c r="B88" s="508"/>
      <c r="C88" s="508"/>
      <c r="D88" s="508"/>
      <c r="E88" s="508"/>
    </row>
    <row r="89" ht="13.5" customHeight="1">
      <c r="A89" s="508"/>
      <c r="B89" s="508"/>
      <c r="C89" s="508"/>
      <c r="D89" s="508"/>
      <c r="E89" s="508"/>
    </row>
    <row r="90" ht="13.5" customHeight="1">
      <c r="A90" s="508"/>
      <c r="B90" s="508"/>
      <c r="C90" s="508"/>
      <c r="D90" s="508"/>
      <c r="E90" s="508"/>
    </row>
    <row r="91" ht="13.5" customHeight="1">
      <c r="A91" s="508"/>
      <c r="B91" s="508"/>
      <c r="C91" s="508"/>
      <c r="D91" s="508"/>
      <c r="E91" s="508"/>
    </row>
    <row r="92" ht="13.5" customHeight="1">
      <c r="A92" s="508"/>
      <c r="B92" s="508"/>
      <c r="C92" s="508"/>
      <c r="D92" s="508"/>
      <c r="E92" s="508"/>
    </row>
    <row r="93" ht="13.5" customHeight="1">
      <c r="A93" s="508"/>
      <c r="B93" s="508"/>
      <c r="C93" s="508"/>
      <c r="D93" s="508"/>
      <c r="E93" s="508"/>
    </row>
    <row r="94" ht="13.5" customHeight="1">
      <c r="A94" s="508"/>
      <c r="B94" s="508"/>
      <c r="C94" s="508"/>
      <c r="D94" s="508"/>
      <c r="E94" s="508"/>
    </row>
    <row r="95" ht="13.5" customHeight="1">
      <c r="A95" s="508"/>
      <c r="B95" s="508"/>
      <c r="C95" s="508"/>
      <c r="D95" s="508"/>
      <c r="E95" s="508"/>
    </row>
    <row r="96" ht="13.5" customHeight="1">
      <c r="A96" s="508"/>
      <c r="B96" s="508"/>
      <c r="C96" s="508"/>
      <c r="D96" s="508"/>
      <c r="E96" s="508"/>
    </row>
    <row r="97" ht="13.5" customHeight="1">
      <c r="A97" s="508"/>
      <c r="B97" s="508"/>
      <c r="C97" s="508"/>
      <c r="D97" s="508"/>
      <c r="E97" s="508"/>
    </row>
    <row r="98" ht="13.5" customHeight="1">
      <c r="A98" s="508"/>
      <c r="B98" s="508"/>
      <c r="C98" s="508"/>
      <c r="D98" s="508"/>
      <c r="E98" s="508"/>
    </row>
    <row r="99" ht="13.5" customHeight="1">
      <c r="A99" s="508"/>
      <c r="B99" s="508"/>
      <c r="C99" s="508"/>
      <c r="D99" s="508"/>
      <c r="E99" s="508"/>
    </row>
    <row r="100" ht="13.5" customHeight="1">
      <c r="A100" s="508"/>
      <c r="B100" s="508"/>
      <c r="C100" s="508"/>
      <c r="D100" s="508"/>
      <c r="E100" s="508"/>
    </row>
    <row r="101" ht="13.5" customHeight="1">
      <c r="A101" s="508"/>
      <c r="B101" s="508"/>
      <c r="C101" s="508"/>
      <c r="D101" s="508"/>
      <c r="E101" s="508"/>
    </row>
    <row r="102" ht="13.5" customHeight="1">
      <c r="A102" s="508"/>
      <c r="B102" s="508"/>
      <c r="C102" s="508"/>
      <c r="D102" s="508"/>
      <c r="E102" s="508"/>
    </row>
    <row r="103" ht="13.5" customHeight="1">
      <c r="A103" s="508"/>
      <c r="B103" s="508"/>
      <c r="C103" s="508"/>
      <c r="D103" s="508"/>
      <c r="E103" s="508"/>
    </row>
    <row r="104" ht="13.5" customHeight="1">
      <c r="A104" s="508"/>
      <c r="B104" s="508"/>
      <c r="C104" s="508"/>
      <c r="D104" s="508"/>
      <c r="E104" s="508"/>
    </row>
    <row r="105" ht="13.5" customHeight="1">
      <c r="A105" s="508"/>
      <c r="B105" s="508"/>
      <c r="C105" s="508"/>
      <c r="D105" s="508"/>
      <c r="E105" s="508"/>
    </row>
    <row r="106" ht="13.5" customHeight="1">
      <c r="A106" s="508"/>
      <c r="B106" s="508"/>
      <c r="C106" s="508"/>
      <c r="D106" s="508"/>
      <c r="E106" s="508"/>
    </row>
    <row r="107" ht="13.5" customHeight="1">
      <c r="A107" s="508"/>
      <c r="B107" s="508"/>
      <c r="C107" s="508"/>
      <c r="D107" s="508"/>
      <c r="E107" s="508"/>
    </row>
    <row r="108" ht="13.5" customHeight="1">
      <c r="A108" s="508"/>
      <c r="B108" s="508"/>
      <c r="C108" s="508"/>
      <c r="D108" s="508"/>
      <c r="E108" s="508"/>
    </row>
    <row r="109" ht="13.5" customHeight="1">
      <c r="A109" s="508"/>
      <c r="B109" s="508"/>
      <c r="C109" s="508"/>
      <c r="D109" s="508"/>
      <c r="E109" s="508"/>
    </row>
    <row r="110" ht="13.5" customHeight="1">
      <c r="A110" s="508"/>
      <c r="B110" s="508"/>
      <c r="C110" s="508"/>
      <c r="D110" s="508"/>
      <c r="E110" s="508"/>
    </row>
    <row r="111" ht="13.5" customHeight="1">
      <c r="A111" s="508"/>
      <c r="B111" s="508"/>
      <c r="C111" s="508"/>
      <c r="D111" s="508"/>
      <c r="E111" s="508"/>
    </row>
    <row r="112" ht="13.5" customHeight="1">
      <c r="A112" s="508"/>
      <c r="B112" s="508"/>
      <c r="C112" s="508"/>
      <c r="D112" s="508"/>
      <c r="E112" s="508"/>
    </row>
    <row r="113" ht="13.5" customHeight="1">
      <c r="A113" s="508"/>
      <c r="B113" s="508"/>
      <c r="C113" s="508"/>
      <c r="D113" s="508"/>
      <c r="E113" s="508"/>
    </row>
    <row r="114" ht="13.5" customHeight="1">
      <c r="A114" s="508"/>
      <c r="B114" s="508"/>
      <c r="C114" s="508"/>
      <c r="D114" s="508"/>
      <c r="E114" s="508"/>
    </row>
    <row r="115" ht="13.5" customHeight="1">
      <c r="A115" s="508"/>
      <c r="B115" s="508"/>
      <c r="C115" s="508"/>
      <c r="D115" s="508"/>
      <c r="E115" s="508"/>
    </row>
    <row r="116" ht="13.5" customHeight="1">
      <c r="A116" s="508"/>
      <c r="B116" s="508"/>
      <c r="C116" s="508"/>
      <c r="D116" s="508"/>
      <c r="E116" s="508"/>
    </row>
    <row r="117" ht="13.5" customHeight="1">
      <c r="A117" s="508"/>
      <c r="B117" s="508"/>
      <c r="C117" s="508"/>
      <c r="D117" s="508"/>
      <c r="E117" s="508"/>
    </row>
    <row r="118" ht="13.5" customHeight="1">
      <c r="A118" s="508"/>
      <c r="B118" s="508"/>
      <c r="C118" s="508"/>
      <c r="D118" s="508"/>
      <c r="E118" s="508"/>
    </row>
    <row r="119" ht="13.5" customHeight="1">
      <c r="A119" s="508"/>
      <c r="B119" s="508"/>
      <c r="C119" s="508"/>
      <c r="D119" s="508"/>
      <c r="E119" s="508"/>
    </row>
    <row r="120" ht="13.5" customHeight="1">
      <c r="A120" s="508"/>
      <c r="B120" s="508"/>
      <c r="C120" s="508"/>
      <c r="D120" s="508"/>
      <c r="E120" s="508"/>
    </row>
    <row r="121" ht="13.5" customHeight="1">
      <c r="A121" s="508"/>
      <c r="B121" s="508"/>
      <c r="C121" s="508"/>
      <c r="D121" s="508"/>
      <c r="E121" s="508"/>
    </row>
    <row r="122" ht="13.5" customHeight="1">
      <c r="A122" s="508"/>
      <c r="B122" s="508"/>
      <c r="C122" s="508"/>
      <c r="D122" s="508"/>
      <c r="E122" s="508"/>
    </row>
    <row r="123" ht="13.5" customHeight="1">
      <c r="A123" s="508"/>
      <c r="B123" s="508"/>
      <c r="C123" s="508"/>
      <c r="D123" s="508"/>
      <c r="E123" s="508"/>
    </row>
    <row r="124" ht="13.5" customHeight="1">
      <c r="A124" s="508"/>
      <c r="B124" s="508"/>
      <c r="C124" s="508"/>
      <c r="D124" s="508"/>
      <c r="E124" s="508"/>
    </row>
    <row r="125" ht="13.5" customHeight="1">
      <c r="A125" s="508"/>
      <c r="B125" s="508"/>
      <c r="C125" s="508"/>
      <c r="D125" s="508"/>
      <c r="E125" s="508"/>
    </row>
    <row r="126" ht="13.5" customHeight="1">
      <c r="A126" s="508"/>
      <c r="B126" s="508"/>
      <c r="C126" s="508"/>
      <c r="D126" s="508"/>
      <c r="E126" s="508"/>
    </row>
    <row r="127" ht="13.5" customHeight="1">
      <c r="A127" s="508"/>
      <c r="B127" s="508"/>
      <c r="C127" s="508"/>
      <c r="D127" s="508"/>
      <c r="E127" s="508"/>
    </row>
    <row r="128" ht="13.5" customHeight="1">
      <c r="A128" s="508"/>
      <c r="B128" s="508"/>
      <c r="C128" s="508"/>
      <c r="D128" s="508"/>
      <c r="E128" s="508"/>
    </row>
    <row r="129" ht="13.5" customHeight="1">
      <c r="A129" s="508"/>
      <c r="B129" s="508"/>
      <c r="C129" s="508"/>
      <c r="D129" s="508"/>
      <c r="E129" s="508"/>
    </row>
    <row r="130" ht="13.5" customHeight="1">
      <c r="A130" s="508"/>
      <c r="B130" s="508"/>
      <c r="C130" s="508"/>
      <c r="D130" s="508"/>
      <c r="E130" s="508"/>
    </row>
    <row r="131" ht="13.5" customHeight="1">
      <c r="A131" s="508"/>
      <c r="B131" s="508"/>
      <c r="C131" s="508"/>
      <c r="D131" s="508"/>
      <c r="E131" s="508"/>
    </row>
    <row r="132" ht="13.5" customHeight="1">
      <c r="A132" s="508"/>
      <c r="B132" s="508"/>
      <c r="C132" s="508"/>
      <c r="D132" s="508"/>
      <c r="E132" s="508"/>
    </row>
    <row r="133" ht="13.5" customHeight="1">
      <c r="A133" s="508"/>
      <c r="B133" s="508"/>
      <c r="C133" s="508"/>
      <c r="D133" s="508"/>
      <c r="E133" s="508"/>
    </row>
    <row r="134" ht="13.5" customHeight="1">
      <c r="A134" s="508"/>
      <c r="B134" s="508"/>
      <c r="C134" s="508"/>
      <c r="D134" s="508"/>
      <c r="E134" s="508"/>
    </row>
    <row r="135" ht="13.5" customHeight="1">
      <c r="A135" s="508"/>
      <c r="B135" s="508"/>
      <c r="C135" s="508"/>
      <c r="D135" s="508"/>
      <c r="E135" s="508"/>
    </row>
    <row r="136" ht="13.5" customHeight="1">
      <c r="A136" s="508"/>
      <c r="B136" s="508"/>
      <c r="C136" s="508"/>
      <c r="D136" s="508"/>
      <c r="E136" s="508"/>
    </row>
    <row r="137" ht="13.5" customHeight="1">
      <c r="A137" s="508"/>
      <c r="B137" s="508"/>
      <c r="C137" s="508"/>
      <c r="D137" s="508"/>
      <c r="E137" s="508"/>
    </row>
    <row r="138" ht="13.5" customHeight="1">
      <c r="A138" s="508"/>
      <c r="B138" s="508"/>
      <c r="C138" s="508"/>
      <c r="D138" s="508"/>
      <c r="E138" s="508"/>
    </row>
    <row r="139" ht="13.5" customHeight="1">
      <c r="A139" s="508"/>
      <c r="B139" s="508"/>
      <c r="C139" s="508"/>
      <c r="D139" s="508"/>
      <c r="E139" s="508"/>
    </row>
    <row r="140" ht="13.5" customHeight="1">
      <c r="A140" s="508"/>
      <c r="B140" s="508"/>
      <c r="C140" s="508"/>
      <c r="D140" s="508"/>
      <c r="E140" s="508"/>
    </row>
    <row r="141" ht="13.5" customHeight="1">
      <c r="A141" s="508"/>
      <c r="B141" s="508"/>
      <c r="C141" s="508"/>
      <c r="D141" s="508"/>
      <c r="E141" s="508"/>
    </row>
    <row r="142" ht="13.5" customHeight="1">
      <c r="A142" s="508"/>
      <c r="B142" s="508"/>
      <c r="C142" s="508"/>
      <c r="D142" s="508"/>
      <c r="E142" s="508"/>
    </row>
    <row r="143" ht="13.5" customHeight="1">
      <c r="A143" s="508"/>
      <c r="B143" s="508"/>
      <c r="C143" s="508"/>
      <c r="D143" s="508"/>
      <c r="E143" s="508"/>
    </row>
    <row r="144" ht="13.5" customHeight="1">
      <c r="A144" s="508"/>
      <c r="B144" s="508"/>
      <c r="C144" s="508"/>
      <c r="D144" s="508"/>
      <c r="E144" s="508"/>
    </row>
    <row r="145" ht="13.5" customHeight="1">
      <c r="A145" s="508"/>
      <c r="B145" s="508"/>
      <c r="C145" s="508"/>
      <c r="D145" s="508"/>
      <c r="E145" s="508"/>
    </row>
    <row r="146" ht="13.5" customHeight="1">
      <c r="A146" s="508"/>
      <c r="B146" s="508"/>
      <c r="C146" s="508"/>
      <c r="D146" s="508"/>
      <c r="E146" s="508"/>
    </row>
    <row r="147" ht="13.5" customHeight="1">
      <c r="A147" s="508"/>
      <c r="B147" s="508"/>
      <c r="C147" s="508"/>
      <c r="D147" s="508"/>
      <c r="E147" s="508"/>
    </row>
    <row r="148" ht="13.5" customHeight="1">
      <c r="A148" s="508"/>
      <c r="B148" s="508"/>
      <c r="C148" s="508"/>
      <c r="D148" s="508"/>
      <c r="E148" s="508"/>
    </row>
    <row r="149" ht="13.5" customHeight="1">
      <c r="A149" s="508"/>
      <c r="B149" s="508"/>
      <c r="C149" s="508"/>
      <c r="D149" s="508"/>
      <c r="E149" s="508"/>
    </row>
    <row r="150" ht="13.5" customHeight="1">
      <c r="A150" s="508"/>
      <c r="B150" s="508"/>
      <c r="C150" s="508"/>
      <c r="D150" s="508"/>
      <c r="E150" s="508"/>
    </row>
    <row r="151" ht="13.5" customHeight="1">
      <c r="A151" s="508"/>
      <c r="B151" s="508"/>
      <c r="C151" s="508"/>
      <c r="D151" s="508"/>
      <c r="E151" s="508"/>
    </row>
    <row r="152" ht="13.5" customHeight="1">
      <c r="A152" s="508"/>
      <c r="B152" s="508"/>
      <c r="C152" s="508"/>
      <c r="D152" s="508"/>
      <c r="E152" s="508"/>
    </row>
    <row r="153" ht="13.5" customHeight="1">
      <c r="A153" s="508"/>
      <c r="B153" s="508"/>
      <c r="C153" s="508"/>
      <c r="D153" s="508"/>
      <c r="E153" s="508"/>
    </row>
    <row r="154" ht="13.5" customHeight="1">
      <c r="A154" s="508"/>
      <c r="B154" s="508"/>
      <c r="C154" s="508"/>
      <c r="D154" s="508"/>
      <c r="E154" s="508"/>
    </row>
    <row r="155" ht="13.5" customHeight="1">
      <c r="A155" s="508"/>
      <c r="B155" s="508"/>
      <c r="C155" s="508"/>
      <c r="D155" s="508"/>
      <c r="E155" s="508"/>
    </row>
    <row r="156" ht="13.5" customHeight="1">
      <c r="A156" s="508"/>
      <c r="B156" s="508"/>
      <c r="C156" s="508"/>
      <c r="D156" s="508"/>
      <c r="E156" s="508"/>
    </row>
    <row r="157" ht="13.5" customHeight="1">
      <c r="A157" s="508"/>
      <c r="B157" s="508"/>
      <c r="C157" s="508"/>
      <c r="D157" s="508"/>
      <c r="E157" s="508"/>
    </row>
    <row r="158" ht="13.5" customHeight="1">
      <c r="A158" s="508"/>
      <c r="B158" s="508"/>
      <c r="C158" s="508"/>
      <c r="D158" s="508"/>
      <c r="E158" s="508"/>
    </row>
    <row r="159" ht="13.5" customHeight="1">
      <c r="A159" s="508"/>
      <c r="B159" s="508"/>
      <c r="C159" s="508"/>
      <c r="D159" s="508"/>
      <c r="E159" s="508"/>
    </row>
    <row r="160" ht="13.5" customHeight="1">
      <c r="A160" s="508"/>
      <c r="B160" s="508"/>
      <c r="C160" s="508"/>
      <c r="D160" s="508"/>
      <c r="E160" s="508"/>
    </row>
    <row r="161" ht="13.5" customHeight="1">
      <c r="A161" s="508"/>
      <c r="B161" s="508"/>
      <c r="C161" s="508"/>
      <c r="D161" s="508"/>
      <c r="E161" s="508"/>
    </row>
    <row r="162" ht="13.5" customHeight="1">
      <c r="A162" s="508"/>
      <c r="B162" s="508"/>
      <c r="C162" s="508"/>
      <c r="D162" s="508"/>
      <c r="E162" s="508"/>
    </row>
    <row r="163" ht="13.5" customHeight="1">
      <c r="A163" s="508"/>
      <c r="B163" s="508"/>
      <c r="C163" s="508"/>
      <c r="D163" s="508"/>
      <c r="E163" s="508"/>
    </row>
    <row r="164" ht="13.5" customHeight="1">
      <c r="A164" s="508"/>
      <c r="B164" s="508"/>
      <c r="C164" s="508"/>
      <c r="D164" s="508"/>
      <c r="E164" s="508"/>
    </row>
    <row r="165" ht="13.5" customHeight="1">
      <c r="A165" s="508"/>
      <c r="B165" s="508"/>
      <c r="C165" s="508"/>
      <c r="D165" s="508"/>
      <c r="E165" s="508"/>
    </row>
    <row r="166" ht="13.5" customHeight="1">
      <c r="A166" s="508"/>
      <c r="B166" s="508"/>
      <c r="C166" s="508"/>
      <c r="D166" s="508"/>
      <c r="E166" s="508"/>
    </row>
    <row r="167" ht="13.5" customHeight="1">
      <c r="A167" s="508"/>
      <c r="B167" s="508"/>
      <c r="C167" s="508"/>
      <c r="D167" s="508"/>
      <c r="E167" s="508"/>
    </row>
    <row r="168" ht="13.5" customHeight="1">
      <c r="A168" s="508"/>
      <c r="B168" s="508"/>
      <c r="C168" s="508"/>
      <c r="D168" s="508"/>
      <c r="E168" s="508"/>
    </row>
    <row r="169" ht="13.5" customHeight="1">
      <c r="A169" s="508"/>
      <c r="B169" s="508"/>
      <c r="C169" s="508"/>
      <c r="D169" s="508"/>
      <c r="E169" s="508"/>
    </row>
    <row r="170" ht="13.5" customHeight="1">
      <c r="A170" s="508"/>
      <c r="B170" s="508"/>
      <c r="C170" s="508"/>
      <c r="D170" s="508"/>
      <c r="E170" s="508"/>
    </row>
    <row r="171" ht="13.5" customHeight="1">
      <c r="A171" s="508"/>
      <c r="B171" s="508"/>
      <c r="C171" s="508"/>
      <c r="D171" s="508"/>
      <c r="E171" s="508"/>
    </row>
    <row r="172" ht="13.5" customHeight="1">
      <c r="A172" s="508"/>
      <c r="B172" s="508"/>
      <c r="C172" s="508"/>
      <c r="D172" s="508"/>
      <c r="E172" s="508"/>
    </row>
    <row r="173" ht="13.5" customHeight="1">
      <c r="A173" s="508"/>
      <c r="B173" s="508"/>
      <c r="C173" s="508"/>
      <c r="D173" s="508"/>
      <c r="E173" s="508"/>
    </row>
    <row r="174" ht="13.5" customHeight="1">
      <c r="A174" s="508"/>
      <c r="B174" s="508"/>
      <c r="C174" s="508"/>
      <c r="D174" s="508"/>
      <c r="E174" s="508"/>
    </row>
    <row r="175" ht="13.5" customHeight="1">
      <c r="A175" s="508"/>
      <c r="B175" s="508"/>
      <c r="C175" s="508"/>
      <c r="D175" s="508"/>
      <c r="E175" s="508"/>
    </row>
    <row r="176" ht="13.5" customHeight="1">
      <c r="A176" s="508"/>
      <c r="B176" s="508"/>
      <c r="C176" s="508"/>
      <c r="D176" s="508"/>
      <c r="E176" s="508"/>
    </row>
    <row r="177" ht="13.5" customHeight="1">
      <c r="A177" s="508"/>
      <c r="B177" s="508"/>
      <c r="C177" s="508"/>
      <c r="D177" s="508"/>
      <c r="E177" s="508"/>
    </row>
    <row r="178" ht="13.5" customHeight="1">
      <c r="A178" s="508"/>
      <c r="B178" s="508"/>
      <c r="C178" s="508"/>
      <c r="D178" s="508"/>
      <c r="E178" s="508"/>
    </row>
    <row r="179" ht="13.5" customHeight="1">
      <c r="A179" s="508"/>
      <c r="B179" s="508"/>
      <c r="C179" s="508"/>
      <c r="D179" s="508"/>
      <c r="E179" s="508"/>
    </row>
    <row r="180" ht="13.5" customHeight="1">
      <c r="A180" s="508"/>
      <c r="B180" s="508"/>
      <c r="C180" s="508"/>
      <c r="D180" s="508"/>
      <c r="E180" s="508"/>
    </row>
    <row r="181" ht="13.5" customHeight="1">
      <c r="A181" s="508"/>
      <c r="B181" s="508"/>
      <c r="C181" s="508"/>
      <c r="D181" s="508"/>
      <c r="E181" s="508"/>
    </row>
    <row r="182" ht="13.5" customHeight="1">
      <c r="A182" s="508"/>
      <c r="B182" s="508"/>
      <c r="C182" s="508"/>
      <c r="D182" s="508"/>
      <c r="E182" s="508"/>
    </row>
    <row r="183" ht="13.5" customHeight="1">
      <c r="A183" s="508"/>
      <c r="B183" s="508"/>
      <c r="C183" s="508"/>
      <c r="D183" s="508"/>
      <c r="E183" s="508"/>
    </row>
    <row r="184" ht="13.5" customHeight="1">
      <c r="A184" s="508"/>
      <c r="B184" s="508"/>
      <c r="C184" s="508"/>
      <c r="D184" s="508"/>
      <c r="E184" s="508"/>
    </row>
    <row r="185" ht="13.5" customHeight="1">
      <c r="A185" s="508"/>
      <c r="B185" s="508"/>
      <c r="C185" s="508"/>
      <c r="D185" s="508"/>
      <c r="E185" s="508"/>
    </row>
    <row r="186" ht="13.5" customHeight="1">
      <c r="A186" s="508"/>
      <c r="B186" s="508"/>
      <c r="C186" s="508"/>
      <c r="D186" s="508"/>
      <c r="E186" s="508"/>
    </row>
    <row r="187" ht="13.5" customHeight="1">
      <c r="A187" s="508"/>
      <c r="B187" s="508"/>
      <c r="C187" s="508"/>
      <c r="D187" s="508"/>
      <c r="E187" s="508"/>
    </row>
    <row r="188" ht="13.5" customHeight="1">
      <c r="A188" s="508"/>
      <c r="B188" s="508"/>
      <c r="C188" s="508"/>
      <c r="D188" s="508"/>
      <c r="E188" s="508"/>
    </row>
    <row r="189" ht="13.5" customHeight="1">
      <c r="A189" s="508"/>
      <c r="B189" s="508"/>
      <c r="C189" s="508"/>
      <c r="D189" s="508"/>
      <c r="E189" s="508"/>
    </row>
    <row r="190" ht="13.5" customHeight="1">
      <c r="A190" s="508"/>
      <c r="B190" s="508"/>
      <c r="C190" s="508"/>
      <c r="D190" s="508"/>
      <c r="E190" s="508"/>
    </row>
    <row r="191" ht="13.5" customHeight="1">
      <c r="A191" s="508"/>
      <c r="B191" s="508"/>
      <c r="C191" s="508"/>
      <c r="D191" s="508"/>
      <c r="E191" s="508"/>
    </row>
    <row r="192" ht="13.5" customHeight="1">
      <c r="A192" s="508"/>
      <c r="B192" s="508"/>
      <c r="C192" s="508"/>
      <c r="D192" s="508"/>
      <c r="E192" s="508"/>
    </row>
    <row r="193" ht="13.5" customHeight="1">
      <c r="A193" s="508"/>
      <c r="B193" s="508"/>
      <c r="C193" s="508"/>
      <c r="D193" s="508"/>
      <c r="E193" s="508"/>
    </row>
    <row r="194" ht="13.5" customHeight="1">
      <c r="A194" s="508"/>
      <c r="B194" s="508"/>
      <c r="C194" s="508"/>
      <c r="D194" s="508"/>
      <c r="E194" s="508"/>
    </row>
    <row r="195" ht="13.5" customHeight="1">
      <c r="A195" s="508"/>
      <c r="B195" s="508"/>
      <c r="C195" s="508"/>
      <c r="D195" s="508"/>
      <c r="E195" s="508"/>
    </row>
    <row r="196" ht="13.5" customHeight="1">
      <c r="A196" s="508"/>
      <c r="B196" s="508"/>
      <c r="C196" s="508"/>
      <c r="D196" s="508"/>
      <c r="E196" s="508"/>
    </row>
    <row r="197" ht="13.5" customHeight="1">
      <c r="A197" s="508"/>
      <c r="B197" s="508"/>
      <c r="C197" s="508"/>
      <c r="D197" s="508"/>
      <c r="E197" s="508"/>
    </row>
    <row r="198" ht="13.5" customHeight="1">
      <c r="A198" s="508"/>
      <c r="B198" s="508"/>
      <c r="C198" s="508"/>
      <c r="D198" s="508"/>
      <c r="E198" s="508"/>
    </row>
    <row r="199" ht="13.5" customHeight="1">
      <c r="A199" s="508"/>
      <c r="B199" s="508"/>
      <c r="C199" s="508"/>
      <c r="D199" s="508"/>
      <c r="E199" s="508"/>
    </row>
    <row r="200" ht="13.5" customHeight="1">
      <c r="A200" s="508"/>
      <c r="B200" s="508"/>
      <c r="C200" s="508"/>
      <c r="D200" s="508"/>
      <c r="E200" s="508"/>
    </row>
    <row r="201" ht="13.5" customHeight="1">
      <c r="A201" s="508"/>
      <c r="B201" s="508"/>
      <c r="C201" s="508"/>
      <c r="D201" s="508"/>
      <c r="E201" s="508"/>
    </row>
    <row r="202" ht="13.5" customHeight="1">
      <c r="A202" s="508"/>
      <c r="B202" s="508"/>
      <c r="C202" s="508"/>
      <c r="D202" s="508"/>
      <c r="E202" s="508"/>
    </row>
    <row r="203" ht="13.5" customHeight="1">
      <c r="A203" s="508"/>
      <c r="B203" s="508"/>
      <c r="C203" s="508"/>
      <c r="D203" s="508"/>
      <c r="E203" s="508"/>
    </row>
    <row r="204" ht="13.5" customHeight="1">
      <c r="A204" s="508"/>
      <c r="B204" s="508"/>
      <c r="C204" s="508"/>
      <c r="D204" s="508"/>
      <c r="E204" s="508"/>
    </row>
    <row r="205" ht="13.5" customHeight="1">
      <c r="A205" s="508"/>
      <c r="B205" s="508"/>
      <c r="C205" s="508"/>
      <c r="D205" s="508"/>
      <c r="E205" s="508"/>
    </row>
    <row r="206" ht="13.5" customHeight="1">
      <c r="A206" s="508"/>
      <c r="B206" s="508"/>
      <c r="C206" s="508"/>
      <c r="D206" s="508"/>
      <c r="E206" s="508"/>
    </row>
    <row r="207" ht="13.5" customHeight="1">
      <c r="A207" s="508"/>
      <c r="B207" s="508"/>
      <c r="C207" s="508"/>
      <c r="D207" s="508"/>
      <c r="E207" s="508"/>
    </row>
    <row r="208" ht="13.5" customHeight="1">
      <c r="A208" s="508"/>
      <c r="B208" s="508"/>
      <c r="C208" s="508"/>
      <c r="D208" s="508"/>
      <c r="E208" s="508"/>
    </row>
    <row r="209" ht="13.5" customHeight="1">
      <c r="A209" s="508"/>
      <c r="B209" s="508"/>
      <c r="C209" s="508"/>
      <c r="D209" s="508"/>
      <c r="E209" s="508"/>
    </row>
    <row r="210" ht="13.5" customHeight="1">
      <c r="A210" s="508"/>
      <c r="B210" s="508"/>
      <c r="C210" s="508"/>
      <c r="D210" s="508"/>
      <c r="E210" s="508"/>
    </row>
    <row r="211" ht="13.5" customHeight="1">
      <c r="A211" s="508"/>
      <c r="B211" s="508"/>
      <c r="C211" s="508"/>
      <c r="D211" s="508"/>
      <c r="E211" s="508"/>
    </row>
    <row r="212" ht="13.5" customHeight="1">
      <c r="A212" s="508"/>
      <c r="B212" s="508"/>
      <c r="C212" s="508"/>
      <c r="D212" s="508"/>
      <c r="E212" s="508"/>
    </row>
    <row r="213" ht="13.5" customHeight="1">
      <c r="A213" s="508"/>
      <c r="B213" s="508"/>
      <c r="C213" s="508"/>
      <c r="D213" s="508"/>
      <c r="E213" s="508"/>
    </row>
    <row r="214" ht="13.5" customHeight="1">
      <c r="A214" s="508"/>
      <c r="B214" s="508"/>
      <c r="C214" s="508"/>
      <c r="D214" s="508"/>
      <c r="E214" s="508"/>
    </row>
    <row r="215" ht="13.5" customHeight="1">
      <c r="A215" s="508"/>
      <c r="B215" s="508"/>
      <c r="C215" s="508"/>
      <c r="D215" s="508"/>
      <c r="E215" s="508"/>
    </row>
    <row r="216" ht="13.5" customHeight="1">
      <c r="A216" s="508"/>
      <c r="B216" s="508"/>
      <c r="C216" s="508"/>
      <c r="D216" s="508"/>
      <c r="E216" s="508"/>
    </row>
    <row r="217" ht="13.5" customHeight="1">
      <c r="A217" s="508"/>
      <c r="B217" s="508"/>
      <c r="C217" s="508"/>
      <c r="D217" s="508"/>
      <c r="E217" s="508"/>
    </row>
    <row r="218" ht="13.5" customHeight="1">
      <c r="A218" s="508"/>
      <c r="B218" s="508"/>
      <c r="C218" s="508"/>
      <c r="D218" s="508"/>
      <c r="E218" s="508"/>
    </row>
    <row r="219" ht="13.5" customHeight="1">
      <c r="A219" s="508"/>
      <c r="B219" s="508"/>
      <c r="C219" s="508"/>
      <c r="D219" s="508"/>
      <c r="E219" s="508"/>
    </row>
    <row r="220" ht="13.5" customHeight="1">
      <c r="A220" s="508"/>
      <c r="B220" s="508"/>
      <c r="C220" s="508"/>
      <c r="D220" s="508"/>
      <c r="E220" s="508"/>
    </row>
    <row r="221" ht="13.5" customHeight="1">
      <c r="A221" s="508"/>
      <c r="B221" s="508"/>
      <c r="C221" s="508"/>
      <c r="D221" s="508"/>
      <c r="E221" s="508"/>
    </row>
    <row r="222" ht="13.5" customHeight="1">
      <c r="A222" s="508"/>
      <c r="B222" s="508"/>
      <c r="C222" s="508"/>
      <c r="D222" s="508"/>
      <c r="E222" s="508"/>
    </row>
    <row r="223" ht="13.5" customHeight="1">
      <c r="A223" s="508"/>
      <c r="B223" s="508"/>
      <c r="C223" s="508"/>
      <c r="D223" s="508"/>
      <c r="E223" s="508"/>
    </row>
    <row r="224" ht="13.5" customHeight="1">
      <c r="A224" s="508"/>
      <c r="B224" s="508"/>
      <c r="C224" s="508"/>
      <c r="D224" s="508"/>
      <c r="E224" s="508"/>
    </row>
    <row r="225" ht="13.5" customHeight="1">
      <c r="A225" s="508"/>
      <c r="B225" s="508"/>
      <c r="C225" s="508"/>
      <c r="D225" s="508"/>
      <c r="E225" s="508"/>
    </row>
    <row r="226" ht="13.5" customHeight="1">
      <c r="A226" s="508"/>
      <c r="B226" s="508"/>
      <c r="C226" s="508"/>
      <c r="D226" s="508"/>
      <c r="E226" s="508"/>
    </row>
    <row r="227" ht="13.5" customHeight="1">
      <c r="A227" s="508"/>
      <c r="B227" s="508"/>
      <c r="C227" s="508"/>
      <c r="D227" s="508"/>
      <c r="E227" s="508"/>
    </row>
    <row r="228" ht="13.5" customHeight="1">
      <c r="A228" s="508"/>
      <c r="B228" s="508"/>
      <c r="C228" s="508"/>
      <c r="D228" s="508"/>
      <c r="E228" s="508"/>
    </row>
    <row r="229" ht="13.5" customHeight="1">
      <c r="A229" s="508"/>
      <c r="B229" s="508"/>
      <c r="C229" s="508"/>
      <c r="D229" s="508"/>
      <c r="E229" s="508"/>
    </row>
    <row r="230" ht="13.5" customHeight="1">
      <c r="A230" s="508"/>
      <c r="B230" s="508"/>
      <c r="C230" s="508"/>
      <c r="D230" s="508"/>
      <c r="E230" s="508"/>
    </row>
    <row r="231" ht="13.5" customHeight="1">
      <c r="A231" s="508"/>
      <c r="B231" s="508"/>
      <c r="C231" s="508"/>
      <c r="D231" s="508"/>
      <c r="E231" s="508"/>
    </row>
    <row r="232" ht="13.5" customHeight="1">
      <c r="A232" s="508"/>
      <c r="B232" s="508"/>
      <c r="C232" s="508"/>
      <c r="D232" s="508"/>
      <c r="E232" s="508"/>
    </row>
    <row r="233" ht="13.5" customHeight="1">
      <c r="A233" s="508"/>
      <c r="B233" s="508"/>
      <c r="C233" s="508"/>
      <c r="D233" s="508"/>
      <c r="E233" s="508"/>
    </row>
    <row r="234" ht="13.5" customHeight="1">
      <c r="A234" s="508"/>
      <c r="B234" s="508"/>
      <c r="C234" s="508"/>
      <c r="D234" s="508"/>
      <c r="E234" s="508"/>
    </row>
    <row r="235" ht="13.5" customHeight="1">
      <c r="A235" s="508"/>
      <c r="B235" s="508"/>
      <c r="C235" s="508"/>
      <c r="D235" s="508"/>
      <c r="E235" s="508"/>
    </row>
    <row r="236" ht="13.5" customHeight="1">
      <c r="A236" s="508"/>
      <c r="B236" s="508"/>
      <c r="C236" s="508"/>
      <c r="D236" s="508"/>
      <c r="E236" s="508"/>
    </row>
    <row r="237" ht="13.5" customHeight="1">
      <c r="A237" s="508"/>
      <c r="B237" s="508"/>
      <c r="C237" s="508"/>
      <c r="D237" s="508"/>
      <c r="E237" s="508"/>
    </row>
    <row r="238" ht="13.5" customHeight="1">
      <c r="A238" s="508"/>
      <c r="B238" s="508"/>
      <c r="C238" s="508"/>
      <c r="D238" s="508"/>
      <c r="E238" s="508"/>
    </row>
    <row r="239" ht="13.5" customHeight="1">
      <c r="A239" s="508"/>
      <c r="B239" s="508"/>
      <c r="C239" s="508"/>
      <c r="D239" s="508"/>
      <c r="E239" s="508"/>
    </row>
    <row r="240" ht="13.5" customHeight="1">
      <c r="A240" s="508"/>
      <c r="B240" s="508"/>
      <c r="C240" s="508"/>
      <c r="D240" s="508"/>
      <c r="E240" s="508"/>
    </row>
    <row r="241" ht="13.5" customHeight="1">
      <c r="A241" s="508"/>
      <c r="B241" s="508"/>
      <c r="C241" s="508"/>
      <c r="D241" s="508"/>
      <c r="E241" s="508"/>
    </row>
    <row r="242" ht="13.5" customHeight="1">
      <c r="A242" s="508"/>
      <c r="B242" s="508"/>
      <c r="C242" s="508"/>
      <c r="D242" s="508"/>
      <c r="E242" s="508"/>
    </row>
    <row r="243" ht="13.5" customHeight="1">
      <c r="A243" s="508"/>
      <c r="B243" s="508"/>
      <c r="C243" s="508"/>
      <c r="D243" s="508"/>
      <c r="E243" s="508"/>
    </row>
    <row r="244" ht="13.5" customHeight="1">
      <c r="A244" s="508"/>
      <c r="B244" s="508"/>
      <c r="C244" s="508"/>
      <c r="D244" s="508"/>
      <c r="E244" s="508"/>
    </row>
    <row r="245" ht="13.5" customHeight="1">
      <c r="A245" s="508"/>
      <c r="B245" s="508"/>
      <c r="C245" s="508"/>
      <c r="D245" s="508"/>
      <c r="E245" s="508"/>
    </row>
    <row r="246" ht="13.5" customHeight="1">
      <c r="A246" s="508"/>
      <c r="B246" s="508"/>
      <c r="C246" s="508"/>
      <c r="D246" s="508"/>
      <c r="E246" s="508"/>
    </row>
    <row r="247" ht="13.5" customHeight="1">
      <c r="A247" s="508"/>
      <c r="B247" s="508"/>
      <c r="C247" s="508"/>
      <c r="D247" s="508"/>
      <c r="E247" s="508"/>
    </row>
    <row r="248" ht="13.5" customHeight="1">
      <c r="A248" s="508"/>
      <c r="B248" s="508"/>
      <c r="C248" s="508"/>
      <c r="D248" s="508"/>
      <c r="E248" s="508"/>
    </row>
    <row r="249" ht="13.5" customHeight="1">
      <c r="A249" s="508"/>
      <c r="B249" s="508"/>
      <c r="C249" s="508"/>
      <c r="D249" s="508"/>
      <c r="E249" s="508"/>
    </row>
    <row r="250" ht="13.5" customHeight="1">
      <c r="A250" s="508"/>
      <c r="B250" s="508"/>
      <c r="C250" s="508"/>
      <c r="D250" s="508"/>
      <c r="E250" s="508"/>
    </row>
    <row r="251" ht="13.5" customHeight="1">
      <c r="A251" s="508"/>
      <c r="B251" s="508"/>
      <c r="C251" s="508"/>
      <c r="D251" s="508"/>
      <c r="E251" s="508"/>
    </row>
    <row r="252" ht="13.5" customHeight="1">
      <c r="A252" s="508"/>
      <c r="B252" s="508"/>
      <c r="C252" s="508"/>
      <c r="D252" s="508"/>
      <c r="E252" s="508"/>
    </row>
    <row r="253" ht="13.5" customHeight="1">
      <c r="A253" s="508"/>
      <c r="B253" s="508"/>
      <c r="C253" s="508"/>
      <c r="D253" s="508"/>
      <c r="E253" s="508"/>
    </row>
    <row r="254" ht="13.5" customHeight="1">
      <c r="A254" s="508"/>
      <c r="B254" s="508"/>
      <c r="C254" s="508"/>
      <c r="D254" s="508"/>
      <c r="E254" s="508"/>
    </row>
    <row r="255" ht="13.5" customHeight="1">
      <c r="A255" s="508"/>
      <c r="B255" s="508"/>
      <c r="C255" s="508"/>
      <c r="D255" s="508"/>
      <c r="E255" s="508"/>
    </row>
    <row r="256" ht="13.5" customHeight="1">
      <c r="A256" s="508"/>
      <c r="B256" s="508"/>
      <c r="C256" s="508"/>
      <c r="D256" s="508"/>
      <c r="E256" s="508"/>
    </row>
    <row r="257" ht="13.5" customHeight="1">
      <c r="A257" s="508"/>
      <c r="B257" s="508"/>
      <c r="C257" s="508"/>
      <c r="D257" s="508"/>
      <c r="E257" s="508"/>
    </row>
    <row r="258" ht="13.5" customHeight="1">
      <c r="A258" s="508"/>
      <c r="B258" s="508"/>
      <c r="C258" s="508"/>
      <c r="D258" s="508"/>
      <c r="E258" s="508"/>
    </row>
    <row r="259" ht="13.5" customHeight="1">
      <c r="A259" s="508"/>
      <c r="B259" s="508"/>
      <c r="C259" s="508"/>
      <c r="D259" s="508"/>
      <c r="E259" s="508"/>
    </row>
    <row r="260" ht="13.5" customHeight="1">
      <c r="A260" s="508"/>
      <c r="B260" s="508"/>
      <c r="C260" s="508"/>
      <c r="D260" s="508"/>
      <c r="E260" s="508"/>
    </row>
    <row r="261" ht="13.5" customHeight="1">
      <c r="A261" s="508"/>
      <c r="B261" s="508"/>
      <c r="C261" s="508"/>
      <c r="D261" s="508"/>
      <c r="E261" s="508"/>
    </row>
    <row r="262" ht="13.5" customHeight="1">
      <c r="A262" s="508"/>
      <c r="B262" s="508"/>
      <c r="C262" s="508"/>
      <c r="D262" s="508"/>
      <c r="E262" s="508"/>
    </row>
    <row r="263" ht="13.5" customHeight="1">
      <c r="A263" s="508"/>
      <c r="B263" s="508"/>
      <c r="C263" s="508"/>
      <c r="D263" s="508"/>
      <c r="E263" s="508"/>
    </row>
    <row r="264" ht="13.5" customHeight="1">
      <c r="A264" s="508"/>
      <c r="B264" s="508"/>
      <c r="C264" s="508"/>
      <c r="D264" s="508"/>
      <c r="E264" s="508"/>
    </row>
    <row r="265" ht="13.5" customHeight="1">
      <c r="A265" s="508"/>
      <c r="B265" s="508"/>
      <c r="C265" s="508"/>
      <c r="D265" s="508"/>
      <c r="E265" s="508"/>
    </row>
    <row r="266" ht="13.5" customHeight="1">
      <c r="A266" s="508"/>
      <c r="B266" s="508"/>
      <c r="C266" s="508"/>
      <c r="D266" s="508"/>
      <c r="E266" s="508"/>
    </row>
    <row r="267" ht="13.5" customHeight="1">
      <c r="A267" s="508"/>
      <c r="B267" s="508"/>
      <c r="C267" s="508"/>
      <c r="D267" s="508"/>
      <c r="E267" s="508"/>
    </row>
    <row r="268" ht="13.5" customHeight="1">
      <c r="A268" s="508"/>
      <c r="B268" s="508"/>
      <c r="C268" s="508"/>
      <c r="D268" s="508"/>
      <c r="E268" s="508"/>
    </row>
    <row r="269" ht="13.5" customHeight="1">
      <c r="A269" s="508"/>
      <c r="B269" s="508"/>
      <c r="C269" s="508"/>
      <c r="D269" s="508"/>
      <c r="E269" s="508"/>
    </row>
    <row r="270" ht="13.5" customHeight="1">
      <c r="A270" s="508"/>
      <c r="B270" s="508"/>
      <c r="C270" s="508"/>
      <c r="D270" s="508"/>
      <c r="E270" s="508"/>
    </row>
    <row r="271" ht="13.5" customHeight="1">
      <c r="A271" s="508"/>
      <c r="B271" s="508"/>
      <c r="C271" s="508"/>
      <c r="D271" s="508"/>
      <c r="E271" s="508"/>
    </row>
    <row r="272" ht="13.5" customHeight="1">
      <c r="A272" s="508"/>
      <c r="B272" s="508"/>
      <c r="C272" s="508"/>
      <c r="D272" s="508"/>
      <c r="E272" s="508"/>
    </row>
    <row r="273" ht="13.5" customHeight="1">
      <c r="A273" s="508"/>
      <c r="B273" s="508"/>
      <c r="C273" s="508"/>
      <c r="D273" s="508"/>
      <c r="E273" s="508"/>
    </row>
    <row r="274" ht="13.5" customHeight="1">
      <c r="A274" s="508"/>
      <c r="B274" s="508"/>
      <c r="C274" s="508"/>
      <c r="D274" s="508"/>
      <c r="E274" s="508"/>
    </row>
    <row r="275" ht="13.5" customHeight="1">
      <c r="A275" s="508"/>
      <c r="B275" s="508"/>
      <c r="C275" s="508"/>
      <c r="D275" s="508"/>
      <c r="E275" s="508"/>
    </row>
    <row r="276" ht="13.5" customHeight="1">
      <c r="A276" s="508"/>
      <c r="B276" s="508"/>
      <c r="C276" s="508"/>
      <c r="D276" s="508"/>
      <c r="E276" s="508"/>
    </row>
    <row r="277" ht="13.5" customHeight="1">
      <c r="A277" s="508"/>
      <c r="B277" s="508"/>
      <c r="C277" s="508"/>
      <c r="D277" s="508"/>
      <c r="E277" s="508"/>
    </row>
    <row r="278" ht="13.5" customHeight="1">
      <c r="A278" s="508"/>
      <c r="B278" s="508"/>
      <c r="C278" s="508"/>
      <c r="D278" s="508"/>
      <c r="E278" s="508"/>
    </row>
    <row r="279" ht="13.5" customHeight="1">
      <c r="A279" s="508"/>
      <c r="B279" s="508"/>
      <c r="C279" s="508"/>
      <c r="D279" s="508"/>
      <c r="E279" s="508"/>
    </row>
    <row r="280" ht="13.5" customHeight="1">
      <c r="A280" s="508"/>
      <c r="B280" s="508"/>
      <c r="C280" s="508"/>
      <c r="D280" s="508"/>
      <c r="E280" s="508"/>
    </row>
    <row r="281" ht="13.5" customHeight="1">
      <c r="A281" s="508"/>
      <c r="B281" s="508"/>
      <c r="C281" s="508"/>
      <c r="D281" s="508"/>
      <c r="E281" s="508"/>
    </row>
    <row r="282" ht="13.5" customHeight="1">
      <c r="A282" s="508"/>
      <c r="B282" s="508"/>
      <c r="C282" s="508"/>
      <c r="D282" s="508"/>
      <c r="E282" s="508"/>
    </row>
    <row r="283" ht="13.5" customHeight="1">
      <c r="A283" s="508"/>
      <c r="B283" s="508"/>
      <c r="C283" s="508"/>
      <c r="D283" s="508"/>
      <c r="E283" s="508"/>
    </row>
    <row r="284" ht="13.5" customHeight="1">
      <c r="A284" s="508"/>
      <c r="B284" s="508"/>
      <c r="C284" s="508"/>
      <c r="D284" s="508"/>
      <c r="E284" s="508"/>
    </row>
    <row r="285" ht="13.5" customHeight="1">
      <c r="A285" s="508"/>
      <c r="B285" s="508"/>
      <c r="C285" s="508"/>
      <c r="D285" s="508"/>
      <c r="E285" s="508"/>
    </row>
    <row r="286" ht="13.5" customHeight="1">
      <c r="A286" s="508"/>
      <c r="B286" s="508"/>
      <c r="C286" s="508"/>
      <c r="D286" s="508"/>
      <c r="E286" s="508"/>
    </row>
    <row r="287" ht="13.5" customHeight="1">
      <c r="A287" s="508"/>
      <c r="B287" s="508"/>
      <c r="C287" s="508"/>
      <c r="D287" s="508"/>
      <c r="E287" s="508"/>
    </row>
    <row r="288" ht="13.5" customHeight="1">
      <c r="A288" s="508"/>
      <c r="B288" s="508"/>
      <c r="C288" s="508"/>
      <c r="D288" s="508"/>
      <c r="E288" s="508"/>
    </row>
    <row r="289" ht="13.5" customHeight="1">
      <c r="A289" s="508"/>
      <c r="B289" s="508"/>
      <c r="C289" s="508"/>
      <c r="D289" s="508"/>
      <c r="E289" s="508"/>
    </row>
    <row r="290" ht="13.5" customHeight="1">
      <c r="A290" s="508"/>
      <c r="B290" s="508"/>
      <c r="C290" s="508"/>
      <c r="D290" s="508"/>
      <c r="E290" s="508"/>
    </row>
    <row r="291" ht="13.5" customHeight="1">
      <c r="A291" s="508"/>
      <c r="B291" s="508"/>
      <c r="C291" s="508"/>
      <c r="D291" s="508"/>
      <c r="E291" s="508"/>
    </row>
    <row r="292" ht="13.5" customHeight="1">
      <c r="A292" s="508"/>
      <c r="B292" s="508"/>
      <c r="C292" s="508"/>
      <c r="D292" s="508"/>
      <c r="E292" s="508"/>
    </row>
    <row r="293" ht="13.5" customHeight="1">
      <c r="A293" s="508"/>
      <c r="B293" s="508"/>
      <c r="C293" s="508"/>
      <c r="D293" s="508"/>
      <c r="E293" s="508"/>
    </row>
    <row r="294" ht="13.5" customHeight="1">
      <c r="A294" s="508"/>
      <c r="B294" s="508"/>
      <c r="C294" s="508"/>
      <c r="D294" s="508"/>
      <c r="E294" s="508"/>
    </row>
    <row r="295" ht="13.5" customHeight="1">
      <c r="A295" s="508"/>
      <c r="B295" s="508"/>
      <c r="C295" s="508"/>
      <c r="D295" s="508"/>
      <c r="E295" s="508"/>
    </row>
    <row r="296" ht="13.5" customHeight="1">
      <c r="A296" s="508"/>
      <c r="B296" s="508"/>
      <c r="C296" s="508"/>
      <c r="D296" s="508"/>
      <c r="E296" s="508"/>
    </row>
    <row r="297" ht="13.5" customHeight="1">
      <c r="A297" s="508"/>
      <c r="B297" s="508"/>
      <c r="C297" s="508"/>
      <c r="D297" s="508"/>
      <c r="E297" s="508"/>
    </row>
    <row r="298" ht="13.5" customHeight="1">
      <c r="A298" s="508"/>
      <c r="B298" s="508"/>
      <c r="C298" s="508"/>
      <c r="D298" s="508"/>
      <c r="E298" s="508"/>
    </row>
    <row r="299" ht="13.5" customHeight="1">
      <c r="A299" s="508"/>
      <c r="B299" s="508"/>
      <c r="C299" s="508"/>
      <c r="D299" s="508"/>
      <c r="E299" s="508"/>
    </row>
    <row r="300" ht="13.5" customHeight="1">
      <c r="A300" s="508"/>
      <c r="B300" s="508"/>
      <c r="C300" s="508"/>
      <c r="D300" s="508"/>
      <c r="E300" s="508"/>
    </row>
    <row r="301" ht="13.5" customHeight="1">
      <c r="A301" s="508"/>
      <c r="B301" s="508"/>
      <c r="C301" s="508"/>
      <c r="D301" s="508"/>
      <c r="E301" s="508"/>
    </row>
    <row r="302" ht="13.5" customHeight="1">
      <c r="A302" s="508"/>
      <c r="B302" s="508"/>
      <c r="C302" s="508"/>
      <c r="D302" s="508"/>
      <c r="E302" s="508"/>
    </row>
    <row r="303" ht="13.5" customHeight="1">
      <c r="A303" s="508"/>
      <c r="B303" s="508"/>
      <c r="C303" s="508"/>
      <c r="D303" s="508"/>
      <c r="E303" s="508"/>
    </row>
    <row r="304" ht="13.5" customHeight="1">
      <c r="A304" s="508"/>
      <c r="B304" s="508"/>
      <c r="C304" s="508"/>
      <c r="D304" s="508"/>
      <c r="E304" s="508"/>
    </row>
    <row r="305" ht="13.5" customHeight="1">
      <c r="A305" s="508"/>
      <c r="B305" s="508"/>
      <c r="C305" s="508"/>
      <c r="D305" s="508"/>
      <c r="E305" s="508"/>
    </row>
    <row r="306" ht="13.5" customHeight="1">
      <c r="A306" s="508"/>
      <c r="B306" s="508"/>
      <c r="C306" s="508"/>
      <c r="D306" s="508"/>
      <c r="E306" s="508"/>
    </row>
    <row r="307" ht="13.5" customHeight="1">
      <c r="A307" s="508"/>
      <c r="B307" s="508"/>
      <c r="C307" s="508"/>
      <c r="D307" s="508"/>
      <c r="E307" s="508"/>
    </row>
    <row r="308" ht="13.5" customHeight="1">
      <c r="A308" s="508"/>
      <c r="B308" s="508"/>
      <c r="C308" s="508"/>
      <c r="D308" s="508"/>
      <c r="E308" s="508"/>
    </row>
    <row r="309" ht="13.5" customHeight="1">
      <c r="A309" s="508"/>
      <c r="B309" s="508"/>
      <c r="C309" s="508"/>
      <c r="D309" s="508"/>
      <c r="E309" s="508"/>
    </row>
    <row r="310" ht="13.5" customHeight="1">
      <c r="A310" s="508"/>
      <c r="B310" s="508"/>
      <c r="C310" s="508"/>
      <c r="D310" s="508"/>
      <c r="E310" s="508"/>
    </row>
    <row r="311" ht="13.5" customHeight="1">
      <c r="A311" s="508"/>
      <c r="B311" s="508"/>
      <c r="C311" s="508"/>
      <c r="D311" s="508"/>
      <c r="E311" s="508"/>
    </row>
    <row r="312" ht="13.5" customHeight="1">
      <c r="A312" s="508"/>
      <c r="B312" s="508"/>
      <c r="C312" s="508"/>
      <c r="D312" s="508"/>
      <c r="E312" s="508"/>
    </row>
    <row r="313" ht="13.5" customHeight="1">
      <c r="A313" s="508"/>
      <c r="B313" s="508"/>
      <c r="C313" s="508"/>
      <c r="D313" s="508"/>
      <c r="E313" s="508"/>
    </row>
    <row r="314" ht="13.5" customHeight="1">
      <c r="A314" s="508"/>
      <c r="B314" s="508"/>
      <c r="C314" s="508"/>
      <c r="D314" s="508"/>
      <c r="E314" s="508"/>
    </row>
    <row r="315" ht="13.5" customHeight="1">
      <c r="A315" s="508"/>
      <c r="B315" s="508"/>
      <c r="C315" s="508"/>
      <c r="D315" s="508"/>
      <c r="E315" s="508"/>
    </row>
    <row r="316" ht="13.5" customHeight="1">
      <c r="A316" s="508"/>
      <c r="B316" s="508"/>
      <c r="C316" s="508"/>
      <c r="D316" s="508"/>
      <c r="E316" s="508"/>
    </row>
    <row r="317" ht="13.5" customHeight="1">
      <c r="A317" s="508"/>
      <c r="B317" s="508"/>
      <c r="C317" s="508"/>
      <c r="D317" s="508"/>
      <c r="E317" s="508"/>
    </row>
    <row r="318" ht="13.5" customHeight="1">
      <c r="A318" s="508"/>
      <c r="B318" s="508"/>
      <c r="C318" s="508"/>
      <c r="D318" s="508"/>
      <c r="E318" s="508"/>
    </row>
    <row r="319" ht="13.5" customHeight="1">
      <c r="A319" s="508"/>
      <c r="B319" s="508"/>
      <c r="C319" s="508"/>
      <c r="D319" s="508"/>
      <c r="E319" s="508"/>
    </row>
    <row r="320" ht="13.5" customHeight="1">
      <c r="A320" s="508"/>
      <c r="B320" s="508"/>
      <c r="C320" s="508"/>
      <c r="D320" s="508"/>
      <c r="E320" s="508"/>
    </row>
    <row r="321" ht="13.5" customHeight="1">
      <c r="A321" s="508"/>
      <c r="B321" s="508"/>
      <c r="C321" s="508"/>
      <c r="D321" s="508"/>
      <c r="E321" s="508"/>
    </row>
    <row r="322" ht="13.5" customHeight="1">
      <c r="A322" s="508"/>
      <c r="B322" s="508"/>
      <c r="C322" s="508"/>
      <c r="D322" s="508"/>
      <c r="E322" s="508"/>
    </row>
    <row r="323" ht="13.5" customHeight="1">
      <c r="A323" s="508"/>
      <c r="B323" s="508"/>
      <c r="C323" s="508"/>
      <c r="D323" s="508"/>
      <c r="E323" s="508"/>
    </row>
    <row r="324" ht="13.5" customHeight="1">
      <c r="A324" s="508"/>
      <c r="B324" s="508"/>
      <c r="C324" s="508"/>
      <c r="D324" s="508"/>
      <c r="E324" s="508"/>
    </row>
    <row r="325" ht="13.5" customHeight="1">
      <c r="A325" s="508"/>
      <c r="B325" s="508"/>
      <c r="C325" s="508"/>
      <c r="D325" s="508"/>
      <c r="E325" s="508"/>
    </row>
    <row r="326" ht="13.5" customHeight="1">
      <c r="A326" s="508"/>
      <c r="B326" s="508"/>
      <c r="C326" s="508"/>
      <c r="D326" s="508"/>
      <c r="E326" s="508"/>
    </row>
    <row r="327" ht="13.5" customHeight="1">
      <c r="A327" s="508"/>
      <c r="B327" s="508"/>
      <c r="C327" s="508"/>
      <c r="D327" s="508"/>
      <c r="E327" s="508"/>
    </row>
    <row r="328" ht="13.5" customHeight="1">
      <c r="A328" s="508"/>
      <c r="B328" s="508"/>
      <c r="C328" s="508"/>
      <c r="D328" s="508"/>
      <c r="E328" s="508"/>
    </row>
    <row r="329" ht="13.5" customHeight="1">
      <c r="A329" s="508"/>
      <c r="B329" s="508"/>
      <c r="C329" s="508"/>
      <c r="D329" s="508"/>
      <c r="E329" s="508"/>
    </row>
    <row r="330" ht="13.5" customHeight="1">
      <c r="A330" s="508"/>
      <c r="B330" s="508"/>
      <c r="C330" s="508"/>
      <c r="D330" s="508"/>
      <c r="E330" s="508"/>
    </row>
    <row r="331" ht="13.5" customHeight="1">
      <c r="A331" s="508"/>
      <c r="B331" s="508"/>
      <c r="C331" s="508"/>
      <c r="D331" s="508"/>
      <c r="E331" s="508"/>
    </row>
    <row r="332" ht="13.5" customHeight="1">
      <c r="A332" s="508"/>
      <c r="B332" s="508"/>
      <c r="C332" s="508"/>
      <c r="D332" s="508"/>
      <c r="E332" s="508"/>
    </row>
    <row r="333" ht="13.5" customHeight="1">
      <c r="A333" s="508"/>
      <c r="B333" s="508"/>
      <c r="C333" s="508"/>
      <c r="D333" s="508"/>
      <c r="E333" s="508"/>
    </row>
    <row r="334" ht="13.5" customHeight="1">
      <c r="A334" s="508"/>
      <c r="B334" s="508"/>
      <c r="C334" s="508"/>
      <c r="D334" s="508"/>
      <c r="E334" s="508"/>
    </row>
    <row r="335" ht="13.5" customHeight="1">
      <c r="A335" s="508"/>
      <c r="B335" s="508"/>
      <c r="C335" s="508"/>
      <c r="D335" s="508"/>
      <c r="E335" s="508"/>
    </row>
    <row r="336" ht="13.5" customHeight="1">
      <c r="A336" s="508"/>
      <c r="B336" s="508"/>
      <c r="C336" s="508"/>
      <c r="D336" s="508"/>
      <c r="E336" s="508"/>
    </row>
    <row r="337" ht="13.5" customHeight="1">
      <c r="A337" s="508"/>
      <c r="B337" s="508"/>
      <c r="C337" s="508"/>
      <c r="D337" s="508"/>
      <c r="E337" s="508"/>
    </row>
    <row r="338" ht="13.5" customHeight="1">
      <c r="A338" s="508"/>
      <c r="B338" s="508"/>
      <c r="C338" s="508"/>
      <c r="D338" s="508"/>
      <c r="E338" s="508"/>
    </row>
    <row r="339" ht="13.5" customHeight="1">
      <c r="A339" s="508"/>
      <c r="B339" s="508"/>
      <c r="C339" s="508"/>
      <c r="D339" s="508"/>
      <c r="E339" s="508"/>
    </row>
    <row r="340" ht="13.5" customHeight="1">
      <c r="A340" s="508"/>
      <c r="B340" s="508"/>
      <c r="C340" s="508"/>
      <c r="D340" s="508"/>
      <c r="E340" s="508"/>
    </row>
    <row r="341" ht="13.5" customHeight="1">
      <c r="A341" s="508"/>
      <c r="B341" s="508"/>
      <c r="C341" s="508"/>
      <c r="D341" s="508"/>
      <c r="E341" s="508"/>
    </row>
    <row r="342" ht="13.5" customHeight="1">
      <c r="A342" s="508"/>
      <c r="B342" s="508"/>
      <c r="C342" s="508"/>
      <c r="D342" s="508"/>
      <c r="E342" s="508"/>
    </row>
    <row r="343" ht="13.5" customHeight="1">
      <c r="A343" s="508"/>
      <c r="B343" s="508"/>
      <c r="C343" s="508"/>
      <c r="D343" s="508"/>
      <c r="E343" s="508"/>
    </row>
    <row r="344" ht="13.5" customHeight="1">
      <c r="A344" s="508"/>
      <c r="B344" s="508"/>
      <c r="C344" s="508"/>
      <c r="D344" s="508"/>
      <c r="E344" s="508"/>
    </row>
    <row r="345" ht="13.5" customHeight="1">
      <c r="A345" s="508"/>
      <c r="B345" s="508"/>
      <c r="C345" s="508"/>
      <c r="D345" s="508"/>
      <c r="E345" s="508"/>
    </row>
    <row r="346" ht="13.5" customHeight="1">
      <c r="A346" s="508"/>
      <c r="B346" s="508"/>
      <c r="C346" s="508"/>
      <c r="D346" s="508"/>
      <c r="E346" s="508"/>
    </row>
    <row r="347" ht="13.5" customHeight="1">
      <c r="A347" s="508"/>
      <c r="B347" s="508"/>
      <c r="C347" s="508"/>
      <c r="D347" s="508"/>
      <c r="E347" s="508"/>
    </row>
    <row r="348" ht="13.5" customHeight="1">
      <c r="A348" s="508"/>
      <c r="B348" s="508"/>
      <c r="C348" s="508"/>
      <c r="D348" s="508"/>
      <c r="E348" s="508"/>
    </row>
    <row r="349" ht="13.5" customHeight="1">
      <c r="A349" s="508"/>
      <c r="B349" s="508"/>
      <c r="C349" s="508"/>
      <c r="D349" s="508"/>
      <c r="E349" s="508"/>
    </row>
    <row r="350" ht="13.5" customHeight="1">
      <c r="A350" s="508"/>
      <c r="B350" s="508"/>
      <c r="C350" s="508"/>
      <c r="D350" s="508"/>
      <c r="E350" s="508"/>
    </row>
    <row r="351" ht="13.5" customHeight="1">
      <c r="A351" s="508"/>
      <c r="B351" s="508"/>
      <c r="C351" s="508"/>
      <c r="D351" s="508"/>
      <c r="E351" s="508"/>
    </row>
    <row r="352" ht="13.5" customHeight="1">
      <c r="A352" s="508"/>
      <c r="B352" s="508"/>
      <c r="C352" s="508"/>
      <c r="D352" s="508"/>
      <c r="E352" s="508"/>
    </row>
    <row r="353" ht="13.5" customHeight="1">
      <c r="A353" s="508"/>
      <c r="B353" s="508"/>
      <c r="C353" s="508"/>
      <c r="D353" s="508"/>
      <c r="E353" s="508"/>
    </row>
    <row r="354" ht="13.5" customHeight="1">
      <c r="A354" s="508"/>
      <c r="B354" s="508"/>
      <c r="C354" s="508"/>
      <c r="D354" s="508"/>
      <c r="E354" s="508"/>
    </row>
    <row r="355" ht="13.5" customHeight="1">
      <c r="A355" s="508"/>
      <c r="B355" s="508"/>
      <c r="C355" s="508"/>
      <c r="D355" s="508"/>
      <c r="E355" s="508"/>
    </row>
    <row r="356" ht="13.5" customHeight="1">
      <c r="A356" s="508"/>
      <c r="B356" s="508"/>
      <c r="C356" s="508"/>
      <c r="D356" s="508"/>
      <c r="E356" s="508"/>
    </row>
    <row r="357" ht="13.5" customHeight="1">
      <c r="A357" s="508"/>
      <c r="B357" s="508"/>
      <c r="C357" s="508"/>
      <c r="D357" s="508"/>
      <c r="E357" s="508"/>
    </row>
    <row r="358" ht="13.5" customHeight="1">
      <c r="A358" s="508"/>
      <c r="B358" s="508"/>
      <c r="C358" s="508"/>
      <c r="D358" s="508"/>
      <c r="E358" s="508"/>
    </row>
    <row r="359" ht="13.5" customHeight="1">
      <c r="A359" s="508"/>
      <c r="B359" s="508"/>
      <c r="C359" s="508"/>
      <c r="D359" s="508"/>
      <c r="E359" s="508"/>
    </row>
    <row r="360" ht="13.5" customHeight="1">
      <c r="A360" s="508"/>
      <c r="B360" s="508"/>
      <c r="C360" s="508"/>
      <c r="D360" s="508"/>
      <c r="E360" s="508"/>
    </row>
    <row r="361" ht="13.5" customHeight="1">
      <c r="A361" s="508"/>
      <c r="B361" s="508"/>
      <c r="C361" s="508"/>
      <c r="D361" s="508"/>
      <c r="E361" s="508"/>
    </row>
    <row r="362" ht="13.5" customHeight="1">
      <c r="A362" s="508"/>
      <c r="B362" s="508"/>
      <c r="C362" s="508"/>
      <c r="D362" s="508"/>
      <c r="E362" s="508"/>
    </row>
    <row r="363" ht="13.5" customHeight="1">
      <c r="A363" s="508"/>
      <c r="B363" s="508"/>
      <c r="C363" s="508"/>
      <c r="D363" s="508"/>
      <c r="E363" s="508"/>
    </row>
    <row r="364" ht="13.5" customHeight="1">
      <c r="A364" s="508"/>
      <c r="B364" s="508"/>
      <c r="C364" s="508"/>
      <c r="D364" s="508"/>
      <c r="E364" s="508"/>
    </row>
    <row r="365" ht="13.5" customHeight="1">
      <c r="A365" s="508"/>
      <c r="B365" s="508"/>
      <c r="C365" s="508"/>
      <c r="D365" s="508"/>
      <c r="E365" s="508"/>
    </row>
    <row r="366" ht="13.5" customHeight="1">
      <c r="A366" s="508"/>
      <c r="B366" s="508"/>
      <c r="C366" s="508"/>
      <c r="D366" s="508"/>
      <c r="E366" s="508"/>
    </row>
    <row r="367" ht="13.5" customHeight="1">
      <c r="A367" s="508"/>
      <c r="B367" s="508"/>
      <c r="C367" s="508"/>
      <c r="D367" s="508"/>
      <c r="E367" s="508"/>
    </row>
    <row r="368" ht="13.5" customHeight="1">
      <c r="A368" s="508"/>
      <c r="B368" s="508"/>
      <c r="C368" s="508"/>
      <c r="D368" s="508"/>
      <c r="E368" s="508"/>
    </row>
    <row r="369" ht="13.5" customHeight="1">
      <c r="A369" s="508"/>
      <c r="B369" s="508"/>
      <c r="C369" s="508"/>
      <c r="D369" s="508"/>
      <c r="E369" s="508"/>
    </row>
    <row r="370" ht="13.5" customHeight="1">
      <c r="A370" s="508"/>
      <c r="B370" s="508"/>
      <c r="C370" s="508"/>
      <c r="D370" s="508"/>
      <c r="E370" s="508"/>
    </row>
    <row r="371" ht="13.5" customHeight="1">
      <c r="A371" s="508"/>
      <c r="B371" s="508"/>
      <c r="C371" s="508"/>
      <c r="D371" s="508"/>
      <c r="E371" s="508"/>
    </row>
    <row r="372" ht="13.5" customHeight="1">
      <c r="A372" s="508"/>
      <c r="B372" s="508"/>
      <c r="C372" s="508"/>
      <c r="D372" s="508"/>
      <c r="E372" s="508"/>
    </row>
    <row r="373" ht="13.5" customHeight="1">
      <c r="A373" s="508"/>
      <c r="B373" s="508"/>
      <c r="C373" s="508"/>
      <c r="D373" s="508"/>
      <c r="E373" s="508"/>
    </row>
    <row r="374" ht="13.5" customHeight="1">
      <c r="A374" s="508"/>
      <c r="B374" s="508"/>
      <c r="C374" s="508"/>
      <c r="D374" s="508"/>
      <c r="E374" s="508"/>
    </row>
    <row r="375" ht="13.5" customHeight="1">
      <c r="A375" s="508"/>
      <c r="B375" s="508"/>
      <c r="C375" s="508"/>
      <c r="D375" s="508"/>
      <c r="E375" s="508"/>
    </row>
    <row r="376" ht="13.5" customHeight="1">
      <c r="A376" s="508"/>
      <c r="B376" s="508"/>
      <c r="C376" s="508"/>
      <c r="D376" s="508"/>
      <c r="E376" s="508"/>
    </row>
    <row r="377" ht="13.5" customHeight="1">
      <c r="A377" s="508"/>
      <c r="B377" s="508"/>
      <c r="C377" s="508"/>
      <c r="D377" s="508"/>
      <c r="E377" s="508"/>
    </row>
    <row r="378" ht="13.5" customHeight="1">
      <c r="A378" s="508"/>
      <c r="B378" s="508"/>
      <c r="C378" s="508"/>
      <c r="D378" s="508"/>
      <c r="E378" s="508"/>
    </row>
    <row r="379" ht="13.5" customHeight="1">
      <c r="A379" s="508"/>
      <c r="B379" s="508"/>
      <c r="C379" s="508"/>
      <c r="D379" s="508"/>
      <c r="E379" s="508"/>
    </row>
    <row r="380" ht="13.5" customHeight="1">
      <c r="A380" s="508"/>
      <c r="B380" s="508"/>
      <c r="C380" s="508"/>
      <c r="D380" s="508"/>
      <c r="E380" s="508"/>
    </row>
    <row r="381" ht="13.5" customHeight="1">
      <c r="A381" s="508"/>
      <c r="B381" s="508"/>
      <c r="C381" s="508"/>
      <c r="D381" s="508"/>
      <c r="E381" s="508"/>
    </row>
    <row r="382" ht="13.5" customHeight="1">
      <c r="A382" s="508"/>
      <c r="B382" s="508"/>
      <c r="C382" s="508"/>
      <c r="D382" s="508"/>
      <c r="E382" s="508"/>
    </row>
    <row r="383" ht="13.5" customHeight="1">
      <c r="A383" s="508"/>
      <c r="B383" s="508"/>
      <c r="C383" s="508"/>
      <c r="D383" s="508"/>
      <c r="E383" s="508"/>
    </row>
    <row r="384" ht="13.5" customHeight="1">
      <c r="A384" s="508"/>
      <c r="B384" s="508"/>
      <c r="C384" s="508"/>
      <c r="D384" s="508"/>
      <c r="E384" s="508"/>
    </row>
    <row r="385" ht="13.5" customHeight="1">
      <c r="A385" s="508"/>
      <c r="B385" s="508"/>
      <c r="C385" s="508"/>
      <c r="D385" s="508"/>
      <c r="E385" s="508"/>
    </row>
    <row r="386" ht="13.5" customHeight="1">
      <c r="A386" s="508"/>
      <c r="B386" s="508"/>
      <c r="C386" s="508"/>
      <c r="D386" s="508"/>
      <c r="E386" s="508"/>
    </row>
    <row r="387" ht="13.5" customHeight="1">
      <c r="A387" s="508"/>
      <c r="B387" s="508"/>
      <c r="C387" s="508"/>
      <c r="D387" s="508"/>
      <c r="E387" s="508"/>
    </row>
    <row r="388" ht="13.5" customHeight="1">
      <c r="A388" s="508"/>
      <c r="B388" s="508"/>
      <c r="C388" s="508"/>
      <c r="D388" s="508"/>
      <c r="E388" s="508"/>
    </row>
    <row r="389" ht="13.5" customHeight="1">
      <c r="A389" s="508"/>
      <c r="B389" s="508"/>
      <c r="C389" s="508"/>
      <c r="D389" s="508"/>
      <c r="E389" s="508"/>
    </row>
    <row r="390" ht="13.5" customHeight="1">
      <c r="A390" s="508"/>
      <c r="B390" s="508"/>
      <c r="C390" s="508"/>
      <c r="D390" s="508"/>
      <c r="E390" s="508"/>
    </row>
    <row r="391" ht="13.5" customHeight="1">
      <c r="A391" s="508"/>
      <c r="B391" s="508"/>
      <c r="C391" s="508"/>
      <c r="D391" s="508"/>
      <c r="E391" s="508"/>
    </row>
    <row r="392" ht="13.5" customHeight="1">
      <c r="A392" s="508"/>
      <c r="B392" s="508"/>
      <c r="C392" s="508"/>
      <c r="D392" s="508"/>
      <c r="E392" s="508"/>
    </row>
    <row r="393" ht="13.5" customHeight="1">
      <c r="A393" s="508"/>
      <c r="B393" s="508"/>
      <c r="C393" s="508"/>
      <c r="D393" s="508"/>
      <c r="E393" s="508"/>
    </row>
    <row r="394" ht="13.5" customHeight="1">
      <c r="A394" s="508"/>
      <c r="B394" s="508"/>
      <c r="C394" s="508"/>
      <c r="D394" s="508"/>
      <c r="E394" s="508"/>
    </row>
    <row r="395" ht="13.5" customHeight="1">
      <c r="A395" s="508"/>
      <c r="B395" s="508"/>
      <c r="C395" s="508"/>
      <c r="D395" s="508"/>
      <c r="E395" s="508"/>
    </row>
    <row r="396" ht="13.5" customHeight="1">
      <c r="A396" s="508"/>
      <c r="B396" s="508"/>
      <c r="C396" s="508"/>
      <c r="D396" s="508"/>
      <c r="E396" s="508"/>
    </row>
    <row r="397" ht="13.5" customHeight="1">
      <c r="A397" s="508"/>
      <c r="B397" s="508"/>
      <c r="C397" s="508"/>
      <c r="D397" s="508"/>
      <c r="E397" s="508"/>
    </row>
    <row r="398" ht="13.5" customHeight="1">
      <c r="A398" s="508"/>
      <c r="B398" s="508"/>
      <c r="C398" s="508"/>
      <c r="D398" s="508"/>
      <c r="E398" s="508"/>
    </row>
    <row r="399" ht="13.5" customHeight="1">
      <c r="A399" s="508"/>
      <c r="B399" s="508"/>
      <c r="C399" s="508"/>
      <c r="D399" s="508"/>
      <c r="E399" s="508"/>
    </row>
    <row r="400" ht="13.5" customHeight="1">
      <c r="A400" s="508"/>
      <c r="B400" s="508"/>
      <c r="C400" s="508"/>
      <c r="D400" s="508"/>
      <c r="E400" s="508"/>
    </row>
    <row r="401" ht="13.5" customHeight="1">
      <c r="A401" s="508"/>
      <c r="B401" s="508"/>
      <c r="C401" s="508"/>
      <c r="D401" s="508"/>
      <c r="E401" s="508"/>
    </row>
    <row r="402" ht="13.5" customHeight="1">
      <c r="A402" s="508"/>
      <c r="B402" s="508"/>
      <c r="C402" s="508"/>
      <c r="D402" s="508"/>
      <c r="E402" s="508"/>
    </row>
    <row r="403" ht="13.5" customHeight="1">
      <c r="A403" s="508"/>
      <c r="B403" s="508"/>
      <c r="C403" s="508"/>
      <c r="D403" s="508"/>
      <c r="E403" s="508"/>
    </row>
    <row r="404" ht="13.5" customHeight="1">
      <c r="A404" s="508"/>
      <c r="B404" s="508"/>
      <c r="C404" s="508"/>
      <c r="D404" s="508"/>
      <c r="E404" s="508"/>
    </row>
    <row r="405" ht="13.5" customHeight="1">
      <c r="A405" s="508"/>
      <c r="B405" s="508"/>
      <c r="C405" s="508"/>
      <c r="D405" s="508"/>
      <c r="E405" s="508"/>
    </row>
    <row r="406" ht="13.5" customHeight="1">
      <c r="A406" s="508"/>
      <c r="B406" s="508"/>
      <c r="C406" s="508"/>
      <c r="D406" s="508"/>
      <c r="E406" s="508"/>
    </row>
    <row r="407" ht="13.5" customHeight="1">
      <c r="A407" s="508"/>
      <c r="B407" s="508"/>
      <c r="C407" s="508"/>
      <c r="D407" s="508"/>
      <c r="E407" s="508"/>
    </row>
    <row r="408" ht="13.5" customHeight="1">
      <c r="A408" s="508"/>
      <c r="B408" s="508"/>
      <c r="C408" s="508"/>
      <c r="D408" s="508"/>
      <c r="E408" s="508"/>
    </row>
    <row r="409" ht="13.5" customHeight="1">
      <c r="A409" s="508"/>
      <c r="B409" s="508"/>
      <c r="C409" s="508"/>
      <c r="D409" s="508"/>
      <c r="E409" s="508"/>
    </row>
    <row r="410" ht="13.5" customHeight="1">
      <c r="A410" s="508"/>
      <c r="B410" s="508"/>
      <c r="C410" s="508"/>
      <c r="D410" s="508"/>
      <c r="E410" s="508"/>
    </row>
    <row r="411" ht="13.5" customHeight="1">
      <c r="A411" s="508"/>
      <c r="B411" s="508"/>
      <c r="C411" s="508"/>
      <c r="D411" s="508"/>
      <c r="E411" s="508"/>
    </row>
    <row r="412" ht="13.5" customHeight="1">
      <c r="A412" s="508"/>
      <c r="B412" s="508"/>
      <c r="C412" s="508"/>
      <c r="D412" s="508"/>
      <c r="E412" s="508"/>
    </row>
    <row r="413" ht="13.5" customHeight="1">
      <c r="A413" s="508"/>
      <c r="B413" s="508"/>
      <c r="C413" s="508"/>
      <c r="D413" s="508"/>
      <c r="E413" s="508"/>
    </row>
    <row r="414" ht="13.5" customHeight="1">
      <c r="A414" s="508"/>
      <c r="B414" s="508"/>
      <c r="C414" s="508"/>
      <c r="D414" s="508"/>
      <c r="E414" s="508"/>
    </row>
    <row r="415" ht="13.5" customHeight="1">
      <c r="A415" s="508"/>
      <c r="B415" s="508"/>
      <c r="C415" s="508"/>
      <c r="D415" s="508"/>
      <c r="E415" s="508"/>
    </row>
    <row r="416" ht="13.5" customHeight="1">
      <c r="A416" s="508"/>
      <c r="B416" s="508"/>
      <c r="C416" s="508"/>
      <c r="D416" s="508"/>
      <c r="E416" s="508"/>
    </row>
    <row r="417" ht="13.5" customHeight="1">
      <c r="A417" s="508"/>
      <c r="B417" s="508"/>
      <c r="C417" s="508"/>
      <c r="D417" s="508"/>
      <c r="E417" s="508"/>
    </row>
    <row r="418" ht="13.5" customHeight="1">
      <c r="A418" s="508"/>
      <c r="B418" s="508"/>
      <c r="C418" s="508"/>
      <c r="D418" s="508"/>
      <c r="E418" s="508"/>
    </row>
    <row r="419" ht="13.5" customHeight="1">
      <c r="A419" s="508"/>
      <c r="B419" s="508"/>
      <c r="C419" s="508"/>
      <c r="D419" s="508"/>
      <c r="E419" s="508"/>
    </row>
    <row r="420" ht="13.5" customHeight="1">
      <c r="A420" s="508"/>
      <c r="B420" s="508"/>
      <c r="C420" s="508"/>
      <c r="D420" s="508"/>
      <c r="E420" s="508"/>
    </row>
    <row r="421" ht="13.5" customHeight="1">
      <c r="A421" s="508"/>
      <c r="B421" s="508"/>
      <c r="C421" s="508"/>
      <c r="D421" s="508"/>
      <c r="E421" s="508"/>
    </row>
    <row r="422" ht="13.5" customHeight="1">
      <c r="A422" s="508"/>
      <c r="B422" s="508"/>
      <c r="C422" s="508"/>
      <c r="D422" s="508"/>
      <c r="E422" s="508"/>
    </row>
    <row r="423" ht="13.5" customHeight="1">
      <c r="A423" s="508"/>
      <c r="B423" s="508"/>
      <c r="C423" s="508"/>
      <c r="D423" s="508"/>
      <c r="E423" s="508"/>
    </row>
    <row r="424" ht="13.5" customHeight="1">
      <c r="A424" s="508"/>
      <c r="B424" s="508"/>
      <c r="C424" s="508"/>
      <c r="D424" s="508"/>
      <c r="E424" s="508"/>
    </row>
    <row r="425" ht="13.5" customHeight="1">
      <c r="A425" s="508"/>
      <c r="B425" s="508"/>
      <c r="C425" s="508"/>
      <c r="D425" s="508"/>
      <c r="E425" s="508"/>
    </row>
    <row r="426" ht="13.5" customHeight="1">
      <c r="A426" s="508"/>
      <c r="B426" s="508"/>
      <c r="C426" s="508"/>
      <c r="D426" s="508"/>
      <c r="E426" s="508"/>
    </row>
    <row r="427" ht="13.5" customHeight="1">
      <c r="A427" s="508"/>
      <c r="B427" s="508"/>
      <c r="C427" s="508"/>
      <c r="D427" s="508"/>
      <c r="E427" s="508"/>
    </row>
    <row r="428" ht="13.5" customHeight="1">
      <c r="A428" s="508"/>
      <c r="B428" s="508"/>
      <c r="C428" s="508"/>
      <c r="D428" s="508"/>
      <c r="E428" s="508"/>
    </row>
    <row r="429" ht="13.5" customHeight="1">
      <c r="A429" s="508"/>
      <c r="B429" s="508"/>
      <c r="C429" s="508"/>
      <c r="D429" s="508"/>
      <c r="E429" s="508"/>
    </row>
    <row r="430" ht="13.5" customHeight="1">
      <c r="A430" s="508"/>
      <c r="B430" s="508"/>
      <c r="C430" s="508"/>
      <c r="D430" s="508"/>
      <c r="E430" s="508"/>
    </row>
    <row r="431" ht="13.5" customHeight="1">
      <c r="A431" s="508"/>
      <c r="B431" s="508"/>
      <c r="C431" s="508"/>
      <c r="D431" s="508"/>
      <c r="E431" s="508"/>
    </row>
    <row r="432" ht="13.5" customHeight="1">
      <c r="A432" s="508"/>
      <c r="B432" s="508"/>
      <c r="C432" s="508"/>
      <c r="D432" s="508"/>
      <c r="E432" s="508"/>
    </row>
    <row r="433" ht="13.5" customHeight="1">
      <c r="A433" s="508"/>
      <c r="B433" s="508"/>
      <c r="C433" s="508"/>
      <c r="D433" s="508"/>
      <c r="E433" s="508"/>
    </row>
    <row r="434" ht="13.5" customHeight="1">
      <c r="A434" s="508"/>
      <c r="B434" s="508"/>
      <c r="C434" s="508"/>
      <c r="D434" s="508"/>
      <c r="E434" s="508"/>
    </row>
    <row r="435" ht="13.5" customHeight="1">
      <c r="A435" s="508"/>
      <c r="B435" s="508"/>
      <c r="C435" s="508"/>
      <c r="D435" s="508"/>
      <c r="E435" s="508"/>
    </row>
    <row r="436" ht="13.5" customHeight="1">
      <c r="A436" s="508"/>
      <c r="B436" s="508"/>
      <c r="C436" s="508"/>
      <c r="D436" s="508"/>
      <c r="E436" s="508"/>
    </row>
    <row r="437" ht="13.5" customHeight="1">
      <c r="A437" s="508"/>
      <c r="B437" s="508"/>
      <c r="C437" s="508"/>
      <c r="D437" s="508"/>
      <c r="E437" s="508"/>
    </row>
    <row r="438" ht="13.5" customHeight="1">
      <c r="A438" s="508"/>
      <c r="B438" s="508"/>
      <c r="C438" s="508"/>
      <c r="D438" s="508"/>
      <c r="E438" s="508"/>
    </row>
    <row r="439" ht="13.5" customHeight="1">
      <c r="A439" s="508"/>
      <c r="B439" s="508"/>
      <c r="C439" s="508"/>
      <c r="D439" s="508"/>
      <c r="E439" s="508"/>
    </row>
    <row r="440" ht="13.5" customHeight="1">
      <c r="A440" s="508"/>
      <c r="B440" s="508"/>
      <c r="C440" s="508"/>
      <c r="D440" s="508"/>
      <c r="E440" s="508"/>
    </row>
    <row r="441" ht="13.5" customHeight="1">
      <c r="A441" s="508"/>
      <c r="B441" s="508"/>
      <c r="C441" s="508"/>
      <c r="D441" s="508"/>
      <c r="E441" s="508"/>
    </row>
    <row r="442" ht="13.5" customHeight="1">
      <c r="A442" s="508"/>
      <c r="B442" s="508"/>
      <c r="C442" s="508"/>
      <c r="D442" s="508"/>
      <c r="E442" s="508"/>
    </row>
    <row r="443" ht="13.5" customHeight="1">
      <c r="A443" s="508"/>
      <c r="B443" s="508"/>
      <c r="C443" s="508"/>
      <c r="D443" s="508"/>
      <c r="E443" s="508"/>
    </row>
    <row r="444" ht="13.5" customHeight="1">
      <c r="A444" s="508"/>
      <c r="B444" s="508"/>
      <c r="C444" s="508"/>
      <c r="D444" s="508"/>
      <c r="E444" s="508"/>
    </row>
    <row r="445" ht="13.5" customHeight="1">
      <c r="A445" s="508"/>
      <c r="B445" s="508"/>
      <c r="C445" s="508"/>
      <c r="D445" s="508"/>
      <c r="E445" s="508"/>
    </row>
    <row r="446" ht="13.5" customHeight="1">
      <c r="A446" s="508"/>
      <c r="B446" s="508"/>
      <c r="C446" s="508"/>
      <c r="D446" s="508"/>
      <c r="E446" s="508"/>
    </row>
    <row r="447" ht="13.5" customHeight="1">
      <c r="A447" s="508"/>
      <c r="B447" s="508"/>
      <c r="C447" s="508"/>
      <c r="D447" s="508"/>
      <c r="E447" s="508"/>
    </row>
    <row r="448" ht="13.5" customHeight="1">
      <c r="A448" s="508"/>
      <c r="B448" s="508"/>
      <c r="C448" s="508"/>
      <c r="D448" s="508"/>
      <c r="E448" s="508"/>
    </row>
    <row r="449" ht="13.5" customHeight="1">
      <c r="A449" s="508"/>
      <c r="B449" s="508"/>
      <c r="C449" s="508"/>
      <c r="D449" s="508"/>
      <c r="E449" s="508"/>
    </row>
    <row r="450" ht="13.5" customHeight="1">
      <c r="A450" s="508"/>
      <c r="B450" s="508"/>
      <c r="C450" s="508"/>
      <c r="D450" s="508"/>
      <c r="E450" s="508"/>
    </row>
    <row r="451" ht="13.5" customHeight="1">
      <c r="A451" s="508"/>
      <c r="B451" s="508"/>
      <c r="C451" s="508"/>
      <c r="D451" s="508"/>
      <c r="E451" s="508"/>
    </row>
    <row r="452" ht="13.5" customHeight="1">
      <c r="A452" s="508"/>
      <c r="B452" s="508"/>
      <c r="C452" s="508"/>
      <c r="D452" s="508"/>
      <c r="E452" s="508"/>
    </row>
    <row r="453" ht="13.5" customHeight="1">
      <c r="A453" s="508"/>
      <c r="B453" s="508"/>
      <c r="C453" s="508"/>
      <c r="D453" s="508"/>
      <c r="E453" s="508"/>
    </row>
    <row r="454" ht="13.5" customHeight="1">
      <c r="A454" s="508"/>
      <c r="B454" s="508"/>
      <c r="C454" s="508"/>
      <c r="D454" s="508"/>
      <c r="E454" s="508"/>
    </row>
    <row r="455" ht="13.5" customHeight="1">
      <c r="A455" s="508"/>
      <c r="B455" s="508"/>
      <c r="C455" s="508"/>
      <c r="D455" s="508"/>
      <c r="E455" s="508"/>
    </row>
    <row r="456" ht="13.5" customHeight="1">
      <c r="A456" s="508"/>
      <c r="B456" s="508"/>
      <c r="C456" s="508"/>
      <c r="D456" s="508"/>
      <c r="E456" s="508"/>
    </row>
    <row r="457" ht="13.5" customHeight="1">
      <c r="A457" s="508"/>
      <c r="B457" s="508"/>
      <c r="C457" s="508"/>
      <c r="D457" s="508"/>
      <c r="E457" s="508"/>
    </row>
    <row r="458" ht="13.5" customHeight="1">
      <c r="A458" s="508"/>
      <c r="B458" s="508"/>
      <c r="C458" s="508"/>
      <c r="D458" s="508"/>
      <c r="E458" s="508"/>
    </row>
    <row r="459" ht="13.5" customHeight="1">
      <c r="A459" s="508"/>
      <c r="B459" s="508"/>
      <c r="C459" s="508"/>
      <c r="D459" s="508"/>
      <c r="E459" s="508"/>
    </row>
    <row r="460" ht="13.5" customHeight="1">
      <c r="A460" s="508"/>
      <c r="B460" s="508"/>
      <c r="C460" s="508"/>
      <c r="D460" s="508"/>
      <c r="E460" s="508"/>
    </row>
    <row r="461" ht="13.5" customHeight="1">
      <c r="A461" s="508"/>
      <c r="B461" s="508"/>
      <c r="C461" s="508"/>
      <c r="D461" s="508"/>
      <c r="E461" s="508"/>
    </row>
    <row r="462" ht="13.5" customHeight="1">
      <c r="A462" s="508"/>
      <c r="B462" s="508"/>
      <c r="C462" s="508"/>
      <c r="D462" s="508"/>
      <c r="E462" s="508"/>
    </row>
    <row r="463" ht="13.5" customHeight="1">
      <c r="A463" s="508"/>
      <c r="B463" s="508"/>
      <c r="C463" s="508"/>
      <c r="D463" s="508"/>
      <c r="E463" s="508"/>
    </row>
    <row r="464" ht="13.5" customHeight="1">
      <c r="A464" s="508"/>
      <c r="B464" s="508"/>
      <c r="C464" s="508"/>
      <c r="D464" s="508"/>
      <c r="E464" s="508"/>
    </row>
    <row r="465" ht="13.5" customHeight="1">
      <c r="A465" s="508"/>
      <c r="B465" s="508"/>
      <c r="C465" s="508"/>
      <c r="D465" s="508"/>
      <c r="E465" s="508"/>
    </row>
    <row r="466" ht="13.5" customHeight="1">
      <c r="A466" s="508"/>
      <c r="B466" s="508"/>
      <c r="C466" s="508"/>
      <c r="D466" s="508"/>
      <c r="E466" s="508"/>
    </row>
    <row r="467" ht="13.5" customHeight="1">
      <c r="A467" s="508"/>
      <c r="B467" s="508"/>
      <c r="C467" s="508"/>
      <c r="D467" s="508"/>
      <c r="E467" s="508"/>
    </row>
    <row r="468" ht="13.5" customHeight="1">
      <c r="A468" s="508"/>
      <c r="B468" s="508"/>
      <c r="C468" s="508"/>
      <c r="D468" s="508"/>
      <c r="E468" s="508"/>
    </row>
    <row r="469" ht="13.5" customHeight="1">
      <c r="A469" s="508"/>
      <c r="B469" s="508"/>
      <c r="C469" s="508"/>
      <c r="D469" s="508"/>
      <c r="E469" s="508"/>
    </row>
    <row r="470" ht="13.5" customHeight="1">
      <c r="A470" s="508"/>
      <c r="B470" s="508"/>
      <c r="C470" s="508"/>
      <c r="D470" s="508"/>
      <c r="E470" s="508"/>
    </row>
    <row r="471" ht="13.5" customHeight="1">
      <c r="A471" s="508"/>
      <c r="B471" s="508"/>
      <c r="C471" s="508"/>
      <c r="D471" s="508"/>
      <c r="E471" s="508"/>
    </row>
    <row r="472" ht="13.5" customHeight="1">
      <c r="A472" s="508"/>
      <c r="B472" s="508"/>
      <c r="C472" s="508"/>
      <c r="D472" s="508"/>
      <c r="E472" s="508"/>
    </row>
    <row r="473" ht="13.5" customHeight="1">
      <c r="A473" s="508"/>
      <c r="B473" s="508"/>
      <c r="C473" s="508"/>
      <c r="D473" s="508"/>
      <c r="E473" s="508"/>
    </row>
    <row r="474" ht="13.5" customHeight="1">
      <c r="A474" s="508"/>
      <c r="B474" s="508"/>
      <c r="C474" s="508"/>
      <c r="D474" s="508"/>
      <c r="E474" s="508"/>
    </row>
    <row r="475" ht="13.5" customHeight="1">
      <c r="A475" s="508"/>
      <c r="B475" s="508"/>
      <c r="C475" s="508"/>
      <c r="D475" s="508"/>
      <c r="E475" s="508"/>
    </row>
    <row r="476" ht="13.5" customHeight="1">
      <c r="A476" s="508"/>
      <c r="B476" s="508"/>
      <c r="C476" s="508"/>
      <c r="D476" s="508"/>
      <c r="E476" s="508"/>
    </row>
    <row r="477" ht="13.5" customHeight="1">
      <c r="A477" s="508"/>
      <c r="B477" s="508"/>
      <c r="C477" s="508"/>
      <c r="D477" s="508"/>
      <c r="E477" s="508"/>
    </row>
    <row r="478" ht="13.5" customHeight="1">
      <c r="A478" s="508"/>
      <c r="B478" s="508"/>
      <c r="C478" s="508"/>
      <c r="D478" s="508"/>
      <c r="E478" s="508"/>
    </row>
    <row r="479" ht="13.5" customHeight="1">
      <c r="A479" s="508"/>
      <c r="B479" s="508"/>
      <c r="C479" s="508"/>
      <c r="D479" s="508"/>
      <c r="E479" s="508"/>
    </row>
    <row r="480" ht="13.5" customHeight="1">
      <c r="A480" s="508"/>
      <c r="B480" s="508"/>
      <c r="C480" s="508"/>
      <c r="D480" s="508"/>
      <c r="E480" s="508"/>
    </row>
    <row r="481" ht="13.5" customHeight="1">
      <c r="A481" s="508"/>
      <c r="B481" s="508"/>
      <c r="C481" s="508"/>
      <c r="D481" s="508"/>
      <c r="E481" s="508"/>
    </row>
    <row r="482" ht="13.5" customHeight="1">
      <c r="A482" s="508"/>
      <c r="B482" s="508"/>
      <c r="C482" s="508"/>
      <c r="D482" s="508"/>
      <c r="E482" s="508"/>
    </row>
    <row r="483" ht="13.5" customHeight="1">
      <c r="A483" s="508"/>
      <c r="B483" s="508"/>
      <c r="C483" s="508"/>
      <c r="D483" s="508"/>
      <c r="E483" s="508"/>
    </row>
    <row r="484" ht="13.5" customHeight="1">
      <c r="A484" s="508"/>
      <c r="B484" s="508"/>
      <c r="C484" s="508"/>
      <c r="D484" s="508"/>
      <c r="E484" s="508"/>
    </row>
    <row r="485" ht="13.5" customHeight="1">
      <c r="A485" s="508"/>
      <c r="B485" s="508"/>
      <c r="C485" s="508"/>
      <c r="D485" s="508"/>
      <c r="E485" s="508"/>
    </row>
    <row r="486" ht="13.5" customHeight="1">
      <c r="A486" s="508"/>
      <c r="B486" s="508"/>
      <c r="C486" s="508"/>
      <c r="D486" s="508"/>
      <c r="E486" s="508"/>
    </row>
    <row r="487" ht="13.5" customHeight="1">
      <c r="A487" s="508"/>
      <c r="B487" s="508"/>
      <c r="C487" s="508"/>
      <c r="D487" s="508"/>
      <c r="E487" s="508"/>
    </row>
    <row r="488" ht="13.5" customHeight="1">
      <c r="A488" s="508"/>
      <c r="B488" s="508"/>
      <c r="C488" s="508"/>
      <c r="D488" s="508"/>
      <c r="E488" s="508"/>
    </row>
    <row r="489" ht="13.5" customHeight="1">
      <c r="A489" s="508"/>
      <c r="B489" s="508"/>
      <c r="C489" s="508"/>
      <c r="D489" s="508"/>
      <c r="E489" s="508"/>
    </row>
    <row r="490" ht="13.5" customHeight="1">
      <c r="A490" s="508"/>
      <c r="B490" s="508"/>
      <c r="C490" s="508"/>
      <c r="D490" s="508"/>
      <c r="E490" s="508"/>
    </row>
    <row r="491" ht="13.5" customHeight="1">
      <c r="A491" s="508"/>
      <c r="B491" s="508"/>
      <c r="C491" s="508"/>
      <c r="D491" s="508"/>
      <c r="E491" s="508"/>
    </row>
    <row r="492" ht="13.5" customHeight="1">
      <c r="A492" s="508"/>
      <c r="B492" s="508"/>
      <c r="C492" s="508"/>
      <c r="D492" s="508"/>
      <c r="E492" s="508"/>
    </row>
    <row r="493" ht="13.5" customHeight="1">
      <c r="A493" s="508"/>
      <c r="B493" s="508"/>
      <c r="C493" s="508"/>
      <c r="D493" s="508"/>
      <c r="E493" s="508"/>
    </row>
    <row r="494" ht="13.5" customHeight="1">
      <c r="A494" s="508"/>
      <c r="B494" s="508"/>
      <c r="C494" s="508"/>
      <c r="D494" s="508"/>
      <c r="E494" s="508"/>
    </row>
    <row r="495" ht="13.5" customHeight="1">
      <c r="A495" s="508"/>
      <c r="B495" s="508"/>
      <c r="C495" s="508"/>
      <c r="D495" s="508"/>
      <c r="E495" s="508"/>
    </row>
    <row r="496" ht="13.5" customHeight="1">
      <c r="A496" s="508"/>
      <c r="B496" s="508"/>
      <c r="C496" s="508"/>
      <c r="D496" s="508"/>
      <c r="E496" s="508"/>
    </row>
    <row r="497" ht="13.5" customHeight="1">
      <c r="A497" s="508"/>
      <c r="B497" s="508"/>
      <c r="C497" s="508"/>
      <c r="D497" s="508"/>
      <c r="E497" s="508"/>
    </row>
    <row r="498" ht="13.5" customHeight="1">
      <c r="A498" s="508"/>
      <c r="B498" s="508"/>
      <c r="C498" s="508"/>
      <c r="D498" s="508"/>
      <c r="E498" s="508"/>
    </row>
    <row r="499" ht="13.5" customHeight="1">
      <c r="A499" s="508"/>
      <c r="B499" s="508"/>
      <c r="C499" s="508"/>
      <c r="D499" s="508"/>
      <c r="E499" s="508"/>
    </row>
    <row r="500" ht="13.5" customHeight="1">
      <c r="A500" s="508"/>
      <c r="B500" s="508"/>
      <c r="C500" s="508"/>
      <c r="D500" s="508"/>
      <c r="E500" s="508"/>
    </row>
    <row r="501" ht="13.5" customHeight="1">
      <c r="A501" s="508"/>
      <c r="B501" s="508"/>
      <c r="C501" s="508"/>
      <c r="D501" s="508"/>
      <c r="E501" s="508"/>
    </row>
    <row r="502" ht="13.5" customHeight="1">
      <c r="A502" s="508"/>
      <c r="B502" s="508"/>
      <c r="C502" s="508"/>
      <c r="D502" s="508"/>
      <c r="E502" s="508"/>
    </row>
    <row r="503" ht="13.5" customHeight="1">
      <c r="A503" s="508"/>
      <c r="B503" s="508"/>
      <c r="C503" s="508"/>
      <c r="D503" s="508"/>
      <c r="E503" s="508"/>
    </row>
    <row r="504" ht="13.5" customHeight="1">
      <c r="A504" s="508"/>
      <c r="B504" s="508"/>
      <c r="C504" s="508"/>
      <c r="D504" s="508"/>
      <c r="E504" s="508"/>
    </row>
    <row r="505" ht="13.5" customHeight="1">
      <c r="A505" s="508"/>
      <c r="B505" s="508"/>
      <c r="C505" s="508"/>
      <c r="D505" s="508"/>
      <c r="E505" s="508"/>
    </row>
    <row r="506" ht="13.5" customHeight="1">
      <c r="A506" s="508"/>
      <c r="B506" s="508"/>
      <c r="C506" s="508"/>
      <c r="D506" s="508"/>
      <c r="E506" s="508"/>
    </row>
    <row r="507" ht="13.5" customHeight="1">
      <c r="A507" s="508"/>
      <c r="B507" s="508"/>
      <c r="C507" s="508"/>
      <c r="D507" s="508"/>
      <c r="E507" s="508"/>
    </row>
    <row r="508" ht="13.5" customHeight="1">
      <c r="A508" s="508"/>
      <c r="B508" s="508"/>
      <c r="C508" s="508"/>
      <c r="D508" s="508"/>
      <c r="E508" s="508"/>
    </row>
    <row r="509" ht="13.5" customHeight="1">
      <c r="A509" s="508"/>
      <c r="B509" s="508"/>
      <c r="C509" s="508"/>
      <c r="D509" s="508"/>
      <c r="E509" s="508"/>
    </row>
    <row r="510" ht="13.5" customHeight="1">
      <c r="A510" s="508"/>
      <c r="B510" s="508"/>
      <c r="C510" s="508"/>
      <c r="D510" s="508"/>
      <c r="E510" s="508"/>
    </row>
    <row r="511" ht="13.5" customHeight="1">
      <c r="A511" s="508"/>
      <c r="B511" s="508"/>
      <c r="C511" s="508"/>
      <c r="D511" s="508"/>
      <c r="E511" s="508"/>
    </row>
    <row r="512" ht="13.5" customHeight="1">
      <c r="A512" s="508"/>
      <c r="B512" s="508"/>
      <c r="C512" s="508"/>
      <c r="D512" s="508"/>
      <c r="E512" s="508"/>
    </row>
    <row r="513" ht="13.5" customHeight="1">
      <c r="A513" s="508"/>
      <c r="B513" s="508"/>
      <c r="C513" s="508"/>
      <c r="D513" s="508"/>
      <c r="E513" s="508"/>
    </row>
    <row r="514" ht="13.5" customHeight="1">
      <c r="A514" s="508"/>
      <c r="B514" s="508"/>
      <c r="C514" s="508"/>
      <c r="D514" s="508"/>
      <c r="E514" s="508"/>
    </row>
    <row r="515" ht="13.5" customHeight="1">
      <c r="A515" s="508"/>
      <c r="B515" s="508"/>
      <c r="C515" s="508"/>
      <c r="D515" s="508"/>
      <c r="E515" s="508"/>
    </row>
    <row r="516" ht="13.5" customHeight="1">
      <c r="A516" s="508"/>
      <c r="B516" s="508"/>
      <c r="C516" s="508"/>
      <c r="D516" s="508"/>
      <c r="E516" s="508"/>
    </row>
    <row r="517" ht="13.5" customHeight="1">
      <c r="A517" s="508"/>
      <c r="B517" s="508"/>
      <c r="C517" s="508"/>
      <c r="D517" s="508"/>
      <c r="E517" s="508"/>
    </row>
    <row r="518" ht="13.5" customHeight="1">
      <c r="A518" s="508"/>
      <c r="B518" s="508"/>
      <c r="C518" s="508"/>
      <c r="D518" s="508"/>
      <c r="E518" s="508"/>
    </row>
    <row r="519" ht="13.5" customHeight="1">
      <c r="A519" s="508"/>
      <c r="B519" s="508"/>
      <c r="C519" s="508"/>
      <c r="D519" s="508"/>
      <c r="E519" s="508"/>
    </row>
    <row r="520" ht="13.5" customHeight="1">
      <c r="A520" s="508"/>
      <c r="B520" s="508"/>
      <c r="C520" s="508"/>
      <c r="D520" s="508"/>
      <c r="E520" s="508"/>
    </row>
    <row r="521" ht="13.5" customHeight="1">
      <c r="A521" s="508"/>
      <c r="B521" s="508"/>
      <c r="C521" s="508"/>
      <c r="D521" s="508"/>
      <c r="E521" s="508"/>
    </row>
    <row r="522" ht="13.5" customHeight="1">
      <c r="A522" s="508"/>
      <c r="B522" s="508"/>
      <c r="C522" s="508"/>
      <c r="D522" s="508"/>
      <c r="E522" s="508"/>
    </row>
    <row r="523" ht="13.5" customHeight="1">
      <c r="A523" s="508"/>
      <c r="B523" s="508"/>
      <c r="C523" s="508"/>
      <c r="D523" s="508"/>
      <c r="E523" s="508"/>
    </row>
    <row r="524" ht="13.5" customHeight="1">
      <c r="A524" s="508"/>
      <c r="B524" s="508"/>
      <c r="C524" s="508"/>
      <c r="D524" s="508"/>
      <c r="E524" s="508"/>
    </row>
    <row r="525" ht="13.5" customHeight="1">
      <c r="A525" s="508"/>
      <c r="B525" s="508"/>
      <c r="C525" s="508"/>
      <c r="D525" s="508"/>
      <c r="E525" s="508"/>
    </row>
    <row r="526" ht="13.5" customHeight="1">
      <c r="A526" s="508"/>
      <c r="B526" s="508"/>
      <c r="C526" s="508"/>
      <c r="D526" s="508"/>
      <c r="E526" s="508"/>
    </row>
    <row r="527" ht="13.5" customHeight="1">
      <c r="A527" s="508"/>
      <c r="B527" s="508"/>
      <c r="C527" s="508"/>
      <c r="D527" s="508"/>
      <c r="E527" s="508"/>
    </row>
    <row r="528" ht="13.5" customHeight="1">
      <c r="A528" s="508"/>
      <c r="B528" s="508"/>
      <c r="C528" s="508"/>
      <c r="D528" s="508"/>
      <c r="E528" s="508"/>
    </row>
    <row r="529" ht="13.5" customHeight="1">
      <c r="A529" s="508"/>
      <c r="B529" s="508"/>
      <c r="C529" s="508"/>
      <c r="D529" s="508"/>
      <c r="E529" s="508"/>
    </row>
    <row r="530" ht="13.5" customHeight="1">
      <c r="A530" s="508"/>
      <c r="B530" s="508"/>
      <c r="C530" s="508"/>
      <c r="D530" s="508"/>
      <c r="E530" s="508"/>
    </row>
    <row r="531" ht="13.5" customHeight="1">
      <c r="A531" s="508"/>
      <c r="B531" s="508"/>
      <c r="C531" s="508"/>
      <c r="D531" s="508"/>
      <c r="E531" s="508"/>
    </row>
    <row r="532" ht="13.5" customHeight="1">
      <c r="A532" s="508"/>
      <c r="B532" s="508"/>
      <c r="C532" s="508"/>
      <c r="D532" s="508"/>
      <c r="E532" s="508"/>
    </row>
    <row r="533" ht="13.5" customHeight="1">
      <c r="A533" s="508"/>
      <c r="B533" s="508"/>
      <c r="C533" s="508"/>
      <c r="D533" s="508"/>
      <c r="E533" s="508"/>
    </row>
    <row r="534" ht="13.5" customHeight="1">
      <c r="A534" s="508"/>
      <c r="B534" s="508"/>
      <c r="C534" s="508"/>
      <c r="D534" s="508"/>
      <c r="E534" s="508"/>
    </row>
    <row r="535" ht="13.5" customHeight="1">
      <c r="A535" s="508"/>
      <c r="B535" s="508"/>
      <c r="C535" s="508"/>
      <c r="D535" s="508"/>
      <c r="E535" s="508"/>
    </row>
    <row r="536" ht="13.5" customHeight="1">
      <c r="A536" s="508"/>
      <c r="B536" s="508"/>
      <c r="C536" s="508"/>
      <c r="D536" s="508"/>
      <c r="E536" s="508"/>
    </row>
    <row r="537" ht="13.5" customHeight="1">
      <c r="A537" s="508"/>
      <c r="B537" s="508"/>
      <c r="C537" s="508"/>
      <c r="D537" s="508"/>
      <c r="E537" s="508"/>
    </row>
    <row r="538" ht="13.5" customHeight="1">
      <c r="A538" s="508"/>
      <c r="B538" s="508"/>
      <c r="C538" s="508"/>
      <c r="D538" s="508"/>
      <c r="E538" s="508"/>
    </row>
    <row r="539" ht="13.5" customHeight="1">
      <c r="A539" s="508"/>
      <c r="B539" s="508"/>
      <c r="C539" s="508"/>
      <c r="D539" s="508"/>
      <c r="E539" s="508"/>
    </row>
    <row r="540" ht="13.5" customHeight="1">
      <c r="A540" s="508"/>
      <c r="B540" s="508"/>
      <c r="C540" s="508"/>
      <c r="D540" s="508"/>
      <c r="E540" s="508"/>
    </row>
    <row r="541" ht="13.5" customHeight="1">
      <c r="A541" s="508"/>
      <c r="B541" s="508"/>
      <c r="C541" s="508"/>
      <c r="D541" s="508"/>
      <c r="E541" s="508"/>
    </row>
    <row r="542" ht="13.5" customHeight="1">
      <c r="A542" s="508"/>
      <c r="B542" s="508"/>
      <c r="C542" s="508"/>
      <c r="D542" s="508"/>
      <c r="E542" s="508"/>
    </row>
    <row r="543" ht="13.5" customHeight="1">
      <c r="A543" s="508"/>
      <c r="B543" s="508"/>
      <c r="C543" s="508"/>
      <c r="D543" s="508"/>
      <c r="E543" s="508"/>
    </row>
    <row r="544" ht="13.5" customHeight="1">
      <c r="A544" s="508"/>
      <c r="B544" s="508"/>
      <c r="C544" s="508"/>
      <c r="D544" s="508"/>
      <c r="E544" s="508"/>
    </row>
    <row r="545" ht="13.5" customHeight="1">
      <c r="A545" s="508"/>
      <c r="B545" s="508"/>
      <c r="C545" s="508"/>
      <c r="D545" s="508"/>
      <c r="E545" s="508"/>
    </row>
    <row r="546" ht="13.5" customHeight="1">
      <c r="A546" s="508"/>
      <c r="B546" s="508"/>
      <c r="C546" s="508"/>
      <c r="D546" s="508"/>
      <c r="E546" s="508"/>
    </row>
    <row r="547" ht="13.5" customHeight="1">
      <c r="A547" s="508"/>
      <c r="B547" s="508"/>
      <c r="C547" s="508"/>
      <c r="D547" s="508"/>
      <c r="E547" s="508"/>
    </row>
    <row r="548" ht="13.5" customHeight="1">
      <c r="A548" s="508"/>
      <c r="B548" s="508"/>
      <c r="C548" s="508"/>
      <c r="D548" s="508"/>
      <c r="E548" s="508"/>
    </row>
    <row r="549" ht="13.5" customHeight="1">
      <c r="A549" s="508"/>
      <c r="B549" s="508"/>
      <c r="C549" s="508"/>
      <c r="D549" s="508"/>
      <c r="E549" s="508"/>
    </row>
    <row r="550" ht="13.5" customHeight="1">
      <c r="A550" s="508"/>
      <c r="B550" s="508"/>
      <c r="C550" s="508"/>
      <c r="D550" s="508"/>
      <c r="E550" s="508"/>
    </row>
    <row r="551" ht="13.5" customHeight="1">
      <c r="A551" s="508"/>
      <c r="B551" s="508"/>
      <c r="C551" s="508"/>
      <c r="D551" s="508"/>
      <c r="E551" s="508"/>
    </row>
    <row r="552" ht="13.5" customHeight="1">
      <c r="A552" s="508"/>
      <c r="B552" s="508"/>
      <c r="C552" s="508"/>
      <c r="D552" s="508"/>
      <c r="E552" s="508"/>
    </row>
    <row r="553" ht="13.5" customHeight="1">
      <c r="A553" s="508"/>
      <c r="B553" s="508"/>
      <c r="C553" s="508"/>
      <c r="D553" s="508"/>
      <c r="E553" s="508"/>
    </row>
    <row r="554" ht="13.5" customHeight="1">
      <c r="A554" s="508"/>
      <c r="B554" s="508"/>
      <c r="C554" s="508"/>
      <c r="D554" s="508"/>
      <c r="E554" s="508"/>
    </row>
    <row r="555" ht="13.5" customHeight="1">
      <c r="A555" s="508"/>
      <c r="B555" s="508"/>
      <c r="C555" s="508"/>
      <c r="D555" s="508"/>
      <c r="E555" s="508"/>
    </row>
    <row r="556" ht="13.5" customHeight="1">
      <c r="A556" s="508"/>
      <c r="B556" s="508"/>
      <c r="C556" s="508"/>
      <c r="D556" s="508"/>
      <c r="E556" s="508"/>
    </row>
    <row r="557" ht="13.5" customHeight="1">
      <c r="A557" s="508"/>
      <c r="B557" s="508"/>
      <c r="C557" s="508"/>
      <c r="D557" s="508"/>
      <c r="E557" s="508"/>
    </row>
    <row r="558" ht="13.5" customHeight="1">
      <c r="A558" s="508"/>
      <c r="B558" s="508"/>
      <c r="C558" s="508"/>
      <c r="D558" s="508"/>
      <c r="E558" s="508"/>
    </row>
    <row r="559" ht="13.5" customHeight="1">
      <c r="A559" s="508"/>
      <c r="B559" s="508"/>
      <c r="C559" s="508"/>
      <c r="D559" s="508"/>
      <c r="E559" s="508"/>
    </row>
    <row r="560" ht="13.5" customHeight="1">
      <c r="A560" s="508"/>
      <c r="B560" s="508"/>
      <c r="C560" s="508"/>
      <c r="D560" s="508"/>
      <c r="E560" s="508"/>
    </row>
    <row r="561" ht="13.5" customHeight="1">
      <c r="A561" s="508"/>
      <c r="B561" s="508"/>
      <c r="C561" s="508"/>
      <c r="D561" s="508"/>
      <c r="E561" s="508"/>
    </row>
    <row r="562" ht="13.5" customHeight="1">
      <c r="A562" s="508"/>
      <c r="B562" s="508"/>
      <c r="C562" s="508"/>
      <c r="D562" s="508"/>
      <c r="E562" s="508"/>
    </row>
    <row r="563" ht="13.5" customHeight="1">
      <c r="A563" s="508"/>
      <c r="B563" s="508"/>
      <c r="C563" s="508"/>
      <c r="D563" s="508"/>
      <c r="E563" s="508"/>
    </row>
    <row r="564" ht="13.5" customHeight="1">
      <c r="A564" s="508"/>
      <c r="B564" s="508"/>
      <c r="C564" s="508"/>
      <c r="D564" s="508"/>
      <c r="E564" s="508"/>
    </row>
    <row r="565" ht="13.5" customHeight="1">
      <c r="A565" s="508"/>
      <c r="B565" s="508"/>
      <c r="C565" s="508"/>
      <c r="D565" s="508"/>
      <c r="E565" s="508"/>
    </row>
    <row r="566" ht="13.5" customHeight="1">
      <c r="A566" s="508"/>
      <c r="B566" s="508"/>
      <c r="C566" s="508"/>
      <c r="D566" s="508"/>
      <c r="E566" s="508"/>
    </row>
    <row r="567" ht="13.5" customHeight="1">
      <c r="A567" s="508"/>
      <c r="B567" s="508"/>
      <c r="C567" s="508"/>
      <c r="D567" s="508"/>
      <c r="E567" s="508"/>
    </row>
    <row r="568" ht="13.5" customHeight="1">
      <c r="A568" s="508"/>
      <c r="B568" s="508"/>
      <c r="C568" s="508"/>
      <c r="D568" s="508"/>
      <c r="E568" s="508"/>
    </row>
    <row r="569" ht="13.5" customHeight="1">
      <c r="A569" s="508"/>
      <c r="B569" s="508"/>
      <c r="C569" s="508"/>
      <c r="D569" s="508"/>
      <c r="E569" s="508"/>
    </row>
    <row r="570" ht="13.5" customHeight="1">
      <c r="A570" s="508"/>
      <c r="B570" s="508"/>
      <c r="C570" s="508"/>
      <c r="D570" s="508"/>
      <c r="E570" s="508"/>
    </row>
    <row r="571" ht="13.5" customHeight="1">
      <c r="A571" s="508"/>
      <c r="B571" s="508"/>
      <c r="C571" s="508"/>
      <c r="D571" s="508"/>
      <c r="E571" s="508"/>
    </row>
    <row r="572" ht="13.5" customHeight="1">
      <c r="A572" s="508"/>
      <c r="B572" s="508"/>
      <c r="C572" s="508"/>
      <c r="D572" s="508"/>
      <c r="E572" s="508"/>
    </row>
    <row r="573" ht="13.5" customHeight="1">
      <c r="A573" s="508"/>
      <c r="B573" s="508"/>
      <c r="C573" s="508"/>
      <c r="D573" s="508"/>
      <c r="E573" s="508"/>
    </row>
    <row r="574" ht="13.5" customHeight="1">
      <c r="A574" s="508"/>
      <c r="B574" s="508"/>
      <c r="C574" s="508"/>
      <c r="D574" s="508"/>
      <c r="E574" s="508"/>
    </row>
    <row r="575" ht="13.5" customHeight="1">
      <c r="A575" s="508"/>
      <c r="B575" s="508"/>
      <c r="C575" s="508"/>
      <c r="D575" s="508"/>
      <c r="E575" s="508"/>
    </row>
    <row r="576" ht="13.5" customHeight="1">
      <c r="A576" s="508"/>
      <c r="B576" s="508"/>
      <c r="C576" s="508"/>
      <c r="D576" s="508"/>
      <c r="E576" s="508"/>
    </row>
    <row r="577" ht="13.5" customHeight="1">
      <c r="A577" s="508"/>
      <c r="B577" s="508"/>
      <c r="C577" s="508"/>
      <c r="D577" s="508"/>
      <c r="E577" s="508"/>
    </row>
    <row r="578" ht="13.5" customHeight="1">
      <c r="A578" s="508"/>
      <c r="B578" s="508"/>
      <c r="C578" s="508"/>
      <c r="D578" s="508"/>
      <c r="E578" s="508"/>
    </row>
    <row r="579" ht="13.5" customHeight="1">
      <c r="A579" s="508"/>
      <c r="B579" s="508"/>
      <c r="C579" s="508"/>
      <c r="D579" s="508"/>
      <c r="E579" s="508"/>
    </row>
    <row r="580" ht="13.5" customHeight="1">
      <c r="A580" s="508"/>
      <c r="B580" s="508"/>
      <c r="C580" s="508"/>
      <c r="D580" s="508"/>
      <c r="E580" s="508"/>
    </row>
    <row r="581" ht="13.5" customHeight="1">
      <c r="A581" s="508"/>
      <c r="B581" s="508"/>
      <c r="C581" s="508"/>
      <c r="D581" s="508"/>
      <c r="E581" s="508"/>
    </row>
    <row r="582" ht="13.5" customHeight="1">
      <c r="A582" s="508"/>
      <c r="B582" s="508"/>
      <c r="C582" s="508"/>
      <c r="D582" s="508"/>
      <c r="E582" s="508"/>
    </row>
    <row r="583" ht="13.5" customHeight="1">
      <c r="A583" s="508"/>
      <c r="B583" s="508"/>
      <c r="C583" s="508"/>
      <c r="D583" s="508"/>
      <c r="E583" s="508"/>
    </row>
    <row r="584" ht="13.5" customHeight="1">
      <c r="A584" s="508"/>
      <c r="B584" s="508"/>
      <c r="C584" s="508"/>
      <c r="D584" s="508"/>
      <c r="E584" s="508"/>
    </row>
    <row r="585" ht="13.5" customHeight="1">
      <c r="A585" s="508"/>
      <c r="B585" s="508"/>
      <c r="C585" s="508"/>
      <c r="D585" s="508"/>
      <c r="E585" s="508"/>
    </row>
    <row r="586" ht="13.5" customHeight="1">
      <c r="A586" s="508"/>
      <c r="B586" s="508"/>
      <c r="C586" s="508"/>
      <c r="D586" s="508"/>
      <c r="E586" s="508"/>
    </row>
    <row r="587" ht="13.5" customHeight="1">
      <c r="A587" s="508"/>
      <c r="B587" s="508"/>
      <c r="C587" s="508"/>
      <c r="D587" s="508"/>
      <c r="E587" s="508"/>
    </row>
    <row r="588" ht="13.5" customHeight="1">
      <c r="A588" s="508"/>
      <c r="B588" s="508"/>
      <c r="C588" s="508"/>
      <c r="D588" s="508"/>
      <c r="E588" s="508"/>
    </row>
    <row r="589" ht="13.5" customHeight="1">
      <c r="A589" s="508"/>
      <c r="B589" s="508"/>
      <c r="C589" s="508"/>
      <c r="D589" s="508"/>
      <c r="E589" s="508"/>
    </row>
    <row r="590" ht="13.5" customHeight="1">
      <c r="A590" s="508"/>
      <c r="B590" s="508"/>
      <c r="C590" s="508"/>
      <c r="D590" s="508"/>
      <c r="E590" s="508"/>
    </row>
    <row r="591" ht="13.5" customHeight="1">
      <c r="A591" s="508"/>
      <c r="B591" s="508"/>
      <c r="C591" s="508"/>
      <c r="D591" s="508"/>
      <c r="E591" s="508"/>
    </row>
    <row r="592" ht="13.5" customHeight="1">
      <c r="A592" s="508"/>
      <c r="B592" s="508"/>
      <c r="C592" s="508"/>
      <c r="D592" s="508"/>
      <c r="E592" s="508"/>
    </row>
    <row r="593" ht="13.5" customHeight="1">
      <c r="A593" s="508"/>
      <c r="B593" s="508"/>
      <c r="C593" s="508"/>
      <c r="D593" s="508"/>
      <c r="E593" s="508"/>
    </row>
    <row r="594" ht="13.5" customHeight="1">
      <c r="A594" s="508"/>
      <c r="B594" s="508"/>
      <c r="C594" s="508"/>
      <c r="D594" s="508"/>
      <c r="E594" s="508"/>
    </row>
    <row r="595" ht="13.5" customHeight="1">
      <c r="A595" s="508"/>
      <c r="B595" s="508"/>
      <c r="C595" s="508"/>
      <c r="D595" s="508"/>
      <c r="E595" s="508"/>
    </row>
    <row r="596" ht="13.5" customHeight="1">
      <c r="A596" s="508"/>
      <c r="B596" s="508"/>
      <c r="C596" s="508"/>
      <c r="D596" s="508"/>
      <c r="E596" s="508"/>
    </row>
    <row r="597" ht="13.5" customHeight="1">
      <c r="A597" s="508"/>
      <c r="B597" s="508"/>
      <c r="C597" s="508"/>
      <c r="D597" s="508"/>
      <c r="E597" s="508"/>
    </row>
    <row r="598" ht="13.5" customHeight="1">
      <c r="A598" s="508"/>
      <c r="B598" s="508"/>
      <c r="C598" s="508"/>
      <c r="D598" s="508"/>
      <c r="E598" s="508"/>
    </row>
    <row r="599" ht="13.5" customHeight="1">
      <c r="A599" s="508"/>
      <c r="B599" s="508"/>
      <c r="C599" s="508"/>
      <c r="D599" s="508"/>
      <c r="E599" s="508"/>
    </row>
    <row r="600" ht="13.5" customHeight="1">
      <c r="A600" s="508"/>
      <c r="B600" s="508"/>
      <c r="C600" s="508"/>
      <c r="D600" s="508"/>
      <c r="E600" s="508"/>
    </row>
    <row r="601" ht="13.5" customHeight="1">
      <c r="A601" s="508"/>
      <c r="B601" s="508"/>
      <c r="C601" s="508"/>
      <c r="D601" s="508"/>
      <c r="E601" s="508"/>
    </row>
    <row r="602" ht="13.5" customHeight="1">
      <c r="A602" s="508"/>
      <c r="B602" s="508"/>
      <c r="C602" s="508"/>
      <c r="D602" s="508"/>
      <c r="E602" s="508"/>
    </row>
    <row r="603" ht="13.5" customHeight="1">
      <c r="A603" s="508"/>
      <c r="B603" s="508"/>
      <c r="C603" s="508"/>
      <c r="D603" s="508"/>
      <c r="E603" s="508"/>
    </row>
    <row r="604" ht="13.5" customHeight="1">
      <c r="A604" s="508"/>
      <c r="B604" s="508"/>
      <c r="C604" s="508"/>
      <c r="D604" s="508"/>
      <c r="E604" s="508"/>
    </row>
    <row r="605" ht="13.5" customHeight="1">
      <c r="A605" s="508"/>
      <c r="B605" s="508"/>
      <c r="C605" s="508"/>
      <c r="D605" s="508"/>
      <c r="E605" s="508"/>
    </row>
    <row r="606" ht="13.5" customHeight="1">
      <c r="A606" s="508"/>
      <c r="B606" s="508"/>
      <c r="C606" s="508"/>
      <c r="D606" s="508"/>
      <c r="E606" s="508"/>
    </row>
    <row r="607" ht="13.5" customHeight="1">
      <c r="A607" s="508"/>
      <c r="B607" s="508"/>
      <c r="C607" s="508"/>
      <c r="D607" s="508"/>
      <c r="E607" s="508"/>
    </row>
    <row r="608" ht="13.5" customHeight="1">
      <c r="A608" s="508"/>
      <c r="B608" s="508"/>
      <c r="C608" s="508"/>
      <c r="D608" s="508"/>
      <c r="E608" s="508"/>
    </row>
    <row r="609" ht="13.5" customHeight="1">
      <c r="A609" s="508"/>
      <c r="B609" s="508"/>
      <c r="C609" s="508"/>
      <c r="D609" s="508"/>
      <c r="E609" s="508"/>
    </row>
    <row r="610" ht="13.5" customHeight="1">
      <c r="A610" s="508"/>
      <c r="B610" s="508"/>
      <c r="C610" s="508"/>
      <c r="D610" s="508"/>
      <c r="E610" s="508"/>
    </row>
    <row r="611" ht="13.5" customHeight="1">
      <c r="A611" s="508"/>
      <c r="B611" s="508"/>
      <c r="C611" s="508"/>
      <c r="D611" s="508"/>
      <c r="E611" s="508"/>
    </row>
    <row r="612" ht="13.5" customHeight="1">
      <c r="A612" s="508"/>
      <c r="B612" s="508"/>
      <c r="C612" s="508"/>
      <c r="D612" s="508"/>
      <c r="E612" s="508"/>
    </row>
    <row r="613" ht="13.5" customHeight="1">
      <c r="A613" s="508"/>
      <c r="B613" s="508"/>
      <c r="C613" s="508"/>
      <c r="D613" s="508"/>
      <c r="E613" s="508"/>
    </row>
    <row r="614" ht="13.5" customHeight="1">
      <c r="A614" s="508"/>
      <c r="B614" s="508"/>
      <c r="C614" s="508"/>
      <c r="D614" s="508"/>
      <c r="E614" s="508"/>
    </row>
    <row r="615" ht="13.5" customHeight="1">
      <c r="A615" s="508"/>
      <c r="B615" s="508"/>
      <c r="C615" s="508"/>
      <c r="D615" s="508"/>
      <c r="E615" s="508"/>
    </row>
    <row r="616" ht="13.5" customHeight="1">
      <c r="A616" s="508"/>
      <c r="B616" s="508"/>
      <c r="C616" s="508"/>
      <c r="D616" s="508"/>
      <c r="E616" s="508"/>
    </row>
    <row r="617" ht="13.5" customHeight="1">
      <c r="A617" s="508"/>
      <c r="B617" s="508"/>
      <c r="C617" s="508"/>
      <c r="D617" s="508"/>
      <c r="E617" s="508"/>
    </row>
    <row r="618" ht="13.5" customHeight="1">
      <c r="A618" s="508"/>
      <c r="B618" s="508"/>
      <c r="C618" s="508"/>
      <c r="D618" s="508"/>
      <c r="E618" s="508"/>
    </row>
    <row r="619" ht="13.5" customHeight="1">
      <c r="A619" s="508"/>
      <c r="B619" s="508"/>
      <c r="C619" s="508"/>
      <c r="D619" s="508"/>
      <c r="E619" s="508"/>
    </row>
    <row r="620" ht="13.5" customHeight="1">
      <c r="A620" s="508"/>
      <c r="B620" s="508"/>
      <c r="C620" s="508"/>
      <c r="D620" s="508"/>
      <c r="E620" s="508"/>
    </row>
    <row r="621" ht="13.5" customHeight="1">
      <c r="A621" s="508"/>
      <c r="B621" s="508"/>
      <c r="C621" s="508"/>
      <c r="D621" s="508"/>
      <c r="E621" s="508"/>
    </row>
    <row r="622" ht="13.5" customHeight="1">
      <c r="A622" s="508"/>
      <c r="B622" s="508"/>
      <c r="C622" s="508"/>
      <c r="D622" s="508"/>
      <c r="E622" s="508"/>
    </row>
    <row r="623" ht="13.5" customHeight="1">
      <c r="A623" s="508"/>
      <c r="B623" s="508"/>
      <c r="C623" s="508"/>
      <c r="D623" s="508"/>
      <c r="E623" s="508"/>
    </row>
    <row r="624" ht="13.5" customHeight="1">
      <c r="A624" s="508"/>
      <c r="B624" s="508"/>
      <c r="C624" s="508"/>
      <c r="D624" s="508"/>
      <c r="E624" s="508"/>
    </row>
    <row r="625" ht="13.5" customHeight="1">
      <c r="A625" s="508"/>
      <c r="B625" s="508"/>
      <c r="C625" s="508"/>
      <c r="D625" s="508"/>
      <c r="E625" s="508"/>
    </row>
    <row r="626" ht="13.5" customHeight="1">
      <c r="A626" s="508"/>
      <c r="B626" s="508"/>
      <c r="C626" s="508"/>
      <c r="D626" s="508"/>
      <c r="E626" s="508"/>
    </row>
    <row r="627" ht="13.5" customHeight="1">
      <c r="A627" s="508"/>
      <c r="B627" s="508"/>
      <c r="C627" s="508"/>
      <c r="D627" s="508"/>
      <c r="E627" s="508"/>
    </row>
    <row r="628" ht="13.5" customHeight="1">
      <c r="A628" s="508"/>
      <c r="B628" s="508"/>
      <c r="C628" s="508"/>
      <c r="D628" s="508"/>
      <c r="E628" s="508"/>
    </row>
    <row r="629" ht="13.5" customHeight="1">
      <c r="A629" s="508"/>
      <c r="B629" s="508"/>
      <c r="C629" s="508"/>
      <c r="D629" s="508"/>
      <c r="E629" s="508"/>
    </row>
    <row r="630" ht="13.5" customHeight="1">
      <c r="A630" s="508"/>
      <c r="B630" s="508"/>
      <c r="C630" s="508"/>
      <c r="D630" s="508"/>
      <c r="E630" s="508"/>
    </row>
    <row r="631" ht="13.5" customHeight="1">
      <c r="A631" s="508"/>
      <c r="B631" s="508"/>
      <c r="C631" s="508"/>
      <c r="D631" s="508"/>
      <c r="E631" s="508"/>
    </row>
    <row r="632" ht="13.5" customHeight="1">
      <c r="A632" s="508"/>
      <c r="B632" s="508"/>
      <c r="C632" s="508"/>
      <c r="D632" s="508"/>
      <c r="E632" s="508"/>
    </row>
    <row r="633" ht="13.5" customHeight="1">
      <c r="A633" s="508"/>
      <c r="B633" s="508"/>
      <c r="C633" s="508"/>
      <c r="D633" s="508"/>
      <c r="E633" s="508"/>
    </row>
    <row r="634" ht="13.5" customHeight="1">
      <c r="A634" s="508"/>
      <c r="B634" s="508"/>
      <c r="C634" s="508"/>
      <c r="D634" s="508"/>
      <c r="E634" s="508"/>
    </row>
    <row r="635" ht="13.5" customHeight="1">
      <c r="A635" s="508"/>
      <c r="B635" s="508"/>
      <c r="C635" s="508"/>
      <c r="D635" s="508"/>
      <c r="E635" s="508"/>
    </row>
    <row r="636" ht="13.5" customHeight="1">
      <c r="A636" s="508"/>
      <c r="B636" s="508"/>
      <c r="C636" s="508"/>
      <c r="D636" s="508"/>
      <c r="E636" s="508"/>
    </row>
    <row r="637" ht="13.5" customHeight="1">
      <c r="A637" s="508"/>
      <c r="B637" s="508"/>
      <c r="C637" s="508"/>
      <c r="D637" s="508"/>
      <c r="E637" s="508"/>
    </row>
    <row r="638" ht="13.5" customHeight="1">
      <c r="A638" s="508"/>
      <c r="B638" s="508"/>
      <c r="C638" s="508"/>
      <c r="D638" s="508"/>
      <c r="E638" s="508"/>
    </row>
    <row r="639" ht="13.5" customHeight="1">
      <c r="A639" s="508"/>
      <c r="B639" s="508"/>
      <c r="C639" s="508"/>
      <c r="D639" s="508"/>
      <c r="E639" s="508"/>
    </row>
    <row r="640" ht="13.5" customHeight="1">
      <c r="A640" s="508"/>
      <c r="B640" s="508"/>
      <c r="C640" s="508"/>
      <c r="D640" s="508"/>
      <c r="E640" s="508"/>
    </row>
    <row r="641" ht="13.5" customHeight="1">
      <c r="A641" s="508"/>
      <c r="B641" s="508"/>
      <c r="C641" s="508"/>
      <c r="D641" s="508"/>
      <c r="E641" s="508"/>
    </row>
    <row r="642" ht="13.5" customHeight="1">
      <c r="A642" s="508"/>
      <c r="B642" s="508"/>
      <c r="C642" s="508"/>
      <c r="D642" s="508"/>
      <c r="E642" s="508"/>
    </row>
    <row r="643" ht="13.5" customHeight="1">
      <c r="A643" s="508"/>
      <c r="B643" s="508"/>
      <c r="C643" s="508"/>
      <c r="D643" s="508"/>
      <c r="E643" s="508"/>
    </row>
    <row r="644" ht="13.5" customHeight="1">
      <c r="A644" s="508"/>
      <c r="B644" s="508"/>
      <c r="C644" s="508"/>
      <c r="D644" s="508"/>
      <c r="E644" s="508"/>
    </row>
    <row r="645" ht="13.5" customHeight="1">
      <c r="A645" s="508"/>
      <c r="B645" s="508"/>
      <c r="C645" s="508"/>
      <c r="D645" s="508"/>
      <c r="E645" s="508"/>
    </row>
    <row r="646" ht="13.5" customHeight="1">
      <c r="A646" s="508"/>
      <c r="B646" s="508"/>
      <c r="C646" s="508"/>
      <c r="D646" s="508"/>
      <c r="E646" s="508"/>
    </row>
    <row r="647" ht="13.5" customHeight="1">
      <c r="A647" s="508"/>
      <c r="B647" s="508"/>
      <c r="C647" s="508"/>
      <c r="D647" s="508"/>
      <c r="E647" s="508"/>
    </row>
    <row r="648" ht="13.5" customHeight="1">
      <c r="A648" s="508"/>
      <c r="B648" s="508"/>
      <c r="C648" s="508"/>
      <c r="D648" s="508"/>
      <c r="E648" s="508"/>
    </row>
    <row r="649" ht="13.5" customHeight="1">
      <c r="A649" s="508"/>
      <c r="B649" s="508"/>
      <c r="C649" s="508"/>
      <c r="D649" s="508"/>
      <c r="E649" s="508"/>
    </row>
    <row r="650" ht="13.5" customHeight="1">
      <c r="A650" s="508"/>
      <c r="B650" s="508"/>
      <c r="C650" s="508"/>
      <c r="D650" s="508"/>
      <c r="E650" s="508"/>
    </row>
    <row r="651" ht="13.5" customHeight="1">
      <c r="A651" s="508"/>
      <c r="B651" s="508"/>
      <c r="C651" s="508"/>
      <c r="D651" s="508"/>
      <c r="E651" s="508"/>
    </row>
    <row r="652" ht="13.5" customHeight="1">
      <c r="A652" s="508"/>
      <c r="B652" s="508"/>
      <c r="C652" s="508"/>
      <c r="D652" s="508"/>
      <c r="E652" s="508"/>
    </row>
    <row r="653" ht="13.5" customHeight="1">
      <c r="A653" s="508"/>
      <c r="B653" s="508"/>
      <c r="C653" s="508"/>
      <c r="D653" s="508"/>
      <c r="E653" s="508"/>
    </row>
    <row r="654" ht="13.5" customHeight="1">
      <c r="A654" s="508"/>
      <c r="B654" s="508"/>
      <c r="C654" s="508"/>
      <c r="D654" s="508"/>
      <c r="E654" s="508"/>
    </row>
    <row r="655" ht="13.5" customHeight="1">
      <c r="A655" s="508"/>
      <c r="B655" s="508"/>
      <c r="C655" s="508"/>
      <c r="D655" s="508"/>
      <c r="E655" s="508"/>
    </row>
    <row r="656" ht="13.5" customHeight="1">
      <c r="A656" s="508"/>
      <c r="B656" s="508"/>
      <c r="C656" s="508"/>
      <c r="D656" s="508"/>
      <c r="E656" s="508"/>
    </row>
    <row r="657" ht="13.5" customHeight="1">
      <c r="A657" s="508"/>
      <c r="B657" s="508"/>
      <c r="C657" s="508"/>
      <c r="D657" s="508"/>
      <c r="E657" s="508"/>
    </row>
    <row r="658" ht="13.5" customHeight="1">
      <c r="A658" s="508"/>
      <c r="B658" s="508"/>
      <c r="C658" s="508"/>
      <c r="D658" s="508"/>
      <c r="E658" s="508"/>
    </row>
    <row r="659" ht="13.5" customHeight="1">
      <c r="A659" s="508"/>
      <c r="B659" s="508"/>
      <c r="C659" s="508"/>
      <c r="D659" s="508"/>
      <c r="E659" s="508"/>
    </row>
    <row r="660" ht="13.5" customHeight="1">
      <c r="A660" s="508"/>
      <c r="B660" s="508"/>
      <c r="C660" s="508"/>
      <c r="D660" s="508"/>
      <c r="E660" s="508"/>
    </row>
    <row r="661" ht="13.5" customHeight="1">
      <c r="A661" s="508"/>
      <c r="B661" s="508"/>
      <c r="C661" s="508"/>
      <c r="D661" s="508"/>
      <c r="E661" s="508"/>
    </row>
    <row r="662" ht="13.5" customHeight="1">
      <c r="A662" s="508"/>
      <c r="B662" s="508"/>
      <c r="C662" s="508"/>
      <c r="D662" s="508"/>
      <c r="E662" s="508"/>
    </row>
    <row r="663" ht="13.5" customHeight="1">
      <c r="A663" s="508"/>
      <c r="B663" s="508"/>
      <c r="C663" s="508"/>
      <c r="D663" s="508"/>
      <c r="E663" s="508"/>
    </row>
    <row r="664" ht="13.5" customHeight="1">
      <c r="A664" s="508"/>
      <c r="B664" s="508"/>
      <c r="C664" s="508"/>
      <c r="D664" s="508"/>
      <c r="E664" s="508"/>
    </row>
    <row r="665" ht="13.5" customHeight="1">
      <c r="A665" s="508"/>
      <c r="B665" s="508"/>
      <c r="C665" s="508"/>
      <c r="D665" s="508"/>
      <c r="E665" s="508"/>
    </row>
    <row r="666" ht="13.5" customHeight="1">
      <c r="A666" s="508"/>
      <c r="B666" s="508"/>
      <c r="C666" s="508"/>
      <c r="D666" s="508"/>
      <c r="E666" s="508"/>
    </row>
    <row r="667" ht="13.5" customHeight="1">
      <c r="A667" s="508"/>
      <c r="B667" s="508"/>
      <c r="C667" s="508"/>
      <c r="D667" s="508"/>
      <c r="E667" s="508"/>
    </row>
    <row r="668" ht="13.5" customHeight="1">
      <c r="A668" s="508"/>
      <c r="B668" s="508"/>
      <c r="C668" s="508"/>
      <c r="D668" s="508"/>
      <c r="E668" s="508"/>
    </row>
    <row r="669" ht="13.5" customHeight="1">
      <c r="A669" s="508"/>
      <c r="B669" s="508"/>
      <c r="C669" s="508"/>
      <c r="D669" s="508"/>
      <c r="E669" s="508"/>
    </row>
    <row r="670" ht="13.5" customHeight="1">
      <c r="A670" s="508"/>
      <c r="B670" s="508"/>
      <c r="C670" s="508"/>
      <c r="D670" s="508"/>
      <c r="E670" s="508"/>
    </row>
    <row r="671" ht="13.5" customHeight="1">
      <c r="A671" s="508"/>
      <c r="B671" s="508"/>
      <c r="C671" s="508"/>
      <c r="D671" s="508"/>
      <c r="E671" s="508"/>
    </row>
    <row r="672" ht="13.5" customHeight="1">
      <c r="A672" s="508"/>
      <c r="B672" s="508"/>
      <c r="C672" s="508"/>
      <c r="D672" s="508"/>
      <c r="E672" s="508"/>
    </row>
    <row r="673" ht="13.5" customHeight="1">
      <c r="A673" s="508"/>
      <c r="B673" s="508"/>
      <c r="C673" s="508"/>
      <c r="D673" s="508"/>
      <c r="E673" s="508"/>
    </row>
    <row r="674" ht="13.5" customHeight="1">
      <c r="A674" s="508"/>
      <c r="B674" s="508"/>
      <c r="C674" s="508"/>
      <c r="D674" s="508"/>
      <c r="E674" s="508"/>
    </row>
    <row r="675" ht="13.5" customHeight="1">
      <c r="A675" s="508"/>
      <c r="B675" s="508"/>
      <c r="C675" s="508"/>
      <c r="D675" s="508"/>
      <c r="E675" s="508"/>
    </row>
    <row r="676" ht="13.5" customHeight="1">
      <c r="A676" s="508"/>
      <c r="B676" s="508"/>
      <c r="C676" s="508"/>
      <c r="D676" s="508"/>
      <c r="E676" s="508"/>
    </row>
    <row r="677" ht="13.5" customHeight="1">
      <c r="A677" s="508"/>
      <c r="B677" s="508"/>
      <c r="C677" s="508"/>
      <c r="D677" s="508"/>
      <c r="E677" s="508"/>
    </row>
    <row r="678" ht="13.5" customHeight="1">
      <c r="A678" s="508"/>
      <c r="B678" s="508"/>
      <c r="C678" s="508"/>
      <c r="D678" s="508"/>
      <c r="E678" s="508"/>
    </row>
    <row r="679" ht="13.5" customHeight="1">
      <c r="A679" s="508"/>
      <c r="B679" s="508"/>
      <c r="C679" s="508"/>
      <c r="D679" s="508"/>
      <c r="E679" s="508"/>
    </row>
    <row r="680" ht="13.5" customHeight="1">
      <c r="A680" s="508"/>
      <c r="B680" s="508"/>
      <c r="C680" s="508"/>
      <c r="D680" s="508"/>
      <c r="E680" s="508"/>
    </row>
    <row r="681" ht="13.5" customHeight="1">
      <c r="A681" s="508"/>
      <c r="B681" s="508"/>
      <c r="C681" s="508"/>
      <c r="D681" s="508"/>
      <c r="E681" s="508"/>
    </row>
    <row r="682" ht="13.5" customHeight="1">
      <c r="A682" s="508"/>
      <c r="B682" s="508"/>
      <c r="C682" s="508"/>
      <c r="D682" s="508"/>
      <c r="E682" s="508"/>
    </row>
    <row r="683" ht="13.5" customHeight="1">
      <c r="A683" s="508"/>
      <c r="B683" s="508"/>
      <c r="C683" s="508"/>
      <c r="D683" s="508"/>
      <c r="E683" s="508"/>
    </row>
    <row r="684" ht="13.5" customHeight="1">
      <c r="A684" s="508"/>
      <c r="B684" s="508"/>
      <c r="C684" s="508"/>
      <c r="D684" s="508"/>
      <c r="E684" s="508"/>
    </row>
    <row r="685" ht="13.5" customHeight="1">
      <c r="A685" s="508"/>
      <c r="B685" s="508"/>
      <c r="C685" s="508"/>
      <c r="D685" s="508"/>
      <c r="E685" s="508"/>
    </row>
    <row r="686" ht="13.5" customHeight="1">
      <c r="A686" s="508"/>
      <c r="B686" s="508"/>
      <c r="C686" s="508"/>
      <c r="D686" s="508"/>
      <c r="E686" s="508"/>
    </row>
    <row r="687" ht="13.5" customHeight="1">
      <c r="A687" s="508"/>
      <c r="B687" s="508"/>
      <c r="C687" s="508"/>
      <c r="D687" s="508"/>
      <c r="E687" s="508"/>
    </row>
    <row r="688" ht="13.5" customHeight="1">
      <c r="A688" s="508"/>
      <c r="B688" s="508"/>
      <c r="C688" s="508"/>
      <c r="D688" s="508"/>
      <c r="E688" s="508"/>
    </row>
    <row r="689" ht="13.5" customHeight="1">
      <c r="A689" s="508"/>
      <c r="B689" s="508"/>
      <c r="C689" s="508"/>
      <c r="D689" s="508"/>
      <c r="E689" s="508"/>
    </row>
    <row r="690" ht="13.5" customHeight="1">
      <c r="A690" s="508"/>
      <c r="B690" s="508"/>
      <c r="C690" s="508"/>
      <c r="D690" s="508"/>
      <c r="E690" s="508"/>
    </row>
    <row r="691" ht="13.5" customHeight="1">
      <c r="A691" s="508"/>
      <c r="B691" s="508"/>
      <c r="C691" s="508"/>
      <c r="D691" s="508"/>
      <c r="E691" s="508"/>
    </row>
    <row r="692" ht="13.5" customHeight="1">
      <c r="A692" s="508"/>
      <c r="B692" s="508"/>
      <c r="C692" s="508"/>
      <c r="D692" s="508"/>
      <c r="E692" s="508"/>
    </row>
    <row r="693" ht="13.5" customHeight="1">
      <c r="A693" s="508"/>
      <c r="B693" s="508"/>
      <c r="C693" s="508"/>
      <c r="D693" s="508"/>
      <c r="E693" s="508"/>
    </row>
    <row r="694" ht="13.5" customHeight="1">
      <c r="A694" s="508"/>
      <c r="B694" s="508"/>
      <c r="C694" s="508"/>
      <c r="D694" s="508"/>
      <c r="E694" s="508"/>
    </row>
    <row r="695" ht="13.5" customHeight="1">
      <c r="A695" s="508"/>
      <c r="B695" s="508"/>
      <c r="C695" s="508"/>
      <c r="D695" s="508"/>
      <c r="E695" s="508"/>
    </row>
    <row r="696" ht="13.5" customHeight="1">
      <c r="A696" s="508"/>
      <c r="B696" s="508"/>
      <c r="C696" s="508"/>
      <c r="D696" s="508"/>
      <c r="E696" s="508"/>
    </row>
    <row r="697" ht="13.5" customHeight="1">
      <c r="A697" s="508"/>
      <c r="B697" s="508"/>
      <c r="C697" s="508"/>
      <c r="D697" s="508"/>
      <c r="E697" s="508"/>
    </row>
    <row r="698" ht="13.5" customHeight="1">
      <c r="A698" s="508"/>
      <c r="B698" s="508"/>
      <c r="C698" s="508"/>
      <c r="D698" s="508"/>
      <c r="E698" s="508"/>
    </row>
    <row r="699" ht="13.5" customHeight="1">
      <c r="A699" s="508"/>
      <c r="B699" s="508"/>
      <c r="C699" s="508"/>
      <c r="D699" s="508"/>
      <c r="E699" s="508"/>
    </row>
    <row r="700" ht="13.5" customHeight="1">
      <c r="A700" s="508"/>
      <c r="B700" s="508"/>
      <c r="C700" s="508"/>
      <c r="D700" s="508"/>
      <c r="E700" s="508"/>
    </row>
    <row r="701" ht="13.5" customHeight="1">
      <c r="A701" s="508"/>
      <c r="B701" s="508"/>
      <c r="C701" s="508"/>
      <c r="D701" s="508"/>
      <c r="E701" s="508"/>
    </row>
    <row r="702" ht="13.5" customHeight="1">
      <c r="A702" s="508"/>
      <c r="B702" s="508"/>
      <c r="C702" s="508"/>
      <c r="D702" s="508"/>
      <c r="E702" s="508"/>
    </row>
    <row r="703" ht="13.5" customHeight="1">
      <c r="A703" s="508"/>
      <c r="B703" s="508"/>
      <c r="C703" s="508"/>
      <c r="D703" s="508"/>
      <c r="E703" s="508"/>
    </row>
    <row r="704" ht="13.5" customHeight="1">
      <c r="A704" s="508"/>
      <c r="B704" s="508"/>
      <c r="C704" s="508"/>
      <c r="D704" s="508"/>
      <c r="E704" s="508"/>
    </row>
    <row r="705" ht="13.5" customHeight="1">
      <c r="A705" s="508"/>
      <c r="B705" s="508"/>
      <c r="C705" s="508"/>
      <c r="D705" s="508"/>
      <c r="E705" s="508"/>
    </row>
    <row r="706" ht="13.5" customHeight="1">
      <c r="A706" s="508"/>
      <c r="B706" s="508"/>
      <c r="C706" s="508"/>
      <c r="D706" s="508"/>
      <c r="E706" s="508"/>
    </row>
    <row r="707" ht="13.5" customHeight="1">
      <c r="A707" s="508"/>
      <c r="B707" s="508"/>
      <c r="C707" s="508"/>
      <c r="D707" s="508"/>
      <c r="E707" s="508"/>
    </row>
    <row r="708" ht="13.5" customHeight="1">
      <c r="A708" s="508"/>
      <c r="B708" s="508"/>
      <c r="C708" s="508"/>
      <c r="D708" s="508"/>
      <c r="E708" s="508"/>
    </row>
    <row r="709" ht="13.5" customHeight="1">
      <c r="A709" s="508"/>
      <c r="B709" s="508"/>
      <c r="C709" s="508"/>
      <c r="D709" s="508"/>
      <c r="E709" s="508"/>
    </row>
    <row r="710" ht="13.5" customHeight="1">
      <c r="A710" s="508"/>
      <c r="B710" s="508"/>
      <c r="C710" s="508"/>
      <c r="D710" s="508"/>
      <c r="E710" s="508"/>
    </row>
    <row r="711" ht="13.5" customHeight="1">
      <c r="A711" s="508"/>
      <c r="B711" s="508"/>
      <c r="C711" s="508"/>
      <c r="D711" s="508"/>
      <c r="E711" s="508"/>
    </row>
    <row r="712" ht="13.5" customHeight="1">
      <c r="A712" s="508"/>
      <c r="B712" s="508"/>
      <c r="C712" s="508"/>
      <c r="D712" s="508"/>
      <c r="E712" s="508"/>
    </row>
    <row r="713" ht="13.5" customHeight="1">
      <c r="A713" s="508"/>
      <c r="B713" s="508"/>
      <c r="C713" s="508"/>
      <c r="D713" s="508"/>
      <c r="E713" s="508"/>
    </row>
    <row r="714" ht="13.5" customHeight="1">
      <c r="A714" s="508"/>
      <c r="B714" s="508"/>
      <c r="C714" s="508"/>
      <c r="D714" s="508"/>
      <c r="E714" s="508"/>
    </row>
    <row r="715" ht="13.5" customHeight="1">
      <c r="A715" s="508"/>
      <c r="B715" s="508"/>
      <c r="C715" s="508"/>
      <c r="D715" s="508"/>
      <c r="E715" s="508"/>
    </row>
    <row r="716" ht="13.5" customHeight="1">
      <c r="A716" s="508"/>
      <c r="B716" s="508"/>
      <c r="C716" s="508"/>
      <c r="D716" s="508"/>
      <c r="E716" s="508"/>
    </row>
    <row r="717" ht="13.5" customHeight="1">
      <c r="A717" s="508"/>
      <c r="B717" s="508"/>
      <c r="C717" s="508"/>
      <c r="D717" s="508"/>
      <c r="E717" s="508"/>
    </row>
    <row r="718" ht="13.5" customHeight="1">
      <c r="A718" s="508"/>
      <c r="B718" s="508"/>
      <c r="C718" s="508"/>
      <c r="D718" s="508"/>
      <c r="E718" s="508"/>
    </row>
    <row r="719" ht="13.5" customHeight="1">
      <c r="A719" s="508"/>
      <c r="B719" s="508"/>
      <c r="C719" s="508"/>
      <c r="D719" s="508"/>
      <c r="E719" s="508"/>
    </row>
    <row r="720" ht="13.5" customHeight="1">
      <c r="A720" s="508"/>
      <c r="B720" s="508"/>
      <c r="C720" s="508"/>
      <c r="D720" s="508"/>
      <c r="E720" s="508"/>
    </row>
    <row r="721" ht="13.5" customHeight="1">
      <c r="A721" s="508"/>
      <c r="B721" s="508"/>
      <c r="C721" s="508"/>
      <c r="D721" s="508"/>
      <c r="E721" s="508"/>
    </row>
    <row r="722" ht="13.5" customHeight="1">
      <c r="A722" s="508"/>
      <c r="B722" s="508"/>
      <c r="C722" s="508"/>
      <c r="D722" s="508"/>
      <c r="E722" s="508"/>
    </row>
    <row r="723" ht="13.5" customHeight="1">
      <c r="A723" s="508"/>
      <c r="B723" s="508"/>
      <c r="C723" s="508"/>
      <c r="D723" s="508"/>
      <c r="E723" s="508"/>
    </row>
    <row r="724" ht="13.5" customHeight="1">
      <c r="A724" s="508"/>
      <c r="B724" s="508"/>
      <c r="C724" s="508"/>
      <c r="D724" s="508"/>
      <c r="E724" s="508"/>
    </row>
    <row r="725" ht="13.5" customHeight="1">
      <c r="A725" s="508"/>
      <c r="B725" s="508"/>
      <c r="C725" s="508"/>
      <c r="D725" s="508"/>
      <c r="E725" s="508"/>
    </row>
    <row r="726" ht="13.5" customHeight="1">
      <c r="A726" s="508"/>
      <c r="B726" s="508"/>
      <c r="C726" s="508"/>
      <c r="D726" s="508"/>
      <c r="E726" s="508"/>
    </row>
    <row r="727" ht="13.5" customHeight="1">
      <c r="A727" s="508"/>
      <c r="B727" s="508"/>
      <c r="C727" s="508"/>
      <c r="D727" s="508"/>
      <c r="E727" s="508"/>
    </row>
    <row r="728" ht="13.5" customHeight="1">
      <c r="A728" s="508"/>
      <c r="B728" s="508"/>
      <c r="C728" s="508"/>
      <c r="D728" s="508"/>
      <c r="E728" s="508"/>
    </row>
    <row r="729" ht="13.5" customHeight="1">
      <c r="A729" s="508"/>
      <c r="B729" s="508"/>
      <c r="C729" s="508"/>
      <c r="D729" s="508"/>
      <c r="E729" s="508"/>
    </row>
    <row r="730" ht="13.5" customHeight="1">
      <c r="A730" s="508"/>
      <c r="B730" s="508"/>
      <c r="C730" s="508"/>
      <c r="D730" s="508"/>
      <c r="E730" s="508"/>
    </row>
    <row r="731" ht="13.5" customHeight="1">
      <c r="A731" s="508"/>
      <c r="B731" s="508"/>
      <c r="C731" s="508"/>
      <c r="D731" s="508"/>
      <c r="E731" s="508"/>
    </row>
    <row r="732" ht="13.5" customHeight="1">
      <c r="A732" s="508"/>
      <c r="B732" s="508"/>
      <c r="C732" s="508"/>
      <c r="D732" s="508"/>
      <c r="E732" s="508"/>
    </row>
    <row r="733" ht="13.5" customHeight="1">
      <c r="A733" s="508"/>
      <c r="B733" s="508"/>
      <c r="C733" s="508"/>
      <c r="D733" s="508"/>
      <c r="E733" s="508"/>
    </row>
    <row r="734" ht="13.5" customHeight="1">
      <c r="A734" s="508"/>
      <c r="B734" s="508"/>
      <c r="C734" s="508"/>
      <c r="D734" s="508"/>
      <c r="E734" s="508"/>
    </row>
    <row r="735" ht="13.5" customHeight="1">
      <c r="A735" s="508"/>
      <c r="B735" s="508"/>
      <c r="C735" s="508"/>
      <c r="D735" s="508"/>
      <c r="E735" s="508"/>
    </row>
    <row r="736" ht="13.5" customHeight="1">
      <c r="A736" s="508"/>
      <c r="B736" s="508"/>
      <c r="C736" s="508"/>
      <c r="D736" s="508"/>
      <c r="E736" s="508"/>
    </row>
    <row r="737" ht="13.5" customHeight="1">
      <c r="A737" s="508"/>
      <c r="B737" s="508"/>
      <c r="C737" s="508"/>
      <c r="D737" s="508"/>
      <c r="E737" s="508"/>
    </row>
    <row r="738" ht="13.5" customHeight="1">
      <c r="A738" s="508"/>
      <c r="B738" s="508"/>
      <c r="C738" s="508"/>
      <c r="D738" s="508"/>
      <c r="E738" s="508"/>
    </row>
    <row r="739" ht="13.5" customHeight="1">
      <c r="A739" s="508"/>
      <c r="B739" s="508"/>
      <c r="C739" s="508"/>
      <c r="D739" s="508"/>
      <c r="E739" s="508"/>
    </row>
    <row r="740" ht="13.5" customHeight="1">
      <c r="A740" s="508"/>
      <c r="B740" s="508"/>
      <c r="C740" s="508"/>
      <c r="D740" s="508"/>
      <c r="E740" s="508"/>
    </row>
    <row r="741" ht="13.5" customHeight="1">
      <c r="A741" s="508"/>
      <c r="B741" s="508"/>
      <c r="C741" s="508"/>
      <c r="D741" s="508"/>
      <c r="E741" s="508"/>
    </row>
    <row r="742" ht="13.5" customHeight="1">
      <c r="A742" s="508"/>
      <c r="B742" s="508"/>
      <c r="C742" s="508"/>
      <c r="D742" s="508"/>
      <c r="E742" s="508"/>
    </row>
    <row r="743" ht="13.5" customHeight="1">
      <c r="A743" s="508"/>
      <c r="B743" s="508"/>
      <c r="C743" s="508"/>
      <c r="D743" s="508"/>
      <c r="E743" s="508"/>
    </row>
    <row r="744" ht="13.5" customHeight="1">
      <c r="A744" s="508"/>
      <c r="B744" s="508"/>
      <c r="C744" s="508"/>
      <c r="D744" s="508"/>
      <c r="E744" s="508"/>
    </row>
    <row r="745" ht="13.5" customHeight="1">
      <c r="A745" s="508"/>
      <c r="B745" s="508"/>
      <c r="C745" s="508"/>
      <c r="D745" s="508"/>
      <c r="E745" s="508"/>
    </row>
    <row r="746" ht="13.5" customHeight="1">
      <c r="A746" s="508"/>
      <c r="B746" s="508"/>
      <c r="C746" s="508"/>
      <c r="D746" s="508"/>
      <c r="E746" s="508"/>
    </row>
    <row r="747" ht="13.5" customHeight="1">
      <c r="A747" s="508"/>
      <c r="B747" s="508"/>
      <c r="C747" s="508"/>
      <c r="D747" s="508"/>
      <c r="E747" s="508"/>
    </row>
    <row r="748" ht="13.5" customHeight="1">
      <c r="A748" s="508"/>
      <c r="B748" s="508"/>
      <c r="C748" s="508"/>
      <c r="D748" s="508"/>
      <c r="E748" s="508"/>
    </row>
    <row r="749" ht="13.5" customHeight="1">
      <c r="A749" s="508"/>
      <c r="B749" s="508"/>
      <c r="C749" s="508"/>
      <c r="D749" s="508"/>
      <c r="E749" s="508"/>
    </row>
    <row r="750" ht="13.5" customHeight="1">
      <c r="A750" s="508"/>
      <c r="B750" s="508"/>
      <c r="C750" s="508"/>
      <c r="D750" s="508"/>
      <c r="E750" s="508"/>
    </row>
    <row r="751" ht="13.5" customHeight="1">
      <c r="A751" s="508"/>
      <c r="B751" s="508"/>
      <c r="C751" s="508"/>
      <c r="D751" s="508"/>
      <c r="E751" s="508"/>
    </row>
    <row r="752" ht="13.5" customHeight="1">
      <c r="A752" s="508"/>
      <c r="B752" s="508"/>
      <c r="C752" s="508"/>
      <c r="D752" s="508"/>
      <c r="E752" s="508"/>
    </row>
    <row r="753" ht="13.5" customHeight="1">
      <c r="A753" s="508"/>
      <c r="B753" s="508"/>
      <c r="C753" s="508"/>
      <c r="D753" s="508"/>
      <c r="E753" s="508"/>
    </row>
    <row r="754" ht="13.5" customHeight="1">
      <c r="A754" s="508"/>
      <c r="B754" s="508"/>
      <c r="C754" s="508"/>
      <c r="D754" s="508"/>
      <c r="E754" s="508"/>
    </row>
    <row r="755" ht="13.5" customHeight="1">
      <c r="A755" s="508"/>
      <c r="B755" s="508"/>
      <c r="C755" s="508"/>
      <c r="D755" s="508"/>
      <c r="E755" s="508"/>
    </row>
    <row r="756" ht="13.5" customHeight="1">
      <c r="A756" s="508"/>
      <c r="B756" s="508"/>
      <c r="C756" s="508"/>
      <c r="D756" s="508"/>
      <c r="E756" s="508"/>
    </row>
    <row r="757" ht="13.5" customHeight="1">
      <c r="A757" s="508"/>
      <c r="B757" s="508"/>
      <c r="C757" s="508"/>
      <c r="D757" s="508"/>
      <c r="E757" s="508"/>
    </row>
    <row r="758" ht="13.5" customHeight="1">
      <c r="A758" s="508"/>
      <c r="B758" s="508"/>
      <c r="C758" s="508"/>
      <c r="D758" s="508"/>
      <c r="E758" s="508"/>
    </row>
    <row r="759" ht="13.5" customHeight="1">
      <c r="A759" s="508"/>
      <c r="B759" s="508"/>
      <c r="C759" s="508"/>
      <c r="D759" s="508"/>
      <c r="E759" s="508"/>
    </row>
    <row r="760" ht="13.5" customHeight="1">
      <c r="A760" s="508"/>
      <c r="B760" s="508"/>
      <c r="C760" s="508"/>
      <c r="D760" s="508"/>
      <c r="E760" s="508"/>
    </row>
    <row r="761" ht="13.5" customHeight="1">
      <c r="A761" s="508"/>
      <c r="B761" s="508"/>
      <c r="C761" s="508"/>
      <c r="D761" s="508"/>
      <c r="E761" s="508"/>
    </row>
    <row r="762" ht="13.5" customHeight="1">
      <c r="A762" s="508"/>
      <c r="B762" s="508"/>
      <c r="C762" s="508"/>
      <c r="D762" s="508"/>
      <c r="E762" s="508"/>
    </row>
    <row r="763" ht="13.5" customHeight="1">
      <c r="A763" s="508"/>
      <c r="B763" s="508"/>
      <c r="C763" s="508"/>
      <c r="D763" s="508"/>
      <c r="E763" s="508"/>
    </row>
    <row r="764" ht="13.5" customHeight="1">
      <c r="A764" s="508"/>
      <c r="B764" s="508"/>
      <c r="C764" s="508"/>
      <c r="D764" s="508"/>
      <c r="E764" s="508"/>
    </row>
    <row r="765" ht="13.5" customHeight="1">
      <c r="A765" s="508"/>
      <c r="B765" s="508"/>
      <c r="C765" s="508"/>
      <c r="D765" s="508"/>
      <c r="E765" s="508"/>
    </row>
    <row r="766" ht="13.5" customHeight="1">
      <c r="A766" s="508"/>
      <c r="B766" s="508"/>
      <c r="C766" s="508"/>
      <c r="D766" s="508"/>
      <c r="E766" s="508"/>
    </row>
    <row r="767" ht="13.5" customHeight="1">
      <c r="A767" s="508"/>
      <c r="B767" s="508"/>
      <c r="C767" s="508"/>
      <c r="D767" s="508"/>
      <c r="E767" s="508"/>
    </row>
    <row r="768" ht="13.5" customHeight="1">
      <c r="A768" s="508"/>
      <c r="B768" s="508"/>
      <c r="C768" s="508"/>
      <c r="D768" s="508"/>
      <c r="E768" s="508"/>
    </row>
    <row r="769" ht="13.5" customHeight="1">
      <c r="A769" s="508"/>
      <c r="B769" s="508"/>
      <c r="C769" s="508"/>
      <c r="D769" s="508"/>
      <c r="E769" s="508"/>
    </row>
    <row r="770" ht="13.5" customHeight="1">
      <c r="A770" s="508"/>
      <c r="B770" s="508"/>
      <c r="C770" s="508"/>
      <c r="D770" s="508"/>
      <c r="E770" s="508"/>
    </row>
    <row r="771" ht="13.5" customHeight="1">
      <c r="A771" s="508"/>
      <c r="B771" s="508"/>
      <c r="C771" s="508"/>
      <c r="D771" s="508"/>
      <c r="E771" s="508"/>
    </row>
    <row r="772" ht="13.5" customHeight="1">
      <c r="A772" s="508"/>
      <c r="B772" s="508"/>
      <c r="C772" s="508"/>
      <c r="D772" s="508"/>
      <c r="E772" s="508"/>
    </row>
    <row r="773" ht="13.5" customHeight="1">
      <c r="A773" s="508"/>
      <c r="B773" s="508"/>
      <c r="C773" s="508"/>
      <c r="D773" s="508"/>
      <c r="E773" s="508"/>
    </row>
    <row r="774" ht="13.5" customHeight="1">
      <c r="A774" s="508"/>
      <c r="B774" s="508"/>
      <c r="C774" s="508"/>
      <c r="D774" s="508"/>
      <c r="E774" s="508"/>
    </row>
    <row r="775" ht="13.5" customHeight="1">
      <c r="A775" s="508"/>
      <c r="B775" s="508"/>
      <c r="C775" s="508"/>
      <c r="D775" s="508"/>
      <c r="E775" s="508"/>
    </row>
    <row r="776" ht="13.5" customHeight="1">
      <c r="A776" s="508"/>
      <c r="B776" s="508"/>
      <c r="C776" s="508"/>
      <c r="D776" s="508"/>
      <c r="E776" s="508"/>
    </row>
    <row r="777" ht="13.5" customHeight="1">
      <c r="A777" s="508"/>
      <c r="B777" s="508"/>
      <c r="C777" s="508"/>
      <c r="D777" s="508"/>
      <c r="E777" s="508"/>
    </row>
    <row r="778" ht="13.5" customHeight="1">
      <c r="A778" s="508"/>
      <c r="B778" s="508"/>
      <c r="C778" s="508"/>
      <c r="D778" s="508"/>
      <c r="E778" s="508"/>
    </row>
    <row r="779" ht="13.5" customHeight="1">
      <c r="A779" s="508"/>
      <c r="B779" s="508"/>
      <c r="C779" s="508"/>
      <c r="D779" s="508"/>
      <c r="E779" s="508"/>
    </row>
    <row r="780" ht="13.5" customHeight="1">
      <c r="A780" s="508"/>
      <c r="B780" s="508"/>
      <c r="C780" s="508"/>
      <c r="D780" s="508"/>
      <c r="E780" s="508"/>
    </row>
    <row r="781" ht="13.5" customHeight="1">
      <c r="A781" s="508"/>
      <c r="B781" s="508"/>
      <c r="C781" s="508"/>
      <c r="D781" s="508"/>
      <c r="E781" s="508"/>
    </row>
    <row r="782" ht="13.5" customHeight="1">
      <c r="A782" s="508"/>
      <c r="B782" s="508"/>
      <c r="C782" s="508"/>
      <c r="D782" s="508"/>
      <c r="E782" s="508"/>
    </row>
    <row r="783" ht="13.5" customHeight="1">
      <c r="A783" s="508"/>
      <c r="B783" s="508"/>
      <c r="C783" s="508"/>
      <c r="D783" s="508"/>
      <c r="E783" s="508"/>
    </row>
    <row r="784" ht="13.5" customHeight="1">
      <c r="A784" s="508"/>
      <c r="B784" s="508"/>
      <c r="C784" s="508"/>
      <c r="D784" s="508"/>
      <c r="E784" s="508"/>
    </row>
    <row r="785" ht="13.5" customHeight="1">
      <c r="A785" s="508"/>
      <c r="B785" s="508"/>
      <c r="C785" s="508"/>
      <c r="D785" s="508"/>
      <c r="E785" s="508"/>
    </row>
    <row r="786" ht="13.5" customHeight="1">
      <c r="A786" s="508"/>
      <c r="B786" s="508"/>
      <c r="C786" s="508"/>
      <c r="D786" s="508"/>
      <c r="E786" s="508"/>
    </row>
    <row r="787" ht="13.5" customHeight="1">
      <c r="A787" s="508"/>
      <c r="B787" s="508"/>
      <c r="C787" s="508"/>
      <c r="D787" s="508"/>
      <c r="E787" s="508"/>
    </row>
    <row r="788" ht="13.5" customHeight="1">
      <c r="A788" s="508"/>
      <c r="B788" s="508"/>
      <c r="C788" s="508"/>
      <c r="D788" s="508"/>
      <c r="E788" s="508"/>
    </row>
    <row r="789" ht="13.5" customHeight="1">
      <c r="A789" s="508"/>
      <c r="B789" s="508"/>
      <c r="C789" s="508"/>
      <c r="D789" s="508"/>
      <c r="E789" s="508"/>
    </row>
    <row r="790" ht="13.5" customHeight="1">
      <c r="A790" s="508"/>
      <c r="B790" s="508"/>
      <c r="C790" s="508"/>
      <c r="D790" s="508"/>
      <c r="E790" s="508"/>
    </row>
    <row r="791" ht="13.5" customHeight="1">
      <c r="A791" s="508"/>
      <c r="B791" s="508"/>
      <c r="C791" s="508"/>
      <c r="D791" s="508"/>
      <c r="E791" s="508"/>
    </row>
    <row r="792" ht="13.5" customHeight="1">
      <c r="A792" s="508"/>
      <c r="B792" s="508"/>
      <c r="C792" s="508"/>
      <c r="D792" s="508"/>
      <c r="E792" s="508"/>
    </row>
    <row r="793" ht="13.5" customHeight="1">
      <c r="A793" s="508"/>
      <c r="B793" s="508"/>
      <c r="C793" s="508"/>
      <c r="D793" s="508"/>
      <c r="E793" s="508"/>
    </row>
    <row r="794" ht="13.5" customHeight="1">
      <c r="A794" s="508"/>
      <c r="B794" s="508"/>
      <c r="C794" s="508"/>
      <c r="D794" s="508"/>
      <c r="E794" s="508"/>
    </row>
    <row r="795" ht="13.5" customHeight="1">
      <c r="A795" s="508"/>
      <c r="B795" s="508"/>
      <c r="C795" s="508"/>
      <c r="D795" s="508"/>
      <c r="E795" s="508"/>
    </row>
    <row r="796" ht="13.5" customHeight="1">
      <c r="A796" s="508"/>
      <c r="B796" s="508"/>
      <c r="C796" s="508"/>
      <c r="D796" s="508"/>
      <c r="E796" s="508"/>
    </row>
    <row r="797" ht="13.5" customHeight="1">
      <c r="A797" s="508"/>
      <c r="B797" s="508"/>
      <c r="C797" s="508"/>
      <c r="D797" s="508"/>
      <c r="E797" s="508"/>
    </row>
    <row r="798" ht="13.5" customHeight="1">
      <c r="A798" s="508"/>
      <c r="B798" s="508"/>
      <c r="C798" s="508"/>
      <c r="D798" s="508"/>
      <c r="E798" s="508"/>
    </row>
    <row r="799" ht="13.5" customHeight="1">
      <c r="A799" s="508"/>
      <c r="B799" s="508"/>
      <c r="C799" s="508"/>
      <c r="D799" s="508"/>
      <c r="E799" s="508"/>
    </row>
    <row r="800" ht="13.5" customHeight="1">
      <c r="A800" s="508"/>
      <c r="B800" s="508"/>
      <c r="C800" s="508"/>
      <c r="D800" s="508"/>
      <c r="E800" s="508"/>
    </row>
    <row r="801" ht="13.5" customHeight="1">
      <c r="A801" s="508"/>
      <c r="B801" s="508"/>
      <c r="C801" s="508"/>
      <c r="D801" s="508"/>
      <c r="E801" s="508"/>
    </row>
    <row r="802" ht="13.5" customHeight="1">
      <c r="A802" s="508"/>
      <c r="B802" s="508"/>
      <c r="C802" s="508"/>
      <c r="D802" s="508"/>
      <c r="E802" s="508"/>
    </row>
    <row r="803" ht="13.5" customHeight="1">
      <c r="A803" s="508"/>
      <c r="B803" s="508"/>
      <c r="C803" s="508"/>
      <c r="D803" s="508"/>
      <c r="E803" s="508"/>
    </row>
    <row r="804" ht="13.5" customHeight="1">
      <c r="A804" s="508"/>
      <c r="B804" s="508"/>
      <c r="C804" s="508"/>
      <c r="D804" s="508"/>
      <c r="E804" s="508"/>
    </row>
    <row r="805" ht="13.5" customHeight="1">
      <c r="A805" s="508"/>
      <c r="B805" s="508"/>
      <c r="C805" s="508"/>
      <c r="D805" s="508"/>
      <c r="E805" s="508"/>
    </row>
    <row r="806" ht="13.5" customHeight="1">
      <c r="A806" s="508"/>
      <c r="B806" s="508"/>
      <c r="C806" s="508"/>
      <c r="D806" s="508"/>
      <c r="E806" s="508"/>
    </row>
    <row r="807" ht="13.5" customHeight="1">
      <c r="A807" s="508"/>
      <c r="B807" s="508"/>
      <c r="C807" s="508"/>
      <c r="D807" s="508"/>
      <c r="E807" s="508"/>
    </row>
    <row r="808" ht="13.5" customHeight="1">
      <c r="A808" s="508"/>
      <c r="B808" s="508"/>
      <c r="C808" s="508"/>
      <c r="D808" s="508"/>
      <c r="E808" s="508"/>
    </row>
    <row r="809" ht="13.5" customHeight="1">
      <c r="A809" s="508"/>
      <c r="B809" s="508"/>
      <c r="C809" s="508"/>
      <c r="D809" s="508"/>
      <c r="E809" s="508"/>
    </row>
    <row r="810" ht="13.5" customHeight="1">
      <c r="A810" s="508"/>
      <c r="B810" s="508"/>
      <c r="C810" s="508"/>
      <c r="D810" s="508"/>
      <c r="E810" s="508"/>
    </row>
    <row r="811" ht="13.5" customHeight="1">
      <c r="A811" s="508"/>
      <c r="B811" s="508"/>
      <c r="C811" s="508"/>
      <c r="D811" s="508"/>
      <c r="E811" s="508"/>
    </row>
    <row r="812" ht="13.5" customHeight="1">
      <c r="A812" s="508"/>
      <c r="B812" s="508"/>
      <c r="C812" s="508"/>
      <c r="D812" s="508"/>
      <c r="E812" s="508"/>
    </row>
    <row r="813" ht="13.5" customHeight="1">
      <c r="A813" s="508"/>
      <c r="B813" s="508"/>
      <c r="C813" s="508"/>
      <c r="D813" s="508"/>
      <c r="E813" s="508"/>
    </row>
    <row r="814" ht="13.5" customHeight="1">
      <c r="A814" s="508"/>
      <c r="B814" s="508"/>
      <c r="C814" s="508"/>
      <c r="D814" s="508"/>
      <c r="E814" s="508"/>
    </row>
    <row r="815" ht="13.5" customHeight="1">
      <c r="A815" s="508"/>
      <c r="B815" s="508"/>
      <c r="C815" s="508"/>
      <c r="D815" s="508"/>
      <c r="E815" s="508"/>
    </row>
    <row r="816" ht="13.5" customHeight="1">
      <c r="A816" s="508"/>
      <c r="B816" s="508"/>
      <c r="C816" s="508"/>
      <c r="D816" s="508"/>
      <c r="E816" s="508"/>
    </row>
    <row r="817" ht="13.5" customHeight="1">
      <c r="A817" s="508"/>
      <c r="B817" s="508"/>
      <c r="C817" s="508"/>
      <c r="D817" s="508"/>
      <c r="E817" s="508"/>
    </row>
    <row r="818" ht="13.5" customHeight="1">
      <c r="A818" s="508"/>
      <c r="B818" s="508"/>
      <c r="C818" s="508"/>
      <c r="D818" s="508"/>
      <c r="E818" s="508"/>
    </row>
    <row r="819" ht="13.5" customHeight="1">
      <c r="A819" s="508"/>
      <c r="B819" s="508"/>
      <c r="C819" s="508"/>
      <c r="D819" s="508"/>
      <c r="E819" s="508"/>
    </row>
    <row r="820" ht="13.5" customHeight="1">
      <c r="A820" s="508"/>
      <c r="B820" s="508"/>
      <c r="C820" s="508"/>
      <c r="D820" s="508"/>
      <c r="E820" s="508"/>
    </row>
    <row r="821" ht="13.5" customHeight="1">
      <c r="A821" s="508"/>
      <c r="B821" s="508"/>
      <c r="C821" s="508"/>
      <c r="D821" s="508"/>
      <c r="E821" s="508"/>
    </row>
    <row r="822" ht="13.5" customHeight="1">
      <c r="A822" s="508"/>
      <c r="B822" s="508"/>
      <c r="C822" s="508"/>
      <c r="D822" s="508"/>
      <c r="E822" s="508"/>
    </row>
    <row r="823" ht="13.5" customHeight="1">
      <c r="A823" s="508"/>
      <c r="B823" s="508"/>
      <c r="C823" s="508"/>
      <c r="D823" s="508"/>
      <c r="E823" s="508"/>
    </row>
    <row r="824" ht="13.5" customHeight="1">
      <c r="A824" s="508"/>
      <c r="B824" s="508"/>
      <c r="C824" s="508"/>
      <c r="D824" s="508"/>
      <c r="E824" s="508"/>
    </row>
    <row r="825" ht="13.5" customHeight="1">
      <c r="A825" s="508"/>
      <c r="B825" s="508"/>
      <c r="C825" s="508"/>
      <c r="D825" s="508"/>
      <c r="E825" s="508"/>
    </row>
    <row r="826" ht="13.5" customHeight="1">
      <c r="A826" s="508"/>
      <c r="B826" s="508"/>
      <c r="C826" s="508"/>
      <c r="D826" s="508"/>
      <c r="E826" s="508"/>
    </row>
    <row r="827" ht="13.5" customHeight="1">
      <c r="A827" s="508"/>
      <c r="B827" s="508"/>
      <c r="C827" s="508"/>
      <c r="D827" s="508"/>
      <c r="E827" s="508"/>
    </row>
    <row r="828" ht="13.5" customHeight="1">
      <c r="A828" s="508"/>
      <c r="B828" s="508"/>
      <c r="C828" s="508"/>
      <c r="D828" s="508"/>
      <c r="E828" s="508"/>
    </row>
    <row r="829" ht="13.5" customHeight="1">
      <c r="A829" s="508"/>
      <c r="B829" s="508"/>
      <c r="C829" s="508"/>
      <c r="D829" s="508"/>
      <c r="E829" s="508"/>
    </row>
    <row r="830" ht="13.5" customHeight="1">
      <c r="A830" s="508"/>
      <c r="B830" s="508"/>
      <c r="C830" s="508"/>
      <c r="D830" s="508"/>
      <c r="E830" s="508"/>
    </row>
    <row r="831" ht="13.5" customHeight="1">
      <c r="A831" s="508"/>
      <c r="B831" s="508"/>
      <c r="C831" s="508"/>
      <c r="D831" s="508"/>
      <c r="E831" s="508"/>
    </row>
    <row r="832" ht="13.5" customHeight="1">
      <c r="A832" s="508"/>
      <c r="B832" s="508"/>
      <c r="C832" s="508"/>
      <c r="D832" s="508"/>
      <c r="E832" s="508"/>
    </row>
    <row r="833" ht="13.5" customHeight="1">
      <c r="A833" s="508"/>
      <c r="B833" s="508"/>
      <c r="C833" s="508"/>
      <c r="D833" s="508"/>
      <c r="E833" s="508"/>
    </row>
    <row r="834" ht="13.5" customHeight="1">
      <c r="A834" s="508"/>
      <c r="B834" s="508"/>
      <c r="C834" s="508"/>
      <c r="D834" s="508"/>
      <c r="E834" s="508"/>
    </row>
    <row r="835" ht="13.5" customHeight="1">
      <c r="A835" s="508"/>
      <c r="B835" s="508"/>
      <c r="C835" s="508"/>
      <c r="D835" s="508"/>
      <c r="E835" s="508"/>
    </row>
    <row r="836" ht="13.5" customHeight="1">
      <c r="A836" s="508"/>
      <c r="B836" s="508"/>
      <c r="C836" s="508"/>
      <c r="D836" s="508"/>
      <c r="E836" s="508"/>
    </row>
    <row r="837" ht="13.5" customHeight="1">
      <c r="A837" s="508"/>
      <c r="B837" s="508"/>
      <c r="C837" s="508"/>
      <c r="D837" s="508"/>
      <c r="E837" s="508"/>
    </row>
    <row r="838" ht="13.5" customHeight="1">
      <c r="A838" s="508"/>
      <c r="B838" s="508"/>
      <c r="C838" s="508"/>
      <c r="D838" s="508"/>
      <c r="E838" s="508"/>
    </row>
    <row r="839" ht="13.5" customHeight="1">
      <c r="A839" s="508"/>
      <c r="B839" s="508"/>
      <c r="C839" s="508"/>
      <c r="D839" s="508"/>
      <c r="E839" s="508"/>
    </row>
    <row r="840" ht="13.5" customHeight="1">
      <c r="A840" s="508"/>
      <c r="B840" s="508"/>
      <c r="C840" s="508"/>
      <c r="D840" s="508"/>
      <c r="E840" s="508"/>
    </row>
    <row r="841" ht="13.5" customHeight="1">
      <c r="A841" s="508"/>
      <c r="B841" s="508"/>
      <c r="C841" s="508"/>
      <c r="D841" s="508"/>
      <c r="E841" s="508"/>
    </row>
    <row r="842" ht="13.5" customHeight="1">
      <c r="A842" s="508"/>
      <c r="B842" s="508"/>
      <c r="C842" s="508"/>
      <c r="D842" s="508"/>
      <c r="E842" s="508"/>
    </row>
    <row r="843" ht="13.5" customHeight="1">
      <c r="A843" s="508"/>
      <c r="B843" s="508"/>
      <c r="C843" s="508"/>
      <c r="D843" s="508"/>
      <c r="E843" s="508"/>
    </row>
    <row r="844" ht="13.5" customHeight="1">
      <c r="A844" s="508"/>
      <c r="B844" s="508"/>
      <c r="C844" s="508"/>
      <c r="D844" s="508"/>
      <c r="E844" s="508"/>
    </row>
    <row r="845" ht="13.5" customHeight="1">
      <c r="A845" s="508"/>
      <c r="B845" s="508"/>
      <c r="C845" s="508"/>
      <c r="D845" s="508"/>
      <c r="E845" s="508"/>
    </row>
    <row r="846" ht="13.5" customHeight="1">
      <c r="A846" s="508"/>
      <c r="B846" s="508"/>
      <c r="C846" s="508"/>
      <c r="D846" s="508"/>
      <c r="E846" s="508"/>
    </row>
    <row r="847" ht="13.5" customHeight="1">
      <c r="A847" s="508"/>
      <c r="B847" s="508"/>
      <c r="C847" s="508"/>
      <c r="D847" s="508"/>
      <c r="E847" s="508"/>
    </row>
    <row r="848" ht="13.5" customHeight="1">
      <c r="A848" s="508"/>
      <c r="B848" s="508"/>
      <c r="C848" s="508"/>
      <c r="D848" s="508"/>
      <c r="E848" s="508"/>
    </row>
    <row r="849" ht="13.5" customHeight="1">
      <c r="A849" s="508"/>
      <c r="B849" s="508"/>
      <c r="C849" s="508"/>
      <c r="D849" s="508"/>
      <c r="E849" s="508"/>
    </row>
    <row r="850" ht="13.5" customHeight="1">
      <c r="A850" s="508"/>
      <c r="B850" s="508"/>
      <c r="C850" s="508"/>
      <c r="D850" s="508"/>
      <c r="E850" s="508"/>
    </row>
    <row r="851" ht="13.5" customHeight="1">
      <c r="A851" s="508"/>
      <c r="B851" s="508"/>
      <c r="C851" s="508"/>
      <c r="D851" s="508"/>
      <c r="E851" s="508"/>
    </row>
    <row r="852" ht="13.5" customHeight="1">
      <c r="A852" s="508"/>
      <c r="B852" s="508"/>
      <c r="C852" s="508"/>
      <c r="D852" s="508"/>
      <c r="E852" s="508"/>
    </row>
    <row r="853" ht="13.5" customHeight="1">
      <c r="A853" s="508"/>
      <c r="B853" s="508"/>
      <c r="C853" s="508"/>
      <c r="D853" s="508"/>
      <c r="E853" s="508"/>
    </row>
    <row r="854" ht="13.5" customHeight="1">
      <c r="A854" s="508"/>
      <c r="B854" s="508"/>
      <c r="C854" s="508"/>
      <c r="D854" s="508"/>
      <c r="E854" s="508"/>
    </row>
    <row r="855" ht="13.5" customHeight="1">
      <c r="A855" s="508"/>
      <c r="B855" s="508"/>
      <c r="C855" s="508"/>
      <c r="D855" s="508"/>
      <c r="E855" s="508"/>
    </row>
    <row r="856" ht="13.5" customHeight="1">
      <c r="A856" s="508"/>
      <c r="B856" s="508"/>
      <c r="C856" s="508"/>
      <c r="D856" s="508"/>
      <c r="E856" s="508"/>
    </row>
    <row r="857" ht="13.5" customHeight="1">
      <c r="A857" s="508"/>
      <c r="B857" s="508"/>
      <c r="C857" s="508"/>
      <c r="D857" s="508"/>
      <c r="E857" s="508"/>
    </row>
    <row r="858" ht="13.5" customHeight="1">
      <c r="A858" s="508"/>
      <c r="B858" s="508"/>
      <c r="C858" s="508"/>
      <c r="D858" s="508"/>
      <c r="E858" s="508"/>
    </row>
    <row r="859" ht="13.5" customHeight="1">
      <c r="A859" s="508"/>
      <c r="B859" s="508"/>
      <c r="C859" s="508"/>
      <c r="D859" s="508"/>
      <c r="E859" s="508"/>
    </row>
    <row r="860" ht="13.5" customHeight="1">
      <c r="A860" s="508"/>
      <c r="B860" s="508"/>
      <c r="C860" s="508"/>
      <c r="D860" s="508"/>
      <c r="E860" s="508"/>
    </row>
    <row r="861" ht="13.5" customHeight="1">
      <c r="A861" s="508"/>
      <c r="B861" s="508"/>
      <c r="C861" s="508"/>
      <c r="D861" s="508"/>
      <c r="E861" s="508"/>
    </row>
    <row r="862" ht="13.5" customHeight="1">
      <c r="A862" s="508"/>
      <c r="B862" s="508"/>
      <c r="C862" s="508"/>
      <c r="D862" s="508"/>
      <c r="E862" s="508"/>
    </row>
    <row r="863" ht="13.5" customHeight="1">
      <c r="A863" s="508"/>
      <c r="B863" s="508"/>
      <c r="C863" s="508"/>
      <c r="D863" s="508"/>
      <c r="E863" s="508"/>
    </row>
    <row r="864" ht="13.5" customHeight="1">
      <c r="A864" s="508"/>
      <c r="B864" s="508"/>
      <c r="C864" s="508"/>
      <c r="D864" s="508"/>
      <c r="E864" s="508"/>
    </row>
    <row r="865" ht="13.5" customHeight="1">
      <c r="A865" s="508"/>
      <c r="B865" s="508"/>
      <c r="C865" s="508"/>
      <c r="D865" s="508"/>
      <c r="E865" s="508"/>
    </row>
    <row r="866" ht="13.5" customHeight="1">
      <c r="A866" s="508"/>
      <c r="B866" s="508"/>
      <c r="C866" s="508"/>
      <c r="D866" s="508"/>
      <c r="E866" s="508"/>
    </row>
    <row r="867" ht="13.5" customHeight="1">
      <c r="A867" s="508"/>
      <c r="B867" s="508"/>
      <c r="C867" s="508"/>
      <c r="D867" s="508"/>
      <c r="E867" s="508"/>
    </row>
    <row r="868" ht="13.5" customHeight="1">
      <c r="A868" s="508"/>
      <c r="B868" s="508"/>
      <c r="C868" s="508"/>
      <c r="D868" s="508"/>
      <c r="E868" s="508"/>
    </row>
    <row r="869" ht="13.5" customHeight="1">
      <c r="A869" s="508"/>
      <c r="B869" s="508"/>
      <c r="C869" s="508"/>
      <c r="D869" s="508"/>
      <c r="E869" s="508"/>
    </row>
    <row r="870" ht="13.5" customHeight="1">
      <c r="A870" s="508"/>
      <c r="B870" s="508"/>
      <c r="C870" s="508"/>
      <c r="D870" s="508"/>
      <c r="E870" s="508"/>
    </row>
    <row r="871" ht="13.5" customHeight="1">
      <c r="A871" s="508"/>
      <c r="B871" s="508"/>
      <c r="C871" s="508"/>
      <c r="D871" s="508"/>
      <c r="E871" s="508"/>
    </row>
    <row r="872" ht="13.5" customHeight="1">
      <c r="A872" s="508"/>
      <c r="B872" s="508"/>
      <c r="C872" s="508"/>
      <c r="D872" s="508"/>
      <c r="E872" s="508"/>
    </row>
    <row r="873" ht="13.5" customHeight="1">
      <c r="A873" s="508"/>
      <c r="B873" s="508"/>
      <c r="C873" s="508"/>
      <c r="D873" s="508"/>
      <c r="E873" s="508"/>
    </row>
    <row r="874" ht="13.5" customHeight="1">
      <c r="A874" s="508"/>
      <c r="B874" s="508"/>
      <c r="C874" s="508"/>
      <c r="D874" s="508"/>
      <c r="E874" s="508"/>
    </row>
    <row r="875" ht="13.5" customHeight="1">
      <c r="A875" s="508"/>
      <c r="B875" s="508"/>
      <c r="C875" s="508"/>
      <c r="D875" s="508"/>
      <c r="E875" s="508"/>
    </row>
    <row r="876" ht="13.5" customHeight="1">
      <c r="A876" s="508"/>
      <c r="B876" s="508"/>
      <c r="C876" s="508"/>
      <c r="D876" s="508"/>
      <c r="E876" s="508"/>
    </row>
    <row r="877" ht="13.5" customHeight="1">
      <c r="A877" s="508"/>
      <c r="B877" s="508"/>
      <c r="C877" s="508"/>
      <c r="D877" s="508"/>
      <c r="E877" s="508"/>
    </row>
    <row r="878" ht="13.5" customHeight="1">
      <c r="A878" s="508"/>
      <c r="B878" s="508"/>
      <c r="C878" s="508"/>
      <c r="D878" s="508"/>
      <c r="E878" s="508"/>
    </row>
    <row r="879" ht="13.5" customHeight="1">
      <c r="A879" s="508"/>
      <c r="B879" s="508"/>
      <c r="C879" s="508"/>
      <c r="D879" s="508"/>
      <c r="E879" s="508"/>
    </row>
    <row r="880" ht="13.5" customHeight="1">
      <c r="A880" s="508"/>
      <c r="B880" s="508"/>
      <c r="C880" s="508"/>
      <c r="D880" s="508"/>
      <c r="E880" s="508"/>
    </row>
    <row r="881" ht="13.5" customHeight="1">
      <c r="A881" s="508"/>
      <c r="B881" s="508"/>
      <c r="C881" s="508"/>
      <c r="D881" s="508"/>
      <c r="E881" s="508"/>
    </row>
    <row r="882" ht="13.5" customHeight="1">
      <c r="A882" s="508"/>
      <c r="B882" s="508"/>
      <c r="C882" s="508"/>
      <c r="D882" s="508"/>
      <c r="E882" s="508"/>
    </row>
    <row r="883" ht="13.5" customHeight="1">
      <c r="A883" s="508"/>
      <c r="B883" s="508"/>
      <c r="C883" s="508"/>
      <c r="D883" s="508"/>
      <c r="E883" s="508"/>
    </row>
    <row r="884" ht="13.5" customHeight="1">
      <c r="A884" s="508"/>
      <c r="B884" s="508"/>
      <c r="C884" s="508"/>
      <c r="D884" s="508"/>
      <c r="E884" s="508"/>
    </row>
    <row r="885" ht="13.5" customHeight="1">
      <c r="A885" s="508"/>
      <c r="B885" s="508"/>
      <c r="C885" s="508"/>
      <c r="D885" s="508"/>
      <c r="E885" s="508"/>
    </row>
    <row r="886" ht="13.5" customHeight="1">
      <c r="A886" s="508"/>
      <c r="B886" s="508"/>
      <c r="C886" s="508"/>
      <c r="D886" s="508"/>
      <c r="E886" s="508"/>
    </row>
    <row r="887" ht="13.5" customHeight="1">
      <c r="A887" s="508"/>
      <c r="B887" s="508"/>
      <c r="C887" s="508"/>
      <c r="D887" s="508"/>
      <c r="E887" s="508"/>
    </row>
    <row r="888" ht="13.5" customHeight="1">
      <c r="A888" s="508"/>
      <c r="B888" s="508"/>
      <c r="C888" s="508"/>
      <c r="D888" s="508"/>
      <c r="E888" s="508"/>
    </row>
    <row r="889" ht="13.5" customHeight="1">
      <c r="A889" s="508"/>
      <c r="B889" s="508"/>
      <c r="C889" s="508"/>
      <c r="D889" s="508"/>
      <c r="E889" s="508"/>
    </row>
    <row r="890" ht="13.5" customHeight="1">
      <c r="A890" s="508"/>
      <c r="B890" s="508"/>
      <c r="C890" s="508"/>
      <c r="D890" s="508"/>
      <c r="E890" s="508"/>
    </row>
    <row r="891" ht="13.5" customHeight="1">
      <c r="A891" s="508"/>
      <c r="B891" s="508"/>
      <c r="C891" s="508"/>
      <c r="D891" s="508"/>
      <c r="E891" s="508"/>
    </row>
    <row r="892" ht="13.5" customHeight="1">
      <c r="A892" s="508"/>
      <c r="B892" s="508"/>
      <c r="C892" s="508"/>
      <c r="D892" s="508"/>
      <c r="E892" s="508"/>
    </row>
    <row r="893" ht="13.5" customHeight="1">
      <c r="A893" s="508"/>
      <c r="B893" s="508"/>
      <c r="C893" s="508"/>
      <c r="D893" s="508"/>
      <c r="E893" s="508"/>
    </row>
    <row r="894" ht="13.5" customHeight="1">
      <c r="A894" s="508"/>
      <c r="B894" s="508"/>
      <c r="C894" s="508"/>
      <c r="D894" s="508"/>
      <c r="E894" s="508"/>
    </row>
    <row r="895" ht="13.5" customHeight="1">
      <c r="A895" s="508"/>
      <c r="B895" s="508"/>
      <c r="C895" s="508"/>
      <c r="D895" s="508"/>
      <c r="E895" s="508"/>
    </row>
    <row r="896" ht="13.5" customHeight="1">
      <c r="A896" s="508"/>
      <c r="B896" s="508"/>
      <c r="C896" s="508"/>
      <c r="D896" s="508"/>
      <c r="E896" s="508"/>
    </row>
    <row r="897" ht="13.5" customHeight="1">
      <c r="A897" s="508"/>
      <c r="B897" s="508"/>
      <c r="C897" s="508"/>
      <c r="D897" s="508"/>
      <c r="E897" s="508"/>
    </row>
    <row r="898" ht="13.5" customHeight="1">
      <c r="A898" s="508"/>
      <c r="B898" s="508"/>
      <c r="C898" s="508"/>
      <c r="D898" s="508"/>
      <c r="E898" s="508"/>
    </row>
    <row r="899" ht="13.5" customHeight="1">
      <c r="A899" s="508"/>
      <c r="B899" s="508"/>
      <c r="C899" s="508"/>
      <c r="D899" s="508"/>
      <c r="E899" s="508"/>
    </row>
    <row r="900" ht="13.5" customHeight="1">
      <c r="A900" s="508"/>
      <c r="B900" s="508"/>
      <c r="C900" s="508"/>
      <c r="D900" s="508"/>
      <c r="E900" s="508"/>
    </row>
    <row r="901" ht="13.5" customHeight="1">
      <c r="A901" s="508"/>
      <c r="B901" s="508"/>
      <c r="C901" s="508"/>
      <c r="D901" s="508"/>
      <c r="E901" s="508"/>
    </row>
    <row r="902" ht="13.5" customHeight="1">
      <c r="A902" s="508"/>
      <c r="B902" s="508"/>
      <c r="C902" s="508"/>
      <c r="D902" s="508"/>
      <c r="E902" s="508"/>
    </row>
    <row r="903" ht="13.5" customHeight="1">
      <c r="A903" s="508"/>
      <c r="B903" s="508"/>
      <c r="C903" s="508"/>
      <c r="D903" s="508"/>
      <c r="E903" s="508"/>
    </row>
    <row r="904" ht="13.5" customHeight="1">
      <c r="A904" s="508"/>
      <c r="B904" s="508"/>
      <c r="C904" s="508"/>
      <c r="D904" s="508"/>
      <c r="E904" s="508"/>
    </row>
    <row r="905" ht="13.5" customHeight="1">
      <c r="A905" s="508"/>
      <c r="B905" s="508"/>
      <c r="C905" s="508"/>
      <c r="D905" s="508"/>
      <c r="E905" s="508"/>
    </row>
    <row r="906" ht="13.5" customHeight="1">
      <c r="A906" s="508"/>
      <c r="B906" s="508"/>
      <c r="C906" s="508"/>
      <c r="D906" s="508"/>
      <c r="E906" s="508"/>
    </row>
    <row r="907" ht="13.5" customHeight="1">
      <c r="A907" s="508"/>
      <c r="B907" s="508"/>
      <c r="C907" s="508"/>
      <c r="D907" s="508"/>
      <c r="E907" s="508"/>
    </row>
    <row r="908" ht="13.5" customHeight="1">
      <c r="A908" s="508"/>
      <c r="B908" s="508"/>
      <c r="C908" s="508"/>
      <c r="D908" s="508"/>
      <c r="E908" s="508"/>
    </row>
    <row r="909" ht="13.5" customHeight="1">
      <c r="A909" s="508"/>
      <c r="B909" s="508"/>
      <c r="C909" s="508"/>
      <c r="D909" s="508"/>
      <c r="E909" s="508"/>
    </row>
    <row r="910" ht="13.5" customHeight="1">
      <c r="A910" s="508"/>
      <c r="B910" s="508"/>
      <c r="C910" s="508"/>
      <c r="D910" s="508"/>
      <c r="E910" s="508"/>
    </row>
    <row r="911" ht="13.5" customHeight="1">
      <c r="A911" s="508"/>
      <c r="B911" s="508"/>
      <c r="C911" s="508"/>
      <c r="D911" s="508"/>
      <c r="E911" s="508"/>
    </row>
    <row r="912" ht="13.5" customHeight="1">
      <c r="A912" s="508"/>
      <c r="B912" s="508"/>
      <c r="C912" s="508"/>
      <c r="D912" s="508"/>
      <c r="E912" s="508"/>
    </row>
    <row r="913" ht="13.5" customHeight="1">
      <c r="A913" s="508"/>
      <c r="B913" s="508"/>
      <c r="C913" s="508"/>
      <c r="D913" s="508"/>
      <c r="E913" s="508"/>
    </row>
    <row r="914" ht="13.5" customHeight="1">
      <c r="A914" s="508"/>
      <c r="B914" s="508"/>
      <c r="C914" s="508"/>
      <c r="D914" s="508"/>
      <c r="E914" s="508"/>
    </row>
    <row r="915" ht="13.5" customHeight="1">
      <c r="A915" s="508"/>
      <c r="B915" s="508"/>
      <c r="C915" s="508"/>
      <c r="D915" s="508"/>
      <c r="E915" s="508"/>
    </row>
    <row r="916" ht="13.5" customHeight="1">
      <c r="A916" s="508"/>
      <c r="B916" s="508"/>
      <c r="C916" s="508"/>
      <c r="D916" s="508"/>
      <c r="E916" s="508"/>
    </row>
    <row r="917" ht="13.5" customHeight="1">
      <c r="A917" s="508"/>
      <c r="B917" s="508"/>
      <c r="C917" s="508"/>
      <c r="D917" s="508"/>
      <c r="E917" s="508"/>
    </row>
    <row r="918" ht="13.5" customHeight="1">
      <c r="A918" s="508"/>
      <c r="B918" s="508"/>
      <c r="C918" s="508"/>
      <c r="D918" s="508"/>
      <c r="E918" s="508"/>
    </row>
    <row r="919" ht="13.5" customHeight="1">
      <c r="A919" s="508"/>
      <c r="B919" s="508"/>
      <c r="C919" s="508"/>
      <c r="D919" s="508"/>
      <c r="E919" s="508"/>
    </row>
    <row r="920" ht="13.5" customHeight="1">
      <c r="A920" s="508"/>
      <c r="B920" s="508"/>
      <c r="C920" s="508"/>
      <c r="D920" s="508"/>
      <c r="E920" s="508"/>
    </row>
    <row r="921" ht="13.5" customHeight="1">
      <c r="A921" s="508"/>
      <c r="B921" s="508"/>
      <c r="C921" s="508"/>
      <c r="D921" s="508"/>
      <c r="E921" s="508"/>
    </row>
    <row r="922" ht="13.5" customHeight="1">
      <c r="A922" s="508"/>
      <c r="B922" s="508"/>
      <c r="C922" s="508"/>
      <c r="D922" s="508"/>
      <c r="E922" s="508"/>
    </row>
    <row r="923" ht="13.5" customHeight="1">
      <c r="A923" s="508"/>
      <c r="B923" s="508"/>
      <c r="C923" s="508"/>
      <c r="D923" s="508"/>
      <c r="E923" s="508"/>
    </row>
    <row r="924" ht="13.5" customHeight="1">
      <c r="A924" s="508"/>
      <c r="B924" s="508"/>
      <c r="C924" s="508"/>
      <c r="D924" s="508"/>
      <c r="E924" s="508"/>
    </row>
    <row r="925" ht="13.5" customHeight="1">
      <c r="A925" s="508"/>
      <c r="B925" s="508"/>
      <c r="C925" s="508"/>
      <c r="D925" s="508"/>
      <c r="E925" s="508"/>
    </row>
    <row r="926" ht="13.5" customHeight="1">
      <c r="A926" s="508"/>
      <c r="B926" s="508"/>
      <c r="C926" s="508"/>
      <c r="D926" s="508"/>
      <c r="E926" s="508"/>
    </row>
    <row r="927" ht="13.5" customHeight="1">
      <c r="A927" s="508"/>
      <c r="B927" s="508"/>
      <c r="C927" s="508"/>
      <c r="D927" s="508"/>
      <c r="E927" s="508"/>
    </row>
    <row r="928" ht="13.5" customHeight="1">
      <c r="A928" s="508"/>
      <c r="B928" s="508"/>
      <c r="C928" s="508"/>
      <c r="D928" s="508"/>
      <c r="E928" s="508"/>
    </row>
    <row r="929" ht="13.5" customHeight="1">
      <c r="A929" s="508"/>
      <c r="B929" s="508"/>
      <c r="C929" s="508"/>
      <c r="D929" s="508"/>
      <c r="E929" s="508"/>
    </row>
    <row r="930" ht="13.5" customHeight="1">
      <c r="A930" s="508"/>
      <c r="B930" s="508"/>
      <c r="C930" s="508"/>
      <c r="D930" s="508"/>
      <c r="E930" s="508"/>
    </row>
    <row r="931" ht="13.5" customHeight="1">
      <c r="A931" s="508"/>
      <c r="B931" s="508"/>
      <c r="C931" s="508"/>
      <c r="D931" s="508"/>
      <c r="E931" s="508"/>
    </row>
    <row r="932" ht="13.5" customHeight="1">
      <c r="A932" s="508"/>
      <c r="B932" s="508"/>
      <c r="C932" s="508"/>
      <c r="D932" s="508"/>
      <c r="E932" s="508"/>
    </row>
    <row r="933" ht="13.5" customHeight="1">
      <c r="A933" s="508"/>
      <c r="B933" s="508"/>
      <c r="C933" s="508"/>
      <c r="D933" s="508"/>
      <c r="E933" s="508"/>
    </row>
    <row r="934" ht="13.5" customHeight="1">
      <c r="A934" s="508"/>
      <c r="B934" s="508"/>
      <c r="C934" s="508"/>
      <c r="D934" s="508"/>
      <c r="E934" s="508"/>
    </row>
    <row r="935" ht="13.5" customHeight="1">
      <c r="A935" s="508"/>
      <c r="B935" s="508"/>
      <c r="C935" s="508"/>
      <c r="D935" s="508"/>
      <c r="E935" s="508"/>
    </row>
    <row r="936" ht="13.5" customHeight="1">
      <c r="A936" s="508"/>
      <c r="B936" s="508"/>
      <c r="C936" s="508"/>
      <c r="D936" s="508"/>
      <c r="E936" s="508"/>
    </row>
    <row r="937" ht="13.5" customHeight="1">
      <c r="A937" s="508"/>
      <c r="B937" s="508"/>
      <c r="C937" s="508"/>
      <c r="D937" s="508"/>
      <c r="E937" s="508"/>
    </row>
    <row r="938" ht="13.5" customHeight="1">
      <c r="A938" s="508"/>
      <c r="B938" s="508"/>
      <c r="C938" s="508"/>
      <c r="D938" s="508"/>
      <c r="E938" s="508"/>
    </row>
    <row r="939" ht="13.5" customHeight="1">
      <c r="A939" s="508"/>
      <c r="B939" s="508"/>
      <c r="C939" s="508"/>
      <c r="D939" s="508"/>
      <c r="E939" s="508"/>
    </row>
    <row r="940" ht="13.5" customHeight="1">
      <c r="A940" s="508"/>
      <c r="B940" s="508"/>
      <c r="C940" s="508"/>
      <c r="D940" s="508"/>
      <c r="E940" s="508"/>
    </row>
    <row r="941" ht="13.5" customHeight="1">
      <c r="A941" s="508"/>
      <c r="B941" s="508"/>
      <c r="C941" s="508"/>
      <c r="D941" s="508"/>
      <c r="E941" s="508"/>
    </row>
    <row r="942" ht="13.5" customHeight="1">
      <c r="A942" s="508"/>
      <c r="B942" s="508"/>
      <c r="C942" s="508"/>
      <c r="D942" s="508"/>
      <c r="E942" s="508"/>
    </row>
    <row r="943" ht="13.5" customHeight="1">
      <c r="A943" s="508"/>
      <c r="B943" s="508"/>
      <c r="C943" s="508"/>
      <c r="D943" s="508"/>
      <c r="E943" s="508"/>
    </row>
    <row r="944" ht="13.5" customHeight="1">
      <c r="A944" s="508"/>
      <c r="B944" s="508"/>
      <c r="C944" s="508"/>
      <c r="D944" s="508"/>
      <c r="E944" s="508"/>
    </row>
    <row r="945" ht="13.5" customHeight="1">
      <c r="A945" s="508"/>
      <c r="B945" s="508"/>
      <c r="C945" s="508"/>
      <c r="D945" s="508"/>
      <c r="E945" s="508"/>
    </row>
    <row r="946" ht="13.5" customHeight="1">
      <c r="A946" s="508"/>
      <c r="B946" s="508"/>
      <c r="C946" s="508"/>
      <c r="D946" s="508"/>
      <c r="E946" s="508"/>
    </row>
    <row r="947" ht="13.5" customHeight="1">
      <c r="A947" s="508"/>
      <c r="B947" s="508"/>
      <c r="C947" s="508"/>
      <c r="D947" s="508"/>
      <c r="E947" s="508"/>
    </row>
    <row r="948" ht="13.5" customHeight="1">
      <c r="A948" s="508"/>
      <c r="B948" s="508"/>
      <c r="C948" s="508"/>
      <c r="D948" s="508"/>
      <c r="E948" s="508"/>
    </row>
    <row r="949" ht="13.5" customHeight="1">
      <c r="A949" s="508"/>
      <c r="B949" s="508"/>
      <c r="C949" s="508"/>
      <c r="D949" s="508"/>
      <c r="E949" s="508"/>
    </row>
    <row r="950" ht="13.5" customHeight="1">
      <c r="A950" s="508"/>
      <c r="B950" s="508"/>
      <c r="C950" s="508"/>
      <c r="D950" s="508"/>
      <c r="E950" s="508"/>
    </row>
    <row r="951" ht="13.5" customHeight="1">
      <c r="A951" s="508"/>
      <c r="B951" s="508"/>
      <c r="C951" s="508"/>
      <c r="D951" s="508"/>
      <c r="E951" s="508"/>
    </row>
    <row r="952" ht="13.5" customHeight="1">
      <c r="A952" s="508"/>
      <c r="B952" s="508"/>
      <c r="C952" s="508"/>
      <c r="D952" s="508"/>
      <c r="E952" s="508"/>
    </row>
    <row r="953" ht="13.5" customHeight="1">
      <c r="A953" s="508"/>
      <c r="B953" s="508"/>
      <c r="C953" s="508"/>
      <c r="D953" s="508"/>
      <c r="E953" s="508"/>
    </row>
    <row r="954" ht="13.5" customHeight="1">
      <c r="A954" s="508"/>
      <c r="B954" s="508"/>
      <c r="C954" s="508"/>
      <c r="D954" s="508"/>
      <c r="E954" s="508"/>
    </row>
    <row r="955" ht="13.5" customHeight="1">
      <c r="A955" s="508"/>
      <c r="B955" s="508"/>
      <c r="C955" s="508"/>
      <c r="D955" s="508"/>
      <c r="E955" s="508"/>
    </row>
    <row r="956" ht="13.5" customHeight="1">
      <c r="A956" s="508"/>
      <c r="B956" s="508"/>
      <c r="C956" s="508"/>
      <c r="D956" s="508"/>
      <c r="E956" s="508"/>
    </row>
    <row r="957" ht="13.5" customHeight="1">
      <c r="A957" s="508"/>
      <c r="B957" s="508"/>
      <c r="C957" s="508"/>
      <c r="D957" s="508"/>
      <c r="E957" s="508"/>
    </row>
    <row r="958" ht="13.5" customHeight="1">
      <c r="A958" s="508"/>
      <c r="B958" s="508"/>
      <c r="C958" s="508"/>
      <c r="D958" s="508"/>
      <c r="E958" s="508"/>
    </row>
    <row r="959" ht="13.5" customHeight="1">
      <c r="A959" s="508"/>
      <c r="B959" s="508"/>
      <c r="C959" s="508"/>
      <c r="D959" s="508"/>
      <c r="E959" s="508"/>
    </row>
    <row r="960" ht="13.5" customHeight="1">
      <c r="A960" s="508"/>
      <c r="B960" s="508"/>
      <c r="C960" s="508"/>
      <c r="D960" s="508"/>
      <c r="E960" s="508"/>
    </row>
    <row r="961" ht="13.5" customHeight="1">
      <c r="A961" s="508"/>
      <c r="B961" s="508"/>
      <c r="C961" s="508"/>
      <c r="D961" s="508"/>
      <c r="E961" s="508"/>
    </row>
    <row r="962" ht="13.5" customHeight="1">
      <c r="A962" s="508"/>
      <c r="B962" s="508"/>
      <c r="C962" s="508"/>
      <c r="D962" s="508"/>
      <c r="E962" s="508"/>
    </row>
    <row r="963" ht="13.5" customHeight="1">
      <c r="A963" s="508"/>
      <c r="B963" s="508"/>
      <c r="C963" s="508"/>
      <c r="D963" s="508"/>
      <c r="E963" s="508"/>
    </row>
    <row r="964" ht="13.5" customHeight="1">
      <c r="A964" s="508"/>
      <c r="B964" s="508"/>
      <c r="C964" s="508"/>
      <c r="D964" s="508"/>
      <c r="E964" s="508"/>
    </row>
    <row r="965" ht="13.5" customHeight="1">
      <c r="A965" s="508"/>
      <c r="B965" s="508"/>
      <c r="C965" s="508"/>
      <c r="D965" s="508"/>
      <c r="E965" s="508"/>
    </row>
    <row r="966" ht="13.5" customHeight="1">
      <c r="A966" s="508"/>
      <c r="B966" s="508"/>
      <c r="C966" s="508"/>
      <c r="D966" s="508"/>
      <c r="E966" s="508"/>
    </row>
    <row r="967" ht="13.5" customHeight="1">
      <c r="A967" s="508"/>
      <c r="B967" s="508"/>
      <c r="C967" s="508"/>
      <c r="D967" s="508"/>
      <c r="E967" s="508"/>
    </row>
    <row r="968" ht="13.5" customHeight="1">
      <c r="A968" s="508"/>
      <c r="B968" s="508"/>
      <c r="C968" s="508"/>
      <c r="D968" s="508"/>
      <c r="E968" s="508"/>
    </row>
    <row r="969" ht="13.5" customHeight="1">
      <c r="A969" s="508"/>
      <c r="B969" s="508"/>
      <c r="C969" s="508"/>
      <c r="D969" s="508"/>
      <c r="E969" s="508"/>
    </row>
    <row r="970" ht="13.5" customHeight="1">
      <c r="A970" s="508"/>
      <c r="B970" s="508"/>
      <c r="C970" s="508"/>
      <c r="D970" s="508"/>
      <c r="E970" s="508"/>
    </row>
    <row r="971" ht="13.5" customHeight="1">
      <c r="A971" s="508"/>
      <c r="B971" s="508"/>
      <c r="C971" s="508"/>
      <c r="D971" s="508"/>
      <c r="E971" s="508"/>
    </row>
    <row r="972" ht="13.5" customHeight="1">
      <c r="A972" s="508"/>
      <c r="B972" s="508"/>
      <c r="C972" s="508"/>
      <c r="D972" s="508"/>
      <c r="E972" s="508"/>
    </row>
    <row r="973" ht="13.5" customHeight="1">
      <c r="A973" s="508"/>
      <c r="B973" s="508"/>
      <c r="C973" s="508"/>
      <c r="D973" s="508"/>
      <c r="E973" s="508"/>
    </row>
    <row r="974" ht="13.5" customHeight="1">
      <c r="A974" s="508"/>
      <c r="B974" s="508"/>
      <c r="C974" s="508"/>
      <c r="D974" s="508"/>
      <c r="E974" s="508"/>
    </row>
    <row r="975" ht="13.5" customHeight="1">
      <c r="A975" s="508"/>
      <c r="B975" s="508"/>
      <c r="C975" s="508"/>
      <c r="D975" s="508"/>
      <c r="E975" s="508"/>
    </row>
    <row r="976" ht="13.5" customHeight="1">
      <c r="A976" s="508"/>
      <c r="B976" s="508"/>
      <c r="C976" s="508"/>
      <c r="D976" s="508"/>
      <c r="E976" s="508"/>
    </row>
    <row r="977" ht="13.5" customHeight="1">
      <c r="A977" s="508"/>
      <c r="B977" s="508"/>
      <c r="C977" s="508"/>
      <c r="D977" s="508"/>
      <c r="E977" s="508"/>
    </row>
    <row r="978" ht="13.5" customHeight="1">
      <c r="A978" s="508"/>
      <c r="B978" s="508"/>
      <c r="C978" s="508"/>
      <c r="D978" s="508"/>
      <c r="E978" s="508"/>
    </row>
    <row r="979" ht="13.5" customHeight="1">
      <c r="A979" s="508"/>
      <c r="B979" s="508"/>
      <c r="C979" s="508"/>
      <c r="D979" s="508"/>
      <c r="E979" s="508"/>
    </row>
    <row r="980" ht="13.5" customHeight="1">
      <c r="A980" s="508"/>
      <c r="B980" s="508"/>
      <c r="C980" s="508"/>
      <c r="D980" s="508"/>
      <c r="E980" s="508"/>
    </row>
    <row r="981" ht="13.5" customHeight="1">
      <c r="A981" s="508"/>
      <c r="B981" s="508"/>
      <c r="C981" s="508"/>
      <c r="D981" s="508"/>
      <c r="E981" s="508"/>
    </row>
    <row r="982" ht="13.5" customHeight="1">
      <c r="A982" s="508"/>
      <c r="B982" s="508"/>
      <c r="C982" s="508"/>
      <c r="D982" s="508"/>
      <c r="E982" s="508"/>
    </row>
    <row r="983" ht="13.5" customHeight="1">
      <c r="A983" s="508"/>
      <c r="B983" s="508"/>
      <c r="C983" s="508"/>
      <c r="D983" s="508"/>
      <c r="E983" s="508"/>
    </row>
    <row r="984" ht="13.5" customHeight="1">
      <c r="A984" s="508"/>
      <c r="B984" s="508"/>
      <c r="C984" s="508"/>
      <c r="D984" s="508"/>
      <c r="E984" s="508"/>
    </row>
    <row r="985" ht="13.5" customHeight="1">
      <c r="A985" s="508"/>
      <c r="B985" s="508"/>
      <c r="C985" s="508"/>
      <c r="D985" s="508"/>
      <c r="E985" s="508"/>
    </row>
    <row r="986" ht="13.5" customHeight="1">
      <c r="A986" s="508"/>
      <c r="B986" s="508"/>
      <c r="C986" s="508"/>
      <c r="D986" s="508"/>
      <c r="E986" s="508"/>
    </row>
    <row r="987" ht="13.5" customHeight="1">
      <c r="A987" s="508"/>
      <c r="B987" s="508"/>
      <c r="C987" s="508"/>
      <c r="D987" s="508"/>
      <c r="E987" s="508"/>
    </row>
    <row r="988" ht="13.5" customHeight="1">
      <c r="A988" s="508"/>
      <c r="B988" s="508"/>
      <c r="C988" s="508"/>
      <c r="D988" s="508"/>
      <c r="E988" s="508"/>
    </row>
    <row r="989" ht="13.5" customHeight="1">
      <c r="A989" s="508"/>
      <c r="B989" s="508"/>
      <c r="C989" s="508"/>
      <c r="D989" s="508"/>
      <c r="E989" s="508"/>
    </row>
    <row r="990" ht="13.5" customHeight="1">
      <c r="A990" s="508"/>
      <c r="B990" s="508"/>
      <c r="C990" s="508"/>
      <c r="D990" s="508"/>
      <c r="E990" s="508"/>
    </row>
    <row r="991" ht="13.5" customHeight="1">
      <c r="A991" s="508"/>
      <c r="B991" s="508"/>
      <c r="C991" s="508"/>
      <c r="D991" s="508"/>
      <c r="E991" s="508"/>
    </row>
    <row r="992" ht="13.5" customHeight="1">
      <c r="A992" s="508"/>
      <c r="B992" s="508"/>
      <c r="C992" s="508"/>
      <c r="D992" s="508"/>
      <c r="E992" s="508"/>
    </row>
    <row r="993" ht="13.5" customHeight="1">
      <c r="A993" s="508"/>
      <c r="B993" s="508"/>
      <c r="C993" s="508"/>
      <c r="D993" s="508"/>
      <c r="E993" s="508"/>
    </row>
    <row r="994" ht="13.5" customHeight="1">
      <c r="A994" s="508"/>
      <c r="B994" s="508"/>
      <c r="C994" s="508"/>
      <c r="D994" s="508"/>
      <c r="E994" s="508"/>
    </row>
    <row r="995" ht="13.5" customHeight="1">
      <c r="A995" s="508"/>
      <c r="B995" s="508"/>
      <c r="C995" s="508"/>
      <c r="D995" s="508"/>
      <c r="E995" s="508"/>
    </row>
    <row r="996" ht="13.5" customHeight="1">
      <c r="A996" s="508"/>
      <c r="B996" s="508"/>
      <c r="C996" s="508"/>
      <c r="D996" s="508"/>
      <c r="E996" s="508"/>
    </row>
    <row r="997" ht="13.5" customHeight="1">
      <c r="A997" s="508"/>
      <c r="B997" s="508"/>
      <c r="C997" s="508"/>
      <c r="D997" s="508"/>
      <c r="E997" s="508"/>
    </row>
    <row r="998" ht="13.5" customHeight="1">
      <c r="A998" s="508"/>
      <c r="B998" s="508"/>
      <c r="C998" s="508"/>
      <c r="D998" s="508"/>
      <c r="E998" s="508"/>
    </row>
    <row r="999" ht="13.5" customHeight="1">
      <c r="A999" s="508"/>
      <c r="B999" s="508"/>
      <c r="C999" s="508"/>
      <c r="D999" s="508"/>
      <c r="E999" s="508"/>
    </row>
    <row r="1000" ht="13.5" customHeight="1">
      <c r="A1000" s="508"/>
      <c r="B1000" s="508"/>
      <c r="C1000" s="508"/>
      <c r="D1000" s="508"/>
      <c r="E1000" s="508"/>
    </row>
  </sheetData>
  <mergeCells count="1">
    <mergeCell ref="C1:D1"/>
  </mergeCells>
  <printOptions/>
  <pageMargins bottom="0.21" footer="0.0" header="0.0" left="0.7" right="0.7" top="0.26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9.43"/>
    <col customWidth="1" min="2" max="3" width="14.0"/>
    <col customWidth="1" min="4" max="4" width="15.43"/>
    <col customWidth="1" min="5" max="5" width="16.43"/>
    <col customWidth="1" min="6" max="6" width="24.71"/>
    <col customWidth="1" min="7" max="7" width="14.0"/>
    <col customWidth="1" min="8" max="8" width="24.71"/>
    <col customWidth="1" min="9" max="9" width="20.0"/>
    <col customWidth="1" min="10" max="26" width="8.71"/>
  </cols>
  <sheetData>
    <row r="1" ht="14.25" customHeight="1">
      <c r="A1" s="757" t="s">
        <v>868</v>
      </c>
      <c r="B1" s="757" t="s">
        <v>474</v>
      </c>
      <c r="C1" s="757" t="s">
        <v>475</v>
      </c>
      <c r="D1" s="757" t="s">
        <v>869</v>
      </c>
      <c r="E1" s="757" t="s">
        <v>870</v>
      </c>
      <c r="F1" s="757" t="s">
        <v>871</v>
      </c>
      <c r="G1" s="757" t="s">
        <v>872</v>
      </c>
      <c r="H1" s="757" t="s">
        <v>873</v>
      </c>
      <c r="I1" s="757" t="s">
        <v>874</v>
      </c>
    </row>
    <row r="2" ht="14.25" customHeight="1">
      <c r="A2" s="758" t="s">
        <v>875</v>
      </c>
      <c r="B2" s="758" t="s">
        <v>876</v>
      </c>
      <c r="C2" s="758" t="s">
        <v>877</v>
      </c>
      <c r="D2" s="650">
        <v>0.0</v>
      </c>
      <c r="E2" s="757">
        <v>12.2</v>
      </c>
      <c r="F2" s="759" t="s">
        <v>878</v>
      </c>
      <c r="G2" s="650">
        <v>1111110.0</v>
      </c>
      <c r="H2" s="757">
        <v>10.0</v>
      </c>
      <c r="I2" s="650">
        <v>111111.0</v>
      </c>
    </row>
    <row r="3" ht="14.25" customHeight="1">
      <c r="A3" s="758" t="s">
        <v>875</v>
      </c>
      <c r="B3" s="758" t="s">
        <v>876</v>
      </c>
      <c r="C3" s="758" t="s">
        <v>877</v>
      </c>
      <c r="D3" s="650">
        <v>0.0</v>
      </c>
      <c r="E3" s="757">
        <v>12.2</v>
      </c>
      <c r="F3" s="759" t="s">
        <v>879</v>
      </c>
      <c r="G3" s="650">
        <v>1000000.0</v>
      </c>
      <c r="H3" s="757">
        <v>10.0</v>
      </c>
      <c r="I3" s="650">
        <v>100000.0</v>
      </c>
    </row>
    <row r="4" ht="14.25" customHeight="1">
      <c r="A4" s="758" t="s">
        <v>880</v>
      </c>
      <c r="B4" s="758" t="s">
        <v>881</v>
      </c>
      <c r="C4" s="758" t="s">
        <v>882</v>
      </c>
      <c r="D4" s="650">
        <v>0.0</v>
      </c>
      <c r="E4" s="757">
        <v>12.2</v>
      </c>
      <c r="F4" s="759" t="s">
        <v>883</v>
      </c>
      <c r="G4" s="650">
        <v>1111110.0</v>
      </c>
      <c r="H4" s="757">
        <v>10.0</v>
      </c>
      <c r="I4" s="650">
        <v>111111.0</v>
      </c>
    </row>
    <row r="5" ht="14.25" customHeight="1">
      <c r="A5" s="758" t="s">
        <v>884</v>
      </c>
      <c r="B5" s="758" t="s">
        <v>885</v>
      </c>
      <c r="C5" s="758" t="s">
        <v>886</v>
      </c>
      <c r="D5" s="650">
        <v>0.0</v>
      </c>
      <c r="E5" s="757">
        <v>12.2</v>
      </c>
      <c r="F5" s="759" t="s">
        <v>887</v>
      </c>
      <c r="G5" s="650">
        <v>277770.0</v>
      </c>
      <c r="H5" s="757">
        <v>10.0</v>
      </c>
      <c r="I5" s="650">
        <v>27777.0</v>
      </c>
    </row>
    <row r="6" ht="14.25" customHeight="1">
      <c r="A6" s="758" t="s">
        <v>888</v>
      </c>
      <c r="B6" s="758" t="s">
        <v>889</v>
      </c>
      <c r="C6" s="758" t="s">
        <v>890</v>
      </c>
      <c r="D6" s="650">
        <v>0.0</v>
      </c>
      <c r="E6" s="757">
        <v>12.2</v>
      </c>
      <c r="F6" s="759" t="s">
        <v>891</v>
      </c>
      <c r="G6" s="650">
        <v>1138888.98</v>
      </c>
      <c r="H6" s="757">
        <v>10.0</v>
      </c>
      <c r="I6" s="650">
        <v>113888.9</v>
      </c>
    </row>
    <row r="7" ht="14.25" customHeight="1">
      <c r="A7" s="758" t="s">
        <v>892</v>
      </c>
      <c r="B7" s="758" t="s">
        <v>893</v>
      </c>
      <c r="C7" s="758" t="s">
        <v>894</v>
      </c>
      <c r="D7" s="650">
        <v>0.0</v>
      </c>
      <c r="E7" s="757">
        <v>12.2</v>
      </c>
      <c r="F7" s="759" t="s">
        <v>895</v>
      </c>
      <c r="G7" s="650">
        <v>7450000.0</v>
      </c>
      <c r="H7" s="757">
        <v>10.0</v>
      </c>
      <c r="I7" s="650">
        <v>745000.0</v>
      </c>
    </row>
    <row r="8" ht="14.25" customHeight="1">
      <c r="A8" s="758" t="s">
        <v>896</v>
      </c>
      <c r="B8" s="758" t="s">
        <v>889</v>
      </c>
      <c r="C8" s="758" t="s">
        <v>897</v>
      </c>
      <c r="D8" s="650">
        <v>0.0</v>
      </c>
      <c r="E8" s="757">
        <v>12.2</v>
      </c>
      <c r="F8" s="759" t="s">
        <v>898</v>
      </c>
      <c r="G8" s="650">
        <v>2500000.0</v>
      </c>
      <c r="H8" s="757">
        <v>10.0</v>
      </c>
      <c r="I8" s="650">
        <v>250000.0</v>
      </c>
    </row>
    <row r="9" ht="14.25" customHeight="1">
      <c r="A9" s="758" t="s">
        <v>899</v>
      </c>
      <c r="B9" s="758" t="s">
        <v>900</v>
      </c>
      <c r="C9" s="758" t="s">
        <v>901</v>
      </c>
      <c r="D9" s="650">
        <v>0.0</v>
      </c>
      <c r="E9" s="757">
        <v>12.2</v>
      </c>
      <c r="F9" s="759" t="s">
        <v>902</v>
      </c>
      <c r="G9" s="650">
        <v>500000.0</v>
      </c>
      <c r="H9" s="757">
        <v>10.0</v>
      </c>
      <c r="I9" s="650">
        <v>50000.0</v>
      </c>
    </row>
    <row r="10" ht="14.25" customHeight="1">
      <c r="A10" s="758" t="s">
        <v>903</v>
      </c>
      <c r="B10" s="758" t="s">
        <v>904</v>
      </c>
      <c r="C10" s="758" t="s">
        <v>905</v>
      </c>
      <c r="D10" s="650">
        <v>0.0</v>
      </c>
      <c r="E10" s="757">
        <v>12.2</v>
      </c>
      <c r="F10" s="759" t="s">
        <v>906</v>
      </c>
      <c r="G10" s="650">
        <v>1111110.0</v>
      </c>
      <c r="H10" s="757">
        <v>10.0</v>
      </c>
      <c r="I10" s="650">
        <v>111111.0</v>
      </c>
    </row>
    <row r="11" ht="14.25" customHeight="1">
      <c r="A11" s="758" t="s">
        <v>907</v>
      </c>
      <c r="B11" s="758" t="s">
        <v>908</v>
      </c>
      <c r="C11" s="758" t="s">
        <v>909</v>
      </c>
      <c r="D11" s="650">
        <v>0.0</v>
      </c>
      <c r="E11" s="757">
        <v>12.2</v>
      </c>
      <c r="F11" s="759" t="s">
        <v>906</v>
      </c>
      <c r="G11" s="650">
        <v>750000.0</v>
      </c>
      <c r="H11" s="757">
        <v>10.0</v>
      </c>
      <c r="I11" s="650">
        <v>75000.0</v>
      </c>
    </row>
    <row r="12" ht="14.25" customHeight="1">
      <c r="A12" s="758" t="s">
        <v>910</v>
      </c>
      <c r="B12" s="758" t="s">
        <v>911</v>
      </c>
      <c r="C12" s="758" t="s">
        <v>912</v>
      </c>
      <c r="D12" s="650">
        <v>0.0</v>
      </c>
      <c r="E12" s="757">
        <v>12.2</v>
      </c>
      <c r="F12" s="759" t="s">
        <v>906</v>
      </c>
      <c r="G12" s="650">
        <v>1.111111E7</v>
      </c>
      <c r="H12" s="757">
        <v>10.0</v>
      </c>
      <c r="I12" s="650">
        <v>1111111.0</v>
      </c>
    </row>
    <row r="13" ht="14.25" customHeight="1">
      <c r="A13" s="758" t="s">
        <v>913</v>
      </c>
      <c r="B13" s="758" t="s">
        <v>914</v>
      </c>
      <c r="C13" s="758" t="s">
        <v>915</v>
      </c>
      <c r="D13" s="650">
        <v>0.0</v>
      </c>
      <c r="E13" s="757">
        <v>12.2</v>
      </c>
      <c r="F13" s="759" t="s">
        <v>916</v>
      </c>
      <c r="G13" s="650">
        <v>3333333.33</v>
      </c>
      <c r="H13" s="757">
        <v>10.0</v>
      </c>
      <c r="I13" s="650">
        <v>333333.33</v>
      </c>
    </row>
    <row r="14" ht="14.25" customHeight="1">
      <c r="A14" s="758" t="s">
        <v>917</v>
      </c>
      <c r="B14" s="758" t="s">
        <v>918</v>
      </c>
      <c r="C14" s="758" t="s">
        <v>919</v>
      </c>
      <c r="D14" s="650">
        <v>0.0</v>
      </c>
      <c r="E14" s="757">
        <v>12.2</v>
      </c>
      <c r="F14" s="759" t="s">
        <v>887</v>
      </c>
      <c r="G14" s="650">
        <v>388880.0</v>
      </c>
      <c r="H14" s="757">
        <v>10.0</v>
      </c>
      <c r="I14" s="650">
        <v>38888.0</v>
      </c>
    </row>
    <row r="15" ht="14.25" customHeight="1">
      <c r="A15" s="758" t="s">
        <v>875</v>
      </c>
      <c r="B15" s="758" t="s">
        <v>876</v>
      </c>
      <c r="C15" s="758" t="s">
        <v>877</v>
      </c>
      <c r="D15" s="650">
        <v>0.0</v>
      </c>
      <c r="E15" s="757">
        <v>12.2</v>
      </c>
      <c r="F15" s="759" t="s">
        <v>891</v>
      </c>
      <c r="G15" s="650">
        <v>7235000.0</v>
      </c>
      <c r="H15" s="757">
        <v>10.0</v>
      </c>
      <c r="I15" s="650">
        <v>723500.0</v>
      </c>
    </row>
    <row r="16" ht="14.25" customHeight="1">
      <c r="A16" s="758" t="s">
        <v>920</v>
      </c>
      <c r="B16" s="758" t="s">
        <v>921</v>
      </c>
      <c r="C16" s="758" t="s">
        <v>922</v>
      </c>
      <c r="D16" s="650">
        <v>0.0</v>
      </c>
      <c r="E16" s="757">
        <v>12.2</v>
      </c>
      <c r="F16" s="759" t="s">
        <v>923</v>
      </c>
      <c r="G16" s="650">
        <v>120000.0</v>
      </c>
      <c r="H16" s="757">
        <v>10.0</v>
      </c>
      <c r="I16" s="650">
        <v>12000.0</v>
      </c>
    </row>
    <row r="17" ht="14.25" customHeight="1">
      <c r="A17" s="758" t="s">
        <v>924</v>
      </c>
      <c r="B17" s="758" t="s">
        <v>925</v>
      </c>
      <c r="C17" s="758" t="s">
        <v>926</v>
      </c>
      <c r="D17" s="650">
        <v>0.0</v>
      </c>
      <c r="E17" s="757">
        <v>12.2</v>
      </c>
      <c r="F17" s="759" t="s">
        <v>916</v>
      </c>
      <c r="G17" s="650">
        <v>220000.0</v>
      </c>
      <c r="H17" s="757">
        <v>10.0</v>
      </c>
      <c r="I17" s="650">
        <v>22000.0</v>
      </c>
    </row>
    <row r="18" ht="14.25" customHeight="1">
      <c r="A18" s="758" t="s">
        <v>927</v>
      </c>
      <c r="B18" s="758" t="s">
        <v>928</v>
      </c>
      <c r="C18" s="758" t="s">
        <v>929</v>
      </c>
      <c r="D18" s="650">
        <v>0.0</v>
      </c>
      <c r="E18" s="757">
        <v>12.2</v>
      </c>
      <c r="F18" s="759" t="s">
        <v>902</v>
      </c>
      <c r="G18" s="650">
        <v>500000.0</v>
      </c>
      <c r="H18" s="757">
        <v>10.0</v>
      </c>
      <c r="I18" s="650">
        <v>50000.0</v>
      </c>
    </row>
    <row r="19" ht="14.25" customHeight="1">
      <c r="A19" s="758" t="s">
        <v>875</v>
      </c>
      <c r="B19" s="758" t="s">
        <v>876</v>
      </c>
      <c r="C19" s="758" t="s">
        <v>877</v>
      </c>
      <c r="D19" s="650">
        <v>0.0</v>
      </c>
      <c r="E19" s="757">
        <v>12.2</v>
      </c>
      <c r="F19" s="759" t="s">
        <v>887</v>
      </c>
      <c r="G19" s="650">
        <v>111110.0</v>
      </c>
      <c r="H19" s="757">
        <v>10.0</v>
      </c>
      <c r="I19" s="650">
        <v>11111.0</v>
      </c>
    </row>
    <row r="20" ht="14.25" customHeight="1">
      <c r="A20" s="758" t="s">
        <v>930</v>
      </c>
      <c r="B20" s="758" t="s">
        <v>931</v>
      </c>
      <c r="C20" s="758" t="s">
        <v>932</v>
      </c>
      <c r="D20" s="650">
        <v>0.0</v>
      </c>
      <c r="E20" s="757">
        <v>12.2</v>
      </c>
      <c r="F20" s="759" t="s">
        <v>902</v>
      </c>
      <c r="G20" s="650">
        <v>500000.0</v>
      </c>
      <c r="H20" s="757">
        <v>10.0</v>
      </c>
      <c r="I20" s="650">
        <v>50000.0</v>
      </c>
    </row>
    <row r="21" ht="14.25" customHeight="1">
      <c r="A21" s="758" t="s">
        <v>875</v>
      </c>
      <c r="B21" s="758" t="s">
        <v>876</v>
      </c>
      <c r="C21" s="758" t="s">
        <v>877</v>
      </c>
      <c r="D21" s="650">
        <v>0.0</v>
      </c>
      <c r="E21" s="757">
        <v>12.2</v>
      </c>
      <c r="F21" s="759" t="s">
        <v>898</v>
      </c>
      <c r="G21" s="650">
        <v>555550.0</v>
      </c>
      <c r="H21" s="757">
        <v>10.0</v>
      </c>
      <c r="I21" s="650">
        <v>55555.0</v>
      </c>
    </row>
    <row r="22" ht="14.25" customHeight="1">
      <c r="A22" s="758" t="s">
        <v>875</v>
      </c>
      <c r="B22" s="758" t="s">
        <v>876</v>
      </c>
      <c r="C22" s="758" t="s">
        <v>877</v>
      </c>
      <c r="D22" s="650">
        <v>0.0</v>
      </c>
      <c r="E22" s="757">
        <v>12.2</v>
      </c>
      <c r="F22" s="759" t="s">
        <v>933</v>
      </c>
      <c r="G22" s="650">
        <v>2777777.7</v>
      </c>
      <c r="H22" s="757">
        <v>10.0</v>
      </c>
      <c r="I22" s="650">
        <v>277777.77</v>
      </c>
    </row>
    <row r="23" ht="14.25" customHeight="1">
      <c r="A23" s="758" t="s">
        <v>934</v>
      </c>
      <c r="B23" s="758" t="s">
        <v>935</v>
      </c>
      <c r="C23" s="758" t="s">
        <v>936</v>
      </c>
      <c r="D23" s="650">
        <v>0.0</v>
      </c>
      <c r="E23" s="757">
        <v>12.2</v>
      </c>
      <c r="F23" s="759" t="s">
        <v>878</v>
      </c>
      <c r="G23" s="650">
        <v>833333.33</v>
      </c>
      <c r="H23" s="757">
        <v>10.0</v>
      </c>
      <c r="I23" s="650">
        <v>83333.33</v>
      </c>
    </row>
    <row r="24" ht="14.25" customHeight="1">
      <c r="A24" s="758" t="s">
        <v>937</v>
      </c>
      <c r="B24" s="758" t="s">
        <v>938</v>
      </c>
      <c r="C24" s="758" t="s">
        <v>939</v>
      </c>
      <c r="D24" s="650">
        <v>0.0</v>
      </c>
      <c r="E24" s="757">
        <v>12.2</v>
      </c>
      <c r="F24" s="759" t="s">
        <v>906</v>
      </c>
      <c r="G24" s="650">
        <v>586080.0</v>
      </c>
      <c r="H24" s="757">
        <v>10.0</v>
      </c>
      <c r="I24" s="650">
        <v>58608.0</v>
      </c>
    </row>
    <row r="25" ht="14.25" customHeight="1">
      <c r="A25" s="758" t="s">
        <v>940</v>
      </c>
      <c r="B25" s="758" t="s">
        <v>941</v>
      </c>
      <c r="C25" s="758" t="s">
        <v>942</v>
      </c>
      <c r="D25" s="650">
        <v>0.0</v>
      </c>
      <c r="E25" s="757">
        <v>12.2</v>
      </c>
      <c r="F25" s="759" t="s">
        <v>883</v>
      </c>
      <c r="G25" s="650">
        <v>555550.0</v>
      </c>
      <c r="H25" s="757">
        <v>10.0</v>
      </c>
      <c r="I25" s="650">
        <v>55555.0</v>
      </c>
    </row>
    <row r="26" ht="14.25" customHeight="1">
      <c r="A26" s="760" t="s">
        <v>538</v>
      </c>
      <c r="D26" s="650"/>
      <c r="F26" s="759"/>
      <c r="G26" s="650">
        <v>4.577771334E7</v>
      </c>
      <c r="I26" s="650">
        <v>4577771.33</v>
      </c>
    </row>
    <row r="27" ht="14.25" customHeight="1">
      <c r="A27" s="758"/>
      <c r="B27" s="758"/>
      <c r="C27" s="758"/>
      <c r="D27" s="650"/>
      <c r="F27" s="759"/>
      <c r="G27" s="650"/>
      <c r="I27" s="650"/>
    </row>
    <row r="28" ht="14.25" customHeight="1">
      <c r="A28" s="758"/>
      <c r="B28" s="758"/>
      <c r="C28" s="758"/>
      <c r="D28" s="650"/>
      <c r="F28" s="759"/>
      <c r="G28" s="650"/>
      <c r="I28" s="650"/>
    </row>
    <row r="29" ht="14.25" customHeight="1">
      <c r="A29" s="758"/>
      <c r="B29" s="758"/>
      <c r="C29" s="758"/>
      <c r="D29" s="650"/>
      <c r="F29" s="759"/>
      <c r="G29" s="650"/>
      <c r="I29" s="650"/>
    </row>
    <row r="30" ht="14.25" customHeight="1">
      <c r="A30" s="758"/>
      <c r="B30" s="758"/>
      <c r="C30" s="758"/>
      <c r="D30" s="650"/>
      <c r="F30" s="759"/>
      <c r="G30" s="650"/>
      <c r="I30" s="650"/>
    </row>
    <row r="31" ht="12.75" customHeight="1">
      <c r="A31" s="758"/>
      <c r="B31" s="758"/>
      <c r="C31" s="758"/>
      <c r="D31" s="650"/>
      <c r="F31" s="759"/>
      <c r="G31" s="650"/>
      <c r="I31" s="650"/>
    </row>
    <row r="32" ht="14.25" customHeight="1">
      <c r="A32" s="758"/>
      <c r="B32" s="758"/>
      <c r="C32" s="758"/>
      <c r="D32" s="650"/>
      <c r="F32" s="759"/>
      <c r="G32" s="650"/>
      <c r="I32" s="650"/>
    </row>
    <row r="33" ht="14.25" customHeight="1">
      <c r="A33" s="758"/>
      <c r="B33" s="758"/>
      <c r="C33" s="758"/>
      <c r="D33" s="650"/>
      <c r="F33" s="759"/>
      <c r="G33" s="650"/>
      <c r="I33" s="650"/>
    </row>
    <row r="34" ht="14.25" customHeight="1">
      <c r="A34" s="758"/>
      <c r="B34" s="758"/>
      <c r="C34" s="758"/>
      <c r="D34" s="650"/>
      <c r="F34" s="759"/>
      <c r="G34" s="650"/>
      <c r="I34" s="650"/>
    </row>
    <row r="35" ht="14.25" customHeight="1">
      <c r="A35" s="758"/>
      <c r="B35" s="758"/>
      <c r="C35" s="758"/>
      <c r="D35" s="650"/>
      <c r="F35" s="759"/>
      <c r="G35" s="650"/>
      <c r="I35" s="650"/>
    </row>
    <row r="36" ht="14.25" customHeight="1">
      <c r="A36" s="758"/>
      <c r="B36" s="758"/>
      <c r="C36" s="758"/>
      <c r="D36" s="650"/>
      <c r="F36" s="759"/>
      <c r="G36" s="650"/>
      <c r="I36" s="650"/>
    </row>
    <row r="37" ht="14.25" customHeight="1">
      <c r="A37" s="758"/>
      <c r="B37" s="758"/>
      <c r="C37" s="758"/>
      <c r="D37" s="650"/>
      <c r="F37" s="759"/>
      <c r="G37" s="650"/>
      <c r="I37" s="650"/>
    </row>
    <row r="38" ht="14.25" customHeight="1">
      <c r="A38" s="758"/>
      <c r="B38" s="758"/>
      <c r="C38" s="758"/>
      <c r="D38" s="650"/>
      <c r="F38" s="759"/>
      <c r="G38" s="650"/>
      <c r="I38" s="650"/>
    </row>
    <row r="39" ht="14.25" customHeight="1">
      <c r="A39" s="758"/>
      <c r="B39" s="758"/>
      <c r="C39" s="758"/>
      <c r="D39" s="650"/>
      <c r="F39" s="759"/>
      <c r="G39" s="650"/>
      <c r="I39" s="650"/>
    </row>
    <row r="40" ht="14.25" customHeight="1">
      <c r="A40" s="758"/>
      <c r="B40" s="758"/>
      <c r="C40" s="758"/>
      <c r="D40" s="650"/>
      <c r="F40" s="759"/>
      <c r="G40" s="650"/>
      <c r="I40" s="650"/>
    </row>
    <row r="41" ht="14.25" customHeight="1">
      <c r="A41" s="758"/>
      <c r="B41" s="758"/>
      <c r="C41" s="758"/>
      <c r="D41" s="650"/>
      <c r="F41" s="759"/>
      <c r="G41" s="650"/>
      <c r="I41" s="650"/>
    </row>
    <row r="42" ht="14.25" customHeight="1">
      <c r="A42" s="758"/>
      <c r="B42" s="758"/>
      <c r="C42" s="758"/>
      <c r="D42" s="650"/>
      <c r="F42" s="759"/>
      <c r="G42" s="650"/>
      <c r="I42" s="650"/>
    </row>
    <row r="43" ht="14.25" customHeight="1">
      <c r="A43" s="758"/>
      <c r="B43" s="758"/>
      <c r="C43" s="758"/>
      <c r="D43" s="650"/>
      <c r="F43" s="759"/>
      <c r="G43" s="650"/>
      <c r="I43" s="650"/>
    </row>
    <row r="44" ht="14.25" customHeight="1">
      <c r="A44" s="758"/>
      <c r="B44" s="758"/>
      <c r="C44" s="758"/>
      <c r="D44" s="650"/>
      <c r="F44" s="759"/>
      <c r="G44" s="650"/>
      <c r="I44" s="650"/>
    </row>
    <row r="45" ht="14.25" customHeight="1">
      <c r="A45" s="758"/>
      <c r="B45" s="758"/>
      <c r="C45" s="758"/>
      <c r="D45" s="650"/>
      <c r="F45" s="759"/>
      <c r="G45" s="650"/>
      <c r="I45" s="650"/>
    </row>
    <row r="46" ht="14.25" customHeight="1">
      <c r="A46" s="758"/>
      <c r="B46" s="758"/>
      <c r="C46" s="758"/>
      <c r="D46" s="650"/>
      <c r="F46" s="759"/>
      <c r="G46" s="650"/>
      <c r="I46" s="650"/>
    </row>
    <row r="47" ht="14.25" customHeight="1">
      <c r="A47" s="758"/>
      <c r="B47" s="758"/>
      <c r="C47" s="758"/>
      <c r="D47" s="650"/>
      <c r="F47" s="759"/>
      <c r="G47" s="650"/>
      <c r="I47" s="650"/>
    </row>
    <row r="48" ht="14.25" customHeight="1">
      <c r="A48" s="758"/>
      <c r="B48" s="758"/>
      <c r="C48" s="758"/>
      <c r="D48" s="650"/>
      <c r="F48" s="759"/>
      <c r="G48" s="650"/>
      <c r="I48" s="650"/>
    </row>
    <row r="49" ht="14.25" customHeight="1">
      <c r="A49" s="758"/>
      <c r="B49" s="758"/>
      <c r="C49" s="758"/>
      <c r="D49" s="650"/>
      <c r="F49" s="759"/>
      <c r="G49" s="650"/>
      <c r="I49" s="650"/>
    </row>
    <row r="50" ht="14.25" customHeight="1">
      <c r="A50" s="758"/>
      <c r="B50" s="758"/>
      <c r="C50" s="758"/>
      <c r="D50" s="650"/>
      <c r="F50" s="759"/>
      <c r="G50" s="650"/>
      <c r="I50" s="650"/>
    </row>
    <row r="51" ht="14.25" customHeight="1">
      <c r="A51" s="758"/>
      <c r="B51" s="758"/>
      <c r="C51" s="758"/>
      <c r="D51" s="650"/>
      <c r="F51" s="759"/>
      <c r="G51" s="650"/>
      <c r="I51" s="650"/>
    </row>
    <row r="52" ht="14.25" customHeight="1">
      <c r="A52" s="758"/>
      <c r="B52" s="758"/>
      <c r="C52" s="758"/>
      <c r="D52" s="650"/>
      <c r="F52" s="759"/>
      <c r="G52" s="650"/>
      <c r="I52" s="650"/>
    </row>
    <row r="53" ht="14.25" customHeight="1">
      <c r="A53" s="758"/>
      <c r="B53" s="758"/>
      <c r="C53" s="758"/>
      <c r="D53" s="650"/>
      <c r="F53" s="759"/>
      <c r="G53" s="650"/>
      <c r="I53" s="650"/>
    </row>
    <row r="54" ht="14.25" customHeight="1">
      <c r="A54" s="758"/>
      <c r="B54" s="758"/>
      <c r="C54" s="758"/>
      <c r="D54" s="650"/>
      <c r="F54" s="759"/>
      <c r="G54" s="650"/>
      <c r="I54" s="650"/>
    </row>
    <row r="55" ht="14.25" customHeight="1">
      <c r="A55" s="758"/>
      <c r="B55" s="758"/>
      <c r="C55" s="758"/>
      <c r="D55" s="650"/>
      <c r="F55" s="759"/>
      <c r="G55" s="650"/>
      <c r="I55" s="650"/>
    </row>
    <row r="56" ht="14.25" customHeight="1">
      <c r="A56" s="758"/>
      <c r="B56" s="758"/>
      <c r="C56" s="758"/>
      <c r="D56" s="650"/>
      <c r="F56" s="759"/>
      <c r="G56" s="650"/>
      <c r="I56" s="650"/>
    </row>
    <row r="57" ht="14.25" customHeight="1">
      <c r="A57" s="758"/>
      <c r="B57" s="758"/>
      <c r="C57" s="758"/>
      <c r="D57" s="650"/>
      <c r="F57" s="759"/>
      <c r="G57" s="650"/>
      <c r="I57" s="650"/>
    </row>
    <row r="58" ht="14.25" customHeight="1">
      <c r="A58" s="758"/>
      <c r="B58" s="758"/>
      <c r="C58" s="758"/>
      <c r="D58" s="650"/>
      <c r="F58" s="759"/>
      <c r="G58" s="650"/>
      <c r="I58" s="650"/>
    </row>
    <row r="59" ht="14.25" customHeight="1">
      <c r="A59" s="758"/>
      <c r="B59" s="758"/>
      <c r="C59" s="758"/>
      <c r="D59" s="650"/>
      <c r="F59" s="759"/>
      <c r="G59" s="650"/>
      <c r="I59" s="650"/>
    </row>
    <row r="60" ht="14.25" customHeight="1">
      <c r="A60" s="758"/>
      <c r="B60" s="758"/>
      <c r="C60" s="758"/>
      <c r="D60" s="650"/>
      <c r="F60" s="759"/>
      <c r="G60" s="650"/>
      <c r="I60" s="650"/>
    </row>
    <row r="61" ht="14.25" customHeight="1">
      <c r="A61" s="758"/>
      <c r="B61" s="758"/>
      <c r="C61" s="758"/>
      <c r="D61" s="650"/>
      <c r="F61" s="759"/>
      <c r="G61" s="650"/>
      <c r="I61" s="650"/>
    </row>
    <row r="62" ht="14.25" customHeight="1">
      <c r="A62" s="758"/>
      <c r="B62" s="758"/>
      <c r="C62" s="758"/>
      <c r="D62" s="650"/>
      <c r="F62" s="759"/>
      <c r="G62" s="650"/>
      <c r="I62" s="650"/>
    </row>
    <row r="63" ht="14.25" customHeight="1">
      <c r="A63" s="758"/>
      <c r="B63" s="758"/>
      <c r="C63" s="758"/>
      <c r="D63" s="650"/>
      <c r="F63" s="759"/>
      <c r="G63" s="650"/>
      <c r="I63" s="650"/>
    </row>
    <row r="64" ht="14.25" customHeight="1">
      <c r="A64" s="758"/>
      <c r="B64" s="758"/>
      <c r="C64" s="758"/>
      <c r="D64" s="650"/>
      <c r="F64" s="759"/>
      <c r="G64" s="650"/>
      <c r="I64" s="650"/>
    </row>
    <row r="65" ht="14.25" customHeight="1">
      <c r="A65" s="758"/>
      <c r="B65" s="758"/>
      <c r="C65" s="758"/>
      <c r="D65" s="650"/>
      <c r="F65" s="759"/>
      <c r="G65" s="650"/>
      <c r="I65" s="650"/>
    </row>
    <row r="66" ht="14.25" customHeight="1">
      <c r="A66" s="758"/>
      <c r="B66" s="758"/>
      <c r="C66" s="758"/>
      <c r="D66" s="650"/>
      <c r="F66" s="759"/>
      <c r="G66" s="650"/>
      <c r="I66" s="650"/>
    </row>
    <row r="67" ht="14.25" customHeight="1">
      <c r="A67" s="758"/>
      <c r="B67" s="758"/>
      <c r="C67" s="758"/>
      <c r="D67" s="650"/>
      <c r="F67" s="759"/>
      <c r="G67" s="650"/>
      <c r="I67" s="650"/>
    </row>
    <row r="68" ht="14.25" customHeight="1">
      <c r="A68" s="758"/>
      <c r="B68" s="758"/>
      <c r="C68" s="758"/>
      <c r="D68" s="650"/>
      <c r="F68" s="759"/>
      <c r="G68" s="650"/>
      <c r="I68" s="650"/>
    </row>
    <row r="69" ht="14.25" customHeight="1">
      <c r="A69" s="758"/>
      <c r="B69" s="758"/>
      <c r="C69" s="758"/>
      <c r="D69" s="650"/>
      <c r="F69" s="759"/>
      <c r="G69" s="650"/>
      <c r="I69" s="650"/>
    </row>
    <row r="70" ht="14.25" customHeight="1">
      <c r="A70" s="758"/>
      <c r="B70" s="758"/>
      <c r="C70" s="758"/>
      <c r="D70" s="650"/>
      <c r="F70" s="759"/>
      <c r="G70" s="650"/>
      <c r="I70" s="650"/>
    </row>
    <row r="71" ht="14.25" customHeight="1">
      <c r="A71" s="758"/>
      <c r="B71" s="758"/>
      <c r="C71" s="758"/>
      <c r="D71" s="650"/>
      <c r="F71" s="759"/>
      <c r="G71" s="650"/>
      <c r="I71" s="650"/>
    </row>
    <row r="72" ht="14.25" customHeight="1">
      <c r="A72" s="758"/>
      <c r="B72" s="758"/>
      <c r="C72" s="758"/>
      <c r="D72" s="650"/>
      <c r="F72" s="759"/>
      <c r="G72" s="650"/>
      <c r="I72" s="650"/>
    </row>
    <row r="73" ht="14.25" customHeight="1">
      <c r="A73" s="758"/>
      <c r="B73" s="758"/>
      <c r="C73" s="758"/>
      <c r="D73" s="650"/>
      <c r="F73" s="759"/>
      <c r="G73" s="650"/>
      <c r="I73" s="650"/>
    </row>
    <row r="74" ht="14.25" customHeight="1">
      <c r="A74" s="758"/>
      <c r="B74" s="758"/>
      <c r="C74" s="758"/>
      <c r="D74" s="650"/>
      <c r="F74" s="759"/>
      <c r="G74" s="650"/>
      <c r="I74" s="650"/>
    </row>
    <row r="75" ht="14.25" customHeight="1">
      <c r="A75" s="758"/>
      <c r="B75" s="758"/>
      <c r="C75" s="758"/>
      <c r="D75" s="650"/>
      <c r="F75" s="759"/>
      <c r="G75" s="650"/>
      <c r="I75" s="650"/>
    </row>
    <row r="76" ht="14.25" customHeight="1">
      <c r="A76" s="758"/>
      <c r="B76" s="758"/>
      <c r="C76" s="758"/>
      <c r="D76" s="650"/>
      <c r="F76" s="759"/>
      <c r="G76" s="650"/>
      <c r="I76" s="650"/>
    </row>
    <row r="77" ht="14.25" customHeight="1">
      <c r="A77" s="758"/>
      <c r="B77" s="758"/>
      <c r="C77" s="758"/>
      <c r="D77" s="650"/>
      <c r="F77" s="759"/>
      <c r="G77" s="650"/>
      <c r="I77" s="650"/>
    </row>
    <row r="78" ht="14.25" customHeight="1">
      <c r="A78" s="758"/>
      <c r="B78" s="758"/>
      <c r="C78" s="758"/>
      <c r="D78" s="650"/>
      <c r="F78" s="759"/>
      <c r="G78" s="650"/>
      <c r="I78" s="650"/>
    </row>
    <row r="79" ht="14.25" customHeight="1">
      <c r="A79" s="758"/>
      <c r="B79" s="758"/>
      <c r="C79" s="758"/>
      <c r="D79" s="650"/>
      <c r="F79" s="759"/>
      <c r="G79" s="650"/>
      <c r="I79" s="650"/>
    </row>
    <row r="80" ht="14.25" customHeight="1">
      <c r="A80" s="758"/>
      <c r="B80" s="758"/>
      <c r="C80" s="758"/>
      <c r="D80" s="650"/>
      <c r="F80" s="759"/>
      <c r="G80" s="650"/>
      <c r="I80" s="650"/>
    </row>
    <row r="81" ht="14.25" customHeight="1">
      <c r="A81" s="758"/>
      <c r="B81" s="758"/>
      <c r="C81" s="758"/>
      <c r="D81" s="650"/>
      <c r="F81" s="759"/>
      <c r="G81" s="650"/>
      <c r="I81" s="650"/>
    </row>
    <row r="82" ht="14.25" customHeight="1">
      <c r="A82" s="758"/>
      <c r="B82" s="758"/>
      <c r="C82" s="758"/>
      <c r="D82" s="650"/>
      <c r="F82" s="759"/>
      <c r="G82" s="650"/>
      <c r="I82" s="650"/>
    </row>
    <row r="83" ht="14.25" customHeight="1">
      <c r="A83" s="758"/>
      <c r="B83" s="758"/>
      <c r="C83" s="758"/>
      <c r="D83" s="650"/>
      <c r="F83" s="759"/>
      <c r="G83" s="650"/>
      <c r="I83" s="650"/>
    </row>
    <row r="84" ht="14.25" customHeight="1">
      <c r="A84" s="758"/>
      <c r="B84" s="758"/>
      <c r="C84" s="758"/>
      <c r="D84" s="650"/>
      <c r="F84" s="759"/>
      <c r="G84" s="650"/>
      <c r="I84" s="650"/>
    </row>
    <row r="85" ht="14.25" customHeight="1">
      <c r="A85" s="758"/>
      <c r="B85" s="758"/>
      <c r="C85" s="758"/>
      <c r="D85" s="650"/>
      <c r="F85" s="759"/>
      <c r="G85" s="650"/>
      <c r="I85" s="650"/>
    </row>
    <row r="86" ht="14.25" customHeight="1">
      <c r="A86" s="758"/>
      <c r="B86" s="758"/>
      <c r="C86" s="758"/>
      <c r="D86" s="650"/>
      <c r="F86" s="759"/>
      <c r="G86" s="650"/>
      <c r="I86" s="650"/>
    </row>
    <row r="87" ht="14.25" customHeight="1">
      <c r="A87" s="758"/>
      <c r="B87" s="758"/>
      <c r="C87" s="758"/>
      <c r="D87" s="650"/>
      <c r="F87" s="759"/>
      <c r="G87" s="650"/>
      <c r="I87" s="650"/>
    </row>
    <row r="88" ht="14.25" customHeight="1">
      <c r="A88" s="758"/>
      <c r="B88" s="758"/>
      <c r="C88" s="758"/>
      <c r="D88" s="650"/>
      <c r="F88" s="759"/>
      <c r="G88" s="650"/>
      <c r="I88" s="650"/>
    </row>
    <row r="89" ht="14.25" customHeight="1">
      <c r="A89" s="758"/>
      <c r="B89" s="758"/>
      <c r="C89" s="758"/>
      <c r="D89" s="650"/>
      <c r="F89" s="759"/>
      <c r="G89" s="650"/>
      <c r="I89" s="650"/>
    </row>
    <row r="90" ht="14.25" customHeight="1">
      <c r="A90" s="758"/>
      <c r="B90" s="758"/>
      <c r="C90" s="758"/>
      <c r="D90" s="650"/>
      <c r="F90" s="759"/>
      <c r="G90" s="650"/>
      <c r="I90" s="650"/>
    </row>
    <row r="91" ht="14.25" customHeight="1">
      <c r="A91" s="758"/>
      <c r="B91" s="758"/>
      <c r="C91" s="758"/>
      <c r="D91" s="650"/>
      <c r="F91" s="759"/>
      <c r="G91" s="650"/>
      <c r="I91" s="650"/>
    </row>
    <row r="92" ht="14.25" customHeight="1">
      <c r="A92" s="758"/>
      <c r="B92" s="758"/>
      <c r="C92" s="758"/>
      <c r="D92" s="650"/>
      <c r="F92" s="759"/>
      <c r="G92" s="650"/>
      <c r="I92" s="650"/>
    </row>
    <row r="93" ht="14.25" customHeight="1">
      <c r="A93" s="758"/>
      <c r="B93" s="758"/>
      <c r="C93" s="758"/>
      <c r="D93" s="650"/>
      <c r="F93" s="759"/>
      <c r="G93" s="650"/>
      <c r="I93" s="650"/>
    </row>
    <row r="94" ht="14.25" customHeight="1">
      <c r="A94" s="758"/>
      <c r="B94" s="758"/>
      <c r="C94" s="758"/>
      <c r="D94" s="650"/>
      <c r="F94" s="759"/>
      <c r="G94" s="650"/>
      <c r="I94" s="650"/>
    </row>
    <row r="95" ht="14.25" customHeight="1">
      <c r="A95" s="758"/>
      <c r="B95" s="758"/>
      <c r="C95" s="758"/>
      <c r="D95" s="650"/>
      <c r="F95" s="759"/>
      <c r="G95" s="650"/>
      <c r="I95" s="650"/>
    </row>
    <row r="96" ht="14.25" customHeight="1">
      <c r="A96" s="758"/>
      <c r="B96" s="758"/>
      <c r="C96" s="758"/>
      <c r="D96" s="650"/>
      <c r="F96" s="759"/>
      <c r="G96" s="650"/>
      <c r="I96" s="650"/>
    </row>
    <row r="97" ht="14.25" customHeight="1">
      <c r="A97" s="758"/>
      <c r="B97" s="758"/>
      <c r="C97" s="758"/>
      <c r="D97" s="650"/>
      <c r="F97" s="759"/>
      <c r="G97" s="650"/>
      <c r="I97" s="650"/>
    </row>
    <row r="98" ht="14.25" customHeight="1">
      <c r="A98" s="758"/>
      <c r="B98" s="758"/>
      <c r="C98" s="758"/>
      <c r="D98" s="650"/>
      <c r="F98" s="759"/>
      <c r="G98" s="650"/>
      <c r="I98" s="650"/>
    </row>
    <row r="99" ht="14.25" customHeight="1">
      <c r="A99" s="758"/>
      <c r="B99" s="758"/>
      <c r="C99" s="758"/>
      <c r="D99" s="650"/>
      <c r="F99" s="759"/>
      <c r="G99" s="650"/>
      <c r="I99" s="650"/>
    </row>
    <row r="100" ht="14.25" customHeight="1">
      <c r="A100" s="758"/>
      <c r="B100" s="758"/>
      <c r="C100" s="758"/>
      <c r="D100" s="650"/>
      <c r="F100" s="759"/>
      <c r="G100" s="650"/>
      <c r="I100" s="650"/>
    </row>
    <row r="101" ht="14.25" customHeight="1">
      <c r="A101" s="758"/>
      <c r="B101" s="758"/>
      <c r="C101" s="758"/>
      <c r="D101" s="650"/>
      <c r="F101" s="759"/>
      <c r="G101" s="650"/>
      <c r="I101" s="650"/>
    </row>
    <row r="102" ht="14.25" customHeight="1">
      <c r="A102" s="758"/>
      <c r="B102" s="758"/>
      <c r="C102" s="758"/>
      <c r="D102" s="650"/>
      <c r="F102" s="759"/>
      <c r="G102" s="650"/>
      <c r="I102" s="650"/>
    </row>
    <row r="103" ht="14.25" customHeight="1">
      <c r="A103" s="758"/>
      <c r="B103" s="758"/>
      <c r="C103" s="758"/>
      <c r="D103" s="650"/>
      <c r="F103" s="759"/>
      <c r="G103" s="650"/>
      <c r="I103" s="650"/>
    </row>
    <row r="104" ht="14.25" customHeight="1">
      <c r="A104" s="758"/>
      <c r="B104" s="758"/>
      <c r="C104" s="758"/>
      <c r="D104" s="650"/>
      <c r="F104" s="759"/>
      <c r="G104" s="650"/>
      <c r="I104" s="650"/>
    </row>
    <row r="105" ht="14.25" customHeight="1">
      <c r="A105" s="758"/>
      <c r="B105" s="758"/>
      <c r="C105" s="758"/>
      <c r="D105" s="650"/>
      <c r="F105" s="759"/>
      <c r="G105" s="650"/>
      <c r="I105" s="650"/>
    </row>
    <row r="106" ht="14.25" customHeight="1">
      <c r="A106" s="758"/>
      <c r="B106" s="758"/>
      <c r="C106" s="758"/>
      <c r="D106" s="650"/>
      <c r="F106" s="759"/>
      <c r="G106" s="650"/>
      <c r="I106" s="650"/>
    </row>
    <row r="107" ht="14.25" customHeight="1">
      <c r="A107" s="758"/>
      <c r="B107" s="758"/>
      <c r="C107" s="758"/>
      <c r="D107" s="650"/>
      <c r="F107" s="759"/>
      <c r="G107" s="650"/>
      <c r="I107" s="650"/>
    </row>
    <row r="108" ht="14.25" customHeight="1">
      <c r="A108" s="758"/>
      <c r="B108" s="758"/>
      <c r="C108" s="758"/>
      <c r="D108" s="650"/>
      <c r="F108" s="759"/>
      <c r="G108" s="650"/>
      <c r="I108" s="650"/>
    </row>
    <row r="109" ht="14.25" customHeight="1">
      <c r="A109" s="758"/>
      <c r="B109" s="758"/>
      <c r="C109" s="758"/>
      <c r="D109" s="650"/>
      <c r="F109" s="759"/>
      <c r="G109" s="650"/>
      <c r="I109" s="650"/>
    </row>
    <row r="110" ht="14.25" customHeight="1">
      <c r="A110" s="758"/>
      <c r="B110" s="758"/>
      <c r="C110" s="758"/>
      <c r="D110" s="650"/>
      <c r="F110" s="759"/>
      <c r="G110" s="650"/>
      <c r="I110" s="650"/>
    </row>
    <row r="111" ht="14.25" customHeight="1">
      <c r="A111" s="758"/>
      <c r="B111" s="758"/>
      <c r="C111" s="758"/>
      <c r="D111" s="650"/>
      <c r="F111" s="759"/>
      <c r="G111" s="650"/>
      <c r="I111" s="650"/>
    </row>
    <row r="112" ht="14.25" customHeight="1">
      <c r="A112" s="758"/>
      <c r="B112" s="758"/>
      <c r="C112" s="758"/>
      <c r="D112" s="650"/>
      <c r="F112" s="759"/>
      <c r="G112" s="650"/>
      <c r="I112" s="650"/>
    </row>
    <row r="113" ht="14.25" customHeight="1">
      <c r="A113" s="758"/>
      <c r="B113" s="758"/>
      <c r="C113" s="758"/>
      <c r="D113" s="650"/>
      <c r="F113" s="759"/>
      <c r="G113" s="650"/>
      <c r="I113" s="650"/>
    </row>
    <row r="114" ht="14.25" customHeight="1">
      <c r="A114" s="758"/>
      <c r="B114" s="758"/>
      <c r="C114" s="758"/>
      <c r="D114" s="650"/>
      <c r="F114" s="759"/>
      <c r="G114" s="650"/>
      <c r="I114" s="650"/>
    </row>
    <row r="115" ht="14.25" customHeight="1">
      <c r="A115" s="758"/>
      <c r="B115" s="758"/>
      <c r="C115" s="758"/>
      <c r="D115" s="650"/>
      <c r="F115" s="759"/>
      <c r="G115" s="650"/>
      <c r="I115" s="650"/>
    </row>
    <row r="116" ht="14.25" customHeight="1">
      <c r="A116" s="758"/>
      <c r="B116" s="758"/>
      <c r="C116" s="758"/>
      <c r="D116" s="650"/>
      <c r="F116" s="759"/>
      <c r="G116" s="650"/>
      <c r="I116" s="650"/>
    </row>
    <row r="117" ht="14.25" customHeight="1">
      <c r="A117" s="758"/>
      <c r="B117" s="758"/>
      <c r="C117" s="758"/>
      <c r="D117" s="650"/>
      <c r="F117" s="759"/>
      <c r="G117" s="650"/>
      <c r="I117" s="650"/>
    </row>
    <row r="118" ht="14.25" customHeight="1">
      <c r="A118" s="758"/>
      <c r="B118" s="758"/>
      <c r="C118" s="758"/>
      <c r="D118" s="650"/>
      <c r="F118" s="759"/>
      <c r="G118" s="650"/>
      <c r="I118" s="650"/>
    </row>
    <row r="119" ht="14.25" customHeight="1">
      <c r="A119" s="758"/>
      <c r="B119" s="758"/>
      <c r="C119" s="758"/>
      <c r="D119" s="650"/>
      <c r="F119" s="759"/>
      <c r="G119" s="650"/>
      <c r="I119" s="650"/>
    </row>
    <row r="120" ht="14.25" customHeight="1">
      <c r="A120" s="758"/>
      <c r="B120" s="758"/>
      <c r="C120" s="758"/>
      <c r="D120" s="650"/>
      <c r="F120" s="759"/>
      <c r="G120" s="650"/>
      <c r="I120" s="650"/>
    </row>
    <row r="121" ht="14.25" customHeight="1">
      <c r="A121" s="758"/>
      <c r="B121" s="758"/>
      <c r="C121" s="758"/>
      <c r="D121" s="650"/>
      <c r="F121" s="759"/>
      <c r="G121" s="650"/>
      <c r="I121" s="650"/>
    </row>
    <row r="122" ht="14.25" customHeight="1">
      <c r="A122" s="758"/>
      <c r="B122" s="758"/>
      <c r="C122" s="758"/>
      <c r="D122" s="650"/>
      <c r="F122" s="759"/>
      <c r="G122" s="650"/>
      <c r="I122" s="650"/>
    </row>
    <row r="123" ht="14.25" customHeight="1">
      <c r="A123" s="758"/>
      <c r="B123" s="758"/>
      <c r="C123" s="758"/>
      <c r="D123" s="650"/>
      <c r="F123" s="759"/>
      <c r="G123" s="650"/>
      <c r="I123" s="650"/>
    </row>
    <row r="124" ht="14.25" customHeight="1">
      <c r="A124" s="758"/>
      <c r="B124" s="758"/>
      <c r="C124" s="758"/>
      <c r="D124" s="650"/>
      <c r="F124" s="759"/>
      <c r="G124" s="650"/>
      <c r="I124" s="650"/>
    </row>
    <row r="125" ht="14.25" customHeight="1">
      <c r="A125" s="758"/>
      <c r="B125" s="758"/>
      <c r="C125" s="758"/>
      <c r="D125" s="650"/>
      <c r="F125" s="759"/>
      <c r="G125" s="650"/>
      <c r="I125" s="650"/>
    </row>
    <row r="126" ht="14.25" customHeight="1">
      <c r="A126" s="758"/>
      <c r="B126" s="758"/>
      <c r="C126" s="758"/>
      <c r="D126" s="650"/>
      <c r="F126" s="759"/>
      <c r="G126" s="650"/>
      <c r="I126" s="650"/>
    </row>
    <row r="127" ht="14.25" customHeight="1">
      <c r="A127" s="758"/>
      <c r="B127" s="758"/>
      <c r="C127" s="758"/>
      <c r="D127" s="650"/>
      <c r="F127" s="759"/>
      <c r="G127" s="650"/>
      <c r="I127" s="650"/>
    </row>
    <row r="128" ht="14.25" customHeight="1">
      <c r="A128" s="758"/>
      <c r="B128" s="758"/>
      <c r="C128" s="758"/>
      <c r="D128" s="650"/>
      <c r="F128" s="759"/>
      <c r="G128" s="650"/>
      <c r="I128" s="650"/>
    </row>
    <row r="129" ht="14.25" customHeight="1">
      <c r="A129" s="758"/>
      <c r="B129" s="758"/>
      <c r="C129" s="758"/>
      <c r="D129" s="650"/>
      <c r="F129" s="759"/>
      <c r="G129" s="650"/>
      <c r="I129" s="650"/>
    </row>
    <row r="130" ht="14.25" customHeight="1">
      <c r="A130" s="758"/>
      <c r="B130" s="758"/>
      <c r="C130" s="758"/>
      <c r="D130" s="650"/>
      <c r="F130" s="759"/>
      <c r="G130" s="650"/>
      <c r="I130" s="650"/>
    </row>
    <row r="131" ht="14.25" customHeight="1">
      <c r="A131" s="758"/>
      <c r="B131" s="758"/>
      <c r="C131" s="758"/>
      <c r="D131" s="650"/>
      <c r="F131" s="759"/>
      <c r="G131" s="650"/>
      <c r="I131" s="650"/>
    </row>
    <row r="132" ht="14.25" customHeight="1">
      <c r="A132" s="758"/>
      <c r="B132" s="758"/>
      <c r="C132" s="758"/>
      <c r="D132" s="650"/>
      <c r="F132" s="759"/>
      <c r="G132" s="650"/>
      <c r="I132" s="650"/>
    </row>
    <row r="133" ht="14.25" customHeight="1">
      <c r="A133" s="758"/>
      <c r="B133" s="758"/>
      <c r="C133" s="758"/>
      <c r="D133" s="650"/>
      <c r="F133" s="759"/>
      <c r="G133" s="650"/>
      <c r="I133" s="650"/>
    </row>
    <row r="134" ht="14.25" customHeight="1">
      <c r="A134" s="758"/>
      <c r="B134" s="758"/>
      <c r="C134" s="758"/>
      <c r="D134" s="650"/>
      <c r="F134" s="759"/>
      <c r="G134" s="650"/>
      <c r="I134" s="650"/>
    </row>
    <row r="135" ht="14.25" customHeight="1">
      <c r="A135" s="758"/>
      <c r="B135" s="758"/>
      <c r="C135" s="758"/>
      <c r="D135" s="650"/>
      <c r="F135" s="759"/>
      <c r="G135" s="650"/>
      <c r="I135" s="650"/>
    </row>
    <row r="136" ht="14.25" customHeight="1">
      <c r="A136" s="758"/>
      <c r="B136" s="758"/>
      <c r="C136" s="758"/>
      <c r="D136" s="650"/>
      <c r="F136" s="759"/>
      <c r="G136" s="650"/>
      <c r="I136" s="650"/>
    </row>
    <row r="137" ht="14.25" customHeight="1">
      <c r="A137" s="758"/>
      <c r="B137" s="758"/>
      <c r="C137" s="758"/>
      <c r="D137" s="650"/>
      <c r="F137" s="759"/>
      <c r="G137" s="650"/>
      <c r="I137" s="650"/>
    </row>
    <row r="138" ht="14.25" customHeight="1">
      <c r="A138" s="758"/>
      <c r="B138" s="758"/>
      <c r="C138" s="758"/>
      <c r="D138" s="650"/>
      <c r="F138" s="759"/>
      <c r="G138" s="650"/>
      <c r="I138" s="650"/>
    </row>
    <row r="139" ht="14.25" customHeight="1">
      <c r="A139" s="758"/>
      <c r="B139" s="758"/>
      <c r="C139" s="758"/>
      <c r="D139" s="650"/>
      <c r="F139" s="759"/>
      <c r="G139" s="650"/>
      <c r="I139" s="650"/>
    </row>
    <row r="140" ht="14.25" customHeight="1">
      <c r="A140" s="758"/>
      <c r="B140" s="758"/>
      <c r="C140" s="758"/>
      <c r="D140" s="650"/>
      <c r="F140" s="759"/>
      <c r="G140" s="650"/>
      <c r="I140" s="650"/>
    </row>
    <row r="141" ht="14.25" customHeight="1">
      <c r="A141" s="758"/>
      <c r="B141" s="758"/>
      <c r="C141" s="758"/>
      <c r="D141" s="650"/>
      <c r="F141" s="759"/>
      <c r="G141" s="650"/>
      <c r="I141" s="650"/>
    </row>
    <row r="142" ht="14.25" customHeight="1">
      <c r="A142" s="758"/>
      <c r="B142" s="758"/>
      <c r="C142" s="758"/>
      <c r="D142" s="650"/>
      <c r="F142" s="759"/>
      <c r="G142" s="650"/>
      <c r="I142" s="650"/>
    </row>
    <row r="143" ht="14.25" customHeight="1">
      <c r="A143" s="758"/>
      <c r="B143" s="758"/>
      <c r="C143" s="758"/>
      <c r="D143" s="650"/>
      <c r="F143" s="759"/>
      <c r="G143" s="650"/>
      <c r="I143" s="650"/>
    </row>
    <row r="144" ht="14.25" customHeight="1">
      <c r="A144" s="758"/>
      <c r="B144" s="758"/>
      <c r="C144" s="758"/>
      <c r="D144" s="650"/>
      <c r="F144" s="759"/>
      <c r="G144" s="650"/>
      <c r="I144" s="650"/>
    </row>
    <row r="145" ht="14.25" customHeight="1">
      <c r="A145" s="758"/>
      <c r="B145" s="758"/>
      <c r="C145" s="758"/>
      <c r="D145" s="650"/>
      <c r="F145" s="759"/>
      <c r="G145" s="650"/>
      <c r="I145" s="650"/>
    </row>
    <row r="146" ht="14.25" customHeight="1">
      <c r="A146" s="758"/>
      <c r="B146" s="758"/>
      <c r="C146" s="758"/>
      <c r="D146" s="650"/>
      <c r="F146" s="759"/>
      <c r="G146" s="650"/>
      <c r="I146" s="650"/>
    </row>
    <row r="147" ht="14.25" customHeight="1">
      <c r="A147" s="758"/>
      <c r="B147" s="758"/>
      <c r="C147" s="758"/>
      <c r="D147" s="650"/>
      <c r="F147" s="759"/>
      <c r="G147" s="650"/>
      <c r="I147" s="650"/>
    </row>
    <row r="148" ht="14.25" customHeight="1">
      <c r="A148" s="758"/>
      <c r="B148" s="758"/>
      <c r="C148" s="758"/>
      <c r="D148" s="650"/>
      <c r="F148" s="759"/>
      <c r="G148" s="650"/>
      <c r="I148" s="650"/>
    </row>
    <row r="149" ht="14.25" customHeight="1">
      <c r="A149" s="758"/>
      <c r="B149" s="758"/>
      <c r="C149" s="758"/>
      <c r="D149" s="650"/>
      <c r="F149" s="759"/>
      <c r="G149" s="650"/>
      <c r="I149" s="650"/>
    </row>
    <row r="150" ht="14.25" customHeight="1">
      <c r="A150" s="758"/>
      <c r="B150" s="758"/>
      <c r="C150" s="758"/>
      <c r="D150" s="650"/>
      <c r="F150" s="759"/>
      <c r="G150" s="650"/>
      <c r="I150" s="650"/>
    </row>
    <row r="151" ht="14.25" customHeight="1">
      <c r="A151" s="758"/>
      <c r="B151" s="758"/>
      <c r="C151" s="758"/>
      <c r="D151" s="650"/>
      <c r="F151" s="759"/>
      <c r="G151" s="650"/>
      <c r="I151" s="650"/>
    </row>
    <row r="152" ht="14.25" customHeight="1">
      <c r="A152" s="758"/>
      <c r="B152" s="758"/>
      <c r="C152" s="758"/>
      <c r="D152" s="650"/>
      <c r="F152" s="759"/>
      <c r="G152" s="650"/>
      <c r="I152" s="650"/>
    </row>
    <row r="153" ht="14.25" customHeight="1">
      <c r="A153" s="758"/>
      <c r="B153" s="758"/>
      <c r="C153" s="758"/>
      <c r="D153" s="650"/>
      <c r="F153" s="759"/>
      <c r="G153" s="650"/>
      <c r="I153" s="650"/>
    </row>
    <row r="154" ht="14.25" customHeight="1">
      <c r="A154" s="758"/>
      <c r="B154" s="758"/>
      <c r="C154" s="758"/>
      <c r="D154" s="650"/>
      <c r="F154" s="759"/>
      <c r="G154" s="650"/>
      <c r="I154" s="650"/>
    </row>
    <row r="155" ht="14.25" customHeight="1">
      <c r="A155" s="758"/>
      <c r="B155" s="758"/>
      <c r="C155" s="758"/>
      <c r="D155" s="650"/>
      <c r="F155" s="759"/>
      <c r="G155" s="650"/>
      <c r="I155" s="650"/>
    </row>
    <row r="156" ht="14.25" customHeight="1">
      <c r="A156" s="758"/>
      <c r="B156" s="758"/>
      <c r="C156" s="758"/>
      <c r="D156" s="650"/>
      <c r="F156" s="759"/>
      <c r="G156" s="650"/>
      <c r="I156" s="650"/>
    </row>
    <row r="157" ht="14.25" customHeight="1">
      <c r="A157" s="758"/>
      <c r="B157" s="758"/>
      <c r="C157" s="758"/>
      <c r="D157" s="650"/>
      <c r="F157" s="759"/>
      <c r="G157" s="650"/>
      <c r="I157" s="650"/>
    </row>
    <row r="158" ht="14.25" customHeight="1">
      <c r="A158" s="758"/>
      <c r="B158" s="758"/>
      <c r="C158" s="758"/>
      <c r="D158" s="650"/>
      <c r="F158" s="759"/>
      <c r="G158" s="650"/>
      <c r="I158" s="650"/>
    </row>
    <row r="159" ht="14.25" customHeight="1">
      <c r="A159" s="758"/>
      <c r="B159" s="758"/>
      <c r="C159" s="758"/>
      <c r="D159" s="650"/>
      <c r="F159" s="759"/>
      <c r="G159" s="650"/>
      <c r="I159" s="650"/>
    </row>
    <row r="160" ht="14.25" customHeight="1">
      <c r="A160" s="758"/>
      <c r="B160" s="758"/>
      <c r="C160" s="758"/>
      <c r="D160" s="650"/>
      <c r="F160" s="759"/>
      <c r="G160" s="650"/>
      <c r="I160" s="650"/>
    </row>
    <row r="161" ht="14.25" customHeight="1">
      <c r="A161" s="758"/>
      <c r="B161" s="758"/>
      <c r="C161" s="758"/>
      <c r="D161" s="650"/>
      <c r="F161" s="759"/>
      <c r="G161" s="650"/>
      <c r="I161" s="650"/>
    </row>
    <row r="162" ht="14.25" customHeight="1">
      <c r="A162" s="758"/>
      <c r="B162" s="758"/>
      <c r="C162" s="758"/>
      <c r="D162" s="650"/>
      <c r="F162" s="759"/>
      <c r="G162" s="650"/>
      <c r="I162" s="650"/>
    </row>
    <row r="163" ht="14.25" customHeight="1">
      <c r="A163" s="758"/>
      <c r="B163" s="758"/>
      <c r="C163" s="758"/>
      <c r="D163" s="650"/>
      <c r="F163" s="759"/>
      <c r="G163" s="650"/>
      <c r="I163" s="650"/>
    </row>
    <row r="164" ht="14.25" customHeight="1">
      <c r="A164" s="758"/>
      <c r="B164" s="758"/>
      <c r="C164" s="758"/>
      <c r="D164" s="650"/>
      <c r="F164" s="759"/>
      <c r="G164" s="650"/>
      <c r="I164" s="650"/>
    </row>
    <row r="165" ht="14.25" customHeight="1">
      <c r="A165" s="758"/>
      <c r="B165" s="758"/>
      <c r="C165" s="758"/>
      <c r="D165" s="650"/>
      <c r="F165" s="759"/>
      <c r="G165" s="650"/>
      <c r="I165" s="650"/>
    </row>
    <row r="166" ht="14.25" customHeight="1">
      <c r="A166" s="758"/>
      <c r="B166" s="758"/>
      <c r="C166" s="758"/>
      <c r="D166" s="650"/>
      <c r="F166" s="759"/>
      <c r="G166" s="650"/>
      <c r="I166" s="650"/>
    </row>
    <row r="167" ht="14.25" customHeight="1">
      <c r="A167" s="758"/>
      <c r="B167" s="758"/>
      <c r="C167" s="758"/>
      <c r="D167" s="650"/>
      <c r="F167" s="759"/>
      <c r="G167" s="650"/>
      <c r="I167" s="650"/>
    </row>
    <row r="168" ht="14.25" customHeight="1">
      <c r="A168" s="758"/>
      <c r="B168" s="758"/>
      <c r="C168" s="758"/>
      <c r="D168" s="650"/>
      <c r="F168" s="759"/>
      <c r="G168" s="650"/>
      <c r="I168" s="650"/>
    </row>
    <row r="169" ht="14.25" customHeight="1">
      <c r="A169" s="758"/>
      <c r="B169" s="758"/>
      <c r="C169" s="758"/>
      <c r="D169" s="650"/>
      <c r="F169" s="759"/>
      <c r="G169" s="650"/>
      <c r="I169" s="650"/>
    </row>
    <row r="170" ht="14.25" customHeight="1">
      <c r="A170" s="758"/>
      <c r="B170" s="758"/>
      <c r="C170" s="758"/>
      <c r="D170" s="650"/>
      <c r="F170" s="759"/>
      <c r="G170" s="650"/>
      <c r="I170" s="650"/>
    </row>
    <row r="171" ht="14.25" customHeight="1">
      <c r="A171" s="758"/>
      <c r="B171" s="758"/>
      <c r="C171" s="758"/>
      <c r="D171" s="650"/>
      <c r="F171" s="759"/>
      <c r="G171" s="650"/>
      <c r="I171" s="650"/>
    </row>
    <row r="172" ht="14.25" customHeight="1">
      <c r="A172" s="758"/>
      <c r="B172" s="758"/>
      <c r="C172" s="758"/>
      <c r="D172" s="650"/>
      <c r="F172" s="759"/>
      <c r="G172" s="650"/>
      <c r="I172" s="650"/>
    </row>
    <row r="173" ht="14.25" customHeight="1">
      <c r="A173" s="758"/>
      <c r="B173" s="758"/>
      <c r="C173" s="758"/>
      <c r="D173" s="650"/>
      <c r="F173" s="759"/>
      <c r="G173" s="650"/>
      <c r="I173" s="650"/>
    </row>
    <row r="174" ht="14.25" customHeight="1">
      <c r="A174" s="758"/>
      <c r="B174" s="758"/>
      <c r="C174" s="758"/>
      <c r="D174" s="650"/>
      <c r="F174" s="759"/>
      <c r="G174" s="650"/>
      <c r="I174" s="650"/>
    </row>
    <row r="175" ht="14.25" customHeight="1">
      <c r="A175" s="758"/>
      <c r="B175" s="758"/>
      <c r="C175" s="758"/>
      <c r="D175" s="650"/>
      <c r="F175" s="759"/>
      <c r="G175" s="650"/>
      <c r="I175" s="650"/>
    </row>
    <row r="176" ht="14.25" customHeight="1">
      <c r="A176" s="758"/>
      <c r="B176" s="758"/>
      <c r="C176" s="758"/>
      <c r="D176" s="650"/>
      <c r="F176" s="759"/>
      <c r="G176" s="650"/>
      <c r="I176" s="650"/>
    </row>
    <row r="177" ht="14.25" customHeight="1">
      <c r="A177" s="758"/>
      <c r="B177" s="758"/>
      <c r="C177" s="758"/>
      <c r="D177" s="650"/>
      <c r="F177" s="759"/>
      <c r="G177" s="650"/>
      <c r="I177" s="650"/>
    </row>
    <row r="178" ht="14.25" customHeight="1">
      <c r="A178" s="758"/>
      <c r="B178" s="758"/>
      <c r="C178" s="758"/>
      <c r="D178" s="650"/>
      <c r="F178" s="759"/>
      <c r="G178" s="650"/>
      <c r="I178" s="650"/>
    </row>
    <row r="179" ht="14.25" customHeight="1">
      <c r="A179" s="758"/>
      <c r="B179" s="758"/>
      <c r="C179" s="758"/>
      <c r="D179" s="650"/>
      <c r="F179" s="759"/>
      <c r="G179" s="650"/>
      <c r="I179" s="650"/>
    </row>
    <row r="180" ht="14.25" customHeight="1">
      <c r="A180" s="758"/>
      <c r="B180" s="758"/>
      <c r="C180" s="758"/>
      <c r="D180" s="650"/>
      <c r="F180" s="759"/>
      <c r="G180" s="650"/>
      <c r="I180" s="650"/>
    </row>
    <row r="181" ht="14.25" customHeight="1">
      <c r="A181" s="758"/>
      <c r="B181" s="758"/>
      <c r="C181" s="758"/>
      <c r="D181" s="650"/>
      <c r="F181" s="759"/>
      <c r="G181" s="650"/>
      <c r="I181" s="650"/>
    </row>
    <row r="182" ht="14.25" customHeight="1">
      <c r="A182" s="758"/>
      <c r="B182" s="758"/>
      <c r="C182" s="758"/>
      <c r="D182" s="650"/>
      <c r="F182" s="759"/>
      <c r="G182" s="650"/>
      <c r="I182" s="650"/>
    </row>
    <row r="183" ht="14.25" customHeight="1">
      <c r="A183" s="758"/>
      <c r="B183" s="758"/>
      <c r="C183" s="758"/>
      <c r="D183" s="650"/>
      <c r="F183" s="759"/>
      <c r="G183" s="650"/>
      <c r="I183" s="650"/>
    </row>
    <row r="184" ht="14.25" customHeight="1">
      <c r="A184" s="758"/>
      <c r="B184" s="758"/>
      <c r="C184" s="758"/>
      <c r="D184" s="650"/>
      <c r="F184" s="759"/>
      <c r="G184" s="650"/>
      <c r="I184" s="650"/>
    </row>
    <row r="185" ht="14.25" customHeight="1">
      <c r="A185" s="758"/>
      <c r="B185" s="758"/>
      <c r="C185" s="758"/>
      <c r="D185" s="650"/>
      <c r="F185" s="759"/>
      <c r="G185" s="650"/>
      <c r="I185" s="650"/>
    </row>
    <row r="186" ht="14.25" customHeight="1">
      <c r="A186" s="758"/>
      <c r="B186" s="758"/>
      <c r="C186" s="758"/>
      <c r="D186" s="650"/>
      <c r="F186" s="759"/>
      <c r="G186" s="650"/>
      <c r="I186" s="650"/>
    </row>
    <row r="187" ht="14.25" customHeight="1">
      <c r="A187" s="758"/>
      <c r="B187" s="758"/>
      <c r="C187" s="758"/>
      <c r="D187" s="650"/>
      <c r="F187" s="759"/>
      <c r="G187" s="650"/>
      <c r="I187" s="650"/>
    </row>
    <row r="188" ht="14.25" customHeight="1">
      <c r="A188" s="758"/>
      <c r="B188" s="758"/>
      <c r="C188" s="758"/>
      <c r="D188" s="650"/>
      <c r="F188" s="759"/>
      <c r="G188" s="650"/>
      <c r="I188" s="650"/>
    </row>
    <row r="189" ht="14.25" customHeight="1">
      <c r="A189" s="758"/>
      <c r="B189" s="758"/>
      <c r="C189" s="758"/>
      <c r="D189" s="650"/>
      <c r="F189" s="759"/>
      <c r="G189" s="650"/>
      <c r="I189" s="650"/>
    </row>
    <row r="190" ht="14.25" customHeight="1">
      <c r="A190" s="758"/>
      <c r="B190" s="758"/>
      <c r="C190" s="758"/>
      <c r="D190" s="650"/>
      <c r="F190" s="759"/>
      <c r="G190" s="650"/>
      <c r="I190" s="650"/>
    </row>
    <row r="191" ht="14.25" customHeight="1">
      <c r="A191" s="758"/>
      <c r="B191" s="758"/>
      <c r="C191" s="758"/>
      <c r="D191" s="650"/>
      <c r="F191" s="759"/>
      <c r="G191" s="650"/>
      <c r="I191" s="650"/>
    </row>
    <row r="192" ht="14.25" customHeight="1">
      <c r="A192" s="758"/>
      <c r="B192" s="758"/>
      <c r="C192" s="758"/>
      <c r="D192" s="650"/>
      <c r="F192" s="759"/>
      <c r="G192" s="650"/>
      <c r="I192" s="650"/>
    </row>
    <row r="193" ht="14.25" customHeight="1">
      <c r="A193" s="758"/>
      <c r="B193" s="758"/>
      <c r="C193" s="758"/>
      <c r="D193" s="650"/>
      <c r="F193" s="759"/>
      <c r="G193" s="650"/>
      <c r="I193" s="650"/>
    </row>
    <row r="194" ht="14.25" customHeight="1">
      <c r="A194" s="758"/>
      <c r="B194" s="758"/>
      <c r="C194" s="758"/>
      <c r="D194" s="650"/>
      <c r="F194" s="759"/>
      <c r="G194" s="650"/>
      <c r="I194" s="650"/>
    </row>
    <row r="195" ht="14.25" customHeight="1">
      <c r="A195" s="758"/>
      <c r="B195" s="758"/>
      <c r="C195" s="758"/>
      <c r="D195" s="650"/>
      <c r="F195" s="759"/>
      <c r="G195" s="650"/>
      <c r="I195" s="650"/>
    </row>
    <row r="196" ht="14.25" customHeight="1">
      <c r="A196" s="758"/>
      <c r="B196" s="758"/>
      <c r="C196" s="758"/>
      <c r="D196" s="650"/>
      <c r="F196" s="759"/>
      <c r="G196" s="650"/>
      <c r="I196" s="650"/>
    </row>
    <row r="197" ht="14.25" customHeight="1">
      <c r="A197" s="758"/>
      <c r="B197" s="758"/>
      <c r="C197" s="758"/>
      <c r="D197" s="650"/>
      <c r="F197" s="759"/>
      <c r="G197" s="650"/>
      <c r="I197" s="650"/>
    </row>
    <row r="198" ht="14.25" customHeight="1">
      <c r="A198" s="758"/>
      <c r="B198" s="758"/>
      <c r="C198" s="758"/>
      <c r="D198" s="650"/>
      <c r="F198" s="759"/>
      <c r="G198" s="650"/>
      <c r="I198" s="650"/>
    </row>
    <row r="199" ht="14.25" customHeight="1">
      <c r="A199" s="758"/>
      <c r="B199" s="758"/>
      <c r="C199" s="758"/>
      <c r="D199" s="650"/>
      <c r="F199" s="759"/>
      <c r="G199" s="650"/>
      <c r="I199" s="650"/>
    </row>
    <row r="200" ht="14.25" customHeight="1">
      <c r="A200" s="758"/>
      <c r="B200" s="758"/>
      <c r="C200" s="758"/>
      <c r="D200" s="650"/>
      <c r="F200" s="759"/>
      <c r="G200" s="650"/>
      <c r="I200" s="650"/>
    </row>
    <row r="201" ht="14.25" customHeight="1">
      <c r="A201" s="758"/>
      <c r="B201" s="758"/>
      <c r="C201" s="758"/>
      <c r="D201" s="650"/>
      <c r="F201" s="759"/>
      <c r="G201" s="650"/>
      <c r="I201" s="650"/>
    </row>
    <row r="202" ht="14.25" customHeight="1">
      <c r="A202" s="758"/>
      <c r="B202" s="758"/>
      <c r="C202" s="758"/>
      <c r="D202" s="650"/>
      <c r="F202" s="759"/>
      <c r="G202" s="650"/>
      <c r="I202" s="650"/>
    </row>
    <row r="203" ht="14.25" customHeight="1">
      <c r="A203" s="758"/>
      <c r="B203" s="758"/>
      <c r="C203" s="758"/>
      <c r="D203" s="650"/>
      <c r="F203" s="759"/>
      <c r="G203" s="650"/>
      <c r="I203" s="650"/>
    </row>
    <row r="204" ht="14.25" customHeight="1">
      <c r="A204" s="758"/>
      <c r="B204" s="758"/>
      <c r="C204" s="758"/>
      <c r="D204" s="650"/>
      <c r="F204" s="759"/>
      <c r="G204" s="650"/>
      <c r="I204" s="650"/>
    </row>
    <row r="205" ht="14.25" customHeight="1">
      <c r="A205" s="758"/>
      <c r="B205" s="758"/>
      <c r="C205" s="758"/>
      <c r="D205" s="650"/>
      <c r="F205" s="759"/>
      <c r="G205" s="650"/>
      <c r="I205" s="650"/>
    </row>
    <row r="206" ht="14.25" customHeight="1">
      <c r="A206" s="758"/>
      <c r="B206" s="758"/>
      <c r="C206" s="758"/>
      <c r="D206" s="650"/>
      <c r="F206" s="759"/>
      <c r="G206" s="650"/>
      <c r="I206" s="650"/>
    </row>
    <row r="207" ht="14.25" customHeight="1">
      <c r="A207" s="758"/>
      <c r="B207" s="758"/>
      <c r="C207" s="758"/>
      <c r="D207" s="650"/>
      <c r="F207" s="759"/>
      <c r="G207" s="650"/>
      <c r="I207" s="650"/>
    </row>
    <row r="208" ht="14.25" customHeight="1">
      <c r="A208" s="758"/>
      <c r="B208" s="758"/>
      <c r="C208" s="758"/>
      <c r="D208" s="650"/>
      <c r="F208" s="759"/>
      <c r="G208" s="650"/>
      <c r="I208" s="650"/>
    </row>
    <row r="209" ht="14.25" customHeight="1">
      <c r="A209" s="758"/>
      <c r="B209" s="758"/>
      <c r="C209" s="758"/>
      <c r="D209" s="650"/>
      <c r="F209" s="759"/>
      <c r="G209" s="650"/>
      <c r="I209" s="650"/>
    </row>
    <row r="210" ht="14.25" customHeight="1">
      <c r="A210" s="758"/>
      <c r="B210" s="758"/>
      <c r="C210" s="758"/>
      <c r="D210" s="650"/>
      <c r="F210" s="759"/>
      <c r="G210" s="650"/>
      <c r="I210" s="650"/>
    </row>
    <row r="211" ht="14.25" customHeight="1">
      <c r="A211" s="758"/>
      <c r="B211" s="758"/>
      <c r="C211" s="758"/>
      <c r="D211" s="650"/>
      <c r="F211" s="759"/>
      <c r="G211" s="650"/>
      <c r="I211" s="650"/>
    </row>
    <row r="212" ht="14.25" customHeight="1">
      <c r="A212" s="758"/>
      <c r="B212" s="758"/>
      <c r="C212" s="758"/>
      <c r="D212" s="650"/>
      <c r="F212" s="759"/>
      <c r="G212" s="650"/>
      <c r="I212" s="650"/>
    </row>
    <row r="213" ht="14.25" customHeight="1">
      <c r="A213" s="758"/>
      <c r="B213" s="758"/>
      <c r="C213" s="758"/>
      <c r="D213" s="650"/>
      <c r="F213" s="759"/>
      <c r="G213" s="650"/>
      <c r="I213" s="650"/>
    </row>
    <row r="214" ht="14.25" customHeight="1">
      <c r="A214" s="758"/>
      <c r="B214" s="758"/>
      <c r="C214" s="758"/>
      <c r="D214" s="650"/>
      <c r="F214" s="759"/>
      <c r="G214" s="650"/>
      <c r="I214" s="650"/>
    </row>
    <row r="215" ht="14.25" customHeight="1">
      <c r="A215" s="758"/>
      <c r="B215" s="758"/>
      <c r="C215" s="758"/>
      <c r="D215" s="650"/>
      <c r="F215" s="759"/>
      <c r="G215" s="650"/>
      <c r="I215" s="650"/>
    </row>
    <row r="216" ht="14.25" customHeight="1">
      <c r="A216" s="758"/>
      <c r="B216" s="758"/>
      <c r="C216" s="758"/>
      <c r="D216" s="650"/>
      <c r="F216" s="759"/>
      <c r="G216" s="650"/>
      <c r="I216" s="650"/>
    </row>
    <row r="217" ht="14.25" customHeight="1">
      <c r="A217" s="758"/>
      <c r="B217" s="758"/>
      <c r="C217" s="758"/>
      <c r="D217" s="650"/>
      <c r="F217" s="759"/>
      <c r="G217" s="650"/>
      <c r="I217" s="650"/>
    </row>
    <row r="218" ht="14.25" customHeight="1">
      <c r="A218" s="758"/>
      <c r="B218" s="758"/>
      <c r="C218" s="758"/>
      <c r="D218" s="650"/>
      <c r="F218" s="759"/>
      <c r="G218" s="650"/>
      <c r="I218" s="650"/>
    </row>
    <row r="219" ht="14.25" customHeight="1">
      <c r="A219" s="758"/>
      <c r="B219" s="758"/>
      <c r="C219" s="758"/>
      <c r="D219" s="650"/>
      <c r="F219" s="759"/>
      <c r="G219" s="650"/>
      <c r="I219" s="650"/>
    </row>
    <row r="220" ht="14.25" customHeight="1">
      <c r="A220" s="758"/>
      <c r="B220" s="758"/>
      <c r="C220" s="758"/>
      <c r="D220" s="650"/>
      <c r="F220" s="759"/>
      <c r="G220" s="650"/>
      <c r="I220" s="650"/>
    </row>
    <row r="221" ht="14.25" customHeight="1">
      <c r="A221" s="758"/>
      <c r="B221" s="758"/>
      <c r="C221" s="758"/>
      <c r="D221" s="650"/>
      <c r="F221" s="759"/>
      <c r="G221" s="650"/>
      <c r="I221" s="650"/>
    </row>
    <row r="222" ht="14.25" customHeight="1">
      <c r="A222" s="758"/>
      <c r="B222" s="758"/>
      <c r="C222" s="758"/>
      <c r="D222" s="650"/>
      <c r="F222" s="759"/>
      <c r="G222" s="650"/>
      <c r="I222" s="650"/>
    </row>
    <row r="223" ht="14.25" customHeight="1">
      <c r="A223" s="758"/>
      <c r="B223" s="758"/>
      <c r="C223" s="758"/>
      <c r="D223" s="650"/>
      <c r="F223" s="759"/>
      <c r="G223" s="650"/>
      <c r="I223" s="650"/>
    </row>
    <row r="224" ht="14.25" customHeight="1">
      <c r="A224" s="758"/>
      <c r="B224" s="758"/>
      <c r="C224" s="758"/>
      <c r="D224" s="650"/>
      <c r="F224" s="759"/>
      <c r="G224" s="650"/>
      <c r="I224" s="650"/>
    </row>
    <row r="225" ht="14.25" customHeight="1">
      <c r="A225" s="758"/>
      <c r="B225" s="758"/>
      <c r="C225" s="758"/>
      <c r="D225" s="650"/>
      <c r="F225" s="759"/>
      <c r="G225" s="650"/>
      <c r="I225" s="650"/>
    </row>
    <row r="226" ht="14.25" customHeight="1">
      <c r="A226" s="758"/>
      <c r="B226" s="758"/>
      <c r="C226" s="758"/>
      <c r="D226" s="650"/>
      <c r="F226" s="759"/>
      <c r="G226" s="650"/>
      <c r="I226" s="650"/>
    </row>
    <row r="227" ht="14.25" customHeight="1">
      <c r="A227" s="758"/>
      <c r="B227" s="758"/>
      <c r="C227" s="758"/>
      <c r="D227" s="650"/>
      <c r="F227" s="759"/>
      <c r="G227" s="650"/>
      <c r="I227" s="650"/>
    </row>
    <row r="228" ht="14.25" customHeight="1">
      <c r="A228" s="758"/>
      <c r="B228" s="758"/>
      <c r="C228" s="758"/>
      <c r="D228" s="650"/>
      <c r="F228" s="759"/>
      <c r="G228" s="650"/>
      <c r="I228" s="650"/>
    </row>
    <row r="229" ht="14.25" customHeight="1">
      <c r="A229" s="758"/>
      <c r="B229" s="758"/>
      <c r="C229" s="758"/>
      <c r="D229" s="650"/>
      <c r="F229" s="759"/>
      <c r="G229" s="650"/>
      <c r="I229" s="650"/>
    </row>
    <row r="230" ht="14.25" customHeight="1">
      <c r="A230" s="758"/>
      <c r="B230" s="758"/>
      <c r="C230" s="758"/>
      <c r="D230" s="650"/>
      <c r="F230" s="759"/>
      <c r="G230" s="650"/>
      <c r="I230" s="650"/>
    </row>
    <row r="231" ht="14.25" customHeight="1">
      <c r="A231" s="758"/>
      <c r="B231" s="758"/>
      <c r="C231" s="758"/>
      <c r="D231" s="650"/>
      <c r="F231" s="759"/>
      <c r="G231" s="650"/>
      <c r="I231" s="650"/>
    </row>
    <row r="232" ht="14.25" customHeight="1">
      <c r="A232" s="758"/>
      <c r="B232" s="758"/>
      <c r="C232" s="758"/>
      <c r="D232" s="650"/>
      <c r="F232" s="759"/>
      <c r="G232" s="650"/>
      <c r="I232" s="650"/>
    </row>
    <row r="233" ht="14.25" customHeight="1">
      <c r="A233" s="758"/>
      <c r="B233" s="758"/>
      <c r="C233" s="758"/>
      <c r="D233" s="650"/>
      <c r="F233" s="759"/>
      <c r="G233" s="650"/>
      <c r="I233" s="650"/>
    </row>
    <row r="234" ht="14.25" customHeight="1">
      <c r="A234" s="758"/>
      <c r="B234" s="758"/>
      <c r="C234" s="758"/>
      <c r="D234" s="650"/>
      <c r="F234" s="759"/>
      <c r="G234" s="650"/>
      <c r="I234" s="650"/>
    </row>
    <row r="235" ht="14.25" customHeight="1">
      <c r="A235" s="758"/>
      <c r="B235" s="758"/>
      <c r="C235" s="758"/>
      <c r="D235" s="650"/>
      <c r="F235" s="759"/>
      <c r="G235" s="650"/>
      <c r="I235" s="650"/>
    </row>
    <row r="236" ht="14.25" customHeight="1">
      <c r="A236" s="758"/>
      <c r="B236" s="758"/>
      <c r="C236" s="758"/>
      <c r="D236" s="650"/>
      <c r="F236" s="759"/>
      <c r="G236" s="650"/>
      <c r="I236" s="650"/>
    </row>
    <row r="237" ht="14.25" customHeight="1">
      <c r="A237" s="758"/>
      <c r="B237" s="758"/>
      <c r="C237" s="758"/>
      <c r="D237" s="650"/>
      <c r="F237" s="759"/>
      <c r="G237" s="650"/>
      <c r="I237" s="650"/>
    </row>
    <row r="238" ht="14.25" customHeight="1">
      <c r="A238" s="758"/>
      <c r="B238" s="758"/>
      <c r="C238" s="758"/>
      <c r="D238" s="650"/>
      <c r="F238" s="759"/>
      <c r="G238" s="650"/>
      <c r="I238" s="650"/>
    </row>
    <row r="239" ht="14.25" customHeight="1">
      <c r="A239" s="758"/>
      <c r="B239" s="758"/>
      <c r="C239" s="758"/>
      <c r="D239" s="650"/>
      <c r="F239" s="759"/>
      <c r="G239" s="650"/>
      <c r="I239" s="650"/>
    </row>
    <row r="240" ht="14.25" customHeight="1">
      <c r="A240" s="758"/>
      <c r="B240" s="758"/>
      <c r="C240" s="758"/>
      <c r="D240" s="650"/>
      <c r="F240" s="759"/>
      <c r="G240" s="650"/>
      <c r="I240" s="650"/>
    </row>
    <row r="241" ht="14.25" customHeight="1">
      <c r="A241" s="758"/>
      <c r="B241" s="758"/>
      <c r="C241" s="758"/>
      <c r="D241" s="650"/>
      <c r="F241" s="759"/>
      <c r="G241" s="650"/>
      <c r="I241" s="650"/>
    </row>
    <row r="242" ht="14.25" customHeight="1">
      <c r="A242" s="758"/>
      <c r="B242" s="758"/>
      <c r="C242" s="758"/>
      <c r="D242" s="650"/>
      <c r="F242" s="759"/>
      <c r="G242" s="650"/>
      <c r="I242" s="650"/>
    </row>
    <row r="243" ht="14.25" customHeight="1">
      <c r="A243" s="758"/>
      <c r="B243" s="758"/>
      <c r="C243" s="758"/>
      <c r="D243" s="650"/>
      <c r="F243" s="759"/>
      <c r="G243" s="650"/>
      <c r="I243" s="650"/>
    </row>
    <row r="244" ht="14.25" customHeight="1">
      <c r="A244" s="758"/>
      <c r="B244" s="758"/>
      <c r="C244" s="758"/>
      <c r="D244" s="650"/>
      <c r="F244" s="759"/>
      <c r="G244" s="650"/>
      <c r="I244" s="650"/>
    </row>
    <row r="245" ht="14.25" customHeight="1">
      <c r="A245" s="758"/>
      <c r="B245" s="758"/>
      <c r="C245" s="758"/>
      <c r="D245" s="650"/>
      <c r="F245" s="759"/>
      <c r="G245" s="650"/>
      <c r="I245" s="650"/>
    </row>
    <row r="246" ht="14.25" customHeight="1">
      <c r="A246" s="758"/>
      <c r="B246" s="758"/>
      <c r="C246" s="758"/>
      <c r="D246" s="650"/>
      <c r="F246" s="759"/>
      <c r="G246" s="650"/>
      <c r="I246" s="650"/>
    </row>
    <row r="247" ht="14.25" customHeight="1">
      <c r="A247" s="758"/>
      <c r="B247" s="758"/>
      <c r="C247" s="758"/>
      <c r="D247" s="650"/>
      <c r="F247" s="759"/>
      <c r="G247" s="650"/>
      <c r="I247" s="650"/>
    </row>
    <row r="248" ht="14.25" customHeight="1">
      <c r="A248" s="758"/>
      <c r="B248" s="758"/>
      <c r="C248" s="758"/>
      <c r="D248" s="650"/>
      <c r="F248" s="759"/>
      <c r="G248" s="650"/>
      <c r="I248" s="650"/>
    </row>
    <row r="249" ht="14.25" customHeight="1">
      <c r="A249" s="758"/>
      <c r="B249" s="758"/>
      <c r="C249" s="758"/>
      <c r="D249" s="650"/>
      <c r="F249" s="759"/>
      <c r="G249" s="650"/>
      <c r="I249" s="650"/>
    </row>
    <row r="250" ht="14.25" customHeight="1">
      <c r="A250" s="758"/>
      <c r="B250" s="758"/>
      <c r="C250" s="758"/>
      <c r="D250" s="650"/>
      <c r="F250" s="759"/>
      <c r="G250" s="650"/>
      <c r="I250" s="650"/>
    </row>
    <row r="251" ht="14.25" customHeight="1">
      <c r="A251" s="758"/>
      <c r="B251" s="758"/>
      <c r="C251" s="758"/>
      <c r="D251" s="650"/>
      <c r="F251" s="759"/>
      <c r="G251" s="650"/>
      <c r="I251" s="650"/>
    </row>
    <row r="252" ht="14.25" customHeight="1">
      <c r="A252" s="758"/>
      <c r="B252" s="758"/>
      <c r="C252" s="758"/>
      <c r="D252" s="650"/>
      <c r="F252" s="759"/>
      <c r="G252" s="650"/>
      <c r="I252" s="650"/>
    </row>
    <row r="253" ht="14.25" customHeight="1">
      <c r="A253" s="758"/>
      <c r="B253" s="758"/>
      <c r="C253" s="758"/>
      <c r="D253" s="650"/>
      <c r="F253" s="759"/>
      <c r="G253" s="650"/>
      <c r="I253" s="650"/>
    </row>
    <row r="254" ht="14.25" customHeight="1">
      <c r="A254" s="758"/>
      <c r="B254" s="758"/>
      <c r="C254" s="758"/>
      <c r="D254" s="650"/>
      <c r="F254" s="759"/>
      <c r="G254" s="650"/>
      <c r="I254" s="650"/>
    </row>
    <row r="255" ht="14.25" customHeight="1">
      <c r="A255" s="758"/>
      <c r="B255" s="758"/>
      <c r="C255" s="758"/>
      <c r="D255" s="650"/>
      <c r="F255" s="759"/>
      <c r="G255" s="650"/>
      <c r="I255" s="650"/>
    </row>
    <row r="256" ht="14.25" customHeight="1">
      <c r="A256" s="758"/>
      <c r="B256" s="758"/>
      <c r="C256" s="758"/>
      <c r="D256" s="650"/>
      <c r="F256" s="759"/>
      <c r="G256" s="650"/>
      <c r="I256" s="650"/>
    </row>
    <row r="257" ht="14.25" customHeight="1">
      <c r="A257" s="758"/>
      <c r="B257" s="758"/>
      <c r="C257" s="758"/>
      <c r="D257" s="650"/>
      <c r="F257" s="759"/>
      <c r="G257" s="650"/>
      <c r="I257" s="650"/>
    </row>
    <row r="258" ht="14.25" customHeight="1">
      <c r="A258" s="758"/>
      <c r="B258" s="758"/>
      <c r="C258" s="758"/>
      <c r="D258" s="650"/>
      <c r="F258" s="759"/>
      <c r="G258" s="650"/>
      <c r="I258" s="650"/>
    </row>
    <row r="259" ht="14.25" customHeight="1">
      <c r="A259" s="758"/>
      <c r="B259" s="758"/>
      <c r="C259" s="758"/>
      <c r="D259" s="650"/>
      <c r="F259" s="759"/>
      <c r="G259" s="650"/>
      <c r="I259" s="650"/>
    </row>
    <row r="260" ht="14.25" customHeight="1">
      <c r="A260" s="758"/>
      <c r="B260" s="758"/>
      <c r="C260" s="758"/>
      <c r="D260" s="650"/>
      <c r="F260" s="759"/>
      <c r="G260" s="650"/>
      <c r="I260" s="650"/>
    </row>
    <row r="261" ht="14.25" customHeight="1">
      <c r="A261" s="758"/>
      <c r="B261" s="758"/>
      <c r="C261" s="758"/>
      <c r="D261" s="650"/>
      <c r="F261" s="759"/>
      <c r="G261" s="650"/>
      <c r="I261" s="650"/>
    </row>
    <row r="262" ht="14.25" customHeight="1">
      <c r="A262" s="758"/>
      <c r="B262" s="758"/>
      <c r="C262" s="758"/>
      <c r="D262" s="650"/>
      <c r="F262" s="759"/>
      <c r="G262" s="650"/>
      <c r="I262" s="650"/>
    </row>
    <row r="263" ht="14.25" customHeight="1">
      <c r="A263" s="758"/>
      <c r="B263" s="758"/>
      <c r="C263" s="758"/>
      <c r="D263" s="650"/>
      <c r="F263" s="759"/>
      <c r="G263" s="650"/>
      <c r="I263" s="650"/>
    </row>
    <row r="264" ht="14.25" customHeight="1">
      <c r="A264" s="758"/>
      <c r="B264" s="758"/>
      <c r="C264" s="758"/>
      <c r="D264" s="650"/>
      <c r="F264" s="759"/>
      <c r="G264" s="650"/>
      <c r="I264" s="650"/>
    </row>
    <row r="265" ht="14.25" customHeight="1">
      <c r="A265" s="758"/>
      <c r="B265" s="758"/>
      <c r="C265" s="758"/>
      <c r="D265" s="650"/>
      <c r="F265" s="759"/>
      <c r="G265" s="650"/>
      <c r="I265" s="650"/>
    </row>
    <row r="266" ht="14.25" customHeight="1">
      <c r="A266" s="758"/>
      <c r="B266" s="758"/>
      <c r="C266" s="758"/>
      <c r="D266" s="650"/>
      <c r="F266" s="759"/>
      <c r="G266" s="650"/>
      <c r="I266" s="650"/>
    </row>
    <row r="267" ht="14.25" customHeight="1">
      <c r="A267" s="758"/>
      <c r="B267" s="758"/>
      <c r="C267" s="758"/>
      <c r="D267" s="650"/>
      <c r="F267" s="759"/>
      <c r="G267" s="650"/>
      <c r="I267" s="650"/>
    </row>
    <row r="268" ht="14.25" customHeight="1">
      <c r="A268" s="758"/>
      <c r="B268" s="758"/>
      <c r="C268" s="758"/>
      <c r="D268" s="650"/>
      <c r="F268" s="759"/>
      <c r="G268" s="650"/>
      <c r="I268" s="650"/>
    </row>
    <row r="269" ht="14.25" customHeight="1">
      <c r="A269" s="758"/>
      <c r="B269" s="758"/>
      <c r="C269" s="758"/>
      <c r="D269" s="650"/>
      <c r="F269" s="759"/>
      <c r="G269" s="650"/>
      <c r="I269" s="650"/>
    </row>
    <row r="270" ht="14.25" customHeight="1">
      <c r="A270" s="758"/>
      <c r="B270" s="758"/>
      <c r="C270" s="758"/>
      <c r="D270" s="650"/>
      <c r="F270" s="759"/>
      <c r="G270" s="650"/>
      <c r="I270" s="650"/>
    </row>
    <row r="271" ht="14.25" customHeight="1">
      <c r="A271" s="758"/>
      <c r="B271" s="758"/>
      <c r="C271" s="758"/>
      <c r="D271" s="650"/>
      <c r="F271" s="759"/>
      <c r="G271" s="650"/>
      <c r="I271" s="650"/>
    </row>
    <row r="272" ht="14.25" customHeight="1">
      <c r="A272" s="758"/>
      <c r="B272" s="758"/>
      <c r="C272" s="758"/>
      <c r="D272" s="650"/>
      <c r="F272" s="759"/>
      <c r="G272" s="650"/>
      <c r="I272" s="650"/>
    </row>
    <row r="273" ht="14.25" customHeight="1">
      <c r="A273" s="758"/>
      <c r="B273" s="758"/>
      <c r="C273" s="758"/>
      <c r="D273" s="650"/>
      <c r="F273" s="759"/>
      <c r="G273" s="650"/>
      <c r="I273" s="650"/>
    </row>
    <row r="274" ht="14.25" customHeight="1">
      <c r="A274" s="758"/>
      <c r="B274" s="758"/>
      <c r="C274" s="758"/>
      <c r="D274" s="650"/>
      <c r="F274" s="759"/>
      <c r="G274" s="650"/>
      <c r="I274" s="650"/>
    </row>
    <row r="275" ht="14.25" customHeight="1">
      <c r="A275" s="758"/>
      <c r="B275" s="758"/>
      <c r="C275" s="758"/>
      <c r="D275" s="650"/>
      <c r="F275" s="759"/>
      <c r="G275" s="650"/>
      <c r="I275" s="650"/>
    </row>
    <row r="276" ht="14.25" customHeight="1">
      <c r="A276" s="758"/>
      <c r="B276" s="758"/>
      <c r="C276" s="758"/>
      <c r="D276" s="650"/>
      <c r="F276" s="759"/>
      <c r="G276" s="650"/>
      <c r="I276" s="650"/>
    </row>
    <row r="277" ht="14.25" customHeight="1">
      <c r="A277" s="758"/>
      <c r="B277" s="758"/>
      <c r="C277" s="758"/>
      <c r="D277" s="650"/>
      <c r="F277" s="759"/>
      <c r="G277" s="650"/>
      <c r="I277" s="650"/>
    </row>
    <row r="278" ht="14.25" customHeight="1">
      <c r="A278" s="758"/>
      <c r="B278" s="758"/>
      <c r="C278" s="758"/>
      <c r="D278" s="650"/>
      <c r="F278" s="759"/>
      <c r="G278" s="650"/>
      <c r="I278" s="650"/>
    </row>
    <row r="279" ht="14.25" customHeight="1">
      <c r="A279" s="758"/>
      <c r="B279" s="758"/>
      <c r="C279" s="758"/>
      <c r="D279" s="650"/>
      <c r="F279" s="759"/>
      <c r="G279" s="650"/>
      <c r="I279" s="650"/>
    </row>
    <row r="280" ht="14.25" customHeight="1">
      <c r="A280" s="758"/>
      <c r="B280" s="758"/>
      <c r="C280" s="758"/>
      <c r="D280" s="650"/>
      <c r="F280" s="759"/>
      <c r="G280" s="650"/>
      <c r="I280" s="650"/>
    </row>
    <row r="281" ht="14.25" customHeight="1">
      <c r="A281" s="758"/>
      <c r="B281" s="758"/>
      <c r="C281" s="758"/>
      <c r="D281" s="650"/>
      <c r="F281" s="759"/>
      <c r="G281" s="650"/>
      <c r="I281" s="650"/>
    </row>
    <row r="282" ht="14.25" customHeight="1">
      <c r="A282" s="758"/>
      <c r="B282" s="758"/>
      <c r="C282" s="758"/>
      <c r="D282" s="650"/>
      <c r="F282" s="759"/>
      <c r="G282" s="650"/>
      <c r="I282" s="650"/>
    </row>
    <row r="283" ht="14.25" customHeight="1">
      <c r="A283" s="758"/>
      <c r="B283" s="758"/>
      <c r="C283" s="758"/>
      <c r="D283" s="650"/>
      <c r="F283" s="759"/>
      <c r="G283" s="650"/>
      <c r="I283" s="650"/>
    </row>
    <row r="284" ht="14.25" customHeight="1">
      <c r="A284" s="758"/>
      <c r="B284" s="758"/>
      <c r="C284" s="758"/>
      <c r="D284" s="650"/>
      <c r="F284" s="759"/>
      <c r="G284" s="650"/>
      <c r="I284" s="650"/>
    </row>
    <row r="285" ht="14.25" customHeight="1">
      <c r="A285" s="758"/>
      <c r="B285" s="758"/>
      <c r="C285" s="758"/>
      <c r="D285" s="650"/>
      <c r="F285" s="759"/>
      <c r="G285" s="650"/>
      <c r="I285" s="650"/>
    </row>
    <row r="286" ht="14.25" customHeight="1">
      <c r="A286" s="758"/>
      <c r="B286" s="758"/>
      <c r="C286" s="758"/>
      <c r="D286" s="650"/>
      <c r="F286" s="759"/>
      <c r="G286" s="650"/>
      <c r="I286" s="650"/>
    </row>
    <row r="287" ht="14.25" customHeight="1">
      <c r="A287" s="758"/>
      <c r="B287" s="758"/>
      <c r="C287" s="758"/>
      <c r="D287" s="650"/>
      <c r="F287" s="759"/>
      <c r="G287" s="650"/>
      <c r="I287" s="650"/>
    </row>
    <row r="288" ht="14.25" customHeight="1">
      <c r="A288" s="758"/>
      <c r="B288" s="758"/>
      <c r="C288" s="758"/>
      <c r="D288" s="650"/>
      <c r="F288" s="759"/>
      <c r="G288" s="650"/>
      <c r="I288" s="650"/>
    </row>
    <row r="289" ht="14.25" customHeight="1">
      <c r="A289" s="758"/>
      <c r="B289" s="758"/>
      <c r="C289" s="758"/>
      <c r="D289" s="650"/>
      <c r="F289" s="759"/>
      <c r="G289" s="650"/>
      <c r="I289" s="650"/>
    </row>
    <row r="290" ht="14.25" customHeight="1">
      <c r="A290" s="758"/>
      <c r="B290" s="758"/>
      <c r="C290" s="758"/>
      <c r="D290" s="650"/>
      <c r="F290" s="759"/>
      <c r="G290" s="650"/>
      <c r="I290" s="650"/>
    </row>
    <row r="291" ht="14.25" customHeight="1">
      <c r="A291" s="758"/>
      <c r="B291" s="758"/>
      <c r="C291" s="758"/>
      <c r="D291" s="650"/>
      <c r="F291" s="759"/>
      <c r="G291" s="650"/>
      <c r="I291" s="650"/>
    </row>
    <row r="292" ht="14.25" customHeight="1">
      <c r="A292" s="758"/>
      <c r="B292" s="758"/>
      <c r="C292" s="758"/>
      <c r="D292" s="650"/>
      <c r="F292" s="759"/>
      <c r="G292" s="650"/>
      <c r="I292" s="650"/>
    </row>
    <row r="293" ht="14.25" customHeight="1">
      <c r="A293" s="758"/>
      <c r="B293" s="758"/>
      <c r="C293" s="758"/>
      <c r="D293" s="650"/>
      <c r="F293" s="759"/>
      <c r="G293" s="650"/>
      <c r="I293" s="650"/>
    </row>
    <row r="294" ht="14.25" customHeight="1">
      <c r="A294" s="758"/>
      <c r="B294" s="758"/>
      <c r="C294" s="758"/>
      <c r="D294" s="650"/>
      <c r="F294" s="759"/>
      <c r="G294" s="650"/>
      <c r="I294" s="650"/>
    </row>
    <row r="295" ht="14.25" customHeight="1">
      <c r="A295" s="758"/>
      <c r="B295" s="758"/>
      <c r="C295" s="758"/>
      <c r="D295" s="650"/>
      <c r="F295" s="759"/>
      <c r="G295" s="650"/>
      <c r="I295" s="650"/>
    </row>
    <row r="296" ht="14.25" customHeight="1">
      <c r="A296" s="758"/>
      <c r="B296" s="758"/>
      <c r="C296" s="758"/>
      <c r="D296" s="650"/>
      <c r="F296" s="759"/>
      <c r="G296" s="650"/>
      <c r="I296" s="650"/>
    </row>
    <row r="297" ht="14.25" customHeight="1">
      <c r="A297" s="758"/>
      <c r="B297" s="758"/>
      <c r="C297" s="758"/>
      <c r="D297" s="650"/>
      <c r="F297" s="759"/>
      <c r="G297" s="650"/>
      <c r="I297" s="650"/>
    </row>
    <row r="298" ht="14.25" customHeight="1">
      <c r="A298" s="758"/>
      <c r="B298" s="758"/>
      <c r="C298" s="758"/>
      <c r="D298" s="650"/>
      <c r="F298" s="759"/>
      <c r="G298" s="650"/>
      <c r="I298" s="650"/>
    </row>
    <row r="299" ht="14.25" customHeight="1">
      <c r="A299" s="758"/>
      <c r="B299" s="758"/>
      <c r="C299" s="758"/>
      <c r="D299" s="650"/>
      <c r="F299" s="759"/>
      <c r="G299" s="650"/>
      <c r="I299" s="650"/>
    </row>
    <row r="300" ht="14.25" customHeight="1">
      <c r="A300" s="758"/>
      <c r="B300" s="758"/>
      <c r="C300" s="758"/>
      <c r="D300" s="650"/>
      <c r="F300" s="759"/>
      <c r="G300" s="650"/>
      <c r="I300" s="650"/>
    </row>
    <row r="301" ht="14.25" customHeight="1">
      <c r="A301" s="758"/>
      <c r="B301" s="758"/>
      <c r="C301" s="758"/>
      <c r="D301" s="650"/>
      <c r="F301" s="759"/>
      <c r="G301" s="650"/>
      <c r="I301" s="650"/>
    </row>
    <row r="302" ht="14.25" customHeight="1">
      <c r="A302" s="758"/>
      <c r="B302" s="758"/>
      <c r="C302" s="758"/>
      <c r="D302" s="650"/>
      <c r="F302" s="759"/>
      <c r="G302" s="650"/>
      <c r="I302" s="650"/>
    </row>
    <row r="303" ht="14.25" customHeight="1">
      <c r="A303" s="758"/>
      <c r="B303" s="758"/>
      <c r="C303" s="758"/>
      <c r="D303" s="650"/>
      <c r="F303" s="759"/>
      <c r="G303" s="650"/>
      <c r="I303" s="650"/>
    </row>
    <row r="304" ht="14.25" customHeight="1">
      <c r="A304" s="758"/>
      <c r="B304" s="758"/>
      <c r="C304" s="758"/>
      <c r="D304" s="650"/>
      <c r="F304" s="759"/>
      <c r="G304" s="650"/>
      <c r="I304" s="650"/>
    </row>
    <row r="305" ht="14.25" customHeight="1">
      <c r="A305" s="758"/>
      <c r="B305" s="758"/>
      <c r="C305" s="758"/>
      <c r="D305" s="650"/>
      <c r="F305" s="759"/>
      <c r="G305" s="650"/>
      <c r="I305" s="650"/>
    </row>
    <row r="306" ht="14.25" customHeight="1">
      <c r="A306" s="758"/>
      <c r="B306" s="758"/>
      <c r="C306" s="758"/>
      <c r="D306" s="650"/>
      <c r="F306" s="759"/>
      <c r="G306" s="650"/>
      <c r="I306" s="650"/>
    </row>
    <row r="307" ht="14.25" customHeight="1">
      <c r="A307" s="758"/>
      <c r="B307" s="758"/>
      <c r="C307" s="758"/>
      <c r="D307" s="650"/>
      <c r="F307" s="759"/>
      <c r="G307" s="650"/>
      <c r="I307" s="650"/>
    </row>
    <row r="308" ht="14.25" customHeight="1">
      <c r="A308" s="758"/>
      <c r="B308" s="758"/>
      <c r="C308" s="758"/>
      <c r="D308" s="650"/>
      <c r="F308" s="759"/>
      <c r="G308" s="650"/>
      <c r="I308" s="650"/>
    </row>
    <row r="309" ht="14.25" customHeight="1">
      <c r="A309" s="758"/>
      <c r="B309" s="758"/>
      <c r="C309" s="758"/>
      <c r="D309" s="650"/>
      <c r="F309" s="759"/>
      <c r="G309" s="650"/>
      <c r="I309" s="650"/>
    </row>
    <row r="310" ht="14.25" customHeight="1">
      <c r="A310" s="758"/>
      <c r="B310" s="758"/>
      <c r="C310" s="758"/>
      <c r="D310" s="650"/>
      <c r="F310" s="759"/>
      <c r="G310" s="650"/>
      <c r="I310" s="650"/>
    </row>
    <row r="311" ht="14.25" customHeight="1">
      <c r="A311" s="758"/>
      <c r="B311" s="758"/>
      <c r="C311" s="758"/>
      <c r="D311" s="650"/>
      <c r="F311" s="759"/>
      <c r="G311" s="650"/>
      <c r="I311" s="650"/>
    </row>
    <row r="312" ht="14.25" customHeight="1">
      <c r="A312" s="758"/>
      <c r="B312" s="758"/>
      <c r="C312" s="758"/>
      <c r="D312" s="650"/>
      <c r="F312" s="759"/>
      <c r="G312" s="650"/>
      <c r="I312" s="650"/>
    </row>
    <row r="313" ht="14.25" customHeight="1">
      <c r="A313" s="758"/>
      <c r="B313" s="758"/>
      <c r="C313" s="758"/>
      <c r="D313" s="650"/>
      <c r="F313" s="759"/>
      <c r="G313" s="650"/>
      <c r="I313" s="650"/>
    </row>
    <row r="314" ht="14.25" customHeight="1">
      <c r="A314" s="758"/>
      <c r="B314" s="758"/>
      <c r="C314" s="758"/>
      <c r="D314" s="650"/>
      <c r="F314" s="759"/>
      <c r="G314" s="650"/>
      <c r="I314" s="650"/>
    </row>
    <row r="315" ht="14.25" customHeight="1">
      <c r="A315" s="758"/>
      <c r="B315" s="758"/>
      <c r="C315" s="758"/>
      <c r="D315" s="650"/>
      <c r="F315" s="759"/>
      <c r="G315" s="650"/>
      <c r="I315" s="650"/>
    </row>
    <row r="316" ht="14.25" customHeight="1">
      <c r="A316" s="758"/>
      <c r="B316" s="758"/>
      <c r="C316" s="758"/>
      <c r="D316" s="650"/>
      <c r="F316" s="759"/>
      <c r="G316" s="650"/>
      <c r="I316" s="650"/>
    </row>
    <row r="317" ht="14.25" customHeight="1">
      <c r="A317" s="758"/>
      <c r="B317" s="758"/>
      <c r="C317" s="758"/>
      <c r="D317" s="650"/>
      <c r="F317" s="759"/>
      <c r="G317" s="650"/>
      <c r="I317" s="650"/>
    </row>
    <row r="318" ht="14.25" customHeight="1">
      <c r="A318" s="758"/>
      <c r="B318" s="758"/>
      <c r="C318" s="758"/>
      <c r="D318" s="650"/>
      <c r="F318" s="759"/>
      <c r="G318" s="650"/>
      <c r="I318" s="650"/>
    </row>
    <row r="319" ht="14.25" customHeight="1">
      <c r="A319" s="758"/>
      <c r="B319" s="758"/>
      <c r="C319" s="758"/>
      <c r="D319" s="650"/>
      <c r="F319" s="759"/>
      <c r="G319" s="650"/>
      <c r="I319" s="650"/>
    </row>
    <row r="320" ht="14.25" customHeight="1">
      <c r="A320" s="758"/>
      <c r="B320" s="758"/>
      <c r="C320" s="758"/>
      <c r="D320" s="650"/>
      <c r="F320" s="759"/>
      <c r="G320" s="650"/>
      <c r="I320" s="650"/>
    </row>
    <row r="321" ht="14.25" customHeight="1">
      <c r="A321" s="758"/>
      <c r="B321" s="758"/>
      <c r="C321" s="758"/>
      <c r="D321" s="650"/>
      <c r="F321" s="759"/>
      <c r="G321" s="650"/>
      <c r="I321" s="650"/>
    </row>
    <row r="322" ht="14.25" customHeight="1">
      <c r="A322" s="758"/>
      <c r="B322" s="758"/>
      <c r="C322" s="758"/>
      <c r="D322" s="650"/>
      <c r="F322" s="759"/>
      <c r="G322" s="650"/>
      <c r="I322" s="650"/>
    </row>
    <row r="323" ht="14.25" customHeight="1">
      <c r="A323" s="758"/>
      <c r="B323" s="758"/>
      <c r="C323" s="758"/>
      <c r="D323" s="650"/>
      <c r="F323" s="759"/>
      <c r="G323" s="650"/>
      <c r="I323" s="650"/>
    </row>
    <row r="324" ht="14.25" customHeight="1">
      <c r="A324" s="758"/>
      <c r="B324" s="758"/>
      <c r="C324" s="758"/>
      <c r="D324" s="650"/>
      <c r="F324" s="759"/>
      <c r="G324" s="650"/>
      <c r="I324" s="650"/>
    </row>
    <row r="325" ht="14.25" customHeight="1">
      <c r="A325" s="758"/>
      <c r="B325" s="758"/>
      <c r="C325" s="758"/>
      <c r="D325" s="650"/>
      <c r="F325" s="759"/>
      <c r="G325" s="650"/>
      <c r="I325" s="650"/>
    </row>
    <row r="326" ht="14.25" customHeight="1">
      <c r="A326" s="758"/>
      <c r="B326" s="758"/>
      <c r="C326" s="758"/>
      <c r="D326" s="650"/>
      <c r="F326" s="759"/>
      <c r="G326" s="650"/>
      <c r="I326" s="650"/>
    </row>
    <row r="327" ht="14.25" customHeight="1">
      <c r="A327" s="758"/>
      <c r="B327" s="758"/>
      <c r="C327" s="758"/>
      <c r="D327" s="650"/>
      <c r="F327" s="759"/>
      <c r="G327" s="650"/>
      <c r="I327" s="650"/>
    </row>
    <row r="328" ht="14.25" customHeight="1">
      <c r="A328" s="758"/>
      <c r="B328" s="758"/>
      <c r="C328" s="758"/>
      <c r="D328" s="650"/>
      <c r="F328" s="759"/>
      <c r="G328" s="650"/>
      <c r="I328" s="650"/>
    </row>
    <row r="329" ht="14.25" customHeight="1">
      <c r="A329" s="758"/>
      <c r="B329" s="758"/>
      <c r="C329" s="758"/>
      <c r="D329" s="650"/>
      <c r="F329" s="759"/>
      <c r="G329" s="650"/>
      <c r="I329" s="650"/>
    </row>
    <row r="330" ht="14.25" customHeight="1">
      <c r="A330" s="758"/>
      <c r="B330" s="758"/>
      <c r="C330" s="758"/>
      <c r="D330" s="650"/>
      <c r="F330" s="759"/>
      <c r="G330" s="650"/>
      <c r="I330" s="650"/>
    </row>
    <row r="331" ht="14.25" customHeight="1">
      <c r="A331" s="758"/>
      <c r="B331" s="758"/>
      <c r="C331" s="758"/>
      <c r="D331" s="650"/>
      <c r="F331" s="759"/>
      <c r="G331" s="650"/>
      <c r="I331" s="650"/>
    </row>
    <row r="332" ht="14.25" customHeight="1">
      <c r="A332" s="758"/>
      <c r="B332" s="758"/>
      <c r="C332" s="758"/>
      <c r="D332" s="650"/>
      <c r="F332" s="759"/>
      <c r="G332" s="650"/>
      <c r="I332" s="650"/>
    </row>
    <row r="333" ht="14.25" customHeight="1">
      <c r="A333" s="758"/>
      <c r="B333" s="758"/>
      <c r="C333" s="758"/>
      <c r="D333" s="650"/>
      <c r="F333" s="759"/>
      <c r="G333" s="650"/>
      <c r="I333" s="650"/>
    </row>
    <row r="334" ht="14.25" customHeight="1">
      <c r="A334" s="758"/>
      <c r="B334" s="758"/>
      <c r="C334" s="758"/>
      <c r="D334" s="650"/>
      <c r="F334" s="759"/>
      <c r="G334" s="650"/>
      <c r="I334" s="650"/>
    </row>
    <row r="335" ht="14.25" customHeight="1">
      <c r="A335" s="758"/>
      <c r="B335" s="758"/>
      <c r="C335" s="758"/>
      <c r="D335" s="650"/>
      <c r="F335" s="759"/>
      <c r="G335" s="650"/>
      <c r="I335" s="650"/>
    </row>
    <row r="336" ht="14.25" customHeight="1">
      <c r="A336" s="758"/>
      <c r="B336" s="758"/>
      <c r="C336" s="758"/>
      <c r="D336" s="650"/>
      <c r="F336" s="759"/>
      <c r="G336" s="650"/>
      <c r="I336" s="650"/>
    </row>
    <row r="337" ht="14.25" customHeight="1">
      <c r="A337" s="758"/>
      <c r="B337" s="758"/>
      <c r="C337" s="758"/>
      <c r="D337" s="650"/>
      <c r="F337" s="759"/>
      <c r="G337" s="650"/>
      <c r="I337" s="650"/>
    </row>
    <row r="338" ht="14.25" customHeight="1">
      <c r="A338" s="758"/>
      <c r="B338" s="758"/>
      <c r="C338" s="758"/>
      <c r="D338" s="650"/>
      <c r="F338" s="759"/>
      <c r="G338" s="650"/>
      <c r="I338" s="650"/>
    </row>
    <row r="339" ht="14.25" customHeight="1">
      <c r="A339" s="758"/>
      <c r="B339" s="758"/>
      <c r="C339" s="758"/>
      <c r="D339" s="650"/>
      <c r="F339" s="759"/>
      <c r="G339" s="650"/>
      <c r="I339" s="650"/>
    </row>
    <row r="340" ht="14.25" customHeight="1">
      <c r="A340" s="758"/>
      <c r="B340" s="758"/>
      <c r="C340" s="758"/>
      <c r="D340" s="650"/>
      <c r="F340" s="759"/>
      <c r="G340" s="650"/>
      <c r="I340" s="650"/>
    </row>
    <row r="341" ht="14.25" customHeight="1">
      <c r="A341" s="758"/>
      <c r="B341" s="758"/>
      <c r="C341" s="758"/>
      <c r="D341" s="650"/>
      <c r="F341" s="759"/>
      <c r="G341" s="650"/>
      <c r="I341" s="650"/>
    </row>
    <row r="342" ht="14.25" customHeight="1">
      <c r="A342" s="758"/>
      <c r="B342" s="758"/>
      <c r="C342" s="758"/>
      <c r="D342" s="650"/>
      <c r="F342" s="759"/>
      <c r="G342" s="650"/>
      <c r="I342" s="650"/>
    </row>
    <row r="343" ht="14.25" customHeight="1">
      <c r="A343" s="758"/>
      <c r="B343" s="758"/>
      <c r="C343" s="758"/>
      <c r="D343" s="650"/>
      <c r="F343" s="759"/>
      <c r="G343" s="650"/>
      <c r="I343" s="650"/>
    </row>
    <row r="344" ht="14.25" customHeight="1">
      <c r="A344" s="758"/>
      <c r="B344" s="758"/>
      <c r="C344" s="758"/>
      <c r="D344" s="650"/>
      <c r="F344" s="759"/>
      <c r="G344" s="650"/>
      <c r="I344" s="650"/>
    </row>
    <row r="345" ht="14.25" customHeight="1">
      <c r="A345" s="758"/>
      <c r="B345" s="758"/>
      <c r="C345" s="758"/>
      <c r="D345" s="650"/>
      <c r="F345" s="759"/>
      <c r="G345" s="650"/>
      <c r="I345" s="650"/>
    </row>
    <row r="346" ht="14.25" customHeight="1">
      <c r="A346" s="758"/>
      <c r="B346" s="758"/>
      <c r="C346" s="758"/>
      <c r="D346" s="650"/>
      <c r="F346" s="759"/>
      <c r="G346" s="650"/>
      <c r="I346" s="650"/>
    </row>
    <row r="347" ht="14.25" customHeight="1">
      <c r="A347" s="758"/>
      <c r="B347" s="758"/>
      <c r="C347" s="758"/>
      <c r="D347" s="650"/>
      <c r="F347" s="759"/>
      <c r="G347" s="650"/>
      <c r="I347" s="650"/>
    </row>
    <row r="348" ht="14.25" customHeight="1">
      <c r="A348" s="758"/>
      <c r="B348" s="758"/>
      <c r="C348" s="758"/>
      <c r="D348" s="650"/>
      <c r="F348" s="759"/>
      <c r="G348" s="650"/>
      <c r="I348" s="650"/>
    </row>
    <row r="349" ht="14.25" customHeight="1">
      <c r="A349" s="758"/>
      <c r="B349" s="758"/>
      <c r="C349" s="758"/>
      <c r="D349" s="650"/>
      <c r="F349" s="759"/>
      <c r="G349" s="650"/>
      <c r="I349" s="650"/>
    </row>
    <row r="350" ht="14.25" customHeight="1">
      <c r="A350" s="758"/>
      <c r="B350" s="758"/>
      <c r="C350" s="758"/>
      <c r="D350" s="650"/>
      <c r="F350" s="759"/>
      <c r="G350" s="650"/>
      <c r="I350" s="650"/>
    </row>
    <row r="351" ht="14.25" customHeight="1">
      <c r="A351" s="758"/>
      <c r="B351" s="758"/>
      <c r="C351" s="758"/>
      <c r="D351" s="650"/>
      <c r="F351" s="759"/>
      <c r="G351" s="650"/>
      <c r="I351" s="650"/>
    </row>
    <row r="352" ht="14.25" customHeight="1">
      <c r="A352" s="758"/>
      <c r="B352" s="758"/>
      <c r="C352" s="758"/>
      <c r="D352" s="650"/>
      <c r="F352" s="759"/>
      <c r="G352" s="650"/>
      <c r="I352" s="650"/>
    </row>
    <row r="353" ht="14.25" customHeight="1">
      <c r="A353" s="758"/>
      <c r="B353" s="758"/>
      <c r="C353" s="758"/>
      <c r="D353" s="650"/>
      <c r="F353" s="759"/>
      <c r="G353" s="650"/>
      <c r="I353" s="650"/>
    </row>
    <row r="354" ht="14.25" customHeight="1">
      <c r="A354" s="758"/>
      <c r="B354" s="758"/>
      <c r="C354" s="758"/>
      <c r="D354" s="650"/>
      <c r="F354" s="759"/>
      <c r="G354" s="650"/>
      <c r="I354" s="650"/>
    </row>
    <row r="355" ht="14.25" customHeight="1">
      <c r="A355" s="758"/>
      <c r="B355" s="758"/>
      <c r="C355" s="758"/>
      <c r="D355" s="650"/>
      <c r="F355" s="759"/>
      <c r="G355" s="650"/>
      <c r="I355" s="650"/>
    </row>
    <row r="356" ht="14.25" customHeight="1">
      <c r="A356" s="758"/>
      <c r="B356" s="758"/>
      <c r="C356" s="758"/>
      <c r="D356" s="650"/>
      <c r="F356" s="759"/>
      <c r="G356" s="650"/>
      <c r="I356" s="650"/>
    </row>
    <row r="357" ht="14.25" customHeight="1">
      <c r="A357" s="758"/>
      <c r="B357" s="758"/>
      <c r="C357" s="758"/>
      <c r="D357" s="650"/>
      <c r="F357" s="759"/>
      <c r="G357" s="650"/>
      <c r="I357" s="650"/>
    </row>
    <row r="358" ht="14.25" customHeight="1">
      <c r="A358" s="758"/>
      <c r="B358" s="758"/>
      <c r="C358" s="758"/>
      <c r="D358" s="650"/>
      <c r="F358" s="759"/>
      <c r="G358" s="650"/>
      <c r="I358" s="650"/>
    </row>
    <row r="359" ht="14.25" customHeight="1">
      <c r="A359" s="758"/>
      <c r="B359" s="758"/>
      <c r="C359" s="758"/>
      <c r="D359" s="650"/>
      <c r="F359" s="759"/>
      <c r="G359" s="650"/>
      <c r="I359" s="650"/>
    </row>
    <row r="360" ht="14.25" customHeight="1">
      <c r="A360" s="758"/>
      <c r="B360" s="758"/>
      <c r="C360" s="758"/>
      <c r="D360" s="650"/>
      <c r="F360" s="759"/>
      <c r="G360" s="650"/>
      <c r="I360" s="650"/>
    </row>
    <row r="361" ht="14.25" customHeight="1">
      <c r="A361" s="758"/>
      <c r="B361" s="758"/>
      <c r="C361" s="758"/>
      <c r="D361" s="650"/>
      <c r="F361" s="759"/>
      <c r="G361" s="650"/>
      <c r="I361" s="650"/>
    </row>
    <row r="362" ht="14.25" customHeight="1">
      <c r="A362" s="758"/>
      <c r="B362" s="758"/>
      <c r="C362" s="758"/>
      <c r="D362" s="650"/>
      <c r="F362" s="759"/>
      <c r="G362" s="650"/>
      <c r="I362" s="650"/>
    </row>
    <row r="363" ht="14.25" customHeight="1">
      <c r="A363" s="758"/>
      <c r="B363" s="758"/>
      <c r="C363" s="758"/>
      <c r="D363" s="650"/>
      <c r="F363" s="759"/>
      <c r="G363" s="650"/>
      <c r="I363" s="650"/>
    </row>
    <row r="364" ht="14.25" customHeight="1">
      <c r="A364" s="758"/>
      <c r="B364" s="758"/>
      <c r="C364" s="758"/>
      <c r="D364" s="650"/>
      <c r="F364" s="759"/>
      <c r="G364" s="650"/>
      <c r="I364" s="650"/>
    </row>
    <row r="365" ht="14.25" customHeight="1">
      <c r="A365" s="758"/>
      <c r="B365" s="758"/>
      <c r="C365" s="758"/>
      <c r="D365" s="650"/>
      <c r="F365" s="759"/>
      <c r="G365" s="650"/>
      <c r="I365" s="650"/>
    </row>
    <row r="366" ht="14.25" customHeight="1">
      <c r="A366" s="758"/>
      <c r="B366" s="758"/>
      <c r="C366" s="758"/>
      <c r="D366" s="650"/>
      <c r="F366" s="759"/>
      <c r="G366" s="650"/>
      <c r="I366" s="650"/>
    </row>
    <row r="367" ht="14.25" customHeight="1">
      <c r="A367" s="758"/>
      <c r="B367" s="758"/>
      <c r="C367" s="758"/>
      <c r="D367" s="650"/>
      <c r="F367" s="759"/>
      <c r="G367" s="650"/>
      <c r="I367" s="650"/>
    </row>
    <row r="368" ht="14.25" customHeight="1">
      <c r="A368" s="758"/>
      <c r="B368" s="758"/>
      <c r="C368" s="758"/>
      <c r="D368" s="650"/>
      <c r="F368" s="759"/>
      <c r="G368" s="650"/>
      <c r="I368" s="650"/>
    </row>
    <row r="369" ht="14.25" customHeight="1">
      <c r="A369" s="758"/>
      <c r="B369" s="758"/>
      <c r="C369" s="758"/>
      <c r="D369" s="650"/>
      <c r="F369" s="759"/>
      <c r="G369" s="650"/>
      <c r="I369" s="650"/>
    </row>
    <row r="370" ht="14.25" customHeight="1">
      <c r="A370" s="758"/>
      <c r="B370" s="758"/>
      <c r="C370" s="758"/>
      <c r="D370" s="650"/>
      <c r="F370" s="759"/>
      <c r="G370" s="650"/>
      <c r="I370" s="650"/>
    </row>
    <row r="371" ht="14.25" customHeight="1">
      <c r="A371" s="758"/>
      <c r="B371" s="758"/>
      <c r="C371" s="758"/>
      <c r="D371" s="650"/>
      <c r="F371" s="759"/>
      <c r="G371" s="650"/>
      <c r="I371" s="650"/>
    </row>
    <row r="372" ht="14.25" customHeight="1">
      <c r="A372" s="758"/>
      <c r="B372" s="758"/>
      <c r="C372" s="758"/>
      <c r="D372" s="650"/>
      <c r="F372" s="759"/>
      <c r="G372" s="650"/>
      <c r="I372" s="650"/>
    </row>
    <row r="373" ht="14.25" customHeight="1">
      <c r="A373" s="758"/>
      <c r="B373" s="758"/>
      <c r="C373" s="758"/>
      <c r="D373" s="650"/>
      <c r="F373" s="759"/>
      <c r="G373" s="650"/>
      <c r="I373" s="650"/>
    </row>
    <row r="374" ht="14.25" customHeight="1">
      <c r="A374" s="758"/>
      <c r="B374" s="758"/>
      <c r="C374" s="758"/>
      <c r="D374" s="650"/>
      <c r="F374" s="759"/>
      <c r="G374" s="650"/>
      <c r="I374" s="650"/>
    </row>
    <row r="375" ht="14.25" customHeight="1">
      <c r="A375" s="758"/>
      <c r="B375" s="758"/>
      <c r="C375" s="758"/>
      <c r="D375" s="650"/>
      <c r="F375" s="759"/>
      <c r="G375" s="650"/>
      <c r="I375" s="650"/>
    </row>
    <row r="376" ht="14.25" customHeight="1">
      <c r="A376" s="758"/>
      <c r="B376" s="758"/>
      <c r="C376" s="758"/>
      <c r="D376" s="650"/>
      <c r="F376" s="759"/>
      <c r="G376" s="650"/>
      <c r="I376" s="650"/>
    </row>
    <row r="377" ht="14.25" customHeight="1">
      <c r="A377" s="758"/>
      <c r="B377" s="758"/>
      <c r="C377" s="758"/>
      <c r="D377" s="650"/>
      <c r="F377" s="759"/>
      <c r="G377" s="650"/>
      <c r="I377" s="650"/>
    </row>
    <row r="378" ht="14.25" customHeight="1">
      <c r="A378" s="758"/>
      <c r="B378" s="758"/>
      <c r="C378" s="758"/>
      <c r="D378" s="650"/>
      <c r="F378" s="759"/>
      <c r="G378" s="650"/>
      <c r="I378" s="650"/>
    </row>
    <row r="379" ht="14.25" customHeight="1">
      <c r="A379" s="758"/>
      <c r="B379" s="758"/>
      <c r="C379" s="758"/>
      <c r="D379" s="650"/>
      <c r="F379" s="759"/>
      <c r="G379" s="650"/>
      <c r="I379" s="650"/>
    </row>
    <row r="380" ht="14.25" customHeight="1">
      <c r="A380" s="758"/>
      <c r="B380" s="758"/>
      <c r="C380" s="758"/>
      <c r="D380" s="650"/>
      <c r="F380" s="759"/>
      <c r="G380" s="650"/>
      <c r="I380" s="650"/>
    </row>
    <row r="381" ht="14.25" customHeight="1">
      <c r="A381" s="758"/>
      <c r="B381" s="758"/>
      <c r="C381" s="758"/>
      <c r="D381" s="650"/>
      <c r="F381" s="759"/>
      <c r="G381" s="650"/>
      <c r="I381" s="650"/>
    </row>
    <row r="382" ht="14.25" customHeight="1">
      <c r="A382" s="758"/>
      <c r="B382" s="758"/>
      <c r="C382" s="758"/>
      <c r="D382" s="650"/>
      <c r="F382" s="759"/>
      <c r="G382" s="650"/>
      <c r="I382" s="650"/>
    </row>
    <row r="383" ht="14.25" customHeight="1">
      <c r="A383" s="758"/>
      <c r="B383" s="758"/>
      <c r="C383" s="758"/>
      <c r="D383" s="650"/>
      <c r="F383" s="759"/>
      <c r="G383" s="650"/>
      <c r="I383" s="650"/>
    </row>
    <row r="384" ht="14.25" customHeight="1">
      <c r="A384" s="758"/>
      <c r="B384" s="758"/>
      <c r="C384" s="758"/>
      <c r="D384" s="650"/>
      <c r="F384" s="759"/>
      <c r="G384" s="650"/>
      <c r="I384" s="650"/>
    </row>
    <row r="385" ht="14.25" customHeight="1">
      <c r="A385" s="758"/>
      <c r="B385" s="758"/>
      <c r="C385" s="758"/>
      <c r="D385" s="650"/>
      <c r="F385" s="759"/>
      <c r="G385" s="650"/>
      <c r="I385" s="650"/>
    </row>
    <row r="386" ht="14.25" customHeight="1">
      <c r="A386" s="758"/>
      <c r="B386" s="758"/>
      <c r="C386" s="758"/>
      <c r="D386" s="650"/>
      <c r="F386" s="759"/>
      <c r="G386" s="650"/>
      <c r="I386" s="650"/>
    </row>
    <row r="387" ht="14.25" customHeight="1">
      <c r="A387" s="758"/>
      <c r="B387" s="758"/>
      <c r="C387" s="758"/>
      <c r="D387" s="650"/>
      <c r="F387" s="759"/>
      <c r="G387" s="650"/>
      <c r="I387" s="650"/>
    </row>
    <row r="388" ht="14.25" customHeight="1">
      <c r="A388" s="758"/>
      <c r="B388" s="758"/>
      <c r="C388" s="758"/>
      <c r="D388" s="650"/>
      <c r="F388" s="759"/>
      <c r="G388" s="650"/>
      <c r="I388" s="650"/>
    </row>
    <row r="389" ht="14.25" customHeight="1">
      <c r="A389" s="758"/>
      <c r="B389" s="758"/>
      <c r="C389" s="758"/>
      <c r="D389" s="650"/>
      <c r="F389" s="759"/>
      <c r="G389" s="650"/>
      <c r="I389" s="650"/>
    </row>
    <row r="390" ht="14.25" customHeight="1">
      <c r="A390" s="758"/>
      <c r="B390" s="758"/>
      <c r="C390" s="758"/>
      <c r="D390" s="650"/>
      <c r="F390" s="759"/>
      <c r="G390" s="650"/>
      <c r="I390" s="650"/>
    </row>
    <row r="391" ht="14.25" customHeight="1">
      <c r="A391" s="758"/>
      <c r="B391" s="758"/>
      <c r="C391" s="758"/>
      <c r="D391" s="650"/>
      <c r="F391" s="759"/>
      <c r="G391" s="650"/>
      <c r="I391" s="650"/>
    </row>
    <row r="392" ht="14.25" customHeight="1">
      <c r="A392" s="758"/>
      <c r="B392" s="758"/>
      <c r="C392" s="758"/>
      <c r="D392" s="650"/>
      <c r="F392" s="759"/>
      <c r="G392" s="650"/>
      <c r="I392" s="650"/>
    </row>
    <row r="393" ht="14.25" customHeight="1">
      <c r="A393" s="758"/>
      <c r="B393" s="758"/>
      <c r="C393" s="758"/>
      <c r="D393" s="650"/>
      <c r="F393" s="759"/>
      <c r="G393" s="650"/>
      <c r="I393" s="650"/>
    </row>
    <row r="394" ht="14.25" customHeight="1">
      <c r="A394" s="758"/>
      <c r="B394" s="758"/>
      <c r="C394" s="758"/>
      <c r="D394" s="650"/>
      <c r="F394" s="759"/>
      <c r="G394" s="650"/>
      <c r="I394" s="650"/>
    </row>
    <row r="395" ht="14.25" customHeight="1">
      <c r="A395" s="758"/>
      <c r="B395" s="758"/>
      <c r="C395" s="758"/>
      <c r="D395" s="650"/>
      <c r="F395" s="759"/>
      <c r="G395" s="650"/>
      <c r="I395" s="650"/>
    </row>
    <row r="396" ht="14.25" customHeight="1">
      <c r="A396" s="758"/>
      <c r="B396" s="758"/>
      <c r="C396" s="758"/>
      <c r="D396" s="650"/>
      <c r="F396" s="759"/>
      <c r="G396" s="650"/>
      <c r="I396" s="650"/>
    </row>
    <row r="397" ht="14.25" customHeight="1">
      <c r="A397" s="758"/>
      <c r="B397" s="758"/>
      <c r="C397" s="758"/>
      <c r="D397" s="650"/>
      <c r="F397" s="759"/>
      <c r="G397" s="650"/>
      <c r="I397" s="650"/>
    </row>
    <row r="398" ht="14.25" customHeight="1">
      <c r="A398" s="758"/>
      <c r="B398" s="758"/>
      <c r="C398" s="758"/>
      <c r="D398" s="650"/>
      <c r="F398" s="759"/>
      <c r="G398" s="650"/>
      <c r="I398" s="650"/>
    </row>
    <row r="399" ht="14.25" customHeight="1">
      <c r="A399" s="758"/>
      <c r="B399" s="758"/>
      <c r="C399" s="758"/>
      <c r="D399" s="650"/>
      <c r="F399" s="759"/>
      <c r="G399" s="650"/>
      <c r="I399" s="650"/>
    </row>
    <row r="400" ht="14.25" customHeight="1">
      <c r="A400" s="758"/>
      <c r="B400" s="758"/>
      <c r="C400" s="758"/>
      <c r="D400" s="650"/>
      <c r="F400" s="759"/>
      <c r="G400" s="650"/>
      <c r="I400" s="650"/>
    </row>
    <row r="401" ht="14.25" customHeight="1">
      <c r="A401" s="758"/>
      <c r="B401" s="758"/>
      <c r="C401" s="758"/>
      <c r="D401" s="650"/>
      <c r="F401" s="759"/>
      <c r="G401" s="650"/>
      <c r="I401" s="650"/>
    </row>
    <row r="402" ht="14.25" customHeight="1">
      <c r="A402" s="758"/>
      <c r="B402" s="758"/>
      <c r="C402" s="758"/>
      <c r="D402" s="650"/>
      <c r="F402" s="759"/>
      <c r="G402" s="650"/>
      <c r="I402" s="650"/>
    </row>
    <row r="403" ht="14.25" customHeight="1">
      <c r="A403" s="758"/>
      <c r="B403" s="758"/>
      <c r="C403" s="758"/>
      <c r="D403" s="650"/>
      <c r="F403" s="759"/>
      <c r="G403" s="650"/>
      <c r="I403" s="650"/>
    </row>
    <row r="404" ht="14.25" customHeight="1">
      <c r="A404" s="758"/>
      <c r="B404" s="758"/>
      <c r="C404" s="758"/>
      <c r="D404" s="650"/>
      <c r="F404" s="759"/>
      <c r="G404" s="650"/>
      <c r="I404" s="650"/>
    </row>
    <row r="405" ht="14.25" customHeight="1">
      <c r="A405" s="758"/>
      <c r="B405" s="758"/>
      <c r="C405" s="758"/>
      <c r="D405" s="650"/>
      <c r="F405" s="759"/>
      <c r="G405" s="650"/>
      <c r="I405" s="650"/>
    </row>
    <row r="406" ht="14.25" customHeight="1">
      <c r="A406" s="758"/>
      <c r="B406" s="758"/>
      <c r="C406" s="758"/>
      <c r="D406" s="650"/>
      <c r="F406" s="759"/>
      <c r="G406" s="650"/>
      <c r="I406" s="650"/>
    </row>
    <row r="407" ht="14.25" customHeight="1">
      <c r="A407" s="758"/>
      <c r="B407" s="758"/>
      <c r="C407" s="758"/>
      <c r="D407" s="650"/>
      <c r="F407" s="759"/>
      <c r="G407" s="650"/>
      <c r="I407" s="650"/>
    </row>
    <row r="408" ht="14.25" customHeight="1">
      <c r="A408" s="758"/>
      <c r="B408" s="758"/>
      <c r="C408" s="758"/>
      <c r="D408" s="650"/>
      <c r="F408" s="759"/>
      <c r="G408" s="650"/>
      <c r="I408" s="650"/>
    </row>
    <row r="409" ht="14.25" customHeight="1">
      <c r="A409" s="758"/>
      <c r="B409" s="758"/>
      <c r="C409" s="758"/>
      <c r="D409" s="650"/>
      <c r="F409" s="759"/>
      <c r="G409" s="650"/>
      <c r="I409" s="650"/>
    </row>
    <row r="410" ht="14.25" customHeight="1">
      <c r="A410" s="758"/>
      <c r="B410" s="758"/>
      <c r="C410" s="758"/>
      <c r="D410" s="650"/>
      <c r="F410" s="759"/>
      <c r="G410" s="650"/>
      <c r="I410" s="650"/>
    </row>
    <row r="411" ht="14.25" customHeight="1">
      <c r="A411" s="758"/>
      <c r="B411" s="758"/>
      <c r="C411" s="758"/>
      <c r="D411" s="650"/>
      <c r="F411" s="759"/>
      <c r="G411" s="650"/>
      <c r="I411" s="650"/>
    </row>
    <row r="412" ht="14.25" customHeight="1">
      <c r="A412" s="758"/>
      <c r="B412" s="758"/>
      <c r="C412" s="758"/>
      <c r="D412" s="650"/>
      <c r="F412" s="759"/>
      <c r="G412" s="650"/>
      <c r="I412" s="650"/>
    </row>
    <row r="413" ht="14.25" customHeight="1">
      <c r="A413" s="758"/>
      <c r="B413" s="758"/>
      <c r="C413" s="758"/>
      <c r="D413" s="650"/>
      <c r="F413" s="759"/>
      <c r="G413" s="650"/>
      <c r="I413" s="650"/>
    </row>
    <row r="414" ht="14.25" customHeight="1">
      <c r="A414" s="758"/>
      <c r="B414" s="758"/>
      <c r="C414" s="758"/>
      <c r="D414" s="650"/>
      <c r="F414" s="759"/>
      <c r="G414" s="650"/>
      <c r="I414" s="650"/>
    </row>
    <row r="415" ht="14.25" customHeight="1">
      <c r="A415" s="758"/>
      <c r="B415" s="758"/>
      <c r="C415" s="758"/>
      <c r="D415" s="650"/>
      <c r="F415" s="759"/>
      <c r="G415" s="650"/>
      <c r="I415" s="650"/>
    </row>
    <row r="416" ht="14.25" customHeight="1">
      <c r="A416" s="758"/>
      <c r="B416" s="758"/>
      <c r="C416" s="758"/>
      <c r="D416" s="650"/>
      <c r="F416" s="759"/>
      <c r="G416" s="650"/>
      <c r="I416" s="650"/>
    </row>
    <row r="417" ht="14.25" customHeight="1">
      <c r="A417" s="758"/>
      <c r="B417" s="758"/>
      <c r="C417" s="758"/>
      <c r="D417" s="650"/>
      <c r="F417" s="759"/>
      <c r="G417" s="650"/>
      <c r="I417" s="650"/>
    </row>
    <row r="418" ht="14.25" customHeight="1">
      <c r="A418" s="758"/>
      <c r="B418" s="758"/>
      <c r="C418" s="758"/>
      <c r="D418" s="650"/>
      <c r="F418" s="759"/>
      <c r="G418" s="650"/>
      <c r="I418" s="650"/>
    </row>
    <row r="419" ht="14.25" customHeight="1">
      <c r="A419" s="758"/>
      <c r="B419" s="758"/>
      <c r="C419" s="758"/>
      <c r="D419" s="650"/>
      <c r="F419" s="759"/>
      <c r="G419" s="650"/>
      <c r="I419" s="650"/>
    </row>
    <row r="420" ht="14.25" customHeight="1">
      <c r="A420" s="758"/>
      <c r="B420" s="758"/>
      <c r="C420" s="758"/>
      <c r="D420" s="650"/>
      <c r="F420" s="759"/>
      <c r="G420" s="650"/>
      <c r="I420" s="650"/>
    </row>
    <row r="421" ht="14.25" customHeight="1">
      <c r="A421" s="758"/>
      <c r="B421" s="758"/>
      <c r="C421" s="758"/>
      <c r="D421" s="650"/>
      <c r="F421" s="759"/>
      <c r="G421" s="650"/>
      <c r="I421" s="650"/>
    </row>
    <row r="422" ht="14.25" customHeight="1">
      <c r="A422" s="758"/>
      <c r="B422" s="758"/>
      <c r="C422" s="758"/>
      <c r="D422" s="650"/>
      <c r="F422" s="759"/>
      <c r="G422" s="650"/>
      <c r="I422" s="650"/>
    </row>
    <row r="423" ht="14.25" customHeight="1">
      <c r="A423" s="758"/>
      <c r="B423" s="758"/>
      <c r="C423" s="758"/>
      <c r="D423" s="650"/>
      <c r="F423" s="759"/>
      <c r="G423" s="650"/>
      <c r="I423" s="650"/>
    </row>
    <row r="424" ht="14.25" customHeight="1">
      <c r="A424" s="758"/>
      <c r="B424" s="758"/>
      <c r="C424" s="758"/>
      <c r="D424" s="650"/>
      <c r="F424" s="759"/>
      <c r="G424" s="650"/>
      <c r="I424" s="650"/>
    </row>
    <row r="425" ht="14.25" customHeight="1">
      <c r="A425" s="758"/>
      <c r="B425" s="758"/>
      <c r="C425" s="758"/>
      <c r="D425" s="650"/>
      <c r="F425" s="759"/>
      <c r="G425" s="650"/>
      <c r="I425" s="650"/>
    </row>
    <row r="426" ht="14.25" customHeight="1">
      <c r="A426" s="758"/>
      <c r="B426" s="758"/>
      <c r="C426" s="758"/>
      <c r="D426" s="650"/>
      <c r="F426" s="759"/>
      <c r="G426" s="650"/>
      <c r="I426" s="650"/>
    </row>
    <row r="427" ht="14.25" customHeight="1">
      <c r="A427" s="758"/>
      <c r="B427" s="758"/>
      <c r="C427" s="758"/>
      <c r="D427" s="650"/>
      <c r="F427" s="759"/>
      <c r="G427" s="650"/>
      <c r="I427" s="650"/>
    </row>
    <row r="428" ht="14.25" customHeight="1">
      <c r="A428" s="758"/>
      <c r="B428" s="758"/>
      <c r="C428" s="758"/>
      <c r="D428" s="650"/>
      <c r="F428" s="759"/>
      <c r="G428" s="650"/>
      <c r="I428" s="650"/>
    </row>
    <row r="429" ht="14.25" customHeight="1">
      <c r="A429" s="758"/>
      <c r="B429" s="758"/>
      <c r="C429" s="758"/>
      <c r="D429" s="650"/>
      <c r="F429" s="759"/>
      <c r="G429" s="650"/>
      <c r="I429" s="650"/>
    </row>
    <row r="430" ht="14.25" customHeight="1">
      <c r="A430" s="758"/>
      <c r="B430" s="758"/>
      <c r="C430" s="758"/>
      <c r="D430" s="650"/>
      <c r="F430" s="759"/>
      <c r="G430" s="650"/>
      <c r="I430" s="650"/>
    </row>
    <row r="431" ht="14.25" customHeight="1">
      <c r="A431" s="758"/>
      <c r="B431" s="758"/>
      <c r="C431" s="758"/>
      <c r="D431" s="650"/>
      <c r="F431" s="759"/>
      <c r="G431" s="650"/>
      <c r="I431" s="650"/>
    </row>
    <row r="432" ht="14.25" customHeight="1">
      <c r="A432" s="758"/>
      <c r="B432" s="758"/>
      <c r="C432" s="758"/>
      <c r="D432" s="650"/>
      <c r="F432" s="759"/>
      <c r="G432" s="650"/>
      <c r="I432" s="650"/>
    </row>
    <row r="433" ht="14.25" customHeight="1">
      <c r="A433" s="758"/>
      <c r="B433" s="758"/>
      <c r="C433" s="758"/>
      <c r="D433" s="650"/>
      <c r="F433" s="759"/>
      <c r="G433" s="650"/>
      <c r="I433" s="650"/>
    </row>
    <row r="434" ht="14.25" customHeight="1">
      <c r="A434" s="758"/>
      <c r="B434" s="758"/>
      <c r="C434" s="758"/>
      <c r="D434" s="650"/>
      <c r="F434" s="759"/>
      <c r="G434" s="650"/>
      <c r="I434" s="650"/>
    </row>
    <row r="435" ht="14.25" customHeight="1">
      <c r="A435" s="758"/>
      <c r="B435" s="758"/>
      <c r="C435" s="758"/>
      <c r="D435" s="650"/>
      <c r="F435" s="759"/>
      <c r="G435" s="650"/>
      <c r="I435" s="650"/>
    </row>
    <row r="436" ht="14.25" customHeight="1">
      <c r="A436" s="758"/>
      <c r="B436" s="758"/>
      <c r="C436" s="758"/>
      <c r="D436" s="650"/>
      <c r="F436" s="759"/>
      <c r="G436" s="650"/>
      <c r="I436" s="650"/>
    </row>
    <row r="437" ht="14.25" customHeight="1">
      <c r="A437" s="758"/>
      <c r="B437" s="758"/>
      <c r="C437" s="758"/>
      <c r="D437" s="650"/>
      <c r="F437" s="759"/>
      <c r="G437" s="650"/>
      <c r="I437" s="650"/>
    </row>
    <row r="438" ht="14.25" customHeight="1">
      <c r="A438" s="758"/>
      <c r="B438" s="758"/>
      <c r="C438" s="758"/>
      <c r="D438" s="650"/>
      <c r="F438" s="759"/>
      <c r="G438" s="650"/>
      <c r="I438" s="650"/>
    </row>
    <row r="439" ht="14.25" customHeight="1">
      <c r="A439" s="758"/>
      <c r="B439" s="758"/>
      <c r="C439" s="758"/>
      <c r="D439" s="650"/>
      <c r="F439" s="759"/>
      <c r="G439" s="650"/>
      <c r="I439" s="650"/>
    </row>
    <row r="440" ht="14.25" customHeight="1">
      <c r="A440" s="758"/>
      <c r="B440" s="758"/>
      <c r="C440" s="758"/>
      <c r="D440" s="650"/>
      <c r="F440" s="759"/>
      <c r="G440" s="650"/>
      <c r="I440" s="650"/>
    </row>
    <row r="441" ht="14.25" customHeight="1">
      <c r="A441" s="758"/>
      <c r="B441" s="758"/>
      <c r="C441" s="758"/>
      <c r="D441" s="650"/>
      <c r="F441" s="759"/>
      <c r="G441" s="650"/>
      <c r="I441" s="650"/>
    </row>
    <row r="442" ht="14.25" customHeight="1">
      <c r="A442" s="758"/>
      <c r="B442" s="758"/>
      <c r="C442" s="758"/>
      <c r="D442" s="650"/>
      <c r="F442" s="759"/>
      <c r="G442" s="650"/>
      <c r="I442" s="650"/>
    </row>
    <row r="443" ht="14.25" customHeight="1">
      <c r="A443" s="758"/>
      <c r="B443" s="758"/>
      <c r="C443" s="758"/>
      <c r="D443" s="650"/>
      <c r="F443" s="759"/>
      <c r="G443" s="650"/>
      <c r="I443" s="650"/>
    </row>
    <row r="444" ht="14.25" customHeight="1">
      <c r="A444" s="758"/>
      <c r="B444" s="758"/>
      <c r="C444" s="758"/>
      <c r="D444" s="650"/>
      <c r="F444" s="759"/>
      <c r="G444" s="650"/>
      <c r="I444" s="650"/>
    </row>
    <row r="445" ht="14.25" customHeight="1">
      <c r="A445" s="758"/>
      <c r="B445" s="758"/>
      <c r="C445" s="758"/>
      <c r="D445" s="650"/>
      <c r="F445" s="759"/>
      <c r="G445" s="650"/>
      <c r="I445" s="650"/>
    </row>
    <row r="446" ht="14.25" customHeight="1">
      <c r="A446" s="758"/>
      <c r="B446" s="758"/>
      <c r="C446" s="758"/>
      <c r="D446" s="650"/>
      <c r="F446" s="759"/>
      <c r="G446" s="650"/>
      <c r="I446" s="650"/>
    </row>
    <row r="447" ht="14.25" customHeight="1">
      <c r="A447" s="758"/>
      <c r="B447" s="758"/>
      <c r="C447" s="758"/>
      <c r="D447" s="650"/>
      <c r="F447" s="759"/>
      <c r="G447" s="650"/>
      <c r="I447" s="650"/>
    </row>
    <row r="448" ht="14.25" customHeight="1">
      <c r="A448" s="758"/>
      <c r="B448" s="758"/>
      <c r="C448" s="758"/>
      <c r="D448" s="650"/>
      <c r="F448" s="759"/>
      <c r="G448" s="650"/>
      <c r="I448" s="650"/>
    </row>
    <row r="449" ht="14.25" customHeight="1">
      <c r="A449" s="758"/>
      <c r="B449" s="758"/>
      <c r="C449" s="758"/>
      <c r="D449" s="650"/>
      <c r="F449" s="759"/>
      <c r="G449" s="650"/>
      <c r="I449" s="650"/>
    </row>
    <row r="450" ht="14.25" customHeight="1">
      <c r="A450" s="758"/>
      <c r="B450" s="758"/>
      <c r="C450" s="758"/>
      <c r="D450" s="650"/>
      <c r="F450" s="759"/>
      <c r="G450" s="650"/>
      <c r="I450" s="650"/>
    </row>
    <row r="451" ht="14.25" customHeight="1">
      <c r="A451" s="758"/>
      <c r="B451" s="758"/>
      <c r="C451" s="758"/>
      <c r="D451" s="650"/>
      <c r="F451" s="759"/>
      <c r="G451" s="650"/>
      <c r="I451" s="650"/>
    </row>
    <row r="452" ht="14.25" customHeight="1">
      <c r="A452" s="758"/>
      <c r="B452" s="758"/>
      <c r="C452" s="758"/>
      <c r="D452" s="650"/>
      <c r="F452" s="759"/>
      <c r="G452" s="650"/>
      <c r="I452" s="650"/>
    </row>
    <row r="453" ht="14.25" customHeight="1">
      <c r="A453" s="758"/>
      <c r="B453" s="758"/>
      <c r="C453" s="758"/>
      <c r="D453" s="650"/>
      <c r="F453" s="759"/>
      <c r="G453" s="650"/>
      <c r="I453" s="650"/>
    </row>
    <row r="454" ht="14.25" customHeight="1">
      <c r="A454" s="758"/>
      <c r="B454" s="758"/>
      <c r="C454" s="758"/>
      <c r="D454" s="650"/>
      <c r="F454" s="759"/>
      <c r="G454" s="650"/>
      <c r="I454" s="650"/>
    </row>
    <row r="455" ht="14.25" customHeight="1">
      <c r="A455" s="758"/>
      <c r="B455" s="758"/>
      <c r="C455" s="758"/>
      <c r="D455" s="650"/>
      <c r="F455" s="759"/>
      <c r="G455" s="650"/>
      <c r="I455" s="650"/>
    </row>
    <row r="456" ht="14.25" customHeight="1">
      <c r="A456" s="758"/>
      <c r="B456" s="758"/>
      <c r="C456" s="758"/>
      <c r="D456" s="650"/>
      <c r="F456" s="759"/>
      <c r="G456" s="650"/>
      <c r="I456" s="650"/>
    </row>
    <row r="457" ht="14.25" customHeight="1">
      <c r="A457" s="758"/>
      <c r="B457" s="758"/>
      <c r="C457" s="758"/>
      <c r="D457" s="650"/>
      <c r="F457" s="759"/>
      <c r="G457" s="650"/>
      <c r="I457" s="650"/>
    </row>
    <row r="458" ht="14.25" customHeight="1">
      <c r="A458" s="758"/>
      <c r="B458" s="758"/>
      <c r="C458" s="758"/>
      <c r="D458" s="650"/>
      <c r="F458" s="759"/>
      <c r="G458" s="650"/>
      <c r="I458" s="650"/>
    </row>
    <row r="459" ht="14.25" customHeight="1">
      <c r="A459" s="758"/>
      <c r="B459" s="758"/>
      <c r="C459" s="758"/>
      <c r="D459" s="650"/>
      <c r="F459" s="759"/>
      <c r="G459" s="650"/>
      <c r="I459" s="650"/>
    </row>
    <row r="460" ht="14.25" customHeight="1">
      <c r="A460" s="758"/>
      <c r="B460" s="758"/>
      <c r="C460" s="758"/>
      <c r="D460" s="650"/>
      <c r="F460" s="759"/>
      <c r="G460" s="650"/>
      <c r="I460" s="650"/>
    </row>
    <row r="461" ht="14.25" customHeight="1">
      <c r="A461" s="758"/>
      <c r="B461" s="758"/>
      <c r="C461" s="758"/>
      <c r="D461" s="650"/>
      <c r="F461" s="759"/>
      <c r="G461" s="650"/>
      <c r="I461" s="650"/>
    </row>
    <row r="462" ht="14.25" customHeight="1">
      <c r="A462" s="758"/>
      <c r="B462" s="758"/>
      <c r="C462" s="758"/>
      <c r="D462" s="650"/>
      <c r="F462" s="759"/>
      <c r="G462" s="650"/>
      <c r="I462" s="650"/>
    </row>
    <row r="463" ht="14.25" customHeight="1">
      <c r="A463" s="758"/>
      <c r="B463" s="758"/>
      <c r="C463" s="758"/>
      <c r="D463" s="650"/>
      <c r="F463" s="759"/>
      <c r="G463" s="650"/>
      <c r="I463" s="650"/>
    </row>
    <row r="464" ht="14.25" customHeight="1">
      <c r="A464" s="758"/>
      <c r="B464" s="758"/>
      <c r="C464" s="758"/>
      <c r="D464" s="650"/>
      <c r="F464" s="759"/>
      <c r="G464" s="650"/>
      <c r="I464" s="650"/>
    </row>
    <row r="465" ht="14.25" customHeight="1">
      <c r="A465" s="758"/>
      <c r="B465" s="758"/>
      <c r="C465" s="758"/>
      <c r="D465" s="650"/>
      <c r="F465" s="759"/>
      <c r="G465" s="650"/>
      <c r="I465" s="650"/>
    </row>
    <row r="466" ht="14.25" customHeight="1">
      <c r="A466" s="758"/>
      <c r="B466" s="758"/>
      <c r="C466" s="758"/>
      <c r="D466" s="650"/>
      <c r="F466" s="759"/>
      <c r="G466" s="650"/>
      <c r="I466" s="650"/>
    </row>
    <row r="467" ht="14.25" customHeight="1">
      <c r="A467" s="758"/>
      <c r="B467" s="758"/>
      <c r="C467" s="758"/>
      <c r="D467" s="650"/>
      <c r="F467" s="759"/>
      <c r="G467" s="650"/>
      <c r="I467" s="650"/>
    </row>
    <row r="468" ht="14.25" customHeight="1">
      <c r="A468" s="758"/>
      <c r="B468" s="758"/>
      <c r="C468" s="758"/>
      <c r="D468" s="650"/>
      <c r="F468" s="759"/>
      <c r="G468" s="650"/>
      <c r="I468" s="650"/>
    </row>
    <row r="469" ht="14.25" customHeight="1">
      <c r="A469" s="758"/>
      <c r="B469" s="758"/>
      <c r="C469" s="758"/>
      <c r="D469" s="650"/>
      <c r="F469" s="759"/>
      <c r="G469" s="650"/>
      <c r="I469" s="650"/>
    </row>
    <row r="470" ht="14.25" customHeight="1">
      <c r="A470" s="758"/>
      <c r="B470" s="758"/>
      <c r="C470" s="758"/>
      <c r="D470" s="650"/>
      <c r="F470" s="759"/>
      <c r="G470" s="650"/>
      <c r="I470" s="650"/>
    </row>
    <row r="471" ht="14.25" customHeight="1">
      <c r="A471" s="758"/>
      <c r="B471" s="758"/>
      <c r="C471" s="758"/>
      <c r="D471" s="650"/>
      <c r="F471" s="759"/>
      <c r="G471" s="650"/>
      <c r="I471" s="650"/>
    </row>
    <row r="472" ht="14.25" customHeight="1">
      <c r="A472" s="758"/>
      <c r="B472" s="758"/>
      <c r="C472" s="758"/>
      <c r="D472" s="650"/>
      <c r="F472" s="759"/>
      <c r="G472" s="650"/>
      <c r="I472" s="650"/>
    </row>
    <row r="473" ht="14.25" customHeight="1">
      <c r="A473" s="758"/>
      <c r="B473" s="758"/>
      <c r="C473" s="758"/>
      <c r="D473" s="650"/>
      <c r="F473" s="759"/>
      <c r="G473" s="650"/>
      <c r="I473" s="650"/>
    </row>
    <row r="474" ht="14.25" customHeight="1">
      <c r="A474" s="758"/>
      <c r="B474" s="758"/>
      <c r="C474" s="758"/>
      <c r="D474" s="650"/>
      <c r="F474" s="759"/>
      <c r="G474" s="650"/>
      <c r="I474" s="650"/>
    </row>
    <row r="475" ht="14.25" customHeight="1">
      <c r="A475" s="758"/>
      <c r="B475" s="758"/>
      <c r="C475" s="758"/>
      <c r="D475" s="650"/>
      <c r="F475" s="759"/>
      <c r="G475" s="650"/>
      <c r="I475" s="650"/>
    </row>
    <row r="476" ht="14.25" customHeight="1">
      <c r="A476" s="758"/>
      <c r="B476" s="758"/>
      <c r="C476" s="758"/>
      <c r="D476" s="650"/>
      <c r="F476" s="759"/>
      <c r="G476" s="650"/>
      <c r="I476" s="650"/>
    </row>
    <row r="477" ht="14.25" customHeight="1">
      <c r="A477" s="758"/>
      <c r="B477" s="758"/>
      <c r="C477" s="758"/>
      <c r="D477" s="650"/>
      <c r="F477" s="759"/>
      <c r="G477" s="650"/>
      <c r="I477" s="650"/>
    </row>
    <row r="478" ht="14.25" customHeight="1">
      <c r="A478" s="758"/>
      <c r="B478" s="758"/>
      <c r="C478" s="758"/>
      <c r="D478" s="650"/>
      <c r="F478" s="759"/>
      <c r="G478" s="650"/>
      <c r="I478" s="650"/>
    </row>
    <row r="479" ht="14.25" customHeight="1">
      <c r="A479" s="758"/>
      <c r="B479" s="758"/>
      <c r="C479" s="758"/>
      <c r="D479" s="650"/>
      <c r="F479" s="759"/>
      <c r="G479" s="650"/>
      <c r="I479" s="650"/>
    </row>
    <row r="480" ht="14.25" customHeight="1">
      <c r="A480" s="758"/>
      <c r="B480" s="758"/>
      <c r="C480" s="758"/>
      <c r="D480" s="650"/>
      <c r="F480" s="759"/>
      <c r="G480" s="650"/>
      <c r="I480" s="650"/>
    </row>
    <row r="481" ht="14.25" customHeight="1">
      <c r="A481" s="758"/>
      <c r="B481" s="758"/>
      <c r="C481" s="758"/>
      <c r="D481" s="650"/>
      <c r="F481" s="759"/>
      <c r="G481" s="650"/>
      <c r="I481" s="650"/>
    </row>
    <row r="482" ht="14.25" customHeight="1">
      <c r="A482" s="758"/>
      <c r="B482" s="758"/>
      <c r="C482" s="758"/>
      <c r="D482" s="650"/>
      <c r="F482" s="759"/>
      <c r="G482" s="650"/>
      <c r="I482" s="650"/>
    </row>
    <row r="483" ht="14.25" customHeight="1">
      <c r="A483" s="758"/>
      <c r="B483" s="758"/>
      <c r="C483" s="758"/>
      <c r="D483" s="650"/>
      <c r="F483" s="759"/>
      <c r="G483" s="650"/>
      <c r="I483" s="650"/>
    </row>
    <row r="484" ht="14.25" customHeight="1">
      <c r="A484" s="758"/>
      <c r="B484" s="758"/>
      <c r="C484" s="758"/>
      <c r="D484" s="650"/>
      <c r="F484" s="759"/>
      <c r="G484" s="650"/>
      <c r="I484" s="650"/>
    </row>
    <row r="485" ht="14.25" customHeight="1">
      <c r="A485" s="758"/>
      <c r="B485" s="758"/>
      <c r="C485" s="758"/>
      <c r="D485" s="650"/>
      <c r="F485" s="759"/>
      <c r="G485" s="650"/>
      <c r="I485" s="650"/>
    </row>
    <row r="486" ht="14.25" customHeight="1">
      <c r="A486" s="758"/>
      <c r="B486" s="758"/>
      <c r="C486" s="758"/>
      <c r="D486" s="650"/>
      <c r="F486" s="759"/>
      <c r="G486" s="650"/>
      <c r="I486" s="650"/>
    </row>
    <row r="487" ht="14.25" customHeight="1">
      <c r="A487" s="758"/>
      <c r="B487" s="758"/>
      <c r="C487" s="758"/>
      <c r="D487" s="650"/>
      <c r="F487" s="759"/>
      <c r="G487" s="650"/>
      <c r="I487" s="650"/>
    </row>
    <row r="488" ht="14.25" customHeight="1">
      <c r="A488" s="758"/>
      <c r="B488" s="758"/>
      <c r="C488" s="758"/>
      <c r="D488" s="650"/>
      <c r="F488" s="759"/>
      <c r="G488" s="650"/>
      <c r="I488" s="650"/>
    </row>
    <row r="489" ht="14.25" customHeight="1">
      <c r="A489" s="758"/>
      <c r="B489" s="758"/>
      <c r="C489" s="758"/>
      <c r="D489" s="650"/>
      <c r="F489" s="759"/>
      <c r="G489" s="650"/>
      <c r="I489" s="650"/>
    </row>
    <row r="490" ht="14.25" customHeight="1">
      <c r="A490" s="758"/>
      <c r="B490" s="758"/>
      <c r="C490" s="758"/>
      <c r="D490" s="650"/>
      <c r="F490" s="759"/>
      <c r="G490" s="650"/>
      <c r="I490" s="650"/>
    </row>
    <row r="491" ht="14.25" customHeight="1">
      <c r="A491" s="758"/>
      <c r="B491" s="758"/>
      <c r="C491" s="758"/>
      <c r="D491" s="650"/>
      <c r="F491" s="759"/>
      <c r="G491" s="650"/>
      <c r="I491" s="650"/>
    </row>
    <row r="492" ht="14.25" customHeight="1">
      <c r="A492" s="758"/>
      <c r="B492" s="758"/>
      <c r="C492" s="758"/>
      <c r="D492" s="650"/>
      <c r="F492" s="759"/>
      <c r="G492" s="650"/>
      <c r="I492" s="650"/>
    </row>
    <row r="493" ht="14.25" customHeight="1">
      <c r="A493" s="758"/>
      <c r="B493" s="758"/>
      <c r="C493" s="758"/>
      <c r="D493" s="650"/>
      <c r="F493" s="759"/>
      <c r="G493" s="650"/>
      <c r="I493" s="650"/>
    </row>
    <row r="494" ht="14.25" customHeight="1">
      <c r="A494" s="758"/>
      <c r="B494" s="758"/>
      <c r="C494" s="758"/>
      <c r="D494" s="650"/>
      <c r="F494" s="759"/>
      <c r="G494" s="650"/>
      <c r="I494" s="650"/>
    </row>
    <row r="495" ht="14.25" customHeight="1">
      <c r="A495" s="758"/>
      <c r="B495" s="758"/>
      <c r="C495" s="758"/>
      <c r="D495" s="650"/>
      <c r="F495" s="759"/>
      <c r="G495" s="650"/>
      <c r="I495" s="650"/>
    </row>
    <row r="496" ht="14.25" customHeight="1">
      <c r="A496" s="758"/>
      <c r="B496" s="758"/>
      <c r="C496" s="758"/>
      <c r="D496" s="650"/>
      <c r="F496" s="759"/>
      <c r="G496" s="650"/>
      <c r="I496" s="650"/>
    </row>
    <row r="497" ht="14.25" customHeight="1">
      <c r="A497" s="758"/>
      <c r="B497" s="758"/>
      <c r="C497" s="758"/>
      <c r="D497" s="650"/>
      <c r="F497" s="759"/>
      <c r="G497" s="650"/>
      <c r="I497" s="650"/>
    </row>
    <row r="498" ht="14.25" customHeight="1">
      <c r="A498" s="758"/>
      <c r="B498" s="758"/>
      <c r="C498" s="758"/>
      <c r="D498" s="650"/>
      <c r="F498" s="759"/>
      <c r="G498" s="650"/>
      <c r="I498" s="650"/>
    </row>
    <row r="499" ht="14.25" customHeight="1">
      <c r="A499" s="758"/>
      <c r="B499" s="758"/>
      <c r="C499" s="758"/>
      <c r="D499" s="650"/>
      <c r="F499" s="759"/>
      <c r="G499" s="650"/>
      <c r="I499" s="650"/>
    </row>
    <row r="500" ht="14.25" customHeight="1">
      <c r="A500" s="758"/>
      <c r="B500" s="758"/>
      <c r="C500" s="758"/>
      <c r="D500" s="650"/>
      <c r="F500" s="759"/>
      <c r="G500" s="650"/>
      <c r="I500" s="650"/>
    </row>
    <row r="501" ht="14.25" customHeight="1">
      <c r="A501" s="758"/>
      <c r="B501" s="758"/>
      <c r="C501" s="758"/>
      <c r="D501" s="650"/>
      <c r="F501" s="759"/>
      <c r="G501" s="650"/>
      <c r="I501" s="650"/>
    </row>
    <row r="502" ht="14.25" customHeight="1">
      <c r="A502" s="758"/>
      <c r="B502" s="758"/>
      <c r="C502" s="758"/>
      <c r="D502" s="650"/>
      <c r="F502" s="759"/>
      <c r="G502" s="650"/>
      <c r="I502" s="650"/>
    </row>
    <row r="503" ht="14.25" customHeight="1">
      <c r="A503" s="758"/>
      <c r="B503" s="758"/>
      <c r="C503" s="758"/>
      <c r="D503" s="650"/>
      <c r="F503" s="759"/>
      <c r="G503" s="650"/>
      <c r="I503" s="650"/>
    </row>
    <row r="504" ht="14.25" customHeight="1">
      <c r="A504" s="758"/>
      <c r="B504" s="758"/>
      <c r="C504" s="758"/>
      <c r="D504" s="650"/>
      <c r="F504" s="759"/>
      <c r="G504" s="650"/>
      <c r="I504" s="650"/>
    </row>
    <row r="505" ht="14.25" customHeight="1">
      <c r="A505" s="758"/>
      <c r="B505" s="758"/>
      <c r="C505" s="758"/>
      <c r="D505" s="650"/>
      <c r="F505" s="759"/>
      <c r="G505" s="650"/>
      <c r="I505" s="650"/>
    </row>
    <row r="506" ht="14.25" customHeight="1">
      <c r="A506" s="758"/>
      <c r="B506" s="758"/>
      <c r="C506" s="758"/>
      <c r="D506" s="650"/>
      <c r="F506" s="759"/>
      <c r="G506" s="650"/>
      <c r="I506" s="650"/>
    </row>
    <row r="507" ht="14.25" customHeight="1">
      <c r="A507" s="758"/>
      <c r="B507" s="758"/>
      <c r="C507" s="758"/>
      <c r="D507" s="650"/>
      <c r="F507" s="759"/>
      <c r="G507" s="650"/>
      <c r="I507" s="650"/>
    </row>
    <row r="508" ht="14.25" customHeight="1">
      <c r="A508" s="758"/>
      <c r="B508" s="758"/>
      <c r="C508" s="758"/>
      <c r="D508" s="650"/>
      <c r="F508" s="759"/>
      <c r="G508" s="650"/>
      <c r="I508" s="650"/>
    </row>
    <row r="509" ht="14.25" customHeight="1">
      <c r="A509" s="758"/>
      <c r="B509" s="758"/>
      <c r="C509" s="758"/>
      <c r="D509" s="650"/>
      <c r="F509" s="759"/>
      <c r="G509" s="650"/>
      <c r="I509" s="650"/>
    </row>
    <row r="510" ht="14.25" customHeight="1">
      <c r="A510" s="758"/>
      <c r="B510" s="758"/>
      <c r="C510" s="758"/>
      <c r="D510" s="650"/>
      <c r="F510" s="759"/>
      <c r="G510" s="650"/>
      <c r="I510" s="650"/>
    </row>
    <row r="511" ht="14.25" customHeight="1">
      <c r="A511" s="758"/>
      <c r="B511" s="758"/>
      <c r="C511" s="758"/>
      <c r="D511" s="650"/>
      <c r="F511" s="759"/>
      <c r="G511" s="650"/>
      <c r="I511" s="650"/>
    </row>
    <row r="512" ht="14.25" customHeight="1">
      <c r="A512" s="758"/>
      <c r="B512" s="758"/>
      <c r="C512" s="758"/>
      <c r="D512" s="650"/>
      <c r="F512" s="759"/>
      <c r="G512" s="650"/>
      <c r="I512" s="650"/>
    </row>
    <row r="513" ht="14.25" customHeight="1">
      <c r="A513" s="758"/>
      <c r="B513" s="758"/>
      <c r="C513" s="758"/>
      <c r="D513" s="650"/>
      <c r="F513" s="759"/>
      <c r="G513" s="650"/>
      <c r="I513" s="650"/>
    </row>
    <row r="514" ht="14.25" customHeight="1">
      <c r="A514" s="758"/>
      <c r="B514" s="758"/>
      <c r="C514" s="758"/>
      <c r="D514" s="650"/>
      <c r="F514" s="759"/>
      <c r="G514" s="650"/>
      <c r="I514" s="650"/>
    </row>
    <row r="515" ht="14.25" customHeight="1">
      <c r="A515" s="758"/>
      <c r="B515" s="758"/>
      <c r="C515" s="758"/>
      <c r="D515" s="650"/>
      <c r="F515" s="759"/>
      <c r="G515" s="650"/>
      <c r="I515" s="650"/>
    </row>
    <row r="516" ht="14.25" customHeight="1">
      <c r="A516" s="758"/>
      <c r="B516" s="758"/>
      <c r="C516" s="758"/>
      <c r="D516" s="650"/>
      <c r="F516" s="759"/>
      <c r="G516" s="650"/>
      <c r="I516" s="650"/>
    </row>
    <row r="517" ht="14.25" customHeight="1">
      <c r="A517" s="758"/>
      <c r="B517" s="758"/>
      <c r="C517" s="758"/>
      <c r="D517" s="650"/>
      <c r="F517" s="759"/>
      <c r="G517" s="650"/>
      <c r="I517" s="650"/>
    </row>
    <row r="518" ht="14.25" customHeight="1">
      <c r="A518" s="758"/>
      <c r="B518" s="758"/>
      <c r="C518" s="758"/>
      <c r="D518" s="650"/>
      <c r="F518" s="759"/>
      <c r="G518" s="650"/>
      <c r="I518" s="650"/>
    </row>
    <row r="519" ht="14.25" customHeight="1">
      <c r="A519" s="758"/>
      <c r="B519" s="758"/>
      <c r="C519" s="758"/>
      <c r="D519" s="650"/>
      <c r="F519" s="759"/>
      <c r="G519" s="650"/>
      <c r="I519" s="650"/>
    </row>
    <row r="520" ht="14.25" customHeight="1">
      <c r="A520" s="758"/>
      <c r="B520" s="758"/>
      <c r="C520" s="758"/>
      <c r="D520" s="650"/>
      <c r="F520" s="759"/>
      <c r="G520" s="650"/>
      <c r="I520" s="650"/>
    </row>
    <row r="521" ht="14.25" customHeight="1">
      <c r="A521" s="758"/>
      <c r="B521" s="758"/>
      <c r="C521" s="758"/>
      <c r="D521" s="650"/>
      <c r="F521" s="759"/>
      <c r="G521" s="650"/>
      <c r="I521" s="650"/>
    </row>
    <row r="522" ht="14.25" customHeight="1">
      <c r="A522" s="758"/>
      <c r="B522" s="758"/>
      <c r="C522" s="758"/>
      <c r="D522" s="650"/>
      <c r="F522" s="759"/>
      <c r="G522" s="650"/>
      <c r="I522" s="650"/>
    </row>
    <row r="523" ht="14.25" customHeight="1">
      <c r="A523" s="758"/>
      <c r="B523" s="758"/>
      <c r="C523" s="758"/>
      <c r="D523" s="650"/>
      <c r="F523" s="759"/>
      <c r="G523" s="650"/>
      <c r="I523" s="650"/>
    </row>
    <row r="524" ht="14.25" customHeight="1">
      <c r="A524" s="758"/>
      <c r="B524" s="758"/>
      <c r="C524" s="758"/>
      <c r="D524" s="650"/>
      <c r="F524" s="759"/>
      <c r="G524" s="650"/>
      <c r="I524" s="650"/>
    </row>
    <row r="525" ht="14.25" customHeight="1">
      <c r="A525" s="758"/>
      <c r="B525" s="758"/>
      <c r="C525" s="758"/>
      <c r="D525" s="650"/>
      <c r="F525" s="759"/>
      <c r="G525" s="650"/>
      <c r="I525" s="650"/>
    </row>
    <row r="526" ht="14.25" customHeight="1">
      <c r="A526" s="758"/>
      <c r="B526" s="758"/>
      <c r="C526" s="758"/>
      <c r="D526" s="650"/>
      <c r="F526" s="759"/>
      <c r="G526" s="650"/>
      <c r="I526" s="650"/>
    </row>
    <row r="527" ht="14.25" customHeight="1">
      <c r="A527" s="758"/>
      <c r="B527" s="758"/>
      <c r="C527" s="758"/>
      <c r="D527" s="650"/>
      <c r="F527" s="759"/>
      <c r="G527" s="650"/>
      <c r="I527" s="650"/>
    </row>
    <row r="528" ht="14.25" customHeight="1">
      <c r="A528" s="758"/>
      <c r="B528" s="758"/>
      <c r="C528" s="758"/>
      <c r="D528" s="650"/>
      <c r="F528" s="759"/>
      <c r="G528" s="650"/>
      <c r="I528" s="650"/>
    </row>
    <row r="529" ht="14.25" customHeight="1">
      <c r="A529" s="758"/>
      <c r="B529" s="758"/>
      <c r="C529" s="758"/>
      <c r="D529" s="650"/>
      <c r="F529" s="759"/>
      <c r="G529" s="650"/>
      <c r="I529" s="650"/>
    </row>
    <row r="530" ht="14.25" customHeight="1">
      <c r="A530" s="758"/>
      <c r="B530" s="758"/>
      <c r="C530" s="758"/>
      <c r="D530" s="650"/>
      <c r="F530" s="759"/>
      <c r="G530" s="650"/>
      <c r="I530" s="650"/>
    </row>
    <row r="531" ht="14.25" customHeight="1">
      <c r="A531" s="758"/>
      <c r="B531" s="758"/>
      <c r="C531" s="758"/>
      <c r="D531" s="650"/>
      <c r="F531" s="759"/>
      <c r="G531" s="650"/>
      <c r="I531" s="650"/>
    </row>
    <row r="532" ht="14.25" customHeight="1">
      <c r="A532" s="758"/>
      <c r="B532" s="758"/>
      <c r="C532" s="758"/>
      <c r="D532" s="650"/>
      <c r="F532" s="759"/>
      <c r="G532" s="650"/>
      <c r="I532" s="650"/>
    </row>
    <row r="533" ht="14.25" customHeight="1">
      <c r="A533" s="758"/>
      <c r="B533" s="758"/>
      <c r="C533" s="758"/>
      <c r="D533" s="650"/>
      <c r="F533" s="759"/>
      <c r="G533" s="650"/>
      <c r="I533" s="650"/>
    </row>
    <row r="534" ht="14.25" customHeight="1">
      <c r="A534" s="758"/>
      <c r="B534" s="758"/>
      <c r="C534" s="758"/>
      <c r="D534" s="650"/>
      <c r="F534" s="759"/>
      <c r="G534" s="650"/>
      <c r="I534" s="650"/>
    </row>
    <row r="535" ht="14.25" customHeight="1">
      <c r="A535" s="758"/>
      <c r="B535" s="758"/>
      <c r="C535" s="758"/>
      <c r="D535" s="650"/>
      <c r="F535" s="759"/>
      <c r="G535" s="650"/>
      <c r="I535" s="650"/>
    </row>
    <row r="536" ht="14.25" customHeight="1">
      <c r="A536" s="758"/>
      <c r="B536" s="758"/>
      <c r="C536" s="758"/>
      <c r="D536" s="650"/>
      <c r="F536" s="759"/>
      <c r="G536" s="650"/>
      <c r="I536" s="650"/>
    </row>
    <row r="537" ht="14.25" customHeight="1">
      <c r="A537" s="758"/>
      <c r="B537" s="758"/>
      <c r="C537" s="758"/>
      <c r="D537" s="650"/>
      <c r="F537" s="759"/>
      <c r="G537" s="650"/>
      <c r="I537" s="650"/>
    </row>
    <row r="538" ht="14.25" customHeight="1">
      <c r="A538" s="758"/>
      <c r="B538" s="758"/>
      <c r="C538" s="758"/>
      <c r="D538" s="650"/>
      <c r="F538" s="759"/>
      <c r="G538" s="650"/>
      <c r="I538" s="650"/>
    </row>
    <row r="539" ht="14.25" customHeight="1">
      <c r="A539" s="758"/>
      <c r="B539" s="758"/>
      <c r="C539" s="758"/>
      <c r="D539" s="650"/>
      <c r="F539" s="759"/>
      <c r="G539" s="650"/>
      <c r="I539" s="650"/>
    </row>
    <row r="540" ht="14.25" customHeight="1">
      <c r="A540" s="758"/>
      <c r="B540" s="758"/>
      <c r="C540" s="758"/>
      <c r="D540" s="650"/>
      <c r="F540" s="759"/>
      <c r="G540" s="650"/>
      <c r="I540" s="650"/>
    </row>
    <row r="541" ht="14.25" customHeight="1">
      <c r="A541" s="758"/>
      <c r="B541" s="758"/>
      <c r="C541" s="758"/>
      <c r="D541" s="650"/>
      <c r="F541" s="759"/>
      <c r="G541" s="650"/>
      <c r="I541" s="650"/>
    </row>
    <row r="542" ht="14.25" customHeight="1">
      <c r="A542" s="758"/>
      <c r="B542" s="758"/>
      <c r="C542" s="758"/>
      <c r="D542" s="650"/>
      <c r="F542" s="759"/>
      <c r="G542" s="650"/>
      <c r="I542" s="650"/>
    </row>
    <row r="543" ht="14.25" customHeight="1">
      <c r="A543" s="758"/>
      <c r="B543" s="758"/>
      <c r="C543" s="758"/>
      <c r="D543" s="650"/>
      <c r="F543" s="759"/>
      <c r="G543" s="650"/>
      <c r="I543" s="650"/>
    </row>
    <row r="544" ht="14.25" customHeight="1">
      <c r="A544" s="758"/>
      <c r="B544" s="758"/>
      <c r="C544" s="758"/>
      <c r="D544" s="650"/>
      <c r="F544" s="759"/>
      <c r="G544" s="650"/>
      <c r="I544" s="650"/>
    </row>
    <row r="545" ht="14.25" customHeight="1">
      <c r="A545" s="758"/>
      <c r="B545" s="758"/>
      <c r="C545" s="758"/>
      <c r="D545" s="650"/>
      <c r="F545" s="759"/>
      <c r="G545" s="650"/>
      <c r="I545" s="650"/>
    </row>
    <row r="546" ht="14.25" customHeight="1">
      <c r="A546" s="758"/>
      <c r="B546" s="758"/>
      <c r="C546" s="758"/>
      <c r="D546" s="650"/>
      <c r="F546" s="759"/>
      <c r="G546" s="650"/>
      <c r="I546" s="650"/>
    </row>
    <row r="547" ht="14.25" customHeight="1">
      <c r="A547" s="758"/>
      <c r="B547" s="758"/>
      <c r="C547" s="758"/>
      <c r="D547" s="650"/>
      <c r="F547" s="759"/>
      <c r="G547" s="650"/>
      <c r="I547" s="650"/>
    </row>
    <row r="548" ht="14.25" customHeight="1">
      <c r="A548" s="758"/>
      <c r="B548" s="758"/>
      <c r="C548" s="758"/>
      <c r="D548" s="650"/>
      <c r="F548" s="759"/>
      <c r="G548" s="650"/>
      <c r="I548" s="650"/>
    </row>
    <row r="549" ht="14.25" customHeight="1">
      <c r="A549" s="758"/>
      <c r="B549" s="758"/>
      <c r="C549" s="758"/>
      <c r="D549" s="650"/>
      <c r="F549" s="759"/>
      <c r="G549" s="650"/>
      <c r="I549" s="650"/>
    </row>
    <row r="550" ht="14.25" customHeight="1">
      <c r="A550" s="758"/>
      <c r="B550" s="758"/>
      <c r="C550" s="758"/>
      <c r="D550" s="650"/>
      <c r="F550" s="759"/>
      <c r="G550" s="650"/>
      <c r="I550" s="650"/>
    </row>
    <row r="551" ht="14.25" customHeight="1">
      <c r="A551" s="758"/>
      <c r="B551" s="758"/>
      <c r="C551" s="758"/>
      <c r="D551" s="650"/>
      <c r="F551" s="759"/>
      <c r="G551" s="650"/>
      <c r="I551" s="650"/>
    </row>
    <row r="552" ht="14.25" customHeight="1">
      <c r="A552" s="758"/>
      <c r="B552" s="758"/>
      <c r="C552" s="758"/>
      <c r="D552" s="650"/>
      <c r="F552" s="759"/>
      <c r="G552" s="650"/>
      <c r="I552" s="650"/>
    </row>
    <row r="553" ht="14.25" customHeight="1">
      <c r="A553" s="758"/>
      <c r="B553" s="758"/>
      <c r="C553" s="758"/>
      <c r="D553" s="650"/>
      <c r="F553" s="759"/>
      <c r="G553" s="650"/>
      <c r="I553" s="650"/>
    </row>
    <row r="554" ht="14.25" customHeight="1">
      <c r="A554" s="758"/>
      <c r="B554" s="758"/>
      <c r="C554" s="758"/>
      <c r="D554" s="650"/>
      <c r="F554" s="759"/>
      <c r="G554" s="650"/>
      <c r="I554" s="650"/>
    </row>
    <row r="555" ht="14.25" customHeight="1">
      <c r="A555" s="758"/>
      <c r="B555" s="758"/>
      <c r="C555" s="758"/>
      <c r="D555" s="650"/>
      <c r="F555" s="759"/>
      <c r="G555" s="650"/>
      <c r="I555" s="650"/>
    </row>
    <row r="556" ht="14.25" customHeight="1">
      <c r="A556" s="758"/>
      <c r="B556" s="758"/>
      <c r="C556" s="758"/>
      <c r="D556" s="650"/>
      <c r="F556" s="759"/>
      <c r="G556" s="650"/>
      <c r="I556" s="650"/>
    </row>
    <row r="557" ht="14.25" customHeight="1">
      <c r="A557" s="758"/>
      <c r="B557" s="758"/>
      <c r="C557" s="758"/>
      <c r="D557" s="650"/>
      <c r="F557" s="759"/>
      <c r="G557" s="650"/>
      <c r="I557" s="650"/>
    </row>
    <row r="558" ht="14.25" customHeight="1">
      <c r="A558" s="758"/>
      <c r="B558" s="758"/>
      <c r="C558" s="758"/>
      <c r="D558" s="650"/>
      <c r="F558" s="759"/>
      <c r="G558" s="650"/>
      <c r="I558" s="650"/>
    </row>
    <row r="559" ht="14.25" customHeight="1">
      <c r="A559" s="758"/>
      <c r="B559" s="758"/>
      <c r="C559" s="758"/>
      <c r="D559" s="650"/>
      <c r="F559" s="759"/>
      <c r="G559" s="650"/>
      <c r="I559" s="650"/>
    </row>
    <row r="560" ht="14.25" customHeight="1">
      <c r="A560" s="758"/>
      <c r="B560" s="758"/>
      <c r="C560" s="758"/>
      <c r="D560" s="650"/>
      <c r="F560" s="759"/>
      <c r="G560" s="650"/>
      <c r="I560" s="650"/>
    </row>
    <row r="561" ht="14.25" customHeight="1">
      <c r="A561" s="758"/>
      <c r="B561" s="758"/>
      <c r="C561" s="758"/>
      <c r="D561" s="650"/>
      <c r="F561" s="759"/>
      <c r="G561" s="650"/>
      <c r="I561" s="650"/>
    </row>
    <row r="562" ht="14.25" customHeight="1">
      <c r="A562" s="758"/>
      <c r="B562" s="758"/>
      <c r="C562" s="758"/>
      <c r="D562" s="650"/>
      <c r="F562" s="759"/>
      <c r="G562" s="650"/>
      <c r="I562" s="650"/>
    </row>
    <row r="563" ht="14.25" customHeight="1">
      <c r="A563" s="758"/>
      <c r="B563" s="758"/>
      <c r="C563" s="758"/>
      <c r="D563" s="650"/>
      <c r="F563" s="759"/>
      <c r="G563" s="650"/>
      <c r="I563" s="650"/>
    </row>
    <row r="564" ht="14.25" customHeight="1">
      <c r="A564" s="758"/>
      <c r="B564" s="758"/>
      <c r="C564" s="758"/>
      <c r="D564" s="650"/>
      <c r="F564" s="759"/>
      <c r="G564" s="650"/>
      <c r="I564" s="650"/>
    </row>
    <row r="565" ht="14.25" customHeight="1">
      <c r="A565" s="758"/>
      <c r="B565" s="758"/>
      <c r="C565" s="758"/>
      <c r="D565" s="650"/>
      <c r="F565" s="759"/>
      <c r="G565" s="650"/>
      <c r="I565" s="650"/>
    </row>
    <row r="566" ht="14.25" customHeight="1">
      <c r="A566" s="758"/>
      <c r="B566" s="758"/>
      <c r="C566" s="758"/>
      <c r="D566" s="650"/>
      <c r="F566" s="759"/>
      <c r="G566" s="650"/>
      <c r="I566" s="650"/>
    </row>
    <row r="567" ht="14.25" customHeight="1">
      <c r="A567" s="758"/>
      <c r="B567" s="758"/>
      <c r="C567" s="758"/>
      <c r="D567" s="650"/>
      <c r="F567" s="759"/>
      <c r="G567" s="650"/>
      <c r="I567" s="650"/>
    </row>
    <row r="568" ht="14.25" customHeight="1">
      <c r="A568" s="758"/>
      <c r="B568" s="758"/>
      <c r="C568" s="758"/>
      <c r="D568" s="650"/>
      <c r="F568" s="759"/>
      <c r="G568" s="650"/>
      <c r="I568" s="650"/>
    </row>
    <row r="569" ht="14.25" customHeight="1">
      <c r="A569" s="758"/>
      <c r="B569" s="758"/>
      <c r="C569" s="758"/>
      <c r="D569" s="650"/>
      <c r="F569" s="759"/>
      <c r="G569" s="650"/>
      <c r="I569" s="650"/>
    </row>
    <row r="570" ht="14.25" customHeight="1">
      <c r="A570" s="758"/>
      <c r="B570" s="758"/>
      <c r="C570" s="758"/>
      <c r="D570" s="650"/>
      <c r="F570" s="759"/>
      <c r="G570" s="650"/>
      <c r="I570" s="650"/>
    </row>
    <row r="571" ht="14.25" customHeight="1">
      <c r="A571" s="758"/>
      <c r="B571" s="758"/>
      <c r="C571" s="758"/>
      <c r="D571" s="650"/>
      <c r="F571" s="759"/>
      <c r="G571" s="650"/>
      <c r="I571" s="650"/>
    </row>
    <row r="572" ht="14.25" customHeight="1">
      <c r="A572" s="758"/>
      <c r="B572" s="758"/>
      <c r="C572" s="758"/>
      <c r="D572" s="650"/>
      <c r="F572" s="759"/>
      <c r="G572" s="650"/>
      <c r="I572" s="650"/>
    </row>
    <row r="573" ht="14.25" customHeight="1">
      <c r="A573" s="758"/>
      <c r="B573" s="758"/>
      <c r="C573" s="758"/>
      <c r="D573" s="650"/>
      <c r="F573" s="759"/>
      <c r="G573" s="650"/>
      <c r="I573" s="650"/>
    </row>
    <row r="574" ht="14.25" customHeight="1">
      <c r="A574" s="758"/>
      <c r="B574" s="758"/>
      <c r="C574" s="758"/>
      <c r="D574" s="650"/>
      <c r="F574" s="759"/>
      <c r="G574" s="650"/>
      <c r="I574" s="650"/>
    </row>
    <row r="575" ht="14.25" customHeight="1">
      <c r="A575" s="758"/>
      <c r="B575" s="758"/>
      <c r="C575" s="758"/>
      <c r="D575" s="650"/>
      <c r="F575" s="759"/>
      <c r="G575" s="650"/>
      <c r="I575" s="650"/>
    </row>
    <row r="576" ht="14.25" customHeight="1">
      <c r="A576" s="758"/>
      <c r="B576" s="758"/>
      <c r="C576" s="758"/>
      <c r="D576" s="650"/>
      <c r="F576" s="759"/>
      <c r="G576" s="650"/>
      <c r="I576" s="650"/>
    </row>
    <row r="577" ht="14.25" customHeight="1">
      <c r="A577" s="758"/>
      <c r="B577" s="758"/>
      <c r="C577" s="758"/>
      <c r="D577" s="650"/>
      <c r="F577" s="759"/>
      <c r="G577" s="650"/>
      <c r="I577" s="650"/>
    </row>
    <row r="578" ht="14.25" customHeight="1">
      <c r="A578" s="758"/>
      <c r="B578" s="758"/>
      <c r="C578" s="758"/>
      <c r="D578" s="650"/>
      <c r="F578" s="759"/>
      <c r="G578" s="650"/>
      <c r="I578" s="650"/>
    </row>
    <row r="579" ht="14.25" customHeight="1">
      <c r="A579" s="758"/>
      <c r="B579" s="758"/>
      <c r="C579" s="758"/>
      <c r="D579" s="650"/>
      <c r="F579" s="759"/>
      <c r="G579" s="650"/>
      <c r="I579" s="650"/>
    </row>
    <row r="580" ht="14.25" customHeight="1">
      <c r="A580" s="758"/>
      <c r="B580" s="758"/>
      <c r="C580" s="758"/>
      <c r="D580" s="650"/>
      <c r="F580" s="759"/>
      <c r="G580" s="650"/>
      <c r="I580" s="650"/>
    </row>
    <row r="581" ht="14.25" customHeight="1">
      <c r="A581" s="758"/>
      <c r="B581" s="758"/>
      <c r="C581" s="758"/>
      <c r="D581" s="650"/>
      <c r="F581" s="759"/>
      <c r="G581" s="650"/>
      <c r="I581" s="650"/>
    </row>
    <row r="582" ht="14.25" customHeight="1">
      <c r="A582" s="758"/>
      <c r="B582" s="758"/>
      <c r="C582" s="758"/>
      <c r="D582" s="650"/>
      <c r="F582" s="759"/>
      <c r="G582" s="650"/>
      <c r="I582" s="650"/>
    </row>
    <row r="583" ht="14.25" customHeight="1">
      <c r="A583" s="758"/>
      <c r="B583" s="758"/>
      <c r="C583" s="758"/>
      <c r="D583" s="650"/>
      <c r="F583" s="759"/>
      <c r="G583" s="650"/>
      <c r="I583" s="650"/>
    </row>
    <row r="584" ht="14.25" customHeight="1">
      <c r="A584" s="758"/>
      <c r="B584" s="758"/>
      <c r="C584" s="758"/>
      <c r="D584" s="650"/>
      <c r="F584" s="759"/>
      <c r="G584" s="650"/>
      <c r="I584" s="650"/>
    </row>
    <row r="585" ht="14.25" customHeight="1">
      <c r="A585" s="758"/>
      <c r="B585" s="758"/>
      <c r="C585" s="758"/>
      <c r="D585" s="650"/>
      <c r="F585" s="759"/>
      <c r="G585" s="650"/>
      <c r="I585" s="650"/>
    </row>
    <row r="586" ht="14.25" customHeight="1">
      <c r="A586" s="758"/>
      <c r="B586" s="758"/>
      <c r="C586" s="758"/>
      <c r="D586" s="650"/>
      <c r="F586" s="759"/>
      <c r="G586" s="650"/>
      <c r="I586" s="650"/>
    </row>
    <row r="587" ht="14.25" customHeight="1">
      <c r="A587" s="758"/>
      <c r="B587" s="758"/>
      <c r="C587" s="758"/>
      <c r="D587" s="650"/>
      <c r="F587" s="759"/>
      <c r="G587" s="650"/>
      <c r="I587" s="650"/>
    </row>
    <row r="588" ht="14.25" customHeight="1">
      <c r="A588" s="758"/>
      <c r="B588" s="758"/>
      <c r="C588" s="758"/>
      <c r="D588" s="650"/>
      <c r="F588" s="759"/>
      <c r="G588" s="650"/>
      <c r="I588" s="650"/>
    </row>
    <row r="589" ht="14.25" customHeight="1">
      <c r="A589" s="758"/>
      <c r="B589" s="758"/>
      <c r="C589" s="758"/>
      <c r="D589" s="650"/>
      <c r="F589" s="759"/>
      <c r="G589" s="650"/>
      <c r="I589" s="650"/>
    </row>
    <row r="590" ht="14.25" customHeight="1">
      <c r="A590" s="758"/>
      <c r="B590" s="758"/>
      <c r="C590" s="758"/>
      <c r="D590" s="650"/>
      <c r="F590" s="759"/>
      <c r="G590" s="650"/>
      <c r="I590" s="650"/>
    </row>
    <row r="591" ht="14.25" customHeight="1">
      <c r="A591" s="758"/>
      <c r="B591" s="758"/>
      <c r="C591" s="758"/>
      <c r="D591" s="650"/>
      <c r="F591" s="759"/>
      <c r="G591" s="650"/>
      <c r="I591" s="650"/>
    </row>
    <row r="592" ht="14.25" customHeight="1">
      <c r="A592" s="758"/>
      <c r="B592" s="758"/>
      <c r="C592" s="758"/>
      <c r="D592" s="650"/>
      <c r="F592" s="759"/>
      <c r="G592" s="650"/>
      <c r="I592" s="650"/>
    </row>
    <row r="593" ht="14.25" customHeight="1">
      <c r="A593" s="758"/>
      <c r="B593" s="758"/>
      <c r="C593" s="758"/>
      <c r="D593" s="650"/>
      <c r="F593" s="759"/>
      <c r="G593" s="650"/>
      <c r="I593" s="650"/>
    </row>
    <row r="594" ht="14.25" customHeight="1">
      <c r="A594" s="758"/>
      <c r="B594" s="758"/>
      <c r="C594" s="758"/>
      <c r="D594" s="650"/>
      <c r="F594" s="759"/>
      <c r="G594" s="650"/>
      <c r="I594" s="650"/>
    </row>
    <row r="595" ht="14.25" customHeight="1">
      <c r="A595" s="758"/>
      <c r="B595" s="758"/>
      <c r="C595" s="758"/>
      <c r="D595" s="650"/>
      <c r="F595" s="759"/>
      <c r="G595" s="650"/>
      <c r="I595" s="650"/>
    </row>
    <row r="596" ht="14.25" customHeight="1">
      <c r="A596" s="758"/>
      <c r="B596" s="758"/>
      <c r="C596" s="758"/>
      <c r="D596" s="650"/>
      <c r="F596" s="759"/>
      <c r="G596" s="650"/>
      <c r="I596" s="650"/>
    </row>
    <row r="597" ht="14.25" customHeight="1">
      <c r="A597" s="758"/>
      <c r="B597" s="758"/>
      <c r="C597" s="758"/>
      <c r="D597" s="650"/>
      <c r="F597" s="759"/>
      <c r="G597" s="650"/>
      <c r="I597" s="650"/>
    </row>
    <row r="598" ht="14.25" customHeight="1">
      <c r="A598" s="758"/>
      <c r="B598" s="758"/>
      <c r="C598" s="758"/>
      <c r="D598" s="650"/>
      <c r="F598" s="759"/>
      <c r="G598" s="650"/>
      <c r="I598" s="650"/>
    </row>
    <row r="599" ht="14.25" customHeight="1">
      <c r="A599" s="758"/>
      <c r="B599" s="758"/>
      <c r="C599" s="758"/>
      <c r="D599" s="650"/>
      <c r="F599" s="759"/>
      <c r="G599" s="650"/>
      <c r="I599" s="650"/>
    </row>
    <row r="600" ht="14.25" customHeight="1">
      <c r="A600" s="758"/>
      <c r="B600" s="758"/>
      <c r="C600" s="758"/>
      <c r="D600" s="650"/>
      <c r="F600" s="759"/>
      <c r="G600" s="650"/>
      <c r="I600" s="650"/>
    </row>
    <row r="601" ht="14.25" customHeight="1">
      <c r="A601" s="758"/>
      <c r="B601" s="758"/>
      <c r="C601" s="758"/>
      <c r="D601" s="650"/>
      <c r="F601" s="759"/>
      <c r="G601" s="650"/>
      <c r="I601" s="650"/>
    </row>
    <row r="602" ht="14.25" customHeight="1">
      <c r="A602" s="758"/>
      <c r="B602" s="758"/>
      <c r="C602" s="758"/>
      <c r="D602" s="650"/>
      <c r="F602" s="759"/>
      <c r="G602" s="650"/>
      <c r="I602" s="650"/>
    </row>
    <row r="603" ht="14.25" customHeight="1">
      <c r="A603" s="758"/>
      <c r="B603" s="758"/>
      <c r="C603" s="758"/>
      <c r="D603" s="650"/>
      <c r="F603" s="759"/>
      <c r="G603" s="650"/>
      <c r="I603" s="650"/>
    </row>
    <row r="604" ht="14.25" customHeight="1">
      <c r="A604" s="758"/>
      <c r="B604" s="758"/>
      <c r="C604" s="758"/>
      <c r="D604" s="650"/>
      <c r="F604" s="759"/>
      <c r="G604" s="650"/>
      <c r="I604" s="650"/>
    </row>
    <row r="605" ht="14.25" customHeight="1">
      <c r="A605" s="758"/>
      <c r="B605" s="758"/>
      <c r="C605" s="758"/>
      <c r="D605" s="650"/>
      <c r="F605" s="759"/>
      <c r="G605" s="650"/>
      <c r="I605" s="650"/>
    </row>
    <row r="606" ht="14.25" customHeight="1">
      <c r="A606" s="758"/>
      <c r="B606" s="758"/>
      <c r="C606" s="758"/>
      <c r="D606" s="650"/>
      <c r="F606" s="759"/>
      <c r="G606" s="650"/>
      <c r="I606" s="650"/>
    </row>
    <row r="607" ht="14.25" customHeight="1">
      <c r="A607" s="758"/>
      <c r="B607" s="758"/>
      <c r="C607" s="758"/>
      <c r="D607" s="650"/>
      <c r="F607" s="759"/>
      <c r="G607" s="650"/>
      <c r="I607" s="650"/>
    </row>
    <row r="608" ht="14.25" customHeight="1">
      <c r="A608" s="758"/>
      <c r="B608" s="758"/>
      <c r="C608" s="758"/>
      <c r="D608" s="650"/>
      <c r="F608" s="759"/>
      <c r="G608" s="650"/>
      <c r="I608" s="650"/>
    </row>
    <row r="609" ht="14.25" customHeight="1">
      <c r="A609" s="758"/>
      <c r="B609" s="758"/>
      <c r="C609" s="758"/>
      <c r="D609" s="650"/>
      <c r="F609" s="759"/>
      <c r="G609" s="650"/>
      <c r="I609" s="650"/>
    </row>
    <row r="610" ht="14.25" customHeight="1">
      <c r="A610" s="758"/>
      <c r="B610" s="758"/>
      <c r="C610" s="758"/>
      <c r="D610" s="650"/>
      <c r="F610" s="759"/>
      <c r="G610" s="650"/>
      <c r="I610" s="650"/>
    </row>
    <row r="611" ht="14.25" customHeight="1">
      <c r="A611" s="758"/>
      <c r="B611" s="758"/>
      <c r="C611" s="758"/>
      <c r="D611" s="650"/>
      <c r="F611" s="759"/>
      <c r="G611" s="650"/>
      <c r="I611" s="650"/>
    </row>
    <row r="612" ht="14.25" customHeight="1">
      <c r="A612" s="758"/>
      <c r="B612" s="758"/>
      <c r="C612" s="758"/>
      <c r="D612" s="650"/>
      <c r="F612" s="759"/>
      <c r="G612" s="650"/>
      <c r="I612" s="650"/>
    </row>
    <row r="613" ht="14.25" customHeight="1">
      <c r="A613" s="758"/>
      <c r="B613" s="758"/>
      <c r="C613" s="758"/>
      <c r="D613" s="650"/>
      <c r="F613" s="759"/>
      <c r="G613" s="650"/>
      <c r="I613" s="650"/>
    </row>
    <row r="614" ht="14.25" customHeight="1">
      <c r="A614" s="758"/>
      <c r="B614" s="758"/>
      <c r="C614" s="758"/>
      <c r="D614" s="650"/>
      <c r="F614" s="759"/>
      <c r="G614" s="650"/>
      <c r="I614" s="650"/>
    </row>
    <row r="615" ht="14.25" customHeight="1">
      <c r="A615" s="758"/>
      <c r="B615" s="758"/>
      <c r="C615" s="758"/>
      <c r="D615" s="650"/>
      <c r="F615" s="759"/>
      <c r="G615" s="650"/>
      <c r="I615" s="650"/>
    </row>
    <row r="616" ht="14.25" customHeight="1">
      <c r="A616" s="758"/>
      <c r="B616" s="758"/>
      <c r="C616" s="758"/>
      <c r="D616" s="650"/>
      <c r="F616" s="759"/>
      <c r="G616" s="650"/>
      <c r="I616" s="650"/>
    </row>
    <row r="617" ht="14.25" customHeight="1">
      <c r="A617" s="758"/>
      <c r="B617" s="758"/>
      <c r="C617" s="758"/>
      <c r="D617" s="650"/>
      <c r="F617" s="759"/>
      <c r="G617" s="650"/>
      <c r="I617" s="650"/>
    </row>
    <row r="618" ht="14.25" customHeight="1">
      <c r="A618" s="758"/>
      <c r="B618" s="758"/>
      <c r="C618" s="758"/>
      <c r="D618" s="650"/>
      <c r="F618" s="759"/>
      <c r="G618" s="650"/>
      <c r="I618" s="650"/>
    </row>
    <row r="619" ht="14.25" customHeight="1">
      <c r="A619" s="758"/>
      <c r="B619" s="758"/>
      <c r="C619" s="758"/>
      <c r="D619" s="650"/>
      <c r="F619" s="759"/>
      <c r="G619" s="650"/>
      <c r="I619" s="650"/>
    </row>
    <row r="620" ht="14.25" customHeight="1">
      <c r="A620" s="758"/>
      <c r="B620" s="758"/>
      <c r="C620" s="758"/>
      <c r="D620" s="650"/>
      <c r="F620" s="759"/>
      <c r="G620" s="650"/>
      <c r="I620" s="650"/>
    </row>
    <row r="621" ht="14.25" customHeight="1">
      <c r="A621" s="758"/>
      <c r="B621" s="758"/>
      <c r="C621" s="758"/>
      <c r="D621" s="650"/>
      <c r="F621" s="759"/>
      <c r="G621" s="650"/>
      <c r="I621" s="650"/>
    </row>
    <row r="622" ht="14.25" customHeight="1">
      <c r="A622" s="758"/>
      <c r="B622" s="758"/>
      <c r="C622" s="758"/>
      <c r="D622" s="650"/>
      <c r="F622" s="759"/>
      <c r="G622" s="650"/>
      <c r="I622" s="650"/>
    </row>
    <row r="623" ht="14.25" customHeight="1">
      <c r="A623" s="758"/>
      <c r="B623" s="758"/>
      <c r="C623" s="758"/>
      <c r="D623" s="650"/>
      <c r="F623" s="759"/>
      <c r="G623" s="650"/>
      <c r="I623" s="650"/>
    </row>
    <row r="624" ht="14.25" customHeight="1">
      <c r="A624" s="758"/>
      <c r="B624" s="758"/>
      <c r="C624" s="758"/>
      <c r="D624" s="650"/>
      <c r="F624" s="759"/>
      <c r="G624" s="650"/>
      <c r="I624" s="650"/>
    </row>
    <row r="625" ht="14.25" customHeight="1">
      <c r="A625" s="758"/>
      <c r="B625" s="758"/>
      <c r="C625" s="758"/>
      <c r="D625" s="650"/>
      <c r="F625" s="759"/>
      <c r="G625" s="650"/>
      <c r="I625" s="650"/>
    </row>
    <row r="626" ht="14.25" customHeight="1">
      <c r="A626" s="758"/>
      <c r="B626" s="758"/>
      <c r="C626" s="758"/>
      <c r="D626" s="650"/>
      <c r="F626" s="759"/>
      <c r="G626" s="650"/>
      <c r="I626" s="650"/>
    </row>
    <row r="627" ht="14.25" customHeight="1">
      <c r="A627" s="758"/>
      <c r="B627" s="758"/>
      <c r="C627" s="758"/>
      <c r="D627" s="650"/>
      <c r="F627" s="759"/>
      <c r="G627" s="650"/>
      <c r="I627" s="650"/>
    </row>
    <row r="628" ht="14.25" customHeight="1">
      <c r="A628" s="758"/>
      <c r="B628" s="758"/>
      <c r="C628" s="758"/>
      <c r="D628" s="650"/>
      <c r="F628" s="759"/>
      <c r="G628" s="650"/>
      <c r="I628" s="650"/>
    </row>
    <row r="629" ht="14.25" customHeight="1">
      <c r="A629" s="758"/>
      <c r="B629" s="758"/>
      <c r="C629" s="758"/>
      <c r="D629" s="650"/>
      <c r="F629" s="759"/>
      <c r="G629" s="650"/>
      <c r="I629" s="650"/>
    </row>
    <row r="630" ht="14.25" customHeight="1">
      <c r="A630" s="758"/>
      <c r="B630" s="758"/>
      <c r="C630" s="758"/>
      <c r="D630" s="650"/>
      <c r="F630" s="759"/>
      <c r="G630" s="650"/>
      <c r="I630" s="650"/>
    </row>
    <row r="631" ht="14.25" customHeight="1">
      <c r="A631" s="758"/>
      <c r="B631" s="758"/>
      <c r="C631" s="758"/>
      <c r="D631" s="650"/>
      <c r="F631" s="759"/>
      <c r="G631" s="650"/>
      <c r="I631" s="650"/>
    </row>
    <row r="632" ht="14.25" customHeight="1">
      <c r="A632" s="758"/>
      <c r="B632" s="758"/>
      <c r="C632" s="758"/>
      <c r="D632" s="650"/>
      <c r="F632" s="759"/>
      <c r="G632" s="650"/>
      <c r="I632" s="650"/>
    </row>
    <row r="633" ht="14.25" customHeight="1">
      <c r="A633" s="758"/>
      <c r="B633" s="758"/>
      <c r="C633" s="758"/>
      <c r="D633" s="650"/>
      <c r="F633" s="759"/>
      <c r="G633" s="650"/>
      <c r="I633" s="650"/>
    </row>
    <row r="634" ht="14.25" customHeight="1">
      <c r="A634" s="758"/>
      <c r="B634" s="758"/>
      <c r="C634" s="758"/>
      <c r="D634" s="650"/>
      <c r="F634" s="759"/>
      <c r="G634" s="650"/>
      <c r="I634" s="650"/>
    </row>
    <row r="635" ht="14.25" customHeight="1">
      <c r="A635" s="758"/>
      <c r="B635" s="758"/>
      <c r="C635" s="758"/>
      <c r="D635" s="650"/>
      <c r="F635" s="759"/>
      <c r="G635" s="650"/>
      <c r="I635" s="650"/>
    </row>
    <row r="636" ht="14.25" customHeight="1">
      <c r="A636" s="758"/>
      <c r="B636" s="758"/>
      <c r="C636" s="758"/>
      <c r="D636" s="650"/>
      <c r="F636" s="759"/>
      <c r="G636" s="650"/>
      <c r="I636" s="650"/>
    </row>
    <row r="637" ht="14.25" customHeight="1">
      <c r="A637" s="758"/>
      <c r="B637" s="758"/>
      <c r="C637" s="758"/>
      <c r="D637" s="650"/>
      <c r="F637" s="759"/>
      <c r="G637" s="650"/>
      <c r="I637" s="650"/>
    </row>
    <row r="638" ht="14.25" customHeight="1">
      <c r="A638" s="758"/>
      <c r="B638" s="758"/>
      <c r="C638" s="758"/>
      <c r="D638" s="650"/>
      <c r="F638" s="759"/>
      <c r="G638" s="650"/>
      <c r="I638" s="650"/>
    </row>
    <row r="639" ht="14.25" customHeight="1">
      <c r="A639" s="758"/>
      <c r="B639" s="758"/>
      <c r="C639" s="758"/>
      <c r="D639" s="650"/>
      <c r="F639" s="759"/>
      <c r="G639" s="650"/>
      <c r="I639" s="650"/>
    </row>
    <row r="640" ht="14.25" customHeight="1">
      <c r="A640" s="758"/>
      <c r="B640" s="758"/>
      <c r="C640" s="758"/>
      <c r="D640" s="650"/>
      <c r="F640" s="759"/>
      <c r="G640" s="650"/>
      <c r="I640" s="650"/>
    </row>
    <row r="641" ht="14.25" customHeight="1">
      <c r="A641" s="758"/>
      <c r="B641" s="758"/>
      <c r="C641" s="758"/>
      <c r="D641" s="650"/>
      <c r="F641" s="759"/>
      <c r="G641" s="650"/>
      <c r="I641" s="650"/>
    </row>
    <row r="642" ht="14.25" customHeight="1">
      <c r="A642" s="758"/>
      <c r="B642" s="758"/>
      <c r="C642" s="758"/>
      <c r="D642" s="650"/>
      <c r="F642" s="759"/>
      <c r="G642" s="650"/>
      <c r="I642" s="650"/>
    </row>
    <row r="643" ht="14.25" customHeight="1">
      <c r="A643" s="758"/>
      <c r="B643" s="758"/>
      <c r="C643" s="758"/>
      <c r="D643" s="650"/>
      <c r="F643" s="759"/>
      <c r="G643" s="650"/>
      <c r="I643" s="650"/>
    </row>
    <row r="644" ht="14.25" customHeight="1">
      <c r="A644" s="758"/>
      <c r="B644" s="758"/>
      <c r="C644" s="758"/>
      <c r="D644" s="650"/>
      <c r="F644" s="759"/>
      <c r="G644" s="650"/>
      <c r="I644" s="650"/>
    </row>
    <row r="645" ht="14.25" customHeight="1">
      <c r="A645" s="758"/>
      <c r="B645" s="758"/>
      <c r="C645" s="758"/>
      <c r="D645" s="650"/>
      <c r="F645" s="759"/>
      <c r="G645" s="650"/>
      <c r="I645" s="650"/>
    </row>
    <row r="646" ht="14.25" customHeight="1">
      <c r="A646" s="758"/>
      <c r="B646" s="758"/>
      <c r="C646" s="758"/>
      <c r="D646" s="650"/>
      <c r="F646" s="759"/>
      <c r="G646" s="650"/>
      <c r="I646" s="650"/>
    </row>
    <row r="647" ht="14.25" customHeight="1">
      <c r="A647" s="758"/>
      <c r="B647" s="758"/>
      <c r="C647" s="758"/>
      <c r="D647" s="650"/>
      <c r="F647" s="759"/>
      <c r="G647" s="650"/>
      <c r="I647" s="650"/>
    </row>
    <row r="648" ht="14.25" customHeight="1">
      <c r="A648" s="758"/>
      <c r="B648" s="758"/>
      <c r="C648" s="758"/>
      <c r="D648" s="650"/>
      <c r="F648" s="759"/>
      <c r="G648" s="650"/>
      <c r="I648" s="650"/>
    </row>
    <row r="649" ht="14.25" customHeight="1">
      <c r="A649" s="758"/>
      <c r="B649" s="758"/>
      <c r="C649" s="758"/>
      <c r="D649" s="650"/>
      <c r="F649" s="759"/>
      <c r="G649" s="650"/>
      <c r="I649" s="650"/>
    </row>
    <row r="650" ht="14.25" customHeight="1">
      <c r="A650" s="758"/>
      <c r="B650" s="758"/>
      <c r="C650" s="758"/>
      <c r="D650" s="650"/>
      <c r="F650" s="759"/>
      <c r="G650" s="650"/>
      <c r="I650" s="650"/>
    </row>
    <row r="651" ht="14.25" customHeight="1">
      <c r="A651" s="758"/>
      <c r="B651" s="758"/>
      <c r="C651" s="758"/>
      <c r="D651" s="650"/>
      <c r="F651" s="759"/>
      <c r="G651" s="650"/>
      <c r="I651" s="650"/>
    </row>
    <row r="652" ht="14.25" customHeight="1">
      <c r="A652" s="758"/>
      <c r="B652" s="758"/>
      <c r="C652" s="758"/>
      <c r="D652" s="650"/>
      <c r="F652" s="759"/>
      <c r="G652" s="650"/>
      <c r="I652" s="650"/>
    </row>
    <row r="653" ht="14.25" customHeight="1">
      <c r="A653" s="758"/>
      <c r="B653" s="758"/>
      <c r="C653" s="758"/>
      <c r="D653" s="650"/>
      <c r="F653" s="759"/>
      <c r="G653" s="650"/>
      <c r="I653" s="650"/>
    </row>
    <row r="654" ht="14.25" customHeight="1">
      <c r="A654" s="758"/>
      <c r="B654" s="758"/>
      <c r="C654" s="758"/>
      <c r="D654" s="650"/>
      <c r="F654" s="759"/>
      <c r="G654" s="650"/>
      <c r="I654" s="650"/>
    </row>
    <row r="655" ht="14.25" customHeight="1">
      <c r="A655" s="758"/>
      <c r="B655" s="758"/>
      <c r="C655" s="758"/>
      <c r="D655" s="650"/>
      <c r="F655" s="759"/>
      <c r="G655" s="650"/>
      <c r="I655" s="650"/>
    </row>
    <row r="656" ht="14.25" customHeight="1">
      <c r="A656" s="758"/>
      <c r="B656" s="758"/>
      <c r="C656" s="758"/>
      <c r="D656" s="650"/>
      <c r="F656" s="759"/>
      <c r="G656" s="650"/>
      <c r="I656" s="650"/>
    </row>
    <row r="657" ht="14.25" customHeight="1">
      <c r="A657" s="758"/>
      <c r="B657" s="758"/>
      <c r="C657" s="758"/>
      <c r="D657" s="650"/>
      <c r="F657" s="759"/>
      <c r="G657" s="650"/>
      <c r="I657" s="650"/>
    </row>
    <row r="658" ht="14.25" customHeight="1">
      <c r="A658" s="758"/>
      <c r="B658" s="758"/>
      <c r="C658" s="758"/>
      <c r="D658" s="650"/>
      <c r="F658" s="759"/>
      <c r="G658" s="650"/>
      <c r="I658" s="650"/>
    </row>
    <row r="659" ht="14.25" customHeight="1">
      <c r="A659" s="758"/>
      <c r="B659" s="758"/>
      <c r="C659" s="758"/>
      <c r="D659" s="650"/>
      <c r="F659" s="759"/>
      <c r="G659" s="650"/>
      <c r="I659" s="650"/>
    </row>
    <row r="660" ht="14.25" customHeight="1">
      <c r="A660" s="758"/>
      <c r="B660" s="758"/>
      <c r="C660" s="758"/>
      <c r="D660" s="650"/>
      <c r="F660" s="759"/>
      <c r="G660" s="650"/>
      <c r="I660" s="650"/>
    </row>
    <row r="661" ht="14.25" customHeight="1">
      <c r="A661" s="758"/>
      <c r="B661" s="758"/>
      <c r="C661" s="758"/>
      <c r="D661" s="650"/>
      <c r="F661" s="759"/>
      <c r="G661" s="650"/>
      <c r="I661" s="650"/>
    </row>
    <row r="662" ht="14.25" customHeight="1">
      <c r="A662" s="758"/>
      <c r="B662" s="758"/>
      <c r="C662" s="758"/>
      <c r="D662" s="650"/>
      <c r="F662" s="759"/>
      <c r="G662" s="650"/>
      <c r="I662" s="650"/>
    </row>
    <row r="663" ht="14.25" customHeight="1">
      <c r="A663" s="758"/>
      <c r="B663" s="758"/>
      <c r="C663" s="758"/>
      <c r="D663" s="650"/>
      <c r="F663" s="759"/>
      <c r="G663" s="650"/>
      <c r="I663" s="650"/>
    </row>
    <row r="664" ht="14.25" customHeight="1">
      <c r="A664" s="758"/>
      <c r="B664" s="758"/>
      <c r="C664" s="758"/>
      <c r="D664" s="650"/>
      <c r="F664" s="759"/>
      <c r="G664" s="650"/>
      <c r="I664" s="650"/>
    </row>
    <row r="665" ht="14.25" customHeight="1">
      <c r="A665" s="758"/>
      <c r="B665" s="758"/>
      <c r="C665" s="758"/>
      <c r="D665" s="650"/>
      <c r="F665" s="759"/>
      <c r="G665" s="650"/>
      <c r="I665" s="650"/>
    </row>
    <row r="666" ht="14.25" customHeight="1">
      <c r="A666" s="758"/>
      <c r="B666" s="758"/>
      <c r="C666" s="758"/>
      <c r="D666" s="650"/>
      <c r="F666" s="759"/>
      <c r="G666" s="650"/>
      <c r="I666" s="650"/>
    </row>
    <row r="667" ht="14.25" customHeight="1">
      <c r="A667" s="758"/>
      <c r="B667" s="758"/>
      <c r="C667" s="758"/>
      <c r="D667" s="650"/>
      <c r="F667" s="759"/>
      <c r="G667" s="650"/>
      <c r="I667" s="650"/>
    </row>
    <row r="668" ht="14.25" customHeight="1">
      <c r="A668" s="758"/>
      <c r="B668" s="758"/>
      <c r="C668" s="758"/>
      <c r="D668" s="650"/>
      <c r="F668" s="759"/>
      <c r="G668" s="650"/>
      <c r="I668" s="650"/>
    </row>
    <row r="669" ht="14.25" customHeight="1">
      <c r="A669" s="758"/>
      <c r="B669" s="758"/>
      <c r="C669" s="758"/>
      <c r="D669" s="650"/>
      <c r="F669" s="759"/>
      <c r="G669" s="650"/>
      <c r="I669" s="650"/>
    </row>
    <row r="670" ht="14.25" customHeight="1">
      <c r="A670" s="758"/>
      <c r="B670" s="758"/>
      <c r="C670" s="758"/>
      <c r="D670" s="650"/>
      <c r="F670" s="759"/>
      <c r="G670" s="650"/>
      <c r="I670" s="650"/>
    </row>
    <row r="671" ht="14.25" customHeight="1">
      <c r="A671" s="758"/>
      <c r="B671" s="758"/>
      <c r="C671" s="758"/>
      <c r="D671" s="650"/>
      <c r="F671" s="759"/>
      <c r="G671" s="650"/>
      <c r="I671" s="650"/>
    </row>
    <row r="672" ht="14.25" customHeight="1">
      <c r="A672" s="758"/>
      <c r="B672" s="758"/>
      <c r="C672" s="758"/>
      <c r="D672" s="650"/>
      <c r="F672" s="759"/>
      <c r="G672" s="650"/>
      <c r="I672" s="650"/>
    </row>
    <row r="673" ht="14.25" customHeight="1">
      <c r="A673" s="758"/>
      <c r="B673" s="758"/>
      <c r="C673" s="758"/>
      <c r="D673" s="650"/>
      <c r="F673" s="759"/>
      <c r="G673" s="650"/>
      <c r="I673" s="650"/>
    </row>
    <row r="674" ht="14.25" customHeight="1">
      <c r="A674" s="758"/>
      <c r="B674" s="758"/>
      <c r="C674" s="758"/>
      <c r="D674" s="650"/>
      <c r="F674" s="759"/>
      <c r="G674" s="650"/>
      <c r="I674" s="650"/>
    </row>
    <row r="675" ht="14.25" customHeight="1">
      <c r="A675" s="758"/>
      <c r="B675" s="758"/>
      <c r="C675" s="758"/>
      <c r="D675" s="650"/>
      <c r="F675" s="759"/>
      <c r="G675" s="650"/>
      <c r="I675" s="650"/>
    </row>
    <row r="676" ht="14.25" customHeight="1">
      <c r="A676" s="758"/>
      <c r="B676" s="758"/>
      <c r="C676" s="758"/>
      <c r="D676" s="650"/>
      <c r="F676" s="759"/>
      <c r="G676" s="650"/>
      <c r="I676" s="650"/>
    </row>
    <row r="677" ht="14.25" customHeight="1">
      <c r="A677" s="758"/>
      <c r="B677" s="758"/>
      <c r="C677" s="758"/>
      <c r="D677" s="650"/>
      <c r="F677" s="759"/>
      <c r="G677" s="650"/>
      <c r="I677" s="650"/>
    </row>
    <row r="678" ht="14.25" customHeight="1">
      <c r="A678" s="758"/>
      <c r="B678" s="758"/>
      <c r="C678" s="758"/>
      <c r="D678" s="650"/>
      <c r="F678" s="759"/>
      <c r="G678" s="650"/>
      <c r="I678" s="650"/>
    </row>
    <row r="679" ht="14.25" customHeight="1">
      <c r="A679" s="758"/>
      <c r="B679" s="758"/>
      <c r="C679" s="758"/>
      <c r="D679" s="650"/>
      <c r="F679" s="759"/>
      <c r="G679" s="650"/>
      <c r="I679" s="650"/>
    </row>
    <row r="680" ht="14.25" customHeight="1">
      <c r="A680" s="758"/>
      <c r="B680" s="758"/>
      <c r="C680" s="758"/>
      <c r="D680" s="650"/>
      <c r="F680" s="759"/>
      <c r="G680" s="650"/>
      <c r="I680" s="650"/>
    </row>
    <row r="681" ht="14.25" customHeight="1">
      <c r="A681" s="758"/>
      <c r="B681" s="758"/>
      <c r="C681" s="758"/>
      <c r="D681" s="650"/>
      <c r="F681" s="759"/>
      <c r="G681" s="650"/>
      <c r="I681" s="650"/>
    </row>
    <row r="682" ht="14.25" customHeight="1">
      <c r="A682" s="758"/>
      <c r="B682" s="758"/>
      <c r="C682" s="758"/>
      <c r="D682" s="650"/>
      <c r="F682" s="759"/>
      <c r="G682" s="650"/>
      <c r="I682" s="650"/>
    </row>
    <row r="683" ht="14.25" customHeight="1">
      <c r="A683" s="758"/>
      <c r="B683" s="758"/>
      <c r="C683" s="758"/>
      <c r="D683" s="650"/>
      <c r="F683" s="759"/>
      <c r="G683" s="650"/>
      <c r="I683" s="650"/>
    </row>
    <row r="684" ht="14.25" customHeight="1">
      <c r="A684" s="758"/>
      <c r="B684" s="758"/>
      <c r="C684" s="758"/>
      <c r="D684" s="650"/>
      <c r="F684" s="759"/>
      <c r="G684" s="650"/>
      <c r="I684" s="650"/>
    </row>
    <row r="685" ht="14.25" customHeight="1">
      <c r="A685" s="758"/>
      <c r="B685" s="758"/>
      <c r="C685" s="758"/>
      <c r="D685" s="650"/>
      <c r="F685" s="759"/>
      <c r="G685" s="650"/>
      <c r="I685" s="650"/>
    </row>
    <row r="686" ht="14.25" customHeight="1">
      <c r="A686" s="758"/>
      <c r="B686" s="758"/>
      <c r="C686" s="758"/>
      <c r="D686" s="650"/>
      <c r="F686" s="759"/>
      <c r="G686" s="650"/>
      <c r="I686" s="650"/>
    </row>
    <row r="687" ht="14.25" customHeight="1">
      <c r="A687" s="758"/>
      <c r="B687" s="758"/>
      <c r="C687" s="758"/>
      <c r="D687" s="650"/>
      <c r="F687" s="759"/>
      <c r="G687" s="650"/>
      <c r="I687" s="650"/>
    </row>
    <row r="688" ht="14.25" customHeight="1">
      <c r="A688" s="758"/>
      <c r="B688" s="758"/>
      <c r="C688" s="758"/>
      <c r="D688" s="650"/>
      <c r="F688" s="759"/>
      <c r="G688" s="650"/>
      <c r="I688" s="650"/>
    </row>
    <row r="689" ht="14.25" customHeight="1">
      <c r="A689" s="758"/>
      <c r="B689" s="758"/>
      <c r="C689" s="758"/>
      <c r="D689" s="650"/>
      <c r="F689" s="759"/>
      <c r="G689" s="650"/>
      <c r="I689" s="650"/>
    </row>
    <row r="690" ht="14.25" customHeight="1">
      <c r="A690" s="758"/>
      <c r="B690" s="758"/>
      <c r="C690" s="758"/>
      <c r="D690" s="650"/>
      <c r="F690" s="759"/>
      <c r="G690" s="650"/>
      <c r="I690" s="650"/>
    </row>
    <row r="691" ht="14.25" customHeight="1">
      <c r="A691" s="758"/>
      <c r="B691" s="758"/>
      <c r="C691" s="758"/>
      <c r="D691" s="650"/>
      <c r="F691" s="759"/>
      <c r="G691" s="650"/>
      <c r="I691" s="650"/>
    </row>
    <row r="692" ht="14.25" customHeight="1">
      <c r="A692" s="758"/>
      <c r="B692" s="758"/>
      <c r="C692" s="758"/>
      <c r="D692" s="650"/>
      <c r="F692" s="759"/>
      <c r="G692" s="650"/>
      <c r="I692" s="650"/>
    </row>
    <row r="693" ht="14.25" customHeight="1">
      <c r="A693" s="758"/>
      <c r="B693" s="758"/>
      <c r="C693" s="758"/>
      <c r="D693" s="650"/>
      <c r="F693" s="759"/>
      <c r="G693" s="650"/>
      <c r="I693" s="650"/>
    </row>
    <row r="694" ht="14.25" customHeight="1">
      <c r="A694" s="758"/>
      <c r="B694" s="758"/>
      <c r="C694" s="758"/>
      <c r="D694" s="650"/>
      <c r="F694" s="759"/>
      <c r="G694" s="650"/>
      <c r="I694" s="650"/>
    </row>
    <row r="695" ht="14.25" customHeight="1">
      <c r="A695" s="758"/>
      <c r="B695" s="758"/>
      <c r="C695" s="758"/>
      <c r="D695" s="650"/>
      <c r="F695" s="759"/>
      <c r="G695" s="650"/>
      <c r="I695" s="650"/>
    </row>
    <row r="696" ht="14.25" customHeight="1">
      <c r="A696" s="758"/>
      <c r="B696" s="758"/>
      <c r="C696" s="758"/>
      <c r="D696" s="650"/>
      <c r="F696" s="759"/>
      <c r="G696" s="650"/>
      <c r="I696" s="650"/>
    </row>
    <row r="697" ht="14.25" customHeight="1">
      <c r="A697" s="758"/>
      <c r="B697" s="758"/>
      <c r="C697" s="758"/>
      <c r="D697" s="650"/>
      <c r="F697" s="759"/>
      <c r="G697" s="650"/>
      <c r="I697" s="650"/>
    </row>
    <row r="698" ht="14.25" customHeight="1">
      <c r="A698" s="758"/>
      <c r="B698" s="758"/>
      <c r="C698" s="758"/>
      <c r="D698" s="650"/>
      <c r="F698" s="759"/>
      <c r="G698" s="650"/>
      <c r="I698" s="650"/>
    </row>
    <row r="699" ht="14.25" customHeight="1">
      <c r="A699" s="758"/>
      <c r="B699" s="758"/>
      <c r="C699" s="758"/>
      <c r="D699" s="650"/>
      <c r="F699" s="759"/>
      <c r="G699" s="650"/>
      <c r="I699" s="650"/>
    </row>
    <row r="700" ht="14.25" customHeight="1">
      <c r="A700" s="758"/>
      <c r="B700" s="758"/>
      <c r="C700" s="758"/>
      <c r="D700" s="650"/>
      <c r="F700" s="759"/>
      <c r="G700" s="650"/>
      <c r="I700" s="650"/>
    </row>
    <row r="701" ht="14.25" customHeight="1">
      <c r="A701" s="758"/>
      <c r="B701" s="758"/>
      <c r="C701" s="758"/>
      <c r="D701" s="650"/>
      <c r="F701" s="759"/>
      <c r="G701" s="650"/>
      <c r="I701" s="650"/>
    </row>
    <row r="702" ht="14.25" customHeight="1">
      <c r="A702" s="758"/>
      <c r="B702" s="758"/>
      <c r="C702" s="758"/>
      <c r="D702" s="650"/>
      <c r="F702" s="759"/>
      <c r="G702" s="650"/>
      <c r="I702" s="650"/>
    </row>
    <row r="703" ht="14.25" customHeight="1">
      <c r="A703" s="758"/>
      <c r="B703" s="758"/>
      <c r="C703" s="758"/>
      <c r="D703" s="650"/>
      <c r="F703" s="759"/>
      <c r="G703" s="650"/>
      <c r="I703" s="650"/>
    </row>
    <row r="704" ht="14.25" customHeight="1">
      <c r="A704" s="758"/>
      <c r="B704" s="758"/>
      <c r="C704" s="758"/>
      <c r="D704" s="650"/>
      <c r="F704" s="759"/>
      <c r="G704" s="650"/>
      <c r="I704" s="650"/>
    </row>
    <row r="705" ht="14.25" customHeight="1">
      <c r="A705" s="758"/>
      <c r="B705" s="758"/>
      <c r="C705" s="758"/>
      <c r="D705" s="650"/>
      <c r="F705" s="759"/>
      <c r="G705" s="650"/>
      <c r="I705" s="650"/>
    </row>
    <row r="706" ht="14.25" customHeight="1">
      <c r="A706" s="758"/>
      <c r="B706" s="758"/>
      <c r="C706" s="758"/>
      <c r="D706" s="650"/>
      <c r="F706" s="759"/>
      <c r="G706" s="650"/>
      <c r="I706" s="650"/>
    </row>
    <row r="707" ht="14.25" customHeight="1">
      <c r="A707" s="758"/>
      <c r="B707" s="758"/>
      <c r="C707" s="758"/>
      <c r="D707" s="650"/>
      <c r="F707" s="759"/>
      <c r="G707" s="650"/>
      <c r="I707" s="650"/>
    </row>
    <row r="708" ht="14.25" customHeight="1">
      <c r="A708" s="758"/>
      <c r="B708" s="758"/>
      <c r="C708" s="758"/>
      <c r="D708" s="650"/>
      <c r="F708" s="759"/>
      <c r="G708" s="650"/>
      <c r="I708" s="650"/>
    </row>
    <row r="709" ht="14.25" customHeight="1">
      <c r="A709" s="758"/>
      <c r="B709" s="758"/>
      <c r="C709" s="758"/>
      <c r="D709" s="650"/>
      <c r="F709" s="759"/>
      <c r="G709" s="650"/>
      <c r="I709" s="650"/>
    </row>
    <row r="710" ht="14.25" customHeight="1">
      <c r="A710" s="758"/>
      <c r="B710" s="758"/>
      <c r="C710" s="758"/>
      <c r="D710" s="650"/>
      <c r="F710" s="759"/>
      <c r="G710" s="650"/>
      <c r="I710" s="650"/>
    </row>
    <row r="711" ht="14.25" customHeight="1">
      <c r="A711" s="758"/>
      <c r="B711" s="758"/>
      <c r="C711" s="758"/>
      <c r="D711" s="650"/>
      <c r="F711" s="759"/>
      <c r="G711" s="650"/>
      <c r="I711" s="650"/>
    </row>
    <row r="712" ht="14.25" customHeight="1">
      <c r="A712" s="758"/>
      <c r="B712" s="758"/>
      <c r="C712" s="758"/>
      <c r="D712" s="650"/>
      <c r="F712" s="759"/>
      <c r="G712" s="650"/>
      <c r="I712" s="650"/>
    </row>
    <row r="713" ht="14.25" customHeight="1">
      <c r="A713" s="758"/>
      <c r="B713" s="758"/>
      <c r="C713" s="758"/>
      <c r="D713" s="650"/>
      <c r="F713" s="759"/>
      <c r="G713" s="650"/>
      <c r="I713" s="650"/>
    </row>
    <row r="714" ht="14.25" customHeight="1">
      <c r="A714" s="758"/>
      <c r="B714" s="758"/>
      <c r="C714" s="758"/>
      <c r="D714" s="650"/>
      <c r="F714" s="759"/>
      <c r="G714" s="650"/>
      <c r="I714" s="650"/>
    </row>
    <row r="715" ht="14.25" customHeight="1">
      <c r="A715" s="758"/>
      <c r="B715" s="758"/>
      <c r="C715" s="758"/>
      <c r="D715" s="650"/>
      <c r="F715" s="759"/>
      <c r="G715" s="650"/>
      <c r="I715" s="650"/>
    </row>
    <row r="716" ht="14.25" customHeight="1">
      <c r="A716" s="758"/>
      <c r="B716" s="758"/>
      <c r="C716" s="758"/>
      <c r="D716" s="650"/>
      <c r="F716" s="759"/>
      <c r="G716" s="650"/>
      <c r="I716" s="650"/>
    </row>
    <row r="717" ht="14.25" customHeight="1">
      <c r="A717" s="758"/>
      <c r="B717" s="758"/>
      <c r="C717" s="758"/>
      <c r="D717" s="650"/>
      <c r="F717" s="759"/>
      <c r="G717" s="650"/>
      <c r="I717" s="650"/>
    </row>
    <row r="718" ht="14.25" customHeight="1">
      <c r="A718" s="758"/>
      <c r="B718" s="758"/>
      <c r="C718" s="758"/>
      <c r="D718" s="650"/>
      <c r="F718" s="759"/>
      <c r="G718" s="650"/>
      <c r="I718" s="650"/>
    </row>
    <row r="719" ht="14.25" customHeight="1">
      <c r="A719" s="758"/>
      <c r="B719" s="758"/>
      <c r="C719" s="758"/>
      <c r="D719" s="650"/>
      <c r="F719" s="759"/>
      <c r="G719" s="650"/>
      <c r="I719" s="650"/>
    </row>
    <row r="720" ht="14.25" customHeight="1">
      <c r="A720" s="758"/>
      <c r="B720" s="758"/>
      <c r="C720" s="758"/>
      <c r="D720" s="650"/>
      <c r="F720" s="759"/>
      <c r="G720" s="650"/>
      <c r="I720" s="650"/>
    </row>
    <row r="721" ht="14.25" customHeight="1">
      <c r="A721" s="758"/>
      <c r="B721" s="758"/>
      <c r="C721" s="758"/>
      <c r="D721" s="650"/>
      <c r="F721" s="759"/>
      <c r="G721" s="650"/>
      <c r="I721" s="650"/>
    </row>
    <row r="722" ht="14.25" customHeight="1">
      <c r="A722" s="758"/>
      <c r="B722" s="758"/>
      <c r="C722" s="758"/>
      <c r="D722" s="650"/>
      <c r="F722" s="759"/>
      <c r="G722" s="650"/>
      <c r="I722" s="650"/>
    </row>
    <row r="723" ht="14.25" customHeight="1">
      <c r="A723" s="758"/>
      <c r="B723" s="758"/>
      <c r="C723" s="758"/>
      <c r="D723" s="650"/>
      <c r="F723" s="759"/>
      <c r="G723" s="650"/>
      <c r="I723" s="650"/>
    </row>
    <row r="724" ht="14.25" customHeight="1">
      <c r="A724" s="758"/>
      <c r="B724" s="758"/>
      <c r="C724" s="758"/>
      <c r="D724" s="650"/>
      <c r="F724" s="759"/>
      <c r="G724" s="650"/>
      <c r="I724" s="650"/>
    </row>
    <row r="725" ht="14.25" customHeight="1">
      <c r="A725" s="758"/>
      <c r="B725" s="758"/>
      <c r="C725" s="758"/>
      <c r="D725" s="650"/>
      <c r="F725" s="759"/>
      <c r="G725" s="650"/>
      <c r="I725" s="650"/>
    </row>
    <row r="726" ht="14.25" customHeight="1">
      <c r="A726" s="758"/>
      <c r="B726" s="758"/>
      <c r="C726" s="758"/>
      <c r="D726" s="650"/>
      <c r="F726" s="759"/>
      <c r="G726" s="650"/>
      <c r="I726" s="650"/>
    </row>
    <row r="727" ht="14.25" customHeight="1">
      <c r="A727" s="758"/>
      <c r="B727" s="758"/>
      <c r="C727" s="758"/>
      <c r="D727" s="650"/>
      <c r="F727" s="759"/>
      <c r="G727" s="650"/>
      <c r="I727" s="650"/>
    </row>
    <row r="728" ht="14.25" customHeight="1">
      <c r="A728" s="758"/>
      <c r="B728" s="758"/>
      <c r="C728" s="758"/>
      <c r="D728" s="650"/>
      <c r="F728" s="759"/>
      <c r="G728" s="650"/>
      <c r="I728" s="650"/>
    </row>
    <row r="729" ht="14.25" customHeight="1">
      <c r="A729" s="758"/>
      <c r="B729" s="758"/>
      <c r="C729" s="758"/>
      <c r="D729" s="650"/>
      <c r="F729" s="759"/>
      <c r="G729" s="650"/>
      <c r="I729" s="650"/>
    </row>
    <row r="730" ht="14.25" customHeight="1">
      <c r="A730" s="758"/>
      <c r="B730" s="758"/>
      <c r="C730" s="758"/>
      <c r="D730" s="650"/>
      <c r="F730" s="759"/>
      <c r="G730" s="650"/>
      <c r="I730" s="650"/>
    </row>
    <row r="731" ht="14.25" customHeight="1">
      <c r="A731" s="758"/>
      <c r="B731" s="758"/>
      <c r="C731" s="758"/>
      <c r="D731" s="650"/>
      <c r="F731" s="759"/>
      <c r="G731" s="650"/>
      <c r="I731" s="650"/>
    </row>
    <row r="732" ht="14.25" customHeight="1">
      <c r="A732" s="758"/>
      <c r="B732" s="758"/>
      <c r="C732" s="758"/>
      <c r="D732" s="650"/>
      <c r="F732" s="759"/>
      <c r="G732" s="650"/>
      <c r="I732" s="650"/>
    </row>
    <row r="733" ht="14.25" customHeight="1">
      <c r="A733" s="758"/>
      <c r="B733" s="758"/>
      <c r="C733" s="758"/>
      <c r="D733" s="650"/>
      <c r="F733" s="759"/>
      <c r="G733" s="650"/>
      <c r="I733" s="650"/>
    </row>
    <row r="734" ht="14.25" customHeight="1">
      <c r="A734" s="758"/>
      <c r="B734" s="758"/>
      <c r="C734" s="758"/>
      <c r="D734" s="650"/>
      <c r="F734" s="759"/>
      <c r="G734" s="650"/>
      <c r="I734" s="650"/>
    </row>
    <row r="735" ht="14.25" customHeight="1">
      <c r="A735" s="758"/>
      <c r="B735" s="758"/>
      <c r="C735" s="758"/>
      <c r="D735" s="650"/>
      <c r="F735" s="759"/>
      <c r="G735" s="650"/>
      <c r="I735" s="650"/>
    </row>
    <row r="736" ht="14.25" customHeight="1">
      <c r="A736" s="758"/>
      <c r="B736" s="758"/>
      <c r="C736" s="758"/>
      <c r="D736" s="650"/>
      <c r="F736" s="759"/>
      <c r="G736" s="650"/>
      <c r="I736" s="650"/>
    </row>
    <row r="737" ht="14.25" customHeight="1">
      <c r="A737" s="758"/>
      <c r="B737" s="758"/>
      <c r="C737" s="758"/>
      <c r="D737" s="650"/>
      <c r="F737" s="759"/>
      <c r="G737" s="650"/>
      <c r="I737" s="650"/>
    </row>
    <row r="738" ht="14.25" customHeight="1">
      <c r="A738" s="758"/>
      <c r="B738" s="758"/>
      <c r="C738" s="758"/>
      <c r="D738" s="650"/>
      <c r="F738" s="759"/>
      <c r="G738" s="650"/>
      <c r="I738" s="650"/>
    </row>
    <row r="739" ht="14.25" customHeight="1">
      <c r="A739" s="758"/>
      <c r="B739" s="758"/>
      <c r="C739" s="758"/>
      <c r="D739" s="650"/>
      <c r="F739" s="759"/>
      <c r="G739" s="650"/>
      <c r="I739" s="650"/>
    </row>
    <row r="740" ht="14.25" customHeight="1">
      <c r="A740" s="758"/>
      <c r="B740" s="758"/>
      <c r="C740" s="758"/>
      <c r="D740" s="650"/>
      <c r="F740" s="759"/>
      <c r="G740" s="650"/>
      <c r="I740" s="650"/>
    </row>
    <row r="741" ht="14.25" customHeight="1">
      <c r="A741" s="758"/>
      <c r="B741" s="758"/>
      <c r="C741" s="758"/>
      <c r="D741" s="650"/>
      <c r="F741" s="759"/>
      <c r="G741" s="650"/>
      <c r="I741" s="650"/>
    </row>
    <row r="742" ht="14.25" customHeight="1">
      <c r="A742" s="758"/>
      <c r="B742" s="758"/>
      <c r="C742" s="758"/>
      <c r="D742" s="650"/>
      <c r="F742" s="759"/>
      <c r="G742" s="650"/>
      <c r="I742" s="650"/>
    </row>
    <row r="743" ht="14.25" customHeight="1">
      <c r="A743" s="758"/>
      <c r="B743" s="758"/>
      <c r="C743" s="758"/>
      <c r="D743" s="650"/>
      <c r="F743" s="759"/>
      <c r="G743" s="650"/>
      <c r="I743" s="650"/>
    </row>
    <row r="744" ht="14.25" customHeight="1">
      <c r="A744" s="758"/>
      <c r="B744" s="758"/>
      <c r="C744" s="758"/>
      <c r="D744" s="650"/>
      <c r="F744" s="759"/>
      <c r="G744" s="650"/>
      <c r="I744" s="650"/>
    </row>
    <row r="745" ht="14.25" customHeight="1">
      <c r="A745" s="758"/>
      <c r="B745" s="758"/>
      <c r="C745" s="758"/>
      <c r="D745" s="650"/>
      <c r="F745" s="759"/>
      <c r="G745" s="650"/>
      <c r="I745" s="650"/>
    </row>
    <row r="746" ht="14.25" customHeight="1">
      <c r="A746" s="758"/>
      <c r="B746" s="758"/>
      <c r="C746" s="758"/>
      <c r="D746" s="650"/>
      <c r="F746" s="759"/>
      <c r="G746" s="650"/>
      <c r="I746" s="650"/>
    </row>
    <row r="747" ht="14.25" customHeight="1">
      <c r="A747" s="758"/>
      <c r="B747" s="758"/>
      <c r="C747" s="758"/>
      <c r="D747" s="650"/>
      <c r="F747" s="759"/>
      <c r="G747" s="650"/>
      <c r="I747" s="650"/>
    </row>
    <row r="748" ht="14.25" customHeight="1">
      <c r="A748" s="758"/>
      <c r="B748" s="758"/>
      <c r="C748" s="758"/>
      <c r="D748" s="650"/>
      <c r="F748" s="759"/>
      <c r="G748" s="650"/>
      <c r="I748" s="650"/>
    </row>
    <row r="749" ht="14.25" customHeight="1">
      <c r="A749" s="758"/>
      <c r="B749" s="758"/>
      <c r="C749" s="758"/>
      <c r="D749" s="650"/>
      <c r="F749" s="759"/>
      <c r="G749" s="650"/>
      <c r="I749" s="650"/>
    </row>
    <row r="750" ht="14.25" customHeight="1">
      <c r="A750" s="758"/>
      <c r="B750" s="758"/>
      <c r="C750" s="758"/>
      <c r="D750" s="650"/>
      <c r="F750" s="759"/>
      <c r="G750" s="650"/>
      <c r="I750" s="650"/>
    </row>
    <row r="751" ht="14.25" customHeight="1">
      <c r="A751" s="758"/>
      <c r="B751" s="758"/>
      <c r="C751" s="758"/>
      <c r="D751" s="650"/>
      <c r="F751" s="759"/>
      <c r="G751" s="650"/>
      <c r="I751" s="650"/>
    </row>
    <row r="752" ht="14.25" customHeight="1">
      <c r="A752" s="758"/>
      <c r="B752" s="758"/>
      <c r="C752" s="758"/>
      <c r="D752" s="650"/>
      <c r="F752" s="759"/>
      <c r="G752" s="650"/>
      <c r="I752" s="650"/>
    </row>
    <row r="753" ht="14.25" customHeight="1">
      <c r="A753" s="758"/>
      <c r="B753" s="758"/>
      <c r="C753" s="758"/>
      <c r="D753" s="650"/>
      <c r="F753" s="759"/>
      <c r="G753" s="650"/>
      <c r="I753" s="650"/>
    </row>
    <row r="754" ht="14.25" customHeight="1">
      <c r="A754" s="758"/>
      <c r="B754" s="758"/>
      <c r="C754" s="758"/>
      <c r="D754" s="650"/>
      <c r="F754" s="759"/>
      <c r="G754" s="650"/>
      <c r="I754" s="650"/>
    </row>
    <row r="755" ht="14.25" customHeight="1">
      <c r="A755" s="758"/>
      <c r="B755" s="758"/>
      <c r="C755" s="758"/>
      <c r="D755" s="650"/>
      <c r="F755" s="759"/>
      <c r="G755" s="650"/>
      <c r="I755" s="650"/>
    </row>
    <row r="756" ht="14.25" customHeight="1">
      <c r="A756" s="758"/>
      <c r="B756" s="758"/>
      <c r="C756" s="758"/>
      <c r="D756" s="650"/>
      <c r="F756" s="759"/>
      <c r="G756" s="650"/>
      <c r="I756" s="650"/>
    </row>
    <row r="757" ht="14.25" customHeight="1">
      <c r="A757" s="758"/>
      <c r="B757" s="758"/>
      <c r="C757" s="758"/>
      <c r="D757" s="650"/>
      <c r="F757" s="759"/>
      <c r="G757" s="650"/>
      <c r="I757" s="650"/>
    </row>
    <row r="758" ht="14.25" customHeight="1">
      <c r="A758" s="758"/>
      <c r="B758" s="758"/>
      <c r="C758" s="758"/>
      <c r="D758" s="650"/>
      <c r="F758" s="759"/>
      <c r="G758" s="650"/>
      <c r="I758" s="650"/>
    </row>
    <row r="759" ht="14.25" customHeight="1">
      <c r="A759" s="758"/>
      <c r="B759" s="758"/>
      <c r="C759" s="758"/>
      <c r="D759" s="650"/>
      <c r="F759" s="759"/>
      <c r="G759" s="650"/>
      <c r="I759" s="650"/>
    </row>
    <row r="760" ht="14.25" customHeight="1">
      <c r="A760" s="758"/>
      <c r="B760" s="758"/>
      <c r="C760" s="758"/>
      <c r="D760" s="650"/>
      <c r="F760" s="759"/>
      <c r="G760" s="650"/>
      <c r="I760" s="650"/>
    </row>
    <row r="761" ht="14.25" customHeight="1">
      <c r="A761" s="758"/>
      <c r="B761" s="758"/>
      <c r="C761" s="758"/>
      <c r="D761" s="650"/>
      <c r="F761" s="759"/>
      <c r="G761" s="650"/>
      <c r="I761" s="650"/>
    </row>
    <row r="762" ht="14.25" customHeight="1">
      <c r="A762" s="758"/>
      <c r="B762" s="758"/>
      <c r="C762" s="758"/>
      <c r="D762" s="650"/>
      <c r="F762" s="759"/>
      <c r="G762" s="650"/>
      <c r="I762" s="650"/>
    </row>
    <row r="763" ht="14.25" customHeight="1">
      <c r="A763" s="758"/>
      <c r="B763" s="758"/>
      <c r="C763" s="758"/>
      <c r="D763" s="650"/>
      <c r="F763" s="759"/>
      <c r="G763" s="650"/>
      <c r="I763" s="650"/>
    </row>
    <row r="764" ht="14.25" customHeight="1">
      <c r="A764" s="758"/>
      <c r="B764" s="758"/>
      <c r="C764" s="758"/>
      <c r="D764" s="650"/>
      <c r="F764" s="759"/>
      <c r="G764" s="650"/>
      <c r="I764" s="650"/>
    </row>
    <row r="765" ht="14.25" customHeight="1">
      <c r="A765" s="758"/>
      <c r="B765" s="758"/>
      <c r="C765" s="758"/>
      <c r="D765" s="650"/>
      <c r="F765" s="759"/>
      <c r="G765" s="650"/>
      <c r="I765" s="650"/>
    </row>
    <row r="766" ht="14.25" customHeight="1">
      <c r="A766" s="758"/>
      <c r="B766" s="758"/>
      <c r="C766" s="758"/>
      <c r="D766" s="650"/>
      <c r="F766" s="759"/>
      <c r="G766" s="650"/>
      <c r="I766" s="650"/>
    </row>
    <row r="767" ht="14.25" customHeight="1">
      <c r="A767" s="758"/>
      <c r="B767" s="758"/>
      <c r="C767" s="758"/>
      <c r="D767" s="650"/>
      <c r="F767" s="759"/>
      <c r="G767" s="650"/>
      <c r="I767" s="650"/>
    </row>
    <row r="768" ht="14.25" customHeight="1">
      <c r="A768" s="758"/>
      <c r="B768" s="758"/>
      <c r="C768" s="758"/>
      <c r="D768" s="650"/>
      <c r="F768" s="759"/>
      <c r="G768" s="650"/>
      <c r="I768" s="650"/>
    </row>
    <row r="769" ht="14.25" customHeight="1">
      <c r="A769" s="758"/>
      <c r="B769" s="758"/>
      <c r="C769" s="758"/>
      <c r="D769" s="650"/>
      <c r="F769" s="759"/>
      <c r="G769" s="650"/>
      <c r="I769" s="650"/>
    </row>
    <row r="770" ht="14.25" customHeight="1">
      <c r="A770" s="758"/>
      <c r="B770" s="758"/>
      <c r="C770" s="758"/>
      <c r="D770" s="650"/>
      <c r="F770" s="759"/>
      <c r="G770" s="650"/>
      <c r="I770" s="650"/>
    </row>
    <row r="771" ht="14.25" customHeight="1">
      <c r="A771" s="758"/>
      <c r="B771" s="758"/>
      <c r="C771" s="758"/>
      <c r="D771" s="650"/>
      <c r="F771" s="759"/>
      <c r="G771" s="650"/>
      <c r="I771" s="650"/>
    </row>
    <row r="772" ht="14.25" customHeight="1">
      <c r="A772" s="758"/>
      <c r="B772" s="758"/>
      <c r="C772" s="758"/>
      <c r="D772" s="650"/>
      <c r="F772" s="759"/>
      <c r="G772" s="650"/>
      <c r="I772" s="650"/>
    </row>
    <row r="773" ht="14.25" customHeight="1">
      <c r="A773" s="758"/>
      <c r="B773" s="758"/>
      <c r="C773" s="758"/>
      <c r="D773" s="650"/>
      <c r="F773" s="759"/>
      <c r="G773" s="650"/>
      <c r="I773" s="650"/>
    </row>
    <row r="774" ht="14.25" customHeight="1">
      <c r="A774" s="758"/>
      <c r="B774" s="758"/>
      <c r="C774" s="758"/>
      <c r="D774" s="650"/>
      <c r="F774" s="759"/>
      <c r="G774" s="650"/>
      <c r="I774" s="650"/>
    </row>
    <row r="775" ht="14.25" customHeight="1">
      <c r="A775" s="758"/>
      <c r="B775" s="758"/>
      <c r="C775" s="758"/>
      <c r="D775" s="650"/>
      <c r="F775" s="759"/>
      <c r="G775" s="650"/>
      <c r="I775" s="650"/>
    </row>
    <row r="776" ht="14.25" customHeight="1">
      <c r="A776" s="758"/>
      <c r="B776" s="758"/>
      <c r="C776" s="758"/>
      <c r="D776" s="650"/>
      <c r="F776" s="759"/>
      <c r="G776" s="650"/>
      <c r="I776" s="650"/>
    </row>
    <row r="777" ht="14.25" customHeight="1">
      <c r="A777" s="758"/>
      <c r="B777" s="758"/>
      <c r="C777" s="758"/>
      <c r="D777" s="650"/>
      <c r="F777" s="759"/>
      <c r="G777" s="650"/>
      <c r="I777" s="650"/>
    </row>
    <row r="778" ht="14.25" customHeight="1">
      <c r="A778" s="758"/>
      <c r="B778" s="758"/>
      <c r="C778" s="758"/>
      <c r="D778" s="650"/>
      <c r="F778" s="759"/>
      <c r="G778" s="650"/>
      <c r="I778" s="650"/>
    </row>
    <row r="779" ht="14.25" customHeight="1">
      <c r="A779" s="758"/>
      <c r="B779" s="758"/>
      <c r="C779" s="758"/>
      <c r="D779" s="650"/>
      <c r="F779" s="759"/>
      <c r="G779" s="650"/>
      <c r="I779" s="650"/>
    </row>
    <row r="780" ht="14.25" customHeight="1">
      <c r="A780" s="758"/>
      <c r="B780" s="758"/>
      <c r="C780" s="758"/>
      <c r="D780" s="650"/>
      <c r="F780" s="759"/>
      <c r="G780" s="650"/>
      <c r="I780" s="650"/>
    </row>
    <row r="781" ht="14.25" customHeight="1">
      <c r="A781" s="758"/>
      <c r="B781" s="758"/>
      <c r="C781" s="758"/>
      <c r="D781" s="650"/>
      <c r="F781" s="759"/>
      <c r="G781" s="650"/>
      <c r="I781" s="650"/>
    </row>
    <row r="782" ht="14.25" customHeight="1">
      <c r="A782" s="758"/>
      <c r="B782" s="758"/>
      <c r="C782" s="758"/>
      <c r="D782" s="650"/>
      <c r="F782" s="759"/>
      <c r="G782" s="650"/>
      <c r="I782" s="650"/>
    </row>
    <row r="783" ht="14.25" customHeight="1">
      <c r="A783" s="758"/>
      <c r="B783" s="758"/>
      <c r="C783" s="758"/>
      <c r="D783" s="650"/>
      <c r="F783" s="759"/>
      <c r="G783" s="650"/>
      <c r="I783" s="650"/>
    </row>
    <row r="784" ht="14.25" customHeight="1">
      <c r="A784" s="758"/>
      <c r="B784" s="758"/>
      <c r="C784" s="758"/>
      <c r="D784" s="650"/>
      <c r="F784" s="759"/>
      <c r="G784" s="650"/>
      <c r="I784" s="650"/>
    </row>
    <row r="785" ht="14.25" customHeight="1">
      <c r="A785" s="758"/>
      <c r="B785" s="758"/>
      <c r="C785" s="758"/>
      <c r="D785" s="650"/>
      <c r="F785" s="759"/>
      <c r="G785" s="650"/>
      <c r="I785" s="650"/>
    </row>
    <row r="786" ht="14.25" customHeight="1">
      <c r="A786" s="758"/>
      <c r="B786" s="758"/>
      <c r="C786" s="758"/>
      <c r="D786" s="650"/>
      <c r="F786" s="759"/>
      <c r="G786" s="650"/>
      <c r="I786" s="650"/>
    </row>
    <row r="787" ht="14.25" customHeight="1">
      <c r="A787" s="758"/>
      <c r="B787" s="758"/>
      <c r="C787" s="758"/>
      <c r="D787" s="650"/>
      <c r="F787" s="759"/>
      <c r="G787" s="650"/>
      <c r="I787" s="650"/>
    </row>
    <row r="788" ht="14.25" customHeight="1">
      <c r="A788" s="758"/>
      <c r="B788" s="758"/>
      <c r="C788" s="758"/>
      <c r="D788" s="650"/>
      <c r="F788" s="759"/>
      <c r="G788" s="650"/>
      <c r="I788" s="650"/>
    </row>
    <row r="789" ht="14.25" customHeight="1">
      <c r="A789" s="758"/>
      <c r="B789" s="758"/>
      <c r="C789" s="758"/>
      <c r="D789" s="650"/>
      <c r="F789" s="759"/>
      <c r="G789" s="650"/>
      <c r="I789" s="650"/>
    </row>
    <row r="790" ht="14.25" customHeight="1">
      <c r="A790" s="758"/>
      <c r="B790" s="758"/>
      <c r="C790" s="758"/>
      <c r="D790" s="650"/>
      <c r="F790" s="759"/>
      <c r="G790" s="650"/>
      <c r="I790" s="650"/>
    </row>
    <row r="791" ht="14.25" customHeight="1">
      <c r="A791" s="758"/>
      <c r="B791" s="758"/>
      <c r="C791" s="758"/>
      <c r="D791" s="650"/>
      <c r="F791" s="759"/>
      <c r="G791" s="650"/>
      <c r="I791" s="650"/>
    </row>
    <row r="792" ht="14.25" customHeight="1">
      <c r="A792" s="758"/>
      <c r="B792" s="758"/>
      <c r="C792" s="758"/>
      <c r="D792" s="650"/>
      <c r="F792" s="759"/>
      <c r="G792" s="650"/>
      <c r="I792" s="650"/>
    </row>
    <row r="793" ht="14.25" customHeight="1">
      <c r="A793" s="758"/>
      <c r="B793" s="758"/>
      <c r="C793" s="758"/>
      <c r="D793" s="650"/>
      <c r="F793" s="759"/>
      <c r="G793" s="650"/>
      <c r="I793" s="650"/>
    </row>
    <row r="794" ht="14.25" customHeight="1">
      <c r="A794" s="758"/>
      <c r="B794" s="758"/>
      <c r="C794" s="758"/>
      <c r="D794" s="650"/>
      <c r="F794" s="759"/>
      <c r="G794" s="650"/>
      <c r="I794" s="650"/>
    </row>
    <row r="795" ht="14.25" customHeight="1">
      <c r="A795" s="758"/>
      <c r="B795" s="758"/>
      <c r="C795" s="758"/>
      <c r="D795" s="650"/>
      <c r="F795" s="759"/>
      <c r="G795" s="650"/>
      <c r="I795" s="650"/>
    </row>
    <row r="796" ht="14.25" customHeight="1">
      <c r="A796" s="758"/>
      <c r="B796" s="758"/>
      <c r="C796" s="758"/>
      <c r="D796" s="650"/>
      <c r="F796" s="759"/>
      <c r="G796" s="650"/>
      <c r="I796" s="650"/>
    </row>
    <row r="797" ht="14.25" customHeight="1">
      <c r="A797" s="758"/>
      <c r="B797" s="758"/>
      <c r="C797" s="758"/>
      <c r="D797" s="650"/>
      <c r="F797" s="759"/>
      <c r="G797" s="650"/>
      <c r="I797" s="650"/>
    </row>
    <row r="798" ht="14.25" customHeight="1">
      <c r="A798" s="758"/>
      <c r="B798" s="758"/>
      <c r="C798" s="758"/>
      <c r="D798" s="650"/>
      <c r="F798" s="759"/>
      <c r="G798" s="650"/>
      <c r="I798" s="650"/>
    </row>
    <row r="799" ht="14.25" customHeight="1">
      <c r="A799" s="758"/>
      <c r="B799" s="758"/>
      <c r="C799" s="758"/>
      <c r="D799" s="650"/>
      <c r="F799" s="759"/>
      <c r="G799" s="650"/>
      <c r="I799" s="650"/>
    </row>
    <row r="800" ht="14.25" customHeight="1">
      <c r="A800" s="758"/>
      <c r="B800" s="758"/>
      <c r="C800" s="758"/>
      <c r="D800" s="650"/>
      <c r="F800" s="759"/>
      <c r="G800" s="650"/>
      <c r="I800" s="650"/>
    </row>
    <row r="801" ht="14.25" customHeight="1">
      <c r="A801" s="758"/>
      <c r="B801" s="758"/>
      <c r="C801" s="758"/>
      <c r="D801" s="650"/>
      <c r="F801" s="759"/>
      <c r="G801" s="650"/>
      <c r="I801" s="650"/>
    </row>
    <row r="802" ht="14.25" customHeight="1">
      <c r="A802" s="758"/>
      <c r="B802" s="758"/>
      <c r="C802" s="758"/>
      <c r="D802" s="650"/>
      <c r="F802" s="759"/>
      <c r="G802" s="650"/>
      <c r="I802" s="650"/>
    </row>
    <row r="803" ht="14.25" customHeight="1">
      <c r="A803" s="758"/>
      <c r="B803" s="758"/>
      <c r="C803" s="758"/>
      <c r="D803" s="650"/>
      <c r="F803" s="759"/>
      <c r="G803" s="650"/>
      <c r="I803" s="650"/>
    </row>
    <row r="804" ht="14.25" customHeight="1">
      <c r="A804" s="758"/>
      <c r="B804" s="758"/>
      <c r="C804" s="758"/>
      <c r="D804" s="650"/>
      <c r="F804" s="759"/>
      <c r="G804" s="650"/>
      <c r="I804" s="650"/>
    </row>
    <row r="805" ht="14.25" customHeight="1">
      <c r="A805" s="758"/>
      <c r="B805" s="758"/>
      <c r="C805" s="758"/>
      <c r="D805" s="650"/>
      <c r="F805" s="759"/>
      <c r="G805" s="650"/>
      <c r="I805" s="650"/>
    </row>
    <row r="806" ht="14.25" customHeight="1">
      <c r="A806" s="758"/>
      <c r="B806" s="758"/>
      <c r="C806" s="758"/>
      <c r="D806" s="650"/>
      <c r="F806" s="759"/>
      <c r="G806" s="650"/>
      <c r="I806" s="650"/>
    </row>
    <row r="807" ht="14.25" customHeight="1">
      <c r="A807" s="758"/>
      <c r="B807" s="758"/>
      <c r="C807" s="758"/>
      <c r="D807" s="650"/>
      <c r="F807" s="759"/>
      <c r="G807" s="650"/>
      <c r="I807" s="650"/>
    </row>
    <row r="808" ht="14.25" customHeight="1">
      <c r="A808" s="758"/>
      <c r="B808" s="758"/>
      <c r="C808" s="758"/>
      <c r="D808" s="650"/>
      <c r="F808" s="759"/>
      <c r="G808" s="650"/>
      <c r="I808" s="650"/>
    </row>
    <row r="809" ht="14.25" customHeight="1">
      <c r="A809" s="758"/>
      <c r="B809" s="758"/>
      <c r="C809" s="758"/>
      <c r="D809" s="650"/>
      <c r="F809" s="759"/>
      <c r="G809" s="650"/>
      <c r="I809" s="650"/>
    </row>
    <row r="810" ht="14.25" customHeight="1">
      <c r="A810" s="758"/>
      <c r="B810" s="758"/>
      <c r="C810" s="758"/>
      <c r="D810" s="650"/>
      <c r="F810" s="759"/>
      <c r="G810" s="650"/>
      <c r="I810" s="650"/>
    </row>
    <row r="811" ht="14.25" customHeight="1">
      <c r="A811" s="758"/>
      <c r="B811" s="758"/>
      <c r="C811" s="758"/>
      <c r="D811" s="650"/>
      <c r="F811" s="759"/>
      <c r="G811" s="650"/>
      <c r="I811" s="650"/>
    </row>
    <row r="812" ht="14.25" customHeight="1">
      <c r="A812" s="758"/>
      <c r="B812" s="758"/>
      <c r="C812" s="758"/>
      <c r="D812" s="650"/>
      <c r="F812" s="759"/>
      <c r="G812" s="650"/>
      <c r="I812" s="650"/>
    </row>
    <row r="813" ht="14.25" customHeight="1">
      <c r="A813" s="758"/>
      <c r="B813" s="758"/>
      <c r="C813" s="758"/>
      <c r="D813" s="650"/>
      <c r="F813" s="759"/>
      <c r="G813" s="650"/>
      <c r="I813" s="650"/>
    </row>
    <row r="814" ht="14.25" customHeight="1">
      <c r="A814" s="758"/>
      <c r="B814" s="758"/>
      <c r="C814" s="758"/>
      <c r="D814" s="650"/>
      <c r="F814" s="759"/>
      <c r="G814" s="650"/>
      <c r="I814" s="650"/>
    </row>
    <row r="815" ht="14.25" customHeight="1">
      <c r="A815" s="758"/>
      <c r="B815" s="758"/>
      <c r="C815" s="758"/>
      <c r="D815" s="650"/>
      <c r="F815" s="759"/>
      <c r="G815" s="650"/>
      <c r="I815" s="650"/>
    </row>
    <row r="816" ht="14.25" customHeight="1">
      <c r="A816" s="758"/>
      <c r="B816" s="758"/>
      <c r="C816" s="758"/>
      <c r="D816" s="650"/>
      <c r="F816" s="759"/>
      <c r="G816" s="650"/>
      <c r="I816" s="650"/>
    </row>
    <row r="817" ht="14.25" customHeight="1">
      <c r="A817" s="758"/>
      <c r="B817" s="758"/>
      <c r="C817" s="758"/>
      <c r="D817" s="650"/>
      <c r="F817" s="759"/>
      <c r="G817" s="650"/>
      <c r="I817" s="650"/>
    </row>
    <row r="818" ht="14.25" customHeight="1">
      <c r="A818" s="758"/>
      <c r="B818" s="758"/>
      <c r="C818" s="758"/>
      <c r="D818" s="650"/>
      <c r="F818" s="759"/>
      <c r="G818" s="650"/>
      <c r="I818" s="650"/>
    </row>
    <row r="819" ht="14.25" customHeight="1">
      <c r="A819" s="758"/>
      <c r="B819" s="758"/>
      <c r="C819" s="758"/>
      <c r="D819" s="650"/>
      <c r="F819" s="759"/>
      <c r="G819" s="650"/>
      <c r="I819" s="650"/>
    </row>
    <row r="820" ht="14.25" customHeight="1">
      <c r="A820" s="758"/>
      <c r="B820" s="758"/>
      <c r="C820" s="758"/>
      <c r="D820" s="650"/>
      <c r="F820" s="759"/>
      <c r="G820" s="650"/>
      <c r="I820" s="650"/>
    </row>
    <row r="821" ht="14.25" customHeight="1">
      <c r="A821" s="758"/>
      <c r="B821" s="758"/>
      <c r="C821" s="758"/>
      <c r="D821" s="650"/>
      <c r="F821" s="759"/>
      <c r="G821" s="650"/>
      <c r="I821" s="650"/>
    </row>
    <row r="822" ht="14.25" customHeight="1">
      <c r="A822" s="758"/>
      <c r="B822" s="758"/>
      <c r="C822" s="758"/>
      <c r="D822" s="650"/>
      <c r="F822" s="759"/>
      <c r="G822" s="650"/>
      <c r="I822" s="650"/>
    </row>
    <row r="823" ht="14.25" customHeight="1">
      <c r="A823" s="758"/>
      <c r="B823" s="758"/>
      <c r="C823" s="758"/>
      <c r="D823" s="650"/>
      <c r="F823" s="759"/>
      <c r="G823" s="650"/>
      <c r="I823" s="650"/>
    </row>
    <row r="824" ht="14.25" customHeight="1">
      <c r="A824" s="758"/>
      <c r="B824" s="758"/>
      <c r="C824" s="758"/>
      <c r="D824" s="650"/>
      <c r="F824" s="759"/>
      <c r="G824" s="650"/>
      <c r="I824" s="650"/>
    </row>
    <row r="825" ht="14.25" customHeight="1">
      <c r="A825" s="758"/>
      <c r="B825" s="758"/>
      <c r="C825" s="758"/>
      <c r="D825" s="650"/>
      <c r="F825" s="759"/>
      <c r="G825" s="650"/>
      <c r="I825" s="650"/>
    </row>
    <row r="826" ht="14.25" customHeight="1">
      <c r="A826" s="758"/>
      <c r="B826" s="758"/>
      <c r="C826" s="758"/>
      <c r="D826" s="650"/>
      <c r="F826" s="759"/>
      <c r="G826" s="650"/>
      <c r="I826" s="650"/>
    </row>
    <row r="827" ht="14.25" customHeight="1">
      <c r="A827" s="758"/>
      <c r="B827" s="758"/>
      <c r="C827" s="758"/>
      <c r="D827" s="650"/>
      <c r="F827" s="759"/>
      <c r="G827" s="650"/>
      <c r="I827" s="650"/>
    </row>
    <row r="828" ht="14.25" customHeight="1">
      <c r="A828" s="758"/>
      <c r="B828" s="758"/>
      <c r="C828" s="758"/>
      <c r="D828" s="650"/>
      <c r="F828" s="759"/>
      <c r="G828" s="650"/>
      <c r="I828" s="650"/>
    </row>
    <row r="829" ht="14.25" customHeight="1">
      <c r="A829" s="758"/>
      <c r="B829" s="758"/>
      <c r="C829" s="758"/>
      <c r="D829" s="650"/>
      <c r="F829" s="759"/>
      <c r="G829" s="650"/>
      <c r="I829" s="650"/>
    </row>
    <row r="830" ht="14.25" customHeight="1">
      <c r="A830" s="758"/>
      <c r="B830" s="758"/>
      <c r="C830" s="758"/>
      <c r="D830" s="650"/>
      <c r="F830" s="759"/>
      <c r="G830" s="650"/>
      <c r="I830" s="650"/>
    </row>
    <row r="831" ht="14.25" customHeight="1">
      <c r="A831" s="758"/>
      <c r="B831" s="758"/>
      <c r="C831" s="758"/>
      <c r="D831" s="650"/>
      <c r="F831" s="759"/>
      <c r="G831" s="650"/>
      <c r="I831" s="650"/>
    </row>
    <row r="832" ht="14.25" customHeight="1">
      <c r="A832" s="758"/>
      <c r="B832" s="758"/>
      <c r="C832" s="758"/>
      <c r="D832" s="650"/>
      <c r="F832" s="759"/>
      <c r="G832" s="650"/>
      <c r="I832" s="650"/>
    </row>
    <row r="833" ht="14.25" customHeight="1">
      <c r="A833" s="758"/>
      <c r="B833" s="758"/>
      <c r="C833" s="758"/>
      <c r="D833" s="650"/>
      <c r="F833" s="759"/>
      <c r="G833" s="650"/>
      <c r="I833" s="650"/>
    </row>
    <row r="834" ht="14.25" customHeight="1">
      <c r="A834" s="758"/>
      <c r="B834" s="758"/>
      <c r="C834" s="758"/>
      <c r="D834" s="650"/>
      <c r="F834" s="759"/>
      <c r="G834" s="650"/>
      <c r="I834" s="650"/>
    </row>
    <row r="835" ht="14.25" customHeight="1">
      <c r="A835" s="758"/>
      <c r="B835" s="758"/>
      <c r="C835" s="758"/>
      <c r="D835" s="650"/>
      <c r="F835" s="759"/>
      <c r="G835" s="650"/>
      <c r="I835" s="650"/>
    </row>
    <row r="836" ht="14.25" customHeight="1">
      <c r="A836" s="758"/>
      <c r="B836" s="758"/>
      <c r="C836" s="758"/>
      <c r="D836" s="650"/>
      <c r="F836" s="759"/>
      <c r="G836" s="650"/>
      <c r="I836" s="650"/>
    </row>
    <row r="837" ht="14.25" customHeight="1">
      <c r="A837" s="758"/>
      <c r="B837" s="758"/>
      <c r="C837" s="758"/>
      <c r="D837" s="650"/>
      <c r="F837" s="759"/>
      <c r="G837" s="650"/>
      <c r="I837" s="650"/>
    </row>
    <row r="838" ht="14.25" customHeight="1">
      <c r="A838" s="758"/>
      <c r="B838" s="758"/>
      <c r="C838" s="758"/>
      <c r="D838" s="650"/>
      <c r="F838" s="759"/>
      <c r="G838" s="650"/>
      <c r="I838" s="650"/>
    </row>
    <row r="839" ht="14.25" customHeight="1">
      <c r="A839" s="758"/>
      <c r="B839" s="758"/>
      <c r="C839" s="758"/>
      <c r="D839" s="650"/>
      <c r="F839" s="759"/>
      <c r="G839" s="650"/>
      <c r="I839" s="650"/>
    </row>
    <row r="840" ht="14.25" customHeight="1">
      <c r="A840" s="758"/>
      <c r="B840" s="758"/>
      <c r="C840" s="758"/>
      <c r="D840" s="650"/>
      <c r="F840" s="759"/>
      <c r="G840" s="650"/>
      <c r="I840" s="650"/>
    </row>
    <row r="841" ht="14.25" customHeight="1">
      <c r="A841" s="758"/>
      <c r="B841" s="758"/>
      <c r="C841" s="758"/>
      <c r="D841" s="650"/>
      <c r="F841" s="759"/>
      <c r="G841" s="650"/>
      <c r="I841" s="650"/>
    </row>
    <row r="842" ht="14.25" customHeight="1">
      <c r="A842" s="758"/>
      <c r="B842" s="758"/>
      <c r="C842" s="758"/>
      <c r="D842" s="650"/>
      <c r="F842" s="759"/>
      <c r="G842" s="650"/>
      <c r="I842" s="650"/>
    </row>
    <row r="843" ht="14.25" customHeight="1">
      <c r="A843" s="758"/>
      <c r="B843" s="758"/>
      <c r="C843" s="758"/>
      <c r="D843" s="650"/>
      <c r="F843" s="759"/>
      <c r="G843" s="650"/>
      <c r="I843" s="650"/>
    </row>
    <row r="844" ht="14.25" customHeight="1">
      <c r="A844" s="758"/>
      <c r="B844" s="758"/>
      <c r="C844" s="758"/>
      <c r="D844" s="650"/>
      <c r="F844" s="759"/>
      <c r="G844" s="650"/>
      <c r="I844" s="650"/>
    </row>
    <row r="845" ht="14.25" customHeight="1">
      <c r="A845" s="758"/>
      <c r="B845" s="758"/>
      <c r="C845" s="758"/>
      <c r="D845" s="650"/>
      <c r="F845" s="759"/>
      <c r="G845" s="650"/>
      <c r="I845" s="650"/>
    </row>
    <row r="846" ht="14.25" customHeight="1">
      <c r="A846" s="758"/>
      <c r="B846" s="758"/>
      <c r="C846" s="758"/>
      <c r="D846" s="650"/>
      <c r="F846" s="759"/>
      <c r="G846" s="650"/>
      <c r="I846" s="650"/>
    </row>
    <row r="847" ht="14.25" customHeight="1">
      <c r="A847" s="758"/>
      <c r="B847" s="758"/>
      <c r="C847" s="758"/>
      <c r="D847" s="650"/>
      <c r="F847" s="759"/>
      <c r="G847" s="650"/>
      <c r="I847" s="650"/>
    </row>
    <row r="848" ht="14.25" customHeight="1">
      <c r="A848" s="758"/>
      <c r="B848" s="758"/>
      <c r="C848" s="758"/>
      <c r="D848" s="650"/>
      <c r="F848" s="759"/>
      <c r="G848" s="650"/>
      <c r="I848" s="650"/>
    </row>
    <row r="849" ht="14.25" customHeight="1">
      <c r="A849" s="758"/>
      <c r="B849" s="758"/>
      <c r="C849" s="758"/>
      <c r="D849" s="650"/>
      <c r="F849" s="759"/>
      <c r="G849" s="650"/>
      <c r="I849" s="650"/>
    </row>
    <row r="850" ht="14.25" customHeight="1">
      <c r="A850" s="758"/>
      <c r="B850" s="758"/>
      <c r="C850" s="758"/>
      <c r="D850" s="650"/>
      <c r="F850" s="759"/>
      <c r="G850" s="650"/>
      <c r="I850" s="650"/>
    </row>
    <row r="851" ht="14.25" customHeight="1">
      <c r="A851" s="758"/>
      <c r="B851" s="758"/>
      <c r="C851" s="758"/>
      <c r="D851" s="650"/>
      <c r="F851" s="759"/>
      <c r="G851" s="650"/>
      <c r="I851" s="650"/>
    </row>
    <row r="852" ht="14.25" customHeight="1">
      <c r="A852" s="758"/>
      <c r="B852" s="758"/>
      <c r="C852" s="758"/>
      <c r="D852" s="650"/>
      <c r="F852" s="759"/>
      <c r="G852" s="650"/>
      <c r="I852" s="650"/>
    </row>
    <row r="853" ht="14.25" customHeight="1">
      <c r="A853" s="758"/>
      <c r="B853" s="758"/>
      <c r="C853" s="758"/>
      <c r="D853" s="650"/>
      <c r="F853" s="759"/>
      <c r="G853" s="650"/>
      <c r="I853" s="650"/>
    </row>
    <row r="854" ht="14.25" customHeight="1">
      <c r="A854" s="758"/>
      <c r="B854" s="758"/>
      <c r="C854" s="758"/>
      <c r="D854" s="650"/>
      <c r="F854" s="759"/>
      <c r="G854" s="650"/>
      <c r="I854" s="650"/>
    </row>
    <row r="855" ht="14.25" customHeight="1">
      <c r="A855" s="758"/>
      <c r="B855" s="758"/>
      <c r="C855" s="758"/>
      <c r="D855" s="650"/>
      <c r="F855" s="759"/>
      <c r="G855" s="650"/>
      <c r="I855" s="650"/>
    </row>
    <row r="856" ht="14.25" customHeight="1">
      <c r="A856" s="758"/>
      <c r="B856" s="758"/>
      <c r="C856" s="758"/>
      <c r="D856" s="650"/>
      <c r="F856" s="759"/>
      <c r="G856" s="650"/>
      <c r="I856" s="650"/>
    </row>
    <row r="857" ht="14.25" customHeight="1">
      <c r="A857" s="758"/>
      <c r="B857" s="758"/>
      <c r="C857" s="758"/>
      <c r="D857" s="650"/>
      <c r="F857" s="759"/>
      <c r="G857" s="650"/>
      <c r="I857" s="650"/>
    </row>
    <row r="858" ht="14.25" customHeight="1">
      <c r="A858" s="758"/>
      <c r="B858" s="758"/>
      <c r="C858" s="758"/>
      <c r="D858" s="650"/>
      <c r="F858" s="759"/>
      <c r="G858" s="650"/>
      <c r="I858" s="650"/>
    </row>
    <row r="859" ht="14.25" customHeight="1">
      <c r="A859" s="758"/>
      <c r="B859" s="758"/>
      <c r="C859" s="758"/>
      <c r="D859" s="650"/>
      <c r="F859" s="759"/>
      <c r="G859" s="650"/>
      <c r="I859" s="650"/>
    </row>
    <row r="860" ht="14.25" customHeight="1">
      <c r="A860" s="758"/>
      <c r="B860" s="758"/>
      <c r="C860" s="758"/>
      <c r="D860" s="650"/>
      <c r="F860" s="759"/>
      <c r="G860" s="650"/>
      <c r="I860" s="650"/>
    </row>
    <row r="861" ht="14.25" customHeight="1">
      <c r="A861" s="758"/>
      <c r="B861" s="758"/>
      <c r="C861" s="758"/>
      <c r="D861" s="650"/>
      <c r="F861" s="759"/>
      <c r="G861" s="650"/>
      <c r="I861" s="650"/>
    </row>
    <row r="862" ht="14.25" customHeight="1">
      <c r="A862" s="758"/>
      <c r="B862" s="758"/>
      <c r="C862" s="758"/>
      <c r="D862" s="650"/>
      <c r="F862" s="759"/>
      <c r="G862" s="650"/>
      <c r="I862" s="650"/>
    </row>
    <row r="863" ht="14.25" customHeight="1">
      <c r="A863" s="758"/>
      <c r="B863" s="758"/>
      <c r="C863" s="758"/>
      <c r="D863" s="650"/>
      <c r="F863" s="759"/>
      <c r="G863" s="650"/>
      <c r="I863" s="650"/>
    </row>
    <row r="864" ht="14.25" customHeight="1">
      <c r="A864" s="758"/>
      <c r="B864" s="758"/>
      <c r="C864" s="758"/>
      <c r="D864" s="650"/>
      <c r="F864" s="759"/>
      <c r="G864" s="650"/>
      <c r="I864" s="650"/>
    </row>
    <row r="865" ht="14.25" customHeight="1">
      <c r="A865" s="758"/>
      <c r="B865" s="758"/>
      <c r="C865" s="758"/>
      <c r="D865" s="650"/>
      <c r="F865" s="759"/>
      <c r="G865" s="650"/>
      <c r="I865" s="650"/>
    </row>
    <row r="866" ht="14.25" customHeight="1">
      <c r="A866" s="758"/>
      <c r="B866" s="758"/>
      <c r="C866" s="758"/>
      <c r="D866" s="650"/>
      <c r="F866" s="759"/>
      <c r="G866" s="650"/>
      <c r="I866" s="650"/>
    </row>
    <row r="867" ht="14.25" customHeight="1">
      <c r="A867" s="758"/>
      <c r="B867" s="758"/>
      <c r="C867" s="758"/>
      <c r="D867" s="650"/>
      <c r="F867" s="759"/>
      <c r="G867" s="650"/>
      <c r="I867" s="650"/>
    </row>
    <row r="868" ht="14.25" customHeight="1">
      <c r="A868" s="758"/>
      <c r="B868" s="758"/>
      <c r="C868" s="758"/>
      <c r="D868" s="650"/>
      <c r="F868" s="759"/>
      <c r="G868" s="650"/>
      <c r="I868" s="650"/>
    </row>
    <row r="869" ht="14.25" customHeight="1">
      <c r="A869" s="758"/>
      <c r="B869" s="758"/>
      <c r="C869" s="758"/>
      <c r="D869" s="650"/>
      <c r="F869" s="759"/>
      <c r="G869" s="650"/>
      <c r="I869" s="650"/>
    </row>
    <row r="870" ht="14.25" customHeight="1">
      <c r="A870" s="758"/>
      <c r="B870" s="758"/>
      <c r="C870" s="758"/>
      <c r="D870" s="650"/>
      <c r="F870" s="759"/>
      <c r="G870" s="650"/>
      <c r="I870" s="650"/>
    </row>
    <row r="871" ht="14.25" customHeight="1">
      <c r="A871" s="758"/>
      <c r="B871" s="758"/>
      <c r="C871" s="758"/>
      <c r="D871" s="650"/>
      <c r="F871" s="759"/>
      <c r="G871" s="650"/>
      <c r="I871" s="650"/>
    </row>
    <row r="872" ht="14.25" customHeight="1">
      <c r="A872" s="758"/>
      <c r="B872" s="758"/>
      <c r="C872" s="758"/>
      <c r="D872" s="650"/>
      <c r="F872" s="759"/>
      <c r="G872" s="650"/>
      <c r="I872" s="650"/>
    </row>
    <row r="873" ht="14.25" customHeight="1">
      <c r="A873" s="758"/>
      <c r="B873" s="758"/>
      <c r="C873" s="758"/>
      <c r="D873" s="650"/>
      <c r="F873" s="759"/>
      <c r="G873" s="650"/>
      <c r="I873" s="650"/>
    </row>
    <row r="874" ht="14.25" customHeight="1">
      <c r="A874" s="758"/>
      <c r="B874" s="758"/>
      <c r="C874" s="758"/>
      <c r="D874" s="650"/>
      <c r="F874" s="759"/>
      <c r="G874" s="650"/>
      <c r="I874" s="650"/>
    </row>
    <row r="875" ht="14.25" customHeight="1">
      <c r="A875" s="758"/>
      <c r="B875" s="758"/>
      <c r="C875" s="758"/>
      <c r="D875" s="650"/>
      <c r="F875" s="759"/>
      <c r="G875" s="650"/>
      <c r="I875" s="650"/>
    </row>
    <row r="876" ht="14.25" customHeight="1">
      <c r="A876" s="758"/>
      <c r="B876" s="758"/>
      <c r="C876" s="758"/>
      <c r="D876" s="650"/>
      <c r="F876" s="759"/>
      <c r="G876" s="650"/>
      <c r="I876" s="650"/>
    </row>
    <row r="877" ht="14.25" customHeight="1">
      <c r="A877" s="758"/>
      <c r="B877" s="758"/>
      <c r="C877" s="758"/>
      <c r="D877" s="650"/>
      <c r="F877" s="759"/>
      <c r="G877" s="650"/>
      <c r="I877" s="650"/>
    </row>
    <row r="878" ht="14.25" customHeight="1">
      <c r="A878" s="758"/>
      <c r="B878" s="758"/>
      <c r="C878" s="758"/>
      <c r="D878" s="650"/>
      <c r="F878" s="759"/>
      <c r="G878" s="650"/>
      <c r="I878" s="650"/>
    </row>
    <row r="879" ht="14.25" customHeight="1">
      <c r="A879" s="758"/>
      <c r="B879" s="758"/>
      <c r="C879" s="758"/>
      <c r="D879" s="650"/>
      <c r="F879" s="759"/>
      <c r="G879" s="650"/>
      <c r="I879" s="650"/>
    </row>
    <row r="880" ht="14.25" customHeight="1">
      <c r="A880" s="758"/>
      <c r="B880" s="758"/>
      <c r="C880" s="758"/>
      <c r="D880" s="650"/>
      <c r="F880" s="759"/>
      <c r="G880" s="650"/>
      <c r="I880" s="650"/>
    </row>
    <row r="881" ht="14.25" customHeight="1">
      <c r="A881" s="758"/>
      <c r="B881" s="758"/>
      <c r="C881" s="758"/>
      <c r="D881" s="650"/>
      <c r="F881" s="759"/>
      <c r="G881" s="650"/>
      <c r="I881" s="650"/>
    </row>
    <row r="882" ht="14.25" customHeight="1">
      <c r="A882" s="758"/>
      <c r="B882" s="758"/>
      <c r="C882" s="758"/>
      <c r="D882" s="650"/>
      <c r="F882" s="759"/>
      <c r="G882" s="650"/>
      <c r="I882" s="650"/>
    </row>
    <row r="883" ht="14.25" customHeight="1">
      <c r="A883" s="758"/>
      <c r="B883" s="758"/>
      <c r="C883" s="758"/>
      <c r="D883" s="650"/>
      <c r="F883" s="759"/>
      <c r="G883" s="650"/>
      <c r="I883" s="650"/>
    </row>
    <row r="884" ht="14.25" customHeight="1">
      <c r="A884" s="758"/>
      <c r="B884" s="758"/>
      <c r="C884" s="758"/>
      <c r="D884" s="650"/>
      <c r="F884" s="759"/>
      <c r="G884" s="650"/>
      <c r="I884" s="650"/>
    </row>
    <row r="885" ht="14.25" customHeight="1">
      <c r="A885" s="758"/>
      <c r="B885" s="758"/>
      <c r="C885" s="758"/>
      <c r="D885" s="650"/>
      <c r="F885" s="759"/>
      <c r="G885" s="650"/>
      <c r="I885" s="650"/>
    </row>
    <row r="886" ht="14.25" customHeight="1">
      <c r="A886" s="758"/>
      <c r="B886" s="758"/>
      <c r="C886" s="758"/>
      <c r="D886" s="650"/>
      <c r="F886" s="759"/>
      <c r="G886" s="650"/>
      <c r="I886" s="650"/>
    </row>
    <row r="887" ht="14.25" customHeight="1">
      <c r="A887" s="758"/>
      <c r="B887" s="758"/>
      <c r="C887" s="758"/>
      <c r="D887" s="650"/>
      <c r="F887" s="759"/>
      <c r="G887" s="650"/>
      <c r="I887" s="650"/>
    </row>
    <row r="888" ht="14.25" customHeight="1">
      <c r="A888" s="758"/>
      <c r="B888" s="758"/>
      <c r="C888" s="758"/>
      <c r="D888" s="650"/>
      <c r="F888" s="759"/>
      <c r="G888" s="650"/>
      <c r="I888" s="650"/>
    </row>
    <row r="889" ht="14.25" customHeight="1">
      <c r="A889" s="758"/>
      <c r="B889" s="758"/>
      <c r="C889" s="758"/>
      <c r="D889" s="650"/>
      <c r="F889" s="759"/>
      <c r="G889" s="650"/>
      <c r="I889" s="650"/>
    </row>
    <row r="890" ht="14.25" customHeight="1">
      <c r="A890" s="758"/>
      <c r="B890" s="758"/>
      <c r="C890" s="758"/>
      <c r="D890" s="650"/>
      <c r="F890" s="759"/>
      <c r="G890" s="650"/>
      <c r="I890" s="650"/>
    </row>
    <row r="891" ht="14.25" customHeight="1">
      <c r="A891" s="758"/>
      <c r="B891" s="758"/>
      <c r="C891" s="758"/>
      <c r="D891" s="650"/>
      <c r="F891" s="759"/>
      <c r="G891" s="650"/>
      <c r="I891" s="650"/>
    </row>
    <row r="892" ht="14.25" customHeight="1">
      <c r="A892" s="758"/>
      <c r="B892" s="758"/>
      <c r="C892" s="758"/>
      <c r="D892" s="650"/>
      <c r="F892" s="759"/>
      <c r="G892" s="650"/>
      <c r="I892" s="650"/>
    </row>
    <row r="893" ht="14.25" customHeight="1">
      <c r="A893" s="758"/>
      <c r="B893" s="758"/>
      <c r="C893" s="758"/>
      <c r="D893" s="650"/>
      <c r="F893" s="759"/>
      <c r="G893" s="650"/>
      <c r="I893" s="650"/>
    </row>
    <row r="894" ht="14.25" customHeight="1">
      <c r="A894" s="758"/>
      <c r="B894" s="758"/>
      <c r="C894" s="758"/>
      <c r="D894" s="650"/>
      <c r="F894" s="759"/>
      <c r="G894" s="650"/>
      <c r="I894" s="650"/>
    </row>
    <row r="895" ht="14.25" customHeight="1">
      <c r="A895" s="758"/>
      <c r="B895" s="758"/>
      <c r="C895" s="758"/>
      <c r="D895" s="650"/>
      <c r="F895" s="759"/>
      <c r="G895" s="650"/>
      <c r="I895" s="650"/>
    </row>
    <row r="896" ht="14.25" customHeight="1">
      <c r="A896" s="758"/>
      <c r="B896" s="758"/>
      <c r="C896" s="758"/>
      <c r="D896" s="650"/>
      <c r="F896" s="759"/>
      <c r="G896" s="650"/>
      <c r="I896" s="650"/>
    </row>
    <row r="897" ht="14.25" customHeight="1">
      <c r="A897" s="758"/>
      <c r="B897" s="758"/>
      <c r="C897" s="758"/>
      <c r="D897" s="650"/>
      <c r="F897" s="759"/>
      <c r="G897" s="650"/>
      <c r="I897" s="650"/>
    </row>
    <row r="898" ht="14.25" customHeight="1">
      <c r="A898" s="758"/>
      <c r="B898" s="758"/>
      <c r="C898" s="758"/>
      <c r="D898" s="650"/>
      <c r="F898" s="759"/>
      <c r="G898" s="650"/>
      <c r="I898" s="650"/>
    </row>
    <row r="899" ht="14.25" customHeight="1">
      <c r="A899" s="758"/>
      <c r="B899" s="758"/>
      <c r="C899" s="758"/>
      <c r="D899" s="650"/>
      <c r="F899" s="759"/>
      <c r="G899" s="650"/>
      <c r="I899" s="650"/>
    </row>
    <row r="900" ht="14.25" customHeight="1">
      <c r="A900" s="758"/>
      <c r="B900" s="758"/>
      <c r="C900" s="758"/>
      <c r="D900" s="650"/>
      <c r="F900" s="759"/>
      <c r="G900" s="650"/>
      <c r="I900" s="650"/>
    </row>
    <row r="901" ht="14.25" customHeight="1">
      <c r="A901" s="758"/>
      <c r="B901" s="758"/>
      <c r="C901" s="758"/>
      <c r="D901" s="650"/>
      <c r="F901" s="759"/>
      <c r="G901" s="650"/>
      <c r="I901" s="650"/>
    </row>
    <row r="902" ht="14.25" customHeight="1">
      <c r="A902" s="758"/>
      <c r="B902" s="758"/>
      <c r="C902" s="758"/>
      <c r="D902" s="650"/>
      <c r="F902" s="759"/>
      <c r="G902" s="650"/>
      <c r="I902" s="650"/>
    </row>
    <row r="903" ht="14.25" customHeight="1">
      <c r="A903" s="758"/>
      <c r="B903" s="758"/>
      <c r="C903" s="758"/>
      <c r="D903" s="650"/>
      <c r="F903" s="759"/>
      <c r="G903" s="650"/>
      <c r="I903" s="650"/>
    </row>
    <row r="904" ht="14.25" customHeight="1">
      <c r="A904" s="758"/>
      <c r="B904" s="758"/>
      <c r="C904" s="758"/>
      <c r="D904" s="650"/>
      <c r="F904" s="759"/>
      <c r="G904" s="650"/>
      <c r="I904" s="650"/>
    </row>
    <row r="905" ht="14.25" customHeight="1">
      <c r="A905" s="758"/>
      <c r="B905" s="758"/>
      <c r="C905" s="758"/>
      <c r="D905" s="650"/>
      <c r="F905" s="759"/>
      <c r="G905" s="650"/>
      <c r="I905" s="650"/>
    </row>
    <row r="906" ht="14.25" customHeight="1">
      <c r="A906" s="758"/>
      <c r="B906" s="758"/>
      <c r="C906" s="758"/>
      <c r="D906" s="650"/>
      <c r="F906" s="759"/>
      <c r="G906" s="650"/>
      <c r="I906" s="650"/>
    </row>
    <row r="907" ht="14.25" customHeight="1">
      <c r="A907" s="758"/>
      <c r="B907" s="758"/>
      <c r="C907" s="758"/>
      <c r="D907" s="650"/>
      <c r="F907" s="759"/>
      <c r="G907" s="650"/>
      <c r="I907" s="650"/>
    </row>
    <row r="908" ht="14.25" customHeight="1">
      <c r="A908" s="758"/>
      <c r="B908" s="758"/>
      <c r="C908" s="758"/>
      <c r="D908" s="650"/>
      <c r="F908" s="759"/>
      <c r="G908" s="650"/>
      <c r="I908" s="650"/>
    </row>
    <row r="909" ht="14.25" customHeight="1">
      <c r="A909" s="758"/>
      <c r="B909" s="758"/>
      <c r="C909" s="758"/>
      <c r="D909" s="650"/>
      <c r="F909" s="759"/>
      <c r="G909" s="650"/>
      <c r="I909" s="650"/>
    </row>
    <row r="910" ht="14.25" customHeight="1">
      <c r="A910" s="758"/>
      <c r="B910" s="758"/>
      <c r="C910" s="758"/>
      <c r="D910" s="650"/>
      <c r="F910" s="759"/>
      <c r="G910" s="650"/>
      <c r="I910" s="650"/>
    </row>
    <row r="911" ht="14.25" customHeight="1">
      <c r="A911" s="758"/>
      <c r="B911" s="758"/>
      <c r="C911" s="758"/>
      <c r="D911" s="650"/>
      <c r="F911" s="759"/>
      <c r="G911" s="650"/>
      <c r="I911" s="650"/>
    </row>
    <row r="912" ht="14.25" customHeight="1">
      <c r="A912" s="758"/>
      <c r="B912" s="758"/>
      <c r="C912" s="758"/>
      <c r="D912" s="650"/>
      <c r="F912" s="759"/>
      <c r="G912" s="650"/>
      <c r="I912" s="650"/>
    </row>
    <row r="913" ht="14.25" customHeight="1">
      <c r="A913" s="758"/>
      <c r="B913" s="758"/>
      <c r="C913" s="758"/>
      <c r="D913" s="650"/>
      <c r="F913" s="759"/>
      <c r="G913" s="650"/>
      <c r="I913" s="650"/>
    </row>
    <row r="914" ht="14.25" customHeight="1">
      <c r="A914" s="758"/>
      <c r="B914" s="758"/>
      <c r="C914" s="758"/>
      <c r="D914" s="650"/>
      <c r="F914" s="759"/>
      <c r="G914" s="650"/>
      <c r="I914" s="650"/>
    </row>
    <row r="915" ht="14.25" customHeight="1">
      <c r="A915" s="758"/>
      <c r="B915" s="758"/>
      <c r="C915" s="758"/>
      <c r="D915" s="650"/>
      <c r="F915" s="759"/>
      <c r="G915" s="650"/>
      <c r="I915" s="650"/>
    </row>
    <row r="916" ht="14.25" customHeight="1">
      <c r="A916" s="758"/>
      <c r="B916" s="758"/>
      <c r="C916" s="758"/>
      <c r="D916" s="650"/>
      <c r="F916" s="759"/>
      <c r="G916" s="650"/>
      <c r="I916" s="650"/>
    </row>
    <row r="917" ht="14.25" customHeight="1">
      <c r="A917" s="758"/>
      <c r="B917" s="758"/>
      <c r="C917" s="758"/>
      <c r="D917" s="650"/>
      <c r="F917" s="759"/>
      <c r="G917" s="650"/>
      <c r="I917" s="650"/>
    </row>
    <row r="918" ht="14.25" customHeight="1">
      <c r="A918" s="758"/>
      <c r="B918" s="758"/>
      <c r="C918" s="758"/>
      <c r="D918" s="650"/>
      <c r="F918" s="759"/>
      <c r="G918" s="650"/>
      <c r="I918" s="650"/>
    </row>
    <row r="919" ht="14.25" customHeight="1">
      <c r="A919" s="758"/>
      <c r="B919" s="758"/>
      <c r="C919" s="758"/>
      <c r="D919" s="650"/>
      <c r="F919" s="759"/>
      <c r="G919" s="650"/>
      <c r="I919" s="650"/>
    </row>
    <row r="920" ht="14.25" customHeight="1">
      <c r="A920" s="758"/>
      <c r="B920" s="758"/>
      <c r="C920" s="758"/>
      <c r="D920" s="650"/>
      <c r="F920" s="759"/>
      <c r="G920" s="650"/>
      <c r="I920" s="650"/>
    </row>
    <row r="921" ht="14.25" customHeight="1">
      <c r="A921" s="758"/>
      <c r="B921" s="758"/>
      <c r="C921" s="758"/>
      <c r="D921" s="650"/>
      <c r="F921" s="759"/>
      <c r="G921" s="650"/>
      <c r="I921" s="650"/>
    </row>
    <row r="922" ht="14.25" customHeight="1">
      <c r="A922" s="758"/>
      <c r="B922" s="758"/>
      <c r="C922" s="758"/>
      <c r="D922" s="650"/>
      <c r="F922" s="759"/>
      <c r="G922" s="650"/>
      <c r="I922" s="650"/>
    </row>
    <row r="923" ht="14.25" customHeight="1">
      <c r="A923" s="758"/>
      <c r="B923" s="758"/>
      <c r="C923" s="758"/>
      <c r="D923" s="650"/>
      <c r="F923" s="759"/>
      <c r="G923" s="650"/>
      <c r="I923" s="650"/>
    </row>
    <row r="924" ht="14.25" customHeight="1">
      <c r="A924" s="758"/>
      <c r="B924" s="758"/>
      <c r="C924" s="758"/>
      <c r="D924" s="650"/>
      <c r="F924" s="759"/>
      <c r="G924" s="650"/>
      <c r="I924" s="650"/>
    </row>
    <row r="925" ht="14.25" customHeight="1">
      <c r="A925" s="758"/>
      <c r="B925" s="758"/>
      <c r="C925" s="758"/>
      <c r="D925" s="650"/>
      <c r="F925" s="759"/>
      <c r="G925" s="650"/>
      <c r="I925" s="650"/>
    </row>
    <row r="926" ht="14.25" customHeight="1">
      <c r="A926" s="758"/>
      <c r="B926" s="758"/>
      <c r="C926" s="758"/>
      <c r="D926" s="650"/>
      <c r="F926" s="759"/>
      <c r="G926" s="650"/>
      <c r="I926" s="650"/>
    </row>
    <row r="927" ht="14.25" customHeight="1">
      <c r="A927" s="758"/>
      <c r="B927" s="758"/>
      <c r="C927" s="758"/>
      <c r="D927" s="650"/>
      <c r="F927" s="759"/>
      <c r="G927" s="650"/>
      <c r="I927" s="650"/>
    </row>
    <row r="928" ht="14.25" customHeight="1">
      <c r="A928" s="758"/>
      <c r="B928" s="758"/>
      <c r="C928" s="758"/>
      <c r="D928" s="650"/>
      <c r="F928" s="759"/>
      <c r="G928" s="650"/>
      <c r="I928" s="650"/>
    </row>
    <row r="929" ht="14.25" customHeight="1">
      <c r="A929" s="758"/>
      <c r="B929" s="758"/>
      <c r="C929" s="758"/>
      <c r="D929" s="650"/>
      <c r="F929" s="759"/>
      <c r="G929" s="650"/>
      <c r="I929" s="650"/>
    </row>
    <row r="930" ht="14.25" customHeight="1">
      <c r="A930" s="758"/>
      <c r="B930" s="758"/>
      <c r="C930" s="758"/>
      <c r="D930" s="650"/>
      <c r="F930" s="759"/>
      <c r="G930" s="650"/>
      <c r="I930" s="650"/>
    </row>
    <row r="931" ht="14.25" customHeight="1">
      <c r="A931" s="758"/>
      <c r="B931" s="758"/>
      <c r="C931" s="758"/>
      <c r="D931" s="650"/>
      <c r="F931" s="759"/>
      <c r="G931" s="650"/>
      <c r="I931" s="650"/>
    </row>
    <row r="932" ht="14.25" customHeight="1">
      <c r="A932" s="758"/>
      <c r="B932" s="758"/>
      <c r="C932" s="758"/>
      <c r="D932" s="650"/>
      <c r="F932" s="759"/>
      <c r="G932" s="650"/>
      <c r="I932" s="650"/>
    </row>
    <row r="933" ht="14.25" customHeight="1">
      <c r="A933" s="758"/>
      <c r="B933" s="758"/>
      <c r="C933" s="758"/>
      <c r="D933" s="650"/>
      <c r="F933" s="759"/>
      <c r="G933" s="650"/>
      <c r="I933" s="650"/>
    </row>
    <row r="934" ht="14.25" customHeight="1">
      <c r="A934" s="758"/>
      <c r="B934" s="758"/>
      <c r="C934" s="758"/>
      <c r="D934" s="650"/>
      <c r="F934" s="759"/>
      <c r="G934" s="650"/>
      <c r="I934" s="650"/>
    </row>
    <row r="935" ht="14.25" customHeight="1">
      <c r="A935" s="758"/>
      <c r="B935" s="758"/>
      <c r="C935" s="758"/>
      <c r="D935" s="650"/>
      <c r="F935" s="759"/>
      <c r="G935" s="650"/>
      <c r="I935" s="650"/>
    </row>
    <row r="936" ht="14.25" customHeight="1">
      <c r="A936" s="758"/>
      <c r="B936" s="758"/>
      <c r="C936" s="758"/>
      <c r="D936" s="650"/>
      <c r="F936" s="759"/>
      <c r="G936" s="650"/>
      <c r="I936" s="650"/>
    </row>
    <row r="937" ht="14.25" customHeight="1">
      <c r="A937" s="758"/>
      <c r="B937" s="758"/>
      <c r="C937" s="758"/>
      <c r="D937" s="650"/>
      <c r="F937" s="759"/>
      <c r="G937" s="650"/>
      <c r="I937" s="650"/>
    </row>
    <row r="938" ht="14.25" customHeight="1">
      <c r="A938" s="758"/>
      <c r="B938" s="758"/>
      <c r="C938" s="758"/>
      <c r="D938" s="650"/>
      <c r="F938" s="759"/>
      <c r="G938" s="650"/>
      <c r="I938" s="650"/>
    </row>
    <row r="939" ht="14.25" customHeight="1">
      <c r="A939" s="758"/>
      <c r="B939" s="758"/>
      <c r="C939" s="758"/>
      <c r="D939" s="650"/>
      <c r="F939" s="759"/>
      <c r="G939" s="650"/>
      <c r="I939" s="650"/>
    </row>
    <row r="940" ht="14.25" customHeight="1">
      <c r="A940" s="758"/>
      <c r="B940" s="758"/>
      <c r="C940" s="758"/>
      <c r="D940" s="650"/>
      <c r="F940" s="759"/>
      <c r="G940" s="650"/>
      <c r="I940" s="650"/>
    </row>
    <row r="941" ht="14.25" customHeight="1">
      <c r="A941" s="758"/>
      <c r="B941" s="758"/>
      <c r="C941" s="758"/>
      <c r="D941" s="650"/>
      <c r="F941" s="759"/>
      <c r="G941" s="650"/>
      <c r="I941" s="650"/>
    </row>
    <row r="942" ht="14.25" customHeight="1">
      <c r="A942" s="758"/>
      <c r="B942" s="758"/>
      <c r="C942" s="758"/>
      <c r="D942" s="650"/>
      <c r="F942" s="759"/>
      <c r="G942" s="650"/>
      <c r="I942" s="650"/>
    </row>
    <row r="943" ht="14.25" customHeight="1">
      <c r="A943" s="758"/>
      <c r="B943" s="758"/>
      <c r="C943" s="758"/>
      <c r="D943" s="650"/>
      <c r="F943" s="759"/>
      <c r="G943" s="650"/>
      <c r="I943" s="650"/>
    </row>
    <row r="944" ht="14.25" customHeight="1">
      <c r="A944" s="758"/>
      <c r="B944" s="758"/>
      <c r="C944" s="758"/>
      <c r="D944" s="650"/>
      <c r="F944" s="759"/>
      <c r="G944" s="650"/>
      <c r="I944" s="650"/>
    </row>
    <row r="945" ht="14.25" customHeight="1">
      <c r="A945" s="758"/>
      <c r="B945" s="758"/>
      <c r="C945" s="758"/>
      <c r="D945" s="650"/>
      <c r="F945" s="759"/>
      <c r="G945" s="650"/>
      <c r="I945" s="650"/>
    </row>
    <row r="946" ht="14.25" customHeight="1">
      <c r="A946" s="758"/>
      <c r="B946" s="758"/>
      <c r="C946" s="758"/>
      <c r="D946" s="650"/>
      <c r="F946" s="759"/>
      <c r="G946" s="650"/>
      <c r="I946" s="650"/>
    </row>
    <row r="947" ht="14.25" customHeight="1">
      <c r="A947" s="758"/>
      <c r="B947" s="758"/>
      <c r="C947" s="758"/>
      <c r="D947" s="650"/>
      <c r="F947" s="759"/>
      <c r="G947" s="650"/>
      <c r="I947" s="650"/>
    </row>
    <row r="948" ht="14.25" customHeight="1">
      <c r="A948" s="758"/>
      <c r="B948" s="758"/>
      <c r="C948" s="758"/>
      <c r="D948" s="650"/>
      <c r="F948" s="759"/>
      <c r="G948" s="650"/>
      <c r="I948" s="650"/>
    </row>
    <row r="949" ht="14.25" customHeight="1">
      <c r="A949" s="758"/>
      <c r="B949" s="758"/>
      <c r="C949" s="758"/>
      <c r="D949" s="650"/>
      <c r="F949" s="759"/>
      <c r="G949" s="650"/>
      <c r="I949" s="650"/>
    </row>
    <row r="950" ht="14.25" customHeight="1">
      <c r="A950" s="758"/>
      <c r="B950" s="758"/>
      <c r="C950" s="758"/>
      <c r="D950" s="650"/>
      <c r="F950" s="759"/>
      <c r="G950" s="650"/>
      <c r="I950" s="650"/>
    </row>
    <row r="951" ht="14.25" customHeight="1">
      <c r="A951" s="758"/>
      <c r="B951" s="758"/>
      <c r="C951" s="758"/>
      <c r="D951" s="650"/>
      <c r="F951" s="759"/>
      <c r="G951" s="650"/>
      <c r="I951" s="650"/>
    </row>
    <row r="952" ht="14.25" customHeight="1">
      <c r="A952" s="758"/>
      <c r="B952" s="758"/>
      <c r="C952" s="758"/>
      <c r="D952" s="650"/>
      <c r="F952" s="759"/>
      <c r="G952" s="650"/>
      <c r="I952" s="650"/>
    </row>
    <row r="953" ht="14.25" customHeight="1">
      <c r="A953" s="758"/>
      <c r="B953" s="758"/>
      <c r="C953" s="758"/>
      <c r="D953" s="650"/>
      <c r="F953" s="759"/>
      <c r="G953" s="650"/>
      <c r="I953" s="650"/>
    </row>
    <row r="954" ht="14.25" customHeight="1">
      <c r="A954" s="758"/>
      <c r="B954" s="758"/>
      <c r="C954" s="758"/>
      <c r="D954" s="650"/>
      <c r="F954" s="759"/>
      <c r="G954" s="650"/>
      <c r="I954" s="650"/>
    </row>
    <row r="955" ht="14.25" customHeight="1">
      <c r="A955" s="758"/>
      <c r="B955" s="758"/>
      <c r="C955" s="758"/>
      <c r="D955" s="650"/>
      <c r="F955" s="759"/>
      <c r="G955" s="650"/>
      <c r="I955" s="650"/>
    </row>
    <row r="956" ht="14.25" customHeight="1">
      <c r="A956" s="758"/>
      <c r="B956" s="758"/>
      <c r="C956" s="758"/>
      <c r="D956" s="650"/>
      <c r="F956" s="759"/>
      <c r="G956" s="650"/>
      <c r="I956" s="650"/>
    </row>
    <row r="957" ht="14.25" customHeight="1">
      <c r="A957" s="758"/>
      <c r="B957" s="758"/>
      <c r="C957" s="758"/>
      <c r="D957" s="650"/>
      <c r="F957" s="759"/>
      <c r="G957" s="650"/>
      <c r="I957" s="650"/>
    </row>
    <row r="958" ht="14.25" customHeight="1">
      <c r="A958" s="758"/>
      <c r="B958" s="758"/>
      <c r="C958" s="758"/>
      <c r="D958" s="650"/>
      <c r="F958" s="759"/>
      <c r="G958" s="650"/>
      <c r="I958" s="650"/>
    </row>
    <row r="959" ht="14.25" customHeight="1">
      <c r="A959" s="758"/>
      <c r="B959" s="758"/>
      <c r="C959" s="758"/>
      <c r="D959" s="650"/>
      <c r="F959" s="759"/>
      <c r="G959" s="650"/>
      <c r="I959" s="650"/>
    </row>
    <row r="960" ht="14.25" customHeight="1">
      <c r="A960" s="758"/>
      <c r="B960" s="758"/>
      <c r="C960" s="758"/>
      <c r="D960" s="650"/>
      <c r="F960" s="759"/>
      <c r="G960" s="650"/>
      <c r="I960" s="650"/>
    </row>
    <row r="961" ht="14.25" customHeight="1">
      <c r="A961" s="758"/>
      <c r="B961" s="758"/>
      <c r="C961" s="758"/>
      <c r="D961" s="650"/>
      <c r="F961" s="759"/>
      <c r="G961" s="650"/>
      <c r="I961" s="650"/>
    </row>
    <row r="962" ht="14.25" customHeight="1">
      <c r="A962" s="758"/>
      <c r="B962" s="758"/>
      <c r="C962" s="758"/>
      <c r="D962" s="650"/>
      <c r="F962" s="759"/>
      <c r="G962" s="650"/>
      <c r="I962" s="650"/>
    </row>
    <row r="963" ht="14.25" customHeight="1">
      <c r="A963" s="758"/>
      <c r="B963" s="758"/>
      <c r="C963" s="758"/>
      <c r="D963" s="650"/>
      <c r="F963" s="759"/>
      <c r="G963" s="650"/>
      <c r="I963" s="650"/>
    </row>
    <row r="964" ht="14.25" customHeight="1">
      <c r="A964" s="758"/>
      <c r="B964" s="758"/>
      <c r="C964" s="758"/>
      <c r="D964" s="650"/>
      <c r="F964" s="759"/>
      <c r="G964" s="650"/>
      <c r="I964" s="650"/>
    </row>
    <row r="965" ht="14.25" customHeight="1">
      <c r="A965" s="758"/>
      <c r="B965" s="758"/>
      <c r="C965" s="758"/>
      <c r="D965" s="650"/>
      <c r="F965" s="759"/>
      <c r="G965" s="650"/>
      <c r="I965" s="650"/>
    </row>
    <row r="966" ht="14.25" customHeight="1">
      <c r="A966" s="758"/>
      <c r="B966" s="758"/>
      <c r="C966" s="758"/>
      <c r="D966" s="650"/>
      <c r="F966" s="759"/>
      <c r="G966" s="650"/>
      <c r="I966" s="650"/>
    </row>
    <row r="967" ht="14.25" customHeight="1">
      <c r="A967" s="758"/>
      <c r="B967" s="758"/>
      <c r="C967" s="758"/>
      <c r="D967" s="650"/>
      <c r="F967" s="759"/>
      <c r="G967" s="650"/>
      <c r="I967" s="650"/>
    </row>
    <row r="968" ht="14.25" customHeight="1">
      <c r="A968" s="758"/>
      <c r="B968" s="758"/>
      <c r="C968" s="758"/>
      <c r="D968" s="650"/>
      <c r="F968" s="759"/>
      <c r="G968" s="650"/>
      <c r="I968" s="650"/>
    </row>
    <row r="969" ht="14.25" customHeight="1">
      <c r="A969" s="758"/>
      <c r="B969" s="758"/>
      <c r="C969" s="758"/>
      <c r="D969" s="650"/>
      <c r="F969" s="759"/>
      <c r="G969" s="650"/>
      <c r="I969" s="650"/>
    </row>
    <row r="970" ht="14.25" customHeight="1">
      <c r="A970" s="758"/>
      <c r="B970" s="758"/>
      <c r="C970" s="758"/>
      <c r="D970" s="650"/>
      <c r="F970" s="759"/>
      <c r="G970" s="650"/>
      <c r="I970" s="650"/>
    </row>
    <row r="971" ht="14.25" customHeight="1">
      <c r="A971" s="758"/>
      <c r="B971" s="758"/>
      <c r="C971" s="758"/>
      <c r="D971" s="650"/>
      <c r="F971" s="759"/>
      <c r="G971" s="650"/>
      <c r="I971" s="650"/>
    </row>
    <row r="972" ht="14.25" customHeight="1">
      <c r="A972" s="758"/>
      <c r="B972" s="758"/>
      <c r="C972" s="758"/>
      <c r="D972" s="650"/>
      <c r="F972" s="759"/>
      <c r="G972" s="650"/>
      <c r="I972" s="650"/>
    </row>
    <row r="973" ht="14.25" customHeight="1">
      <c r="A973" s="758"/>
      <c r="B973" s="758"/>
      <c r="C973" s="758"/>
      <c r="D973" s="650"/>
      <c r="F973" s="759"/>
      <c r="G973" s="650"/>
      <c r="I973" s="650"/>
    </row>
    <row r="974" ht="14.25" customHeight="1">
      <c r="A974" s="758"/>
      <c r="B974" s="758"/>
      <c r="C974" s="758"/>
      <c r="D974" s="650"/>
      <c r="F974" s="759"/>
      <c r="G974" s="650"/>
      <c r="I974" s="650"/>
    </row>
    <row r="975" ht="14.25" customHeight="1">
      <c r="A975" s="758"/>
      <c r="B975" s="758"/>
      <c r="C975" s="758"/>
      <c r="D975" s="650"/>
      <c r="F975" s="759"/>
      <c r="G975" s="650"/>
      <c r="I975" s="650"/>
    </row>
    <row r="976" ht="14.25" customHeight="1">
      <c r="A976" s="758"/>
      <c r="B976" s="758"/>
      <c r="C976" s="758"/>
      <c r="D976" s="650"/>
      <c r="F976" s="759"/>
      <c r="G976" s="650"/>
      <c r="I976" s="650"/>
    </row>
    <row r="977" ht="14.25" customHeight="1">
      <c r="A977" s="758"/>
      <c r="B977" s="758"/>
      <c r="C977" s="758"/>
      <c r="D977" s="650"/>
      <c r="F977" s="759"/>
      <c r="G977" s="650"/>
      <c r="I977" s="650"/>
    </row>
    <row r="978" ht="14.25" customHeight="1">
      <c r="A978" s="758"/>
      <c r="B978" s="758"/>
      <c r="C978" s="758"/>
      <c r="D978" s="650"/>
      <c r="F978" s="759"/>
      <c r="G978" s="650"/>
      <c r="I978" s="650"/>
    </row>
    <row r="979" ht="14.25" customHeight="1">
      <c r="A979" s="758"/>
      <c r="B979" s="758"/>
      <c r="C979" s="758"/>
      <c r="D979" s="650"/>
      <c r="F979" s="759"/>
      <c r="G979" s="650"/>
      <c r="I979" s="650"/>
    </row>
    <row r="980" ht="14.25" customHeight="1">
      <c r="A980" s="758"/>
      <c r="B980" s="758"/>
      <c r="C980" s="758"/>
      <c r="D980" s="650"/>
      <c r="F980" s="759"/>
      <c r="G980" s="650"/>
      <c r="I980" s="650"/>
    </row>
    <row r="981" ht="14.25" customHeight="1">
      <c r="A981" s="758"/>
      <c r="B981" s="758"/>
      <c r="C981" s="758"/>
      <c r="D981" s="650"/>
      <c r="F981" s="759"/>
      <c r="G981" s="650"/>
      <c r="I981" s="650"/>
    </row>
    <row r="982" ht="14.25" customHeight="1">
      <c r="A982" s="758"/>
      <c r="B982" s="758"/>
      <c r="C982" s="758"/>
      <c r="D982" s="650"/>
      <c r="F982" s="759"/>
      <c r="G982" s="650"/>
      <c r="I982" s="650"/>
    </row>
    <row r="983" ht="14.25" customHeight="1">
      <c r="A983" s="758"/>
      <c r="B983" s="758"/>
      <c r="C983" s="758"/>
      <c r="D983" s="650"/>
      <c r="F983" s="759"/>
      <c r="G983" s="650"/>
      <c r="I983" s="650"/>
    </row>
    <row r="984" ht="14.25" customHeight="1">
      <c r="A984" s="758"/>
      <c r="B984" s="758"/>
      <c r="C984" s="758"/>
      <c r="D984" s="650"/>
      <c r="F984" s="759"/>
      <c r="G984" s="650"/>
      <c r="I984" s="650"/>
    </row>
    <row r="985" ht="14.25" customHeight="1">
      <c r="A985" s="758"/>
      <c r="B985" s="758"/>
      <c r="C985" s="758"/>
      <c r="D985" s="650"/>
      <c r="F985" s="759"/>
      <c r="G985" s="650"/>
      <c r="I985" s="650"/>
    </row>
    <row r="986" ht="14.25" customHeight="1">
      <c r="A986" s="758"/>
      <c r="B986" s="758"/>
      <c r="C986" s="758"/>
      <c r="D986" s="650"/>
      <c r="F986" s="759"/>
      <c r="G986" s="650"/>
      <c r="I986" s="650"/>
    </row>
    <row r="987" ht="14.25" customHeight="1">
      <c r="A987" s="758"/>
      <c r="B987" s="758"/>
      <c r="C987" s="758"/>
      <c r="D987" s="650"/>
      <c r="F987" s="759"/>
      <c r="G987" s="650"/>
      <c r="I987" s="650"/>
    </row>
    <row r="988" ht="14.25" customHeight="1">
      <c r="A988" s="758"/>
      <c r="B988" s="758"/>
      <c r="C988" s="758"/>
      <c r="D988" s="650"/>
      <c r="F988" s="759"/>
      <c r="G988" s="650"/>
      <c r="I988" s="650"/>
    </row>
    <row r="989" ht="14.25" customHeight="1">
      <c r="A989" s="758"/>
      <c r="B989" s="758"/>
      <c r="C989" s="758"/>
      <c r="D989" s="650"/>
      <c r="F989" s="759"/>
      <c r="G989" s="650"/>
      <c r="I989" s="650"/>
    </row>
    <row r="990" ht="14.25" customHeight="1">
      <c r="A990" s="758"/>
      <c r="B990" s="758"/>
      <c r="C990" s="758"/>
      <c r="D990" s="650"/>
      <c r="F990" s="759"/>
      <c r="G990" s="650"/>
      <c r="I990" s="650"/>
    </row>
    <row r="991" ht="14.25" customHeight="1">
      <c r="A991" s="758"/>
      <c r="B991" s="758"/>
      <c r="C991" s="758"/>
      <c r="D991" s="650"/>
      <c r="F991" s="759"/>
      <c r="G991" s="650"/>
      <c r="I991" s="650"/>
    </row>
    <row r="992" ht="14.25" customHeight="1">
      <c r="A992" s="758"/>
      <c r="B992" s="758"/>
      <c r="C992" s="758"/>
      <c r="D992" s="650"/>
      <c r="F992" s="759"/>
      <c r="G992" s="650"/>
      <c r="I992" s="650"/>
    </row>
    <row r="993" ht="14.25" customHeight="1">
      <c r="A993" s="758"/>
      <c r="B993" s="758"/>
      <c r="C993" s="758"/>
      <c r="D993" s="650"/>
      <c r="F993" s="759"/>
      <c r="G993" s="650"/>
      <c r="I993" s="650"/>
    </row>
    <row r="994" ht="14.25" customHeight="1">
      <c r="A994" s="758"/>
      <c r="B994" s="758"/>
      <c r="C994" s="758"/>
      <c r="D994" s="650"/>
      <c r="F994" s="759"/>
      <c r="G994" s="650"/>
      <c r="I994" s="650"/>
    </row>
    <row r="995" ht="14.25" customHeight="1">
      <c r="A995" s="758"/>
      <c r="B995" s="758"/>
      <c r="C995" s="758"/>
      <c r="D995" s="650"/>
      <c r="F995" s="759"/>
      <c r="G995" s="650"/>
      <c r="I995" s="650"/>
    </row>
    <row r="996" ht="14.25" customHeight="1">
      <c r="A996" s="758"/>
      <c r="B996" s="758"/>
      <c r="C996" s="758"/>
      <c r="D996" s="650"/>
      <c r="F996" s="759"/>
      <c r="G996" s="650"/>
      <c r="I996" s="650"/>
    </row>
    <row r="997" ht="14.25" customHeight="1">
      <c r="A997" s="758"/>
      <c r="B997" s="758"/>
      <c r="C997" s="758"/>
      <c r="D997" s="650"/>
      <c r="F997" s="759"/>
      <c r="G997" s="650"/>
      <c r="I997" s="650"/>
    </row>
    <row r="998" ht="14.25" customHeight="1">
      <c r="A998" s="758"/>
      <c r="B998" s="758"/>
      <c r="C998" s="758"/>
      <c r="D998" s="650"/>
      <c r="F998" s="759"/>
      <c r="G998" s="650"/>
      <c r="I998" s="650"/>
    </row>
    <row r="999" ht="14.25" customHeight="1">
      <c r="A999" s="758"/>
      <c r="B999" s="758"/>
      <c r="C999" s="758"/>
      <c r="D999" s="650"/>
      <c r="F999" s="759"/>
      <c r="G999" s="650"/>
      <c r="I999" s="650"/>
    </row>
    <row r="1000" ht="14.25" customHeight="1">
      <c r="A1000" s="758"/>
      <c r="B1000" s="758"/>
      <c r="C1000" s="758"/>
      <c r="D1000" s="650"/>
      <c r="F1000" s="759"/>
      <c r="G1000" s="650"/>
      <c r="I1000" s="650"/>
    </row>
  </sheetData>
  <mergeCells count="1">
    <mergeCell ref="A26:C26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43"/>
    <col customWidth="1" min="2" max="2" width="13.29"/>
    <col customWidth="1" min="3" max="3" width="12.0"/>
    <col customWidth="1" min="4" max="4" width="38.43"/>
    <col customWidth="1" min="5" max="5" width="25.29"/>
    <col customWidth="1" min="6" max="7" width="12.57"/>
    <col customWidth="1" min="8" max="8" width="11.86"/>
    <col customWidth="1" min="9" max="26" width="11.43"/>
  </cols>
  <sheetData>
    <row r="1" ht="9.75" customHeight="1">
      <c r="A1" s="761" t="s">
        <v>568</v>
      </c>
      <c r="B1" s="761"/>
      <c r="C1" s="761"/>
      <c r="D1" s="761"/>
      <c r="E1" s="761"/>
      <c r="F1" s="762"/>
      <c r="G1" s="762" t="s">
        <v>540</v>
      </c>
      <c r="H1" s="762"/>
      <c r="I1" s="763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3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-0.00181</v>
      </c>
      <c r="I3" s="763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2444.0</v>
      </c>
      <c r="B4" s="765">
        <v>43131.0</v>
      </c>
      <c r="C4" s="764" t="s">
        <v>567</v>
      </c>
      <c r="D4" s="764" t="s">
        <v>551</v>
      </c>
      <c r="E4" s="764" t="s">
        <v>552</v>
      </c>
      <c r="F4" s="763"/>
      <c r="G4" s="763">
        <v>7796565.51069</v>
      </c>
      <c r="H4" s="763">
        <v>7796565.50888</v>
      </c>
      <c r="I4" s="763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2359.0</v>
      </c>
      <c r="B5" s="765">
        <v>43132.0</v>
      </c>
      <c r="C5" s="764" t="s">
        <v>567</v>
      </c>
      <c r="D5" s="764" t="s">
        <v>569</v>
      </c>
      <c r="E5" s="764" t="s">
        <v>570</v>
      </c>
      <c r="F5" s="763">
        <v>7880803.62</v>
      </c>
      <c r="G5" s="763"/>
      <c r="H5" s="763">
        <v>-84238.11112</v>
      </c>
      <c r="I5" s="763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2446.0</v>
      </c>
      <c r="B6" s="765">
        <v>43157.0</v>
      </c>
      <c r="C6" s="764" t="s">
        <v>567</v>
      </c>
      <c r="D6" s="764" t="s">
        <v>553</v>
      </c>
      <c r="E6" s="764" t="s">
        <v>552</v>
      </c>
      <c r="F6" s="763"/>
      <c r="G6" s="763">
        <v>7302739.65998</v>
      </c>
      <c r="H6" s="763">
        <v>7218501.54886</v>
      </c>
      <c r="I6" s="763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2573.0</v>
      </c>
      <c r="B7" s="765">
        <v>43174.0</v>
      </c>
      <c r="C7" s="764" t="s">
        <v>567</v>
      </c>
      <c r="D7" s="764" t="s">
        <v>571</v>
      </c>
      <c r="E7" s="764" t="s">
        <v>570</v>
      </c>
      <c r="F7" s="763">
        <v>7218501.34</v>
      </c>
      <c r="G7" s="763"/>
      <c r="H7" s="763">
        <v>0.20886</v>
      </c>
      <c r="I7" s="763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2580.0</v>
      </c>
      <c r="B8" s="765">
        <v>43185.0</v>
      </c>
      <c r="C8" s="764" t="s">
        <v>567</v>
      </c>
      <c r="D8" s="764" t="s">
        <v>554</v>
      </c>
      <c r="E8" s="764" t="s">
        <v>552</v>
      </c>
      <c r="F8" s="763"/>
      <c r="G8" s="763">
        <v>7045072.4071</v>
      </c>
      <c r="H8" s="763">
        <v>7045072.61596</v>
      </c>
      <c r="I8" s="763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2695.0</v>
      </c>
      <c r="B9" s="765">
        <v>43188.0</v>
      </c>
      <c r="C9" s="764" t="s">
        <v>567</v>
      </c>
      <c r="D9" s="764" t="s">
        <v>572</v>
      </c>
      <c r="E9" s="764" t="s">
        <v>570</v>
      </c>
      <c r="F9" s="763">
        <v>7045072.38</v>
      </c>
      <c r="G9" s="763"/>
      <c r="H9" s="763">
        <v>0.23596</v>
      </c>
      <c r="I9" s="763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2811.0</v>
      </c>
      <c r="B10" s="765">
        <v>43216.0</v>
      </c>
      <c r="C10" s="764" t="s">
        <v>567</v>
      </c>
      <c r="D10" s="764" t="s">
        <v>555</v>
      </c>
      <c r="E10" s="764" t="s">
        <v>552</v>
      </c>
      <c r="F10" s="763"/>
      <c r="G10" s="763">
        <v>8336956.94074</v>
      </c>
      <c r="H10" s="763">
        <v>8336957.1767</v>
      </c>
      <c r="I10" s="763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2966.0</v>
      </c>
      <c r="B11" s="765">
        <v>43222.0</v>
      </c>
      <c r="C11" s="764" t="s">
        <v>567</v>
      </c>
      <c r="D11" s="764" t="s">
        <v>573</v>
      </c>
      <c r="E11" s="764" t="s">
        <v>570</v>
      </c>
      <c r="F11" s="763">
        <v>7567151.83</v>
      </c>
      <c r="G11" s="763"/>
      <c r="H11" s="763">
        <v>769805.3467</v>
      </c>
      <c r="I11" s="763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2900.0</v>
      </c>
      <c r="B12" s="765">
        <v>43248.0</v>
      </c>
      <c r="C12" s="764" t="s">
        <v>567</v>
      </c>
      <c r="D12" s="764" t="s">
        <v>556</v>
      </c>
      <c r="E12" s="764" t="s">
        <v>552</v>
      </c>
      <c r="F12" s="763"/>
      <c r="G12" s="763">
        <v>7547648.37806</v>
      </c>
      <c r="H12" s="763">
        <v>8317453.72476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3219.0</v>
      </c>
      <c r="B13" s="765">
        <v>43251.0</v>
      </c>
      <c r="C13" s="764" t="s">
        <v>567</v>
      </c>
      <c r="D13" s="764" t="s">
        <v>574</v>
      </c>
      <c r="E13" s="764" t="s">
        <v>552</v>
      </c>
      <c r="F13" s="763">
        <v>105661.95</v>
      </c>
      <c r="G13" s="763"/>
      <c r="H13" s="763">
        <v>8211791.77476</v>
      </c>
      <c r="I13" s="763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3266.0</v>
      </c>
      <c r="B14" s="765">
        <v>43257.0</v>
      </c>
      <c r="C14" s="764" t="s">
        <v>567</v>
      </c>
      <c r="D14" s="764" t="s">
        <v>575</v>
      </c>
      <c r="E14" s="764" t="s">
        <v>570</v>
      </c>
      <c r="F14" s="763">
        <v>5000000.0</v>
      </c>
      <c r="G14" s="763"/>
      <c r="H14" s="763">
        <v>3211791.77476</v>
      </c>
      <c r="I14" s="763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3344.0</v>
      </c>
      <c r="B15" s="765">
        <v>43276.0</v>
      </c>
      <c r="C15" s="764" t="s">
        <v>567</v>
      </c>
      <c r="D15" s="764" t="s">
        <v>557</v>
      </c>
      <c r="E15" s="764" t="s">
        <v>552</v>
      </c>
      <c r="F15" s="763"/>
      <c r="G15" s="763">
        <v>8029918.9097</v>
      </c>
      <c r="H15" s="763">
        <v>1.124171068446E7</v>
      </c>
      <c r="I15" s="763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3830.0</v>
      </c>
      <c r="B16" s="765">
        <v>43283.0</v>
      </c>
      <c r="C16" s="764" t="s">
        <v>567</v>
      </c>
      <c r="D16" s="764" t="s">
        <v>559</v>
      </c>
      <c r="E16" s="764" t="s">
        <v>552</v>
      </c>
      <c r="F16" s="763">
        <v>460000.0</v>
      </c>
      <c r="G16" s="763"/>
      <c r="H16" s="763">
        <v>1.078171068446E7</v>
      </c>
      <c r="I16" s="763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3451.0</v>
      </c>
      <c r="B17" s="765">
        <v>43306.0</v>
      </c>
      <c r="C17" s="764" t="s">
        <v>567</v>
      </c>
      <c r="D17" s="764" t="s">
        <v>560</v>
      </c>
      <c r="E17" s="764" t="s">
        <v>552</v>
      </c>
      <c r="F17" s="763"/>
      <c r="G17" s="763">
        <v>7743251.60386</v>
      </c>
      <c r="H17" s="763">
        <v>1.852496228832E7</v>
      </c>
      <c r="I17" s="763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3724.0</v>
      </c>
      <c r="B18" s="765">
        <v>43320.0</v>
      </c>
      <c r="C18" s="764" t="s">
        <v>567</v>
      </c>
      <c r="D18" s="764" t="s">
        <v>576</v>
      </c>
      <c r="E18" s="764" t="s">
        <v>570</v>
      </c>
      <c r="F18" s="763">
        <v>1.9E7</v>
      </c>
      <c r="G18" s="763"/>
      <c r="H18" s="763">
        <v>-475037.71168</v>
      </c>
      <c r="I18" s="763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3778.0</v>
      </c>
      <c r="B19" s="765">
        <v>43336.0</v>
      </c>
      <c r="C19" s="764" t="s">
        <v>567</v>
      </c>
      <c r="D19" s="764" t="s">
        <v>561</v>
      </c>
      <c r="E19" s="764" t="s">
        <v>552</v>
      </c>
      <c r="F19" s="763"/>
      <c r="G19" s="763">
        <v>3.384551106527E7</v>
      </c>
      <c r="H19" s="763">
        <v>3.337047335359E7</v>
      </c>
      <c r="I19" s="763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3948.0</v>
      </c>
      <c r="B20" s="765">
        <v>43347.0</v>
      </c>
      <c r="C20" s="764" t="s">
        <v>567</v>
      </c>
      <c r="D20" s="764" t="s">
        <v>577</v>
      </c>
      <c r="E20" s="764" t="s">
        <v>570</v>
      </c>
      <c r="F20" s="763">
        <v>3.3E7</v>
      </c>
      <c r="G20" s="763"/>
      <c r="H20" s="763">
        <v>370473.35359</v>
      </c>
      <c r="I20" s="763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4050.0</v>
      </c>
      <c r="B21" s="765">
        <v>43368.0</v>
      </c>
      <c r="C21" s="764" t="s">
        <v>567</v>
      </c>
      <c r="D21" s="764" t="s">
        <v>562</v>
      </c>
      <c r="E21" s="764" t="s">
        <v>552</v>
      </c>
      <c r="F21" s="763"/>
      <c r="G21" s="763">
        <v>8355992.7176</v>
      </c>
      <c r="H21" s="763">
        <v>8726466.07119</v>
      </c>
      <c r="I21" s="763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4096.0</v>
      </c>
      <c r="B22" s="765">
        <v>43373.0</v>
      </c>
      <c r="C22" s="764" t="s">
        <v>567</v>
      </c>
      <c r="D22" s="764" t="s">
        <v>578</v>
      </c>
      <c r="E22" s="764" t="s">
        <v>552</v>
      </c>
      <c r="F22" s="763">
        <v>111492.4</v>
      </c>
      <c r="G22" s="763"/>
      <c r="H22" s="763">
        <v>8614973.67119</v>
      </c>
      <c r="I22" s="763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4325.0</v>
      </c>
      <c r="B23" s="765">
        <v>43399.0</v>
      </c>
      <c r="C23" s="764" t="s">
        <v>567</v>
      </c>
      <c r="D23" s="764" t="s">
        <v>563</v>
      </c>
      <c r="E23" s="764" t="s">
        <v>552</v>
      </c>
      <c r="F23" s="763"/>
      <c r="G23" s="763">
        <v>1.26871512689E7</v>
      </c>
      <c r="H23" s="763">
        <v>2.130212494009E7</v>
      </c>
      <c r="I23" s="763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4443.0</v>
      </c>
      <c r="B24" s="765">
        <v>43411.0</v>
      </c>
      <c r="C24" s="764" t="s">
        <v>567</v>
      </c>
      <c r="D24" s="764" t="s">
        <v>575</v>
      </c>
      <c r="E24" s="764" t="s">
        <v>570</v>
      </c>
      <c r="F24" s="763">
        <v>2.2E7</v>
      </c>
      <c r="G24" s="763"/>
      <c r="H24" s="763">
        <v>-697875.05991</v>
      </c>
      <c r="I24" s="763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4511.0</v>
      </c>
      <c r="B25" s="765">
        <v>43427.0</v>
      </c>
      <c r="C25" s="764" t="s">
        <v>567</v>
      </c>
      <c r="D25" s="764" t="s">
        <v>564</v>
      </c>
      <c r="E25" s="764" t="s">
        <v>552</v>
      </c>
      <c r="F25" s="763"/>
      <c r="G25" s="763">
        <v>7942218.91057</v>
      </c>
      <c r="H25" s="763">
        <v>7244343.85066</v>
      </c>
      <c r="I25" s="763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4663.0</v>
      </c>
      <c r="B26" s="765">
        <v>43434.0</v>
      </c>
      <c r="C26" s="764" t="s">
        <v>567</v>
      </c>
      <c r="D26" s="764" t="s">
        <v>575</v>
      </c>
      <c r="E26" s="764" t="s">
        <v>570</v>
      </c>
      <c r="F26" s="763">
        <v>7500000.0</v>
      </c>
      <c r="G26" s="763"/>
      <c r="H26" s="763">
        <v>-255656.14934</v>
      </c>
      <c r="I26" s="763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4833.0</v>
      </c>
      <c r="B27" s="765">
        <v>43460.0</v>
      </c>
      <c r="C27" s="764" t="s">
        <v>567</v>
      </c>
      <c r="D27" s="764" t="s">
        <v>565</v>
      </c>
      <c r="E27" s="764" t="s">
        <v>552</v>
      </c>
      <c r="F27" s="763"/>
      <c r="G27" s="763">
        <v>9642854.3247</v>
      </c>
      <c r="H27" s="763">
        <v>9387198.17536</v>
      </c>
      <c r="I27" s="763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/>
      <c r="B28" s="765"/>
      <c r="C28" s="764"/>
      <c r="D28" s="764"/>
      <c r="E28" s="764"/>
      <c r="F28" s="763"/>
      <c r="G28" s="763"/>
      <c r="H28" s="763"/>
      <c r="I28" s="763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/>
      <c r="B29" s="765"/>
      <c r="C29" s="764"/>
      <c r="D29" s="764"/>
      <c r="E29" s="764"/>
      <c r="F29" s="763"/>
      <c r="G29" s="763"/>
      <c r="H29" s="763"/>
      <c r="I29" s="763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/>
      <c r="B30" s="764"/>
      <c r="C30" s="764"/>
      <c r="D30" s="764"/>
      <c r="E30" s="764"/>
      <c r="F30" s="762">
        <f t="shared" ref="F30:G30" si="1">SUM(F4:F29)</f>
        <v>116888683.5</v>
      </c>
      <c r="G30" s="762">
        <f t="shared" si="1"/>
        <v>126275881.7</v>
      </c>
      <c r="H30" s="762">
        <f>+G30-F30</f>
        <v>9387198.177</v>
      </c>
      <c r="I30" s="763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/>
      <c r="B31" s="764"/>
      <c r="C31" s="764"/>
      <c r="D31" s="764"/>
      <c r="E31" s="764"/>
      <c r="F31" s="763"/>
      <c r="G31" s="763"/>
      <c r="H31" s="763"/>
      <c r="I31" s="763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/>
      <c r="B32" s="764"/>
      <c r="C32" s="764"/>
      <c r="D32" s="764"/>
      <c r="E32" s="764"/>
      <c r="F32" s="763"/>
      <c r="G32" s="763" t="str">
        <f>+balance!F186</f>
        <v>#REF!</v>
      </c>
      <c r="H32" s="763"/>
      <c r="I32" s="763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 t="s">
        <v>943</v>
      </c>
      <c r="F33" s="763"/>
      <c r="G33" s="766" t="str">
        <f>+G30-G32</f>
        <v>#REF!</v>
      </c>
      <c r="H33" s="763"/>
      <c r="I33" s="763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3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3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1" t="s">
        <v>579</v>
      </c>
      <c r="B36" s="761"/>
      <c r="C36" s="761"/>
      <c r="D36" s="761"/>
      <c r="E36" s="761"/>
      <c r="F36" s="762"/>
      <c r="G36" s="762" t="s">
        <v>540</v>
      </c>
      <c r="H36" s="762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1" t="s">
        <v>541</v>
      </c>
      <c r="B37" s="761" t="s">
        <v>542</v>
      </c>
      <c r="C37" s="761" t="s">
        <v>543</v>
      </c>
      <c r="D37" s="761" t="s">
        <v>544</v>
      </c>
      <c r="E37" s="761" t="s">
        <v>545</v>
      </c>
      <c r="F37" s="762" t="s">
        <v>546</v>
      </c>
      <c r="G37" s="762" t="s">
        <v>547</v>
      </c>
      <c r="H37" s="762" t="s">
        <v>548</v>
      </c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2" t="s">
        <v>549</v>
      </c>
      <c r="H38" s="762">
        <v>-0.00725</v>
      </c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2444.0</v>
      </c>
      <c r="B39" s="765">
        <v>43131.0</v>
      </c>
      <c r="C39" s="764" t="s">
        <v>580</v>
      </c>
      <c r="D39" s="764" t="s">
        <v>551</v>
      </c>
      <c r="E39" s="764" t="s">
        <v>552</v>
      </c>
      <c r="F39" s="763"/>
      <c r="G39" s="763">
        <v>4267519.72154</v>
      </c>
      <c r="H39" s="763">
        <v>4267519.71429</v>
      </c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2446.0</v>
      </c>
      <c r="B40" s="765">
        <v>43157.0</v>
      </c>
      <c r="C40" s="764" t="s">
        <v>580</v>
      </c>
      <c r="D40" s="764" t="s">
        <v>553</v>
      </c>
      <c r="E40" s="764" t="s">
        <v>552</v>
      </c>
      <c r="F40" s="763"/>
      <c r="G40" s="763">
        <v>4044280.63528</v>
      </c>
      <c r="H40" s="763">
        <v>8311800.34957</v>
      </c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2580.0</v>
      </c>
      <c r="B41" s="765">
        <v>43185.0</v>
      </c>
      <c r="C41" s="764" t="s">
        <v>580</v>
      </c>
      <c r="D41" s="764" t="s">
        <v>554</v>
      </c>
      <c r="E41" s="764" t="s">
        <v>552</v>
      </c>
      <c r="F41" s="763"/>
      <c r="G41" s="763">
        <v>3928164.91488</v>
      </c>
      <c r="H41" s="763">
        <v>1.223996526445E7</v>
      </c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2648.0</v>
      </c>
      <c r="B42" s="765">
        <v>43185.0</v>
      </c>
      <c r="C42" s="764" t="s">
        <v>580</v>
      </c>
      <c r="D42" s="764" t="s">
        <v>581</v>
      </c>
      <c r="E42" s="764" t="s">
        <v>570</v>
      </c>
      <c r="F42" s="763">
        <v>1.23E7</v>
      </c>
      <c r="G42" s="763"/>
      <c r="H42" s="763">
        <v>-60034.73555</v>
      </c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>
        <v>2811.0</v>
      </c>
      <c r="B43" s="765">
        <v>43216.0</v>
      </c>
      <c r="C43" s="764" t="s">
        <v>580</v>
      </c>
      <c r="D43" s="764" t="s">
        <v>555</v>
      </c>
      <c r="E43" s="764" t="s">
        <v>552</v>
      </c>
      <c r="F43" s="763"/>
      <c r="G43" s="763">
        <v>4594036.1766</v>
      </c>
      <c r="H43" s="763">
        <v>4534001.44105</v>
      </c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>
        <v>2900.0</v>
      </c>
      <c r="B44" s="765">
        <v>43248.0</v>
      </c>
      <c r="C44" s="764" t="s">
        <v>580</v>
      </c>
      <c r="D44" s="764" t="s">
        <v>556</v>
      </c>
      <c r="E44" s="764" t="s">
        <v>552</v>
      </c>
      <c r="F44" s="763"/>
      <c r="G44" s="763">
        <v>4178051.58598</v>
      </c>
      <c r="H44" s="763">
        <v>8712053.02703</v>
      </c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>
        <v>3344.0</v>
      </c>
      <c r="B45" s="765">
        <v>43276.0</v>
      </c>
      <c r="C45" s="764" t="s">
        <v>580</v>
      </c>
      <c r="D45" s="764" t="s">
        <v>557</v>
      </c>
      <c r="E45" s="764" t="s">
        <v>552</v>
      </c>
      <c r="F45" s="763"/>
      <c r="G45" s="763">
        <v>4307792.26587</v>
      </c>
      <c r="H45" s="763">
        <v>1.30198452929E7</v>
      </c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>
        <v>3830.0</v>
      </c>
      <c r="B46" s="765">
        <v>43283.0</v>
      </c>
      <c r="C46" s="764" t="s">
        <v>580</v>
      </c>
      <c r="D46" s="764" t="s">
        <v>559</v>
      </c>
      <c r="E46" s="764" t="s">
        <v>552</v>
      </c>
      <c r="F46" s="763">
        <v>169666.67</v>
      </c>
      <c r="G46" s="763"/>
      <c r="H46" s="763">
        <v>1.28501786229E7</v>
      </c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>
        <v>3451.0</v>
      </c>
      <c r="B47" s="765">
        <v>43306.0</v>
      </c>
      <c r="C47" s="764" t="s">
        <v>580</v>
      </c>
      <c r="D47" s="764" t="s">
        <v>560</v>
      </c>
      <c r="E47" s="764" t="s">
        <v>552</v>
      </c>
      <c r="F47" s="763"/>
      <c r="G47" s="763">
        <v>4246602.5947</v>
      </c>
      <c r="H47" s="763">
        <v>1.70967812176E7</v>
      </c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>
        <v>3778.0</v>
      </c>
      <c r="B48" s="765">
        <v>43336.0</v>
      </c>
      <c r="C48" s="764" t="s">
        <v>580</v>
      </c>
      <c r="D48" s="764" t="s">
        <v>561</v>
      </c>
      <c r="E48" s="764" t="s">
        <v>552</v>
      </c>
      <c r="F48" s="763"/>
      <c r="G48" s="763">
        <v>2.608403898839E7</v>
      </c>
      <c r="H48" s="763">
        <v>4.318082020599E7</v>
      </c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>
        <v>3864.0</v>
      </c>
      <c r="B49" s="765">
        <v>43342.0</v>
      </c>
      <c r="C49" s="764" t="s">
        <v>580</v>
      </c>
      <c r="D49" s="764" t="s">
        <v>581</v>
      </c>
      <c r="E49" s="764" t="s">
        <v>582</v>
      </c>
      <c r="F49" s="763">
        <v>1.8E7</v>
      </c>
      <c r="G49" s="763"/>
      <c r="H49" s="763">
        <v>2.518082020599E7</v>
      </c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>
        <v>4050.0</v>
      </c>
      <c r="B50" s="765">
        <v>43368.0</v>
      </c>
      <c r="C50" s="764" t="s">
        <v>580</v>
      </c>
      <c r="D50" s="764" t="s">
        <v>562</v>
      </c>
      <c r="E50" s="764" t="s">
        <v>552</v>
      </c>
      <c r="F50" s="763"/>
      <c r="G50" s="763">
        <v>4533792.7178</v>
      </c>
      <c r="H50" s="763">
        <v>2.971461292379E7</v>
      </c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>
        <v>4325.0</v>
      </c>
      <c r="B51" s="765">
        <v>43399.0</v>
      </c>
      <c r="C51" s="764" t="s">
        <v>580</v>
      </c>
      <c r="D51" s="764" t="s">
        <v>563</v>
      </c>
      <c r="E51" s="764" t="s">
        <v>552</v>
      </c>
      <c r="F51" s="763"/>
      <c r="G51" s="763">
        <v>8198175.96709</v>
      </c>
      <c r="H51" s="763">
        <v>3.791278889088E7</v>
      </c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>
        <v>4545.0</v>
      </c>
      <c r="B52" s="765">
        <v>43421.0</v>
      </c>
      <c r="C52" s="764" t="s">
        <v>580</v>
      </c>
      <c r="D52" s="764" t="s">
        <v>581</v>
      </c>
      <c r="E52" s="764" t="s">
        <v>582</v>
      </c>
      <c r="F52" s="763">
        <v>3.0E7</v>
      </c>
      <c r="G52" s="763"/>
      <c r="H52" s="763">
        <v>7912788.89088</v>
      </c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>
        <v>4511.0</v>
      </c>
      <c r="B53" s="765">
        <v>43427.0</v>
      </c>
      <c r="C53" s="764" t="s">
        <v>580</v>
      </c>
      <c r="D53" s="764" t="s">
        <v>564</v>
      </c>
      <c r="E53" s="764" t="s">
        <v>552</v>
      </c>
      <c r="F53" s="763"/>
      <c r="G53" s="763">
        <v>4505647.25204</v>
      </c>
      <c r="H53" s="763">
        <v>1.241843614292E7</v>
      </c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>
        <v>4833.0</v>
      </c>
      <c r="B54" s="765">
        <v>43460.0</v>
      </c>
      <c r="C54" s="764" t="s">
        <v>580</v>
      </c>
      <c r="D54" s="764" t="s">
        <v>565</v>
      </c>
      <c r="E54" s="764" t="s">
        <v>552</v>
      </c>
      <c r="F54" s="763"/>
      <c r="G54" s="763">
        <v>5786542.67133</v>
      </c>
      <c r="H54" s="763">
        <v>1.820497881425E7</v>
      </c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>
        <v>4880.0</v>
      </c>
      <c r="B55" s="765">
        <v>43460.0</v>
      </c>
      <c r="C55" s="764" t="s">
        <v>580</v>
      </c>
      <c r="D55" s="764" t="s">
        <v>583</v>
      </c>
      <c r="E55" s="764" t="s">
        <v>584</v>
      </c>
      <c r="F55" s="763"/>
      <c r="G55" s="763">
        <v>73325.33</v>
      </c>
      <c r="H55" s="763">
        <v>1.827830414425E7</v>
      </c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2">
        <v>6.046966667E7</v>
      </c>
      <c r="G56" s="767">
        <v>7.87479708215E7</v>
      </c>
      <c r="H56" s="762">
        <v>1.827830414425E7</v>
      </c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3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3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3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3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3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3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3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3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3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3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3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3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3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3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3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3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3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3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3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3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3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3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3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3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3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3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3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3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3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3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3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3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3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3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3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3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3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3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3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3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3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3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3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3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3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3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3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3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3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3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3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3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3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3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3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3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3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3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3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3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3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3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3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3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3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3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3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3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3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3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3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3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3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3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3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3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3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3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3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3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3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3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3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3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3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3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3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3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3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3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3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3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3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3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3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3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3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3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3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3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3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3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3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3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3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3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3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3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3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3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3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3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3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3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3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3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3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3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3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3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3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3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3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3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3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3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3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3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3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3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3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3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3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3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3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3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3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3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3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3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3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3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3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3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3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3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3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3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3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3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3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3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3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3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3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3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3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3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3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3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3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3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3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3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3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3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3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3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3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3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3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3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3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3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3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3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3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3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3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3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3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3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3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3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3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3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3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3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3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3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3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3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3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3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3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3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3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3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3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3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3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3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3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3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3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3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3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3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3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3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3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3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3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3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3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3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3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3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3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3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3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3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3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3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3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3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3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3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3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3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3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3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3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3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3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3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3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3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3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3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3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3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3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3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3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3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3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3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3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3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3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3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3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3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3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3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3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3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3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3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3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3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3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3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3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3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3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3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3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3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3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3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3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3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3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3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3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3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3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3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3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3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3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3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3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3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3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3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3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3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3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3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3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3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3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3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3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3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3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3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3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3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3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3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3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3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3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3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3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3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3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3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3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3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3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3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3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3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3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3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3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3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3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3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3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3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3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3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3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3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3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3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3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3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3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3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3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3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3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3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3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3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3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3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3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3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3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3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3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3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3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3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3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3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3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3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3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3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3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3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3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3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3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3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3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3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3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3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3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3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3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3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3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3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3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3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3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3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3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3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3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3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3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3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3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3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3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3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3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3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3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3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3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3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3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3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3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3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3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3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3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3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3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3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3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3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3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3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3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3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3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3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3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3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3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3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3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3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3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3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3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3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3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3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3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3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3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3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3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3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3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3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3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3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3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3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3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3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3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3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3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3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3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3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3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3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3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3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3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3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3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3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3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3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3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3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3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3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3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3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3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3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3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3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3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3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3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3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3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3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3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3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3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3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3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3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3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3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3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3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3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3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3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3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3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3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3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3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3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3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3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3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3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3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3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3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3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3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3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3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3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3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3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3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3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3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3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3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3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3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3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3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3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3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3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3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3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3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3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3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3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3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3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3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3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3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3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3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3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3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3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3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3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3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3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3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3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3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3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3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3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3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3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3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3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3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3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3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3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3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3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3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3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3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3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3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3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3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3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3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3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3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3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3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3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3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3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3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3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3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3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3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3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3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3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3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3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3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3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3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3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3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3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3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3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3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3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3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3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3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3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3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3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3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3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3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3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3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3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3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3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3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3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3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3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3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3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3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3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3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3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3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3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3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3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3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3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3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3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3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3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3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3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3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3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3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3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3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3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3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3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3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3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3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3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3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3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3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3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3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3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3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3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3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3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3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3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3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3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3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3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3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3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3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3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3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3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3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3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3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3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3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3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3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3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3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3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3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3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3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3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3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3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3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3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3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3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3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3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3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3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3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3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3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3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3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3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3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3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3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3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3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3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3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3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3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3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3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3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3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3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3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3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3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3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3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3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3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3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3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3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3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3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3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3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3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3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3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3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3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3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3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3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3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3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3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3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3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3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3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3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3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3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3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3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3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3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3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3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3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3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3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3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3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3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3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3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3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3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3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3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3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3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3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3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3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3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3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3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3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3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3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3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3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3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3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3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3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3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3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3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3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3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3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3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3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3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3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3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3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3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3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3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3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3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3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3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3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3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3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3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3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3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3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3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3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3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3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3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3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3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3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3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3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3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3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3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3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3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3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3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3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3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3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3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3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3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3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3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3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3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3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3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3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3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3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3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3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3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3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3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3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3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3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3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3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3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3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3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3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3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3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3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3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3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3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3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3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3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3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3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3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3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3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3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3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3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3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3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3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3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3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3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3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3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3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3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3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3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3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3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3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3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3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3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3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3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3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3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3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3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3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3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3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3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3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3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3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3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3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3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3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3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3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3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3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3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3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3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3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3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3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3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3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3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3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3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3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3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3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3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3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3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3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3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3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3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3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3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3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3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3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3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3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3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3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3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3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3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3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3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3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3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3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3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3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3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3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3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3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3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3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86"/>
    <col customWidth="1" min="2" max="2" width="13.14"/>
    <col customWidth="1" min="3" max="3" width="15.14"/>
    <col customWidth="1" min="4" max="4" width="73.71"/>
    <col customWidth="1" min="5" max="5" width="30.57"/>
    <col customWidth="1" min="6" max="7" width="12.57"/>
    <col customWidth="1" min="8" max="8" width="13.14"/>
    <col customWidth="1" min="9" max="9" width="11.71"/>
    <col customWidth="1" min="10" max="10" width="12.57"/>
    <col customWidth="1" min="11" max="26" width="11.43"/>
  </cols>
  <sheetData>
    <row r="1" ht="9.75" customHeight="1">
      <c r="A1" s="761" t="s">
        <v>944</v>
      </c>
      <c r="B1" s="761"/>
      <c r="C1" s="76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2.95470308E8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2599.0</v>
      </c>
      <c r="B4" s="765">
        <v>43110.0</v>
      </c>
      <c r="C4" s="764" t="s">
        <v>945</v>
      </c>
      <c r="D4" s="764" t="s">
        <v>946</v>
      </c>
      <c r="E4" s="764" t="s">
        <v>947</v>
      </c>
      <c r="F4" s="763">
        <v>1.64681E7</v>
      </c>
      <c r="G4" s="763"/>
      <c r="H4" s="763">
        <v>3.11938408E8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2600.0</v>
      </c>
      <c r="B5" s="765">
        <v>43118.0</v>
      </c>
      <c r="C5" s="764" t="s">
        <v>945</v>
      </c>
      <c r="D5" s="764" t="s">
        <v>948</v>
      </c>
      <c r="E5" s="764" t="s">
        <v>947</v>
      </c>
      <c r="F5" s="763">
        <v>2052750.0</v>
      </c>
      <c r="G5" s="763"/>
      <c r="H5" s="763">
        <v>3.13991158E8</v>
      </c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2601.0</v>
      </c>
      <c r="B6" s="765">
        <v>43122.0</v>
      </c>
      <c r="C6" s="764" t="s">
        <v>945</v>
      </c>
      <c r="D6" s="764" t="s">
        <v>949</v>
      </c>
      <c r="E6" s="764" t="s">
        <v>947</v>
      </c>
      <c r="F6" s="763">
        <v>9363670.0</v>
      </c>
      <c r="G6" s="763"/>
      <c r="H6" s="763">
        <v>3.23354828E8</v>
      </c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2607.0</v>
      </c>
      <c r="B7" s="765">
        <v>43145.0</v>
      </c>
      <c r="C7" s="764" t="s">
        <v>945</v>
      </c>
      <c r="D7" s="764" t="s">
        <v>950</v>
      </c>
      <c r="E7" s="764" t="s">
        <v>947</v>
      </c>
      <c r="F7" s="763">
        <v>910000.0</v>
      </c>
      <c r="G7" s="763"/>
      <c r="H7" s="763">
        <v>3.24264828E8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2608.0</v>
      </c>
      <c r="B8" s="765">
        <v>43145.0</v>
      </c>
      <c r="C8" s="764" t="s">
        <v>945</v>
      </c>
      <c r="D8" s="764" t="s">
        <v>951</v>
      </c>
      <c r="E8" s="764" t="s">
        <v>947</v>
      </c>
      <c r="F8" s="763">
        <v>551980.0</v>
      </c>
      <c r="G8" s="763"/>
      <c r="H8" s="763">
        <v>3.24816808E8</v>
      </c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2610.0</v>
      </c>
      <c r="B9" s="765">
        <v>43151.0</v>
      </c>
      <c r="C9" s="764" t="s">
        <v>945</v>
      </c>
      <c r="D9" s="764" t="s">
        <v>952</v>
      </c>
      <c r="E9" s="764" t="s">
        <v>947</v>
      </c>
      <c r="F9" s="763">
        <v>4358700.0</v>
      </c>
      <c r="G9" s="763"/>
      <c r="H9" s="763">
        <v>3.29175508E8</v>
      </c>
      <c r="I9" s="764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2612.0</v>
      </c>
      <c r="B10" s="765">
        <v>43153.0</v>
      </c>
      <c r="C10" s="764" t="s">
        <v>945</v>
      </c>
      <c r="D10" s="764" t="s">
        <v>953</v>
      </c>
      <c r="E10" s="764" t="s">
        <v>947</v>
      </c>
      <c r="F10" s="763">
        <v>1680000.0</v>
      </c>
      <c r="G10" s="763"/>
      <c r="H10" s="763">
        <v>3.30855508E8</v>
      </c>
      <c r="I10" s="763">
        <f>SUM(F4:F10)+F22</f>
        <v>47180040</v>
      </c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2750.0</v>
      </c>
      <c r="B11" s="765">
        <v>43190.0</v>
      </c>
      <c r="C11" s="764" t="s">
        <v>945</v>
      </c>
      <c r="D11" s="764" t="s">
        <v>954</v>
      </c>
      <c r="E11" s="764" t="s">
        <v>552</v>
      </c>
      <c r="F11" s="763"/>
      <c r="G11" s="763">
        <v>2.037806E7</v>
      </c>
      <c r="H11" s="763">
        <v>3.10477448E8</v>
      </c>
      <c r="I11" s="764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3195.0</v>
      </c>
      <c r="B12" s="765">
        <v>43210.0</v>
      </c>
      <c r="C12" s="764" t="s">
        <v>945</v>
      </c>
      <c r="D12" s="764" t="s">
        <v>955</v>
      </c>
      <c r="E12" s="764" t="s">
        <v>552</v>
      </c>
      <c r="F12" s="763"/>
      <c r="G12" s="763">
        <v>3.5651449E7</v>
      </c>
      <c r="H12" s="763">
        <v>2.74825999E8</v>
      </c>
      <c r="I12" s="764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3197.0</v>
      </c>
      <c r="B13" s="765">
        <v>43213.0</v>
      </c>
      <c r="C13" s="764" t="s">
        <v>945</v>
      </c>
      <c r="D13" s="764" t="s">
        <v>956</v>
      </c>
      <c r="E13" s="764" t="s">
        <v>552</v>
      </c>
      <c r="F13" s="763"/>
      <c r="G13" s="763">
        <v>1.6191066E7</v>
      </c>
      <c r="H13" s="763">
        <v>2.58634933E8</v>
      </c>
      <c r="I13" s="764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3200.0</v>
      </c>
      <c r="B14" s="765">
        <v>43214.0</v>
      </c>
      <c r="C14" s="764" t="s">
        <v>945</v>
      </c>
      <c r="D14" s="764" t="s">
        <v>957</v>
      </c>
      <c r="E14" s="764" t="s">
        <v>552</v>
      </c>
      <c r="F14" s="763"/>
      <c r="G14" s="763">
        <v>2.0984811E7</v>
      </c>
      <c r="H14" s="763">
        <v>2.37650122E8</v>
      </c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3201.0</v>
      </c>
      <c r="B15" s="765">
        <v>43215.0</v>
      </c>
      <c r="C15" s="764" t="s">
        <v>945</v>
      </c>
      <c r="D15" s="764" t="s">
        <v>958</v>
      </c>
      <c r="E15" s="764" t="s">
        <v>552</v>
      </c>
      <c r="F15" s="763"/>
      <c r="G15" s="763">
        <v>2.2557091E7</v>
      </c>
      <c r="H15" s="763">
        <v>2.15093031E8</v>
      </c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3203.0</v>
      </c>
      <c r="B16" s="765">
        <v>43216.0</v>
      </c>
      <c r="C16" s="764" t="s">
        <v>945</v>
      </c>
      <c r="D16" s="764" t="s">
        <v>959</v>
      </c>
      <c r="E16" s="764" t="s">
        <v>552</v>
      </c>
      <c r="F16" s="763"/>
      <c r="G16" s="763">
        <v>8.2384054E7</v>
      </c>
      <c r="H16" s="763">
        <v>1.32708977E8</v>
      </c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3204.0</v>
      </c>
      <c r="B17" s="765">
        <v>43217.0</v>
      </c>
      <c r="C17" s="764" t="s">
        <v>945</v>
      </c>
      <c r="D17" s="764" t="s">
        <v>960</v>
      </c>
      <c r="E17" s="764" t="s">
        <v>552</v>
      </c>
      <c r="F17" s="763"/>
      <c r="G17" s="763">
        <v>8.8221998E7</v>
      </c>
      <c r="H17" s="763">
        <v>4.4486979E7</v>
      </c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3207.0</v>
      </c>
      <c r="B18" s="765">
        <v>43220.0</v>
      </c>
      <c r="C18" s="764" t="s">
        <v>945</v>
      </c>
      <c r="D18" s="764" t="s">
        <v>961</v>
      </c>
      <c r="E18" s="764" t="s">
        <v>552</v>
      </c>
      <c r="F18" s="763"/>
      <c r="G18" s="763">
        <v>1.109141E7</v>
      </c>
      <c r="H18" s="763">
        <v>3.3395569E7</v>
      </c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3215.0</v>
      </c>
      <c r="B19" s="765">
        <v>43220.0</v>
      </c>
      <c r="C19" s="764" t="s">
        <v>945</v>
      </c>
      <c r="D19" s="764" t="s">
        <v>962</v>
      </c>
      <c r="E19" s="764" t="s">
        <v>552</v>
      </c>
      <c r="F19" s="763"/>
      <c r="G19" s="763">
        <v>175869.0</v>
      </c>
      <c r="H19" s="763">
        <v>3.32197E7</v>
      </c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3216.0</v>
      </c>
      <c r="B20" s="765">
        <v>43251.0</v>
      </c>
      <c r="C20" s="764" t="s">
        <v>945</v>
      </c>
      <c r="D20" s="764" t="s">
        <v>963</v>
      </c>
      <c r="E20" s="764" t="s">
        <v>552</v>
      </c>
      <c r="F20" s="763"/>
      <c r="G20" s="763">
        <v>3908200.0</v>
      </c>
      <c r="H20" s="763">
        <v>2.93115E7</v>
      </c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3402.0</v>
      </c>
      <c r="B21" s="765">
        <v>43281.0</v>
      </c>
      <c r="C21" s="764" t="s">
        <v>945</v>
      </c>
      <c r="D21" s="764" t="s">
        <v>964</v>
      </c>
      <c r="E21" s="764" t="s">
        <v>552</v>
      </c>
      <c r="F21" s="763"/>
      <c r="G21" s="763">
        <v>195410.0</v>
      </c>
      <c r="H21" s="763">
        <v>2.911609E7</v>
      </c>
      <c r="I21" s="764"/>
      <c r="J21" s="763">
        <f>SUM(G12:G18)</f>
        <v>277081879</v>
      </c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3654.0</v>
      </c>
      <c r="B22" s="765">
        <v>43299.0</v>
      </c>
      <c r="C22" s="764" t="s">
        <v>945</v>
      </c>
      <c r="D22" s="764" t="s">
        <v>965</v>
      </c>
      <c r="E22" s="764" t="s">
        <v>947</v>
      </c>
      <c r="F22" s="763">
        <v>1.179484E7</v>
      </c>
      <c r="G22" s="763"/>
      <c r="H22" s="763">
        <v>4.091093E7</v>
      </c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3662.0</v>
      </c>
      <c r="B23" s="765">
        <v>43312.0</v>
      </c>
      <c r="C23" s="764" t="s">
        <v>945</v>
      </c>
      <c r="D23" s="764" t="s">
        <v>966</v>
      </c>
      <c r="E23" s="764" t="s">
        <v>552</v>
      </c>
      <c r="F23" s="763">
        <v>1482678.0</v>
      </c>
      <c r="G23" s="763"/>
      <c r="H23" s="763">
        <v>4.2393608E7</v>
      </c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3881.0</v>
      </c>
      <c r="B24" s="765">
        <v>43343.0</v>
      </c>
      <c r="C24" s="764" t="s">
        <v>945</v>
      </c>
      <c r="D24" s="764" t="s">
        <v>967</v>
      </c>
      <c r="E24" s="764" t="s">
        <v>552</v>
      </c>
      <c r="F24" s="763"/>
      <c r="G24" s="763">
        <v>2031818.0</v>
      </c>
      <c r="H24" s="763">
        <v>4.036179E7</v>
      </c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4235.0</v>
      </c>
      <c r="B25" s="765">
        <v>43373.0</v>
      </c>
      <c r="C25" s="764" t="s">
        <v>945</v>
      </c>
      <c r="D25" s="764" t="s">
        <v>968</v>
      </c>
      <c r="E25" s="764" t="s">
        <v>552</v>
      </c>
      <c r="F25" s="763"/>
      <c r="G25" s="763">
        <v>1.67E8</v>
      </c>
      <c r="H25" s="763">
        <v>-1.2663821E8</v>
      </c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4235.0</v>
      </c>
      <c r="B26" s="765">
        <v>43373.0</v>
      </c>
      <c r="C26" s="764" t="s">
        <v>945</v>
      </c>
      <c r="D26" s="764" t="s">
        <v>969</v>
      </c>
      <c r="E26" s="764" t="s">
        <v>552</v>
      </c>
      <c r="F26" s="763"/>
      <c r="G26" s="763">
        <v>1.88E7</v>
      </c>
      <c r="H26" s="763">
        <v>-1.4543821E8</v>
      </c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4235.0</v>
      </c>
      <c r="B27" s="765">
        <v>43373.0</v>
      </c>
      <c r="C27" s="764" t="s">
        <v>945</v>
      </c>
      <c r="D27" s="764" t="s">
        <v>970</v>
      </c>
      <c r="E27" s="764" t="s">
        <v>552</v>
      </c>
      <c r="F27" s="763"/>
      <c r="G27" s="763">
        <v>2.566179E7</v>
      </c>
      <c r="H27" s="763">
        <v>-1.711E8</v>
      </c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4235.0</v>
      </c>
      <c r="B28" s="765">
        <v>43373.0</v>
      </c>
      <c r="C28" s="764" t="s">
        <v>945</v>
      </c>
      <c r="D28" s="764" t="s">
        <v>971</v>
      </c>
      <c r="E28" s="764" t="s">
        <v>552</v>
      </c>
      <c r="F28" s="763">
        <v>1.858E8</v>
      </c>
      <c r="G28" s="763"/>
      <c r="H28" s="763">
        <v>1.47E7</v>
      </c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4237.0</v>
      </c>
      <c r="B29" s="765">
        <v>43373.0</v>
      </c>
      <c r="C29" s="764" t="s">
        <v>945</v>
      </c>
      <c r="D29" s="764" t="s">
        <v>972</v>
      </c>
      <c r="E29" s="764" t="s">
        <v>552</v>
      </c>
      <c r="F29" s="763">
        <v>2000000.0</v>
      </c>
      <c r="G29" s="763"/>
      <c r="H29" s="763">
        <v>1.67E7</v>
      </c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4498.0</v>
      </c>
      <c r="B30" s="765">
        <v>43404.0</v>
      </c>
      <c r="C30" s="764" t="s">
        <v>945</v>
      </c>
      <c r="D30" s="764" t="s">
        <v>973</v>
      </c>
      <c r="E30" s="764" t="s">
        <v>552</v>
      </c>
      <c r="F30" s="763"/>
      <c r="G30" s="763">
        <v>590000.0</v>
      </c>
      <c r="H30" s="763">
        <v>1.611E7</v>
      </c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4915.0</v>
      </c>
      <c r="B31" s="765">
        <v>43434.0</v>
      </c>
      <c r="C31" s="764" t="s">
        <v>945</v>
      </c>
      <c r="D31" s="764" t="s">
        <v>974</v>
      </c>
      <c r="E31" s="764" t="s">
        <v>552</v>
      </c>
      <c r="F31" s="763">
        <v>1720000.0</v>
      </c>
      <c r="G31" s="763"/>
      <c r="H31" s="763">
        <v>1.783E7</v>
      </c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4952.0</v>
      </c>
      <c r="B32" s="765">
        <v>43465.0</v>
      </c>
      <c r="C32" s="764" t="s">
        <v>945</v>
      </c>
      <c r="D32" s="764" t="s">
        <v>975</v>
      </c>
      <c r="E32" s="764" t="s">
        <v>552</v>
      </c>
      <c r="F32" s="763">
        <v>5580000.0</v>
      </c>
      <c r="G32" s="763"/>
      <c r="H32" s="763">
        <v>2.341E7</v>
      </c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/>
      <c r="F33" s="762">
        <v>2.43762718E8</v>
      </c>
      <c r="G33" s="762">
        <v>5.15823026E8</v>
      </c>
      <c r="H33" s="762">
        <v>2.341E7</v>
      </c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/>
      <c r="B36" s="764"/>
      <c r="C36" s="764"/>
      <c r="D36" s="764"/>
      <c r="E36" s="764"/>
      <c r="F36" s="763"/>
      <c r="G36" s="763"/>
      <c r="H36" s="763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/>
      <c r="B37" s="764"/>
      <c r="C37" s="764"/>
      <c r="D37" s="764"/>
      <c r="E37" s="764"/>
      <c r="F37" s="763"/>
      <c r="G37" s="763"/>
      <c r="H37" s="763"/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3"/>
      <c r="H38" s="763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/>
      <c r="B39" s="764"/>
      <c r="C39" s="764"/>
      <c r="D39" s="764"/>
      <c r="E39" s="764"/>
      <c r="F39" s="763"/>
      <c r="G39" s="763"/>
      <c r="H39" s="763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/>
      <c r="B40" s="764"/>
      <c r="C40" s="764"/>
      <c r="D40" s="764"/>
      <c r="E40" s="764"/>
      <c r="F40" s="763"/>
      <c r="G40" s="763"/>
      <c r="H40" s="763"/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/>
      <c r="B41" s="764"/>
      <c r="C41" s="764"/>
      <c r="D41" s="764"/>
      <c r="E41" s="764"/>
      <c r="F41" s="763"/>
      <c r="G41" s="763"/>
      <c r="H41" s="763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/>
      <c r="B42" s="764"/>
      <c r="C42" s="764"/>
      <c r="D42" s="764"/>
      <c r="E42" s="764"/>
      <c r="F42" s="763"/>
      <c r="G42" s="763"/>
      <c r="H42" s="763"/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3"/>
      <c r="G43" s="763"/>
      <c r="H43" s="763"/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4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3.14"/>
    <col customWidth="1" min="3" max="3" width="19.0"/>
    <col customWidth="1" min="4" max="4" width="86.43"/>
    <col customWidth="1" min="5" max="5" width="30.57"/>
    <col customWidth="1" min="6" max="7" width="14.0"/>
    <col customWidth="1" min="8" max="8" width="14.86"/>
    <col customWidth="1" min="9" max="9" width="12.57"/>
    <col customWidth="1" min="10" max="26" width="11.43"/>
  </cols>
  <sheetData>
    <row r="1" ht="9.75" customHeight="1">
      <c r="A1" s="768" t="s">
        <v>976</v>
      </c>
      <c r="B1" s="178"/>
      <c r="C1" s="178"/>
      <c r="D1" s="521"/>
      <c r="E1" s="761"/>
      <c r="F1" s="762"/>
      <c r="G1" s="762" t="s">
        <v>540</v>
      </c>
      <c r="H1" s="762"/>
      <c r="I1" s="763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3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1.60468095375E10</v>
      </c>
      <c r="I3" s="763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2593.0</v>
      </c>
      <c r="B4" s="765">
        <v>43131.0</v>
      </c>
      <c r="C4" s="764" t="s">
        <v>977</v>
      </c>
      <c r="D4" s="764" t="s">
        <v>978</v>
      </c>
      <c r="E4" s="764" t="s">
        <v>552</v>
      </c>
      <c r="F4" s="763">
        <v>2.54599686234E9</v>
      </c>
      <c r="G4" s="763"/>
      <c r="H4" s="763">
        <v>1.859280639984E10</v>
      </c>
      <c r="I4" s="763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2489.0</v>
      </c>
      <c r="B5" s="765">
        <v>43143.0</v>
      </c>
      <c r="C5" s="764" t="s">
        <v>977</v>
      </c>
      <c r="D5" s="764" t="s">
        <v>979</v>
      </c>
      <c r="E5" s="764" t="s">
        <v>552</v>
      </c>
      <c r="F5" s="763"/>
      <c r="G5" s="763">
        <v>4.5227560064E8</v>
      </c>
      <c r="H5" s="763">
        <v>1.81405307992E10</v>
      </c>
      <c r="I5" s="763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2596.0</v>
      </c>
      <c r="B6" s="765">
        <v>43144.0</v>
      </c>
      <c r="C6" s="764" t="s">
        <v>977</v>
      </c>
      <c r="D6" s="764" t="s">
        <v>980</v>
      </c>
      <c r="E6" s="764" t="s">
        <v>552</v>
      </c>
      <c r="F6" s="763"/>
      <c r="G6" s="763">
        <v>1030657.6</v>
      </c>
      <c r="H6" s="763">
        <v>1.81395001416E10</v>
      </c>
      <c r="I6" s="763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2452.0</v>
      </c>
      <c r="B7" s="765">
        <v>43146.0</v>
      </c>
      <c r="C7" s="764" t="s">
        <v>977</v>
      </c>
      <c r="D7" s="764" t="s">
        <v>981</v>
      </c>
      <c r="E7" s="764" t="s">
        <v>552</v>
      </c>
      <c r="F7" s="763"/>
      <c r="G7" s="763">
        <v>7.44378048E7</v>
      </c>
      <c r="H7" s="763">
        <v>1.80650623368E10</v>
      </c>
      <c r="I7" s="763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2615.0</v>
      </c>
      <c r="B8" s="765">
        <v>43159.0</v>
      </c>
      <c r="C8" s="764" t="s">
        <v>977</v>
      </c>
      <c r="D8" s="764" t="s">
        <v>982</v>
      </c>
      <c r="E8" s="764" t="s">
        <v>552</v>
      </c>
      <c r="F8" s="763"/>
      <c r="G8" s="763">
        <v>2.55133448805E9</v>
      </c>
      <c r="H8" s="763">
        <v>1.551372784875E10</v>
      </c>
      <c r="I8" s="763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2739.0</v>
      </c>
      <c r="B9" s="765">
        <v>43190.0</v>
      </c>
      <c r="C9" s="764" t="s">
        <v>977</v>
      </c>
      <c r="D9" s="764" t="s">
        <v>983</v>
      </c>
      <c r="E9" s="764" t="s">
        <v>552</v>
      </c>
      <c r="F9" s="763">
        <v>8.877887733E8</v>
      </c>
      <c r="G9" s="763"/>
      <c r="H9" s="763">
        <v>1.640151662205E10</v>
      </c>
      <c r="I9" s="763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3210.0</v>
      </c>
      <c r="B10" s="765">
        <v>43213.0</v>
      </c>
      <c r="C10" s="764" t="s">
        <v>977</v>
      </c>
      <c r="D10" s="764" t="s">
        <v>984</v>
      </c>
      <c r="E10" s="764" t="s">
        <v>552</v>
      </c>
      <c r="F10" s="763"/>
      <c r="G10" s="763">
        <v>8694901.6</v>
      </c>
      <c r="H10" s="763">
        <v>1.639282172045E10</v>
      </c>
      <c r="I10" s="763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3211.0</v>
      </c>
      <c r="B11" s="765">
        <v>43214.0</v>
      </c>
      <c r="C11" s="764" t="s">
        <v>977</v>
      </c>
      <c r="D11" s="764" t="s">
        <v>985</v>
      </c>
      <c r="E11" s="764" t="s">
        <v>552</v>
      </c>
      <c r="F11" s="763"/>
      <c r="G11" s="763">
        <v>4382904.61</v>
      </c>
      <c r="H11" s="763">
        <v>1.638843881584E10</v>
      </c>
      <c r="I11" s="763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3212.0</v>
      </c>
      <c r="B12" s="765">
        <v>43216.0</v>
      </c>
      <c r="C12" s="764" t="s">
        <v>977</v>
      </c>
      <c r="D12" s="764" t="s">
        <v>986</v>
      </c>
      <c r="E12" s="764" t="s">
        <v>552</v>
      </c>
      <c r="F12" s="763"/>
      <c r="G12" s="763">
        <v>1222865.84</v>
      </c>
      <c r="H12" s="763">
        <v>1.638721595E10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3213.0</v>
      </c>
      <c r="B13" s="765">
        <v>43217.0</v>
      </c>
      <c r="C13" s="764" t="s">
        <v>977</v>
      </c>
      <c r="D13" s="764" t="s">
        <v>987</v>
      </c>
      <c r="E13" s="764" t="s">
        <v>947</v>
      </c>
      <c r="F13" s="763">
        <v>2545000.0</v>
      </c>
      <c r="G13" s="763"/>
      <c r="H13" s="763">
        <v>1.638976095E10</v>
      </c>
      <c r="I13" s="763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3116.0</v>
      </c>
      <c r="B14" s="765">
        <v>43220.0</v>
      </c>
      <c r="C14" s="764" t="s">
        <v>977</v>
      </c>
      <c r="D14" s="764" t="s">
        <v>988</v>
      </c>
      <c r="E14" s="764" t="s">
        <v>552</v>
      </c>
      <c r="F14" s="763">
        <v>4.7354005E8</v>
      </c>
      <c r="G14" s="763"/>
      <c r="H14" s="763">
        <v>1.6863301E10</v>
      </c>
      <c r="I14" s="763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3217.0</v>
      </c>
      <c r="B15" s="765">
        <v>43251.0</v>
      </c>
      <c r="C15" s="764" t="s">
        <v>977</v>
      </c>
      <c r="D15" s="764" t="s">
        <v>989</v>
      </c>
      <c r="E15" s="764" t="s">
        <v>552</v>
      </c>
      <c r="F15" s="763"/>
      <c r="G15" s="763">
        <v>7.89586E8</v>
      </c>
      <c r="H15" s="763">
        <v>1.6073715E10</v>
      </c>
      <c r="I15" s="763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3400.0</v>
      </c>
      <c r="B16" s="765">
        <v>43281.0</v>
      </c>
      <c r="C16" s="764" t="s">
        <v>977</v>
      </c>
      <c r="D16" s="764" t="s">
        <v>990</v>
      </c>
      <c r="E16" s="764" t="s">
        <v>552</v>
      </c>
      <c r="F16" s="763">
        <v>2.3292787E8</v>
      </c>
      <c r="G16" s="763"/>
      <c r="H16" s="763">
        <v>1.630664287E10</v>
      </c>
      <c r="I16" s="763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3655.0</v>
      </c>
      <c r="B17" s="765">
        <v>43300.0</v>
      </c>
      <c r="C17" s="764" t="s">
        <v>977</v>
      </c>
      <c r="D17" s="764" t="s">
        <v>991</v>
      </c>
      <c r="E17" s="764" t="s">
        <v>947</v>
      </c>
      <c r="F17" s="763">
        <v>2.183004E8</v>
      </c>
      <c r="G17" s="763"/>
      <c r="H17" s="763">
        <v>1.652494327E10</v>
      </c>
      <c r="I17" s="763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3656.0</v>
      </c>
      <c r="B18" s="765">
        <v>43301.0</v>
      </c>
      <c r="C18" s="764" t="s">
        <v>977</v>
      </c>
      <c r="D18" s="764" t="s">
        <v>992</v>
      </c>
      <c r="E18" s="764" t="s">
        <v>947</v>
      </c>
      <c r="F18" s="763">
        <v>5.7942E7</v>
      </c>
      <c r="G18" s="763"/>
      <c r="H18" s="763">
        <v>1.658288527E10</v>
      </c>
      <c r="I18" s="763">
        <f>+F13+F17+F18</f>
        <v>278787400</v>
      </c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3672.0</v>
      </c>
      <c r="B19" s="765">
        <v>43312.0</v>
      </c>
      <c r="C19" s="764" t="s">
        <v>977</v>
      </c>
      <c r="D19" s="764" t="s">
        <v>993</v>
      </c>
      <c r="E19" s="764" t="s">
        <v>552</v>
      </c>
      <c r="F19" s="763"/>
      <c r="G19" s="763">
        <v>2.07982716374E9</v>
      </c>
      <c r="H19" s="763">
        <v>1.450305810626E10</v>
      </c>
      <c r="I19" s="763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3673.0</v>
      </c>
      <c r="B20" s="765">
        <v>43312.0</v>
      </c>
      <c r="C20" s="764" t="s">
        <v>977</v>
      </c>
      <c r="D20" s="764" t="s">
        <v>994</v>
      </c>
      <c r="E20" s="764" t="s">
        <v>552</v>
      </c>
      <c r="F20" s="763">
        <v>1.3810938154E8</v>
      </c>
      <c r="G20" s="763"/>
      <c r="H20" s="763">
        <v>1.46411674878E10</v>
      </c>
      <c r="I20" s="763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3880.0</v>
      </c>
      <c r="B21" s="765">
        <v>43343.0</v>
      </c>
      <c r="C21" s="764" t="s">
        <v>977</v>
      </c>
      <c r="D21" s="764" t="s">
        <v>995</v>
      </c>
      <c r="E21" s="764" t="s">
        <v>552</v>
      </c>
      <c r="F21" s="763">
        <v>1.554903022E8</v>
      </c>
      <c r="G21" s="763"/>
      <c r="H21" s="763">
        <v>1.479665779E10</v>
      </c>
      <c r="I21" s="763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4235.0</v>
      </c>
      <c r="B22" s="765">
        <v>43373.0</v>
      </c>
      <c r="C22" s="764" t="s">
        <v>977</v>
      </c>
      <c r="D22" s="764" t="s">
        <v>996</v>
      </c>
      <c r="E22" s="764" t="s">
        <v>552</v>
      </c>
      <c r="F22" s="763"/>
      <c r="G22" s="763">
        <v>7.08E8</v>
      </c>
      <c r="H22" s="763">
        <v>1.408865779E10</v>
      </c>
      <c r="I22" s="763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4238.0</v>
      </c>
      <c r="B23" s="765">
        <v>43373.0</v>
      </c>
      <c r="C23" s="764" t="s">
        <v>977</v>
      </c>
      <c r="D23" s="764" t="s">
        <v>997</v>
      </c>
      <c r="E23" s="764" t="s">
        <v>552</v>
      </c>
      <c r="F23" s="763"/>
      <c r="G23" s="763">
        <v>1.16720947928E9</v>
      </c>
      <c r="H23" s="763">
        <v>1.292144831072E10</v>
      </c>
      <c r="I23" s="763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4499.0</v>
      </c>
      <c r="B24" s="765">
        <v>43404.0</v>
      </c>
      <c r="C24" s="764" t="s">
        <v>977</v>
      </c>
      <c r="D24" s="764" t="s">
        <v>998</v>
      </c>
      <c r="E24" s="764" t="s">
        <v>552</v>
      </c>
      <c r="F24" s="763"/>
      <c r="G24" s="763">
        <v>2.698336153E7</v>
      </c>
      <c r="H24" s="763">
        <v>1.289446494919E10</v>
      </c>
      <c r="I24" s="763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4916.0</v>
      </c>
      <c r="B25" s="765">
        <v>43434.0</v>
      </c>
      <c r="C25" s="764" t="s">
        <v>977</v>
      </c>
      <c r="D25" s="764" t="s">
        <v>999</v>
      </c>
      <c r="E25" s="764" t="s">
        <v>552</v>
      </c>
      <c r="F25" s="763">
        <v>1.07479743581E9</v>
      </c>
      <c r="G25" s="763"/>
      <c r="H25" s="763">
        <v>1.3969262385E10</v>
      </c>
      <c r="I25" s="763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4953.0</v>
      </c>
      <c r="B26" s="765">
        <v>43465.0</v>
      </c>
      <c r="C26" s="764" t="s">
        <v>977</v>
      </c>
      <c r="D26" s="764" t="s">
        <v>1000</v>
      </c>
      <c r="E26" s="764" t="s">
        <v>552</v>
      </c>
      <c r="F26" s="763">
        <v>2.36474539143E9</v>
      </c>
      <c r="G26" s="763"/>
      <c r="H26" s="763">
        <v>1.633400777643E10</v>
      </c>
      <c r="I26" s="763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/>
      <c r="B27" s="764"/>
      <c r="C27" s="764"/>
      <c r="D27" s="764"/>
      <c r="E27" s="764"/>
      <c r="F27" s="762">
        <v>8.15218346662E9</v>
      </c>
      <c r="G27" s="762">
        <v>7.86498522769E9</v>
      </c>
      <c r="H27" s="762">
        <v>1.633400777643E10</v>
      </c>
      <c r="I27" s="763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/>
      <c r="B28" s="764"/>
      <c r="C28" s="764"/>
      <c r="D28" s="764"/>
      <c r="E28" s="764"/>
      <c r="F28" s="763"/>
      <c r="G28" s="763"/>
      <c r="H28" s="763"/>
      <c r="I28" s="763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/>
      <c r="B29" s="764"/>
      <c r="C29" s="764"/>
      <c r="D29" s="764"/>
      <c r="E29" s="764"/>
      <c r="F29" s="763"/>
      <c r="G29" s="763"/>
      <c r="H29" s="763"/>
      <c r="I29" s="763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/>
      <c r="B30" s="764"/>
      <c r="C30" s="764"/>
      <c r="D30" s="764"/>
      <c r="E30" s="764"/>
      <c r="F30" s="763"/>
      <c r="G30" s="763"/>
      <c r="H30" s="763"/>
      <c r="I30" s="763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/>
      <c r="B31" s="764"/>
      <c r="C31" s="764"/>
      <c r="D31" s="764"/>
      <c r="E31" s="764"/>
      <c r="F31" s="763"/>
      <c r="G31" s="763"/>
      <c r="H31" s="763"/>
      <c r="I31" s="763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/>
      <c r="B32" s="764"/>
      <c r="C32" s="764"/>
      <c r="D32" s="764"/>
      <c r="E32" s="764"/>
      <c r="F32" s="763"/>
      <c r="G32" s="763"/>
      <c r="H32" s="763"/>
      <c r="I32" s="763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/>
      <c r="F33" s="763"/>
      <c r="G33" s="763"/>
      <c r="H33" s="763"/>
      <c r="I33" s="763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3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3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/>
      <c r="B36" s="764"/>
      <c r="C36" s="764"/>
      <c r="D36" s="764"/>
      <c r="E36" s="764"/>
      <c r="F36" s="763"/>
      <c r="G36" s="763"/>
      <c r="H36" s="763"/>
      <c r="I36" s="763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/>
      <c r="B37" s="764"/>
      <c r="C37" s="764"/>
      <c r="D37" s="764"/>
      <c r="E37" s="764"/>
      <c r="F37" s="763"/>
      <c r="G37" s="763"/>
      <c r="H37" s="763"/>
      <c r="I37" s="763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3"/>
      <c r="H38" s="763"/>
      <c r="I38" s="763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/>
      <c r="B39" s="764"/>
      <c r="C39" s="764"/>
      <c r="D39" s="764"/>
      <c r="E39" s="764"/>
      <c r="F39" s="763"/>
      <c r="G39" s="763"/>
      <c r="H39" s="763"/>
      <c r="I39" s="763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/>
      <c r="B40" s="764"/>
      <c r="C40" s="764"/>
      <c r="D40" s="764"/>
      <c r="E40" s="764"/>
      <c r="F40" s="763"/>
      <c r="G40" s="763"/>
      <c r="H40" s="763"/>
      <c r="I40" s="763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/>
      <c r="B41" s="764"/>
      <c r="C41" s="764"/>
      <c r="D41" s="764"/>
      <c r="E41" s="764"/>
      <c r="F41" s="763"/>
      <c r="G41" s="763"/>
      <c r="H41" s="763"/>
      <c r="I41" s="763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/>
      <c r="B42" s="764"/>
      <c r="C42" s="764"/>
      <c r="D42" s="764"/>
      <c r="E42" s="764"/>
      <c r="F42" s="763"/>
      <c r="G42" s="763"/>
      <c r="H42" s="763"/>
      <c r="I42" s="763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3"/>
      <c r="G43" s="763"/>
      <c r="H43" s="763"/>
      <c r="I43" s="763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3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3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3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3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3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3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3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3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3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3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3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3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3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3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3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3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3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3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3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3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3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3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3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3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3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3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3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3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3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3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3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3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3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3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3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3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3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3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3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3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3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3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3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3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3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3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3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3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3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3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3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3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3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3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3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3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3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3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3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3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3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3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3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3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3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3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3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3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3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3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3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3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3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3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3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3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3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3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3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3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3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3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3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3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3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3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3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3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3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3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3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3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3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3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3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3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3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3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3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3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3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3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3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3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3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3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3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3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3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3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3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3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3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3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3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3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3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3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3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3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3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3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3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3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3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3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3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3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3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3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3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3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3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3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3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3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3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3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3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3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3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3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3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3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3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3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3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3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3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3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3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3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3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3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3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3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3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3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3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3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3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3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3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3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3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3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3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3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3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3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3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3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3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3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3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3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3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3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3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3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3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3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3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3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3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3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3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3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3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3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3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3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3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3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3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3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3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3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3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3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3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3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3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3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3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3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3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3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3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3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3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3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3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3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3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3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3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3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3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3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3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3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3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3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3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3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3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3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3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3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3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3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3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3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3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3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3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3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3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3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3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3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3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3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3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3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3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3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3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3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3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3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3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3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3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3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3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3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3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3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3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3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3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3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3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3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3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3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3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3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3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3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3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3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3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3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3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3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3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3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3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3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3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3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3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3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3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3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3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3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3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3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3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3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3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3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3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3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3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3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3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3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3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3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3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3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3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3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3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3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3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3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3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3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3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3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3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3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3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3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3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3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3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3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3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3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3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3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3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3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3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3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3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3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3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3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3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3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3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3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3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3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3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3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3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3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3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3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3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3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3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3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3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3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3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3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3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3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3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3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3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3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3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3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3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3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3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3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3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3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3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3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3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3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3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3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3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3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3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3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3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3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3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3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3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3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3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3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3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3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3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3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3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3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3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3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3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3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3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3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3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3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3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3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3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3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3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3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3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3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3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3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3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3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3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3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3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3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3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3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3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3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3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3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3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3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3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3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3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3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3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3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3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3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3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3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3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3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3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3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3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3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3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3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3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3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3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3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3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3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3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3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3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3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3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3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3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3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3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3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3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3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3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3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3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3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3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3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3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3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3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3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3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3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3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3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3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3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3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3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3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3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3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3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3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3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3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3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3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3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3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3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3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3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3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3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3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3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3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3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3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3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3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3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3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3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3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3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3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3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3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3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3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3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3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3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3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3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3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3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3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3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3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3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3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3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3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3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3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3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3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3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3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3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3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3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3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3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3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3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3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3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3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3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3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3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3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3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3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3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3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3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3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3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3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3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3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3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3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3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3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3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3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3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3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3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3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3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3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3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3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3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3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3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3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3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3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3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3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3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3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3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3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3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3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3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3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3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3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3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3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3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3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3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3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3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3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3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3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3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3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3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3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3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3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3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3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3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3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3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3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3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3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3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3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3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3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3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3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3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3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3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3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3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3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3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3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3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3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3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3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3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3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3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3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3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3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3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3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3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3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3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3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3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3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3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3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3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3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3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3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3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3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3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3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3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3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3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3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3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3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3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3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3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3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3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3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3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3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3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3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3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3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3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3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3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3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3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3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3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3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3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3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3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3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3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3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3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3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3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3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3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3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3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3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3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3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3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3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3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3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3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3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3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3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3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3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3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3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3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3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3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3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3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3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3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3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3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3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3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3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3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3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3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3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3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3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3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3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3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3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3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3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3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3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3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3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3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3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3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3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3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3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3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3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3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3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3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3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3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3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3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3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3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3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3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3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3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3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3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3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3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3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3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3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3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3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3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3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3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3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3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3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3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3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3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3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3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3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3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3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3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3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3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3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3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3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3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3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3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3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3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3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3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3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3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3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3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3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3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3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3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3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3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3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3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3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3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3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3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3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3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3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3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3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3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3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3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3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3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3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3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3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3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3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3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3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3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3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3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3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3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3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3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3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3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3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3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3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3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3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3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3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3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3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3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3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3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3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3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3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3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3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3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3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3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3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3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3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3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3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3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3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3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3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3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3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3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3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3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3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3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3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3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3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3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3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3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3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3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3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3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3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3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3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3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3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3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3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3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3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3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3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3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3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3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3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3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3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3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3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3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3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3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3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3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3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3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3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3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3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3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3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3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3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3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3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3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3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3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3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3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3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3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3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3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3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3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3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3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3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3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3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3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3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3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3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3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3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3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3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3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3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3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3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3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3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3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3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3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3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3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3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3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3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3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3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mergeCells count="1">
    <mergeCell ref="A1:D1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86"/>
    <col customWidth="1" min="2" max="2" width="13.14"/>
    <col customWidth="1" min="3" max="3" width="17.57"/>
    <col customWidth="1" min="4" max="4" width="31.57"/>
    <col customWidth="1" min="5" max="5" width="30.57"/>
    <col customWidth="1" min="6" max="6" width="14.0"/>
    <col customWidth="1" min="7" max="7" width="11.71"/>
    <col customWidth="1" min="8" max="8" width="14.86"/>
    <col customWidth="1" min="9" max="26" width="20.14"/>
  </cols>
  <sheetData>
    <row r="1" ht="9.75" customHeight="1">
      <c r="A1" s="761" t="s">
        <v>1001</v>
      </c>
      <c r="B1" s="761"/>
      <c r="C1" s="76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9.52768179913E9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3997.0</v>
      </c>
      <c r="B4" s="765">
        <v>43361.0</v>
      </c>
      <c r="C4" s="764" t="s">
        <v>1002</v>
      </c>
      <c r="D4" s="764" t="s">
        <v>1003</v>
      </c>
      <c r="E4" s="764" t="s">
        <v>570</v>
      </c>
      <c r="F4" s="763">
        <v>3.0E7</v>
      </c>
      <c r="G4" s="763"/>
      <c r="H4" s="763">
        <v>9.55768179913E9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4056.0</v>
      </c>
      <c r="B5" s="765">
        <v>43367.0</v>
      </c>
      <c r="C5" s="764" t="s">
        <v>1002</v>
      </c>
      <c r="D5" s="764" t="s">
        <v>1004</v>
      </c>
      <c r="E5" s="764" t="s">
        <v>570</v>
      </c>
      <c r="F5" s="763">
        <v>4.0476E7</v>
      </c>
      <c r="G5" s="763"/>
      <c r="H5" s="763">
        <v>9.59815779913E9</v>
      </c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4120.0</v>
      </c>
      <c r="B6" s="765">
        <v>43371.0</v>
      </c>
      <c r="C6" s="764" t="s">
        <v>1002</v>
      </c>
      <c r="D6" s="764" t="s">
        <v>1005</v>
      </c>
      <c r="E6" s="764" t="s">
        <v>552</v>
      </c>
      <c r="F6" s="763"/>
      <c r="G6" s="763">
        <v>1.737817684E7</v>
      </c>
      <c r="H6" s="763">
        <v>9.58077962229E9</v>
      </c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4120.0</v>
      </c>
      <c r="B7" s="765">
        <v>43371.0</v>
      </c>
      <c r="C7" s="764" t="s">
        <v>1002</v>
      </c>
      <c r="D7" s="764" t="s">
        <v>1005</v>
      </c>
      <c r="E7" s="764" t="s">
        <v>552</v>
      </c>
      <c r="F7" s="763"/>
      <c r="G7" s="763">
        <v>358623.16</v>
      </c>
      <c r="H7" s="763">
        <v>9.58042099913E9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4120.0</v>
      </c>
      <c r="B8" s="765">
        <v>43371.0</v>
      </c>
      <c r="C8" s="764" t="s">
        <v>1002</v>
      </c>
      <c r="D8" s="764" t="s">
        <v>1005</v>
      </c>
      <c r="E8" s="764" t="s">
        <v>552</v>
      </c>
      <c r="F8" s="763"/>
      <c r="G8" s="763">
        <v>500.0</v>
      </c>
      <c r="H8" s="763">
        <v>9.58042049913E9</v>
      </c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4226.0</v>
      </c>
      <c r="B9" s="765">
        <v>43373.0</v>
      </c>
      <c r="C9" s="764" t="s">
        <v>1002</v>
      </c>
      <c r="D9" s="764" t="s">
        <v>1006</v>
      </c>
      <c r="E9" s="764" t="s">
        <v>552</v>
      </c>
      <c r="F9" s="763">
        <v>2.14779320087E9</v>
      </c>
      <c r="G9" s="763"/>
      <c r="H9" s="763">
        <v>1.17282137E10</v>
      </c>
      <c r="I9" s="764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4510.0</v>
      </c>
      <c r="B10" s="765">
        <v>43376.0</v>
      </c>
      <c r="C10" s="764" t="s">
        <v>1002</v>
      </c>
      <c r="D10" s="764" t="s">
        <v>1007</v>
      </c>
      <c r="E10" s="764" t="s">
        <v>947</v>
      </c>
      <c r="F10" s="763">
        <v>2.805317593E7</v>
      </c>
      <c r="G10" s="763"/>
      <c r="H10" s="763">
        <v>1.175626687593E10</v>
      </c>
      <c r="I10" s="763">
        <f>+F4+F5+F10-G6</f>
        <v>81150999.09</v>
      </c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4913.0</v>
      </c>
      <c r="B11" s="765">
        <v>43404.0</v>
      </c>
      <c r="C11" s="764" t="s">
        <v>1002</v>
      </c>
      <c r="D11" s="764" t="s">
        <v>1008</v>
      </c>
      <c r="E11" s="764" t="s">
        <v>552</v>
      </c>
      <c r="F11" s="763">
        <v>5.215008641E7</v>
      </c>
      <c r="G11" s="763"/>
      <c r="H11" s="763">
        <v>1.180841696234E10</v>
      </c>
      <c r="I11" s="763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4914.0</v>
      </c>
      <c r="B12" s="765">
        <v>43434.0</v>
      </c>
      <c r="C12" s="764" t="s">
        <v>1002</v>
      </c>
      <c r="D12" s="764" t="s">
        <v>1009</v>
      </c>
      <c r="E12" s="764" t="s">
        <v>552</v>
      </c>
      <c r="F12" s="763">
        <v>1.19741273336E9</v>
      </c>
      <c r="G12" s="763"/>
      <c r="H12" s="763">
        <v>1.30058296957E10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4951.0</v>
      </c>
      <c r="B13" s="765">
        <v>43465.0</v>
      </c>
      <c r="C13" s="764" t="s">
        <v>1002</v>
      </c>
      <c r="D13" s="764" t="s">
        <v>1010</v>
      </c>
      <c r="E13" s="764" t="s">
        <v>552</v>
      </c>
      <c r="F13" s="763"/>
      <c r="G13" s="763">
        <v>7.80702357E7</v>
      </c>
      <c r="H13" s="763">
        <v>1.292775946E10</v>
      </c>
      <c r="I13" s="763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/>
      <c r="B14" s="764"/>
      <c r="C14" s="764"/>
      <c r="D14" s="764"/>
      <c r="E14" s="764"/>
      <c r="F14" s="762">
        <v>3.49588519657E9</v>
      </c>
      <c r="G14" s="762">
        <v>9.58075357E7</v>
      </c>
      <c r="H14" s="762">
        <v>1.292775946E10</v>
      </c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/>
      <c r="B15" s="764"/>
      <c r="C15" s="764"/>
      <c r="D15" s="764"/>
      <c r="E15" s="764"/>
      <c r="F15" s="763"/>
      <c r="G15" s="763"/>
      <c r="H15" s="763"/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/>
      <c r="B16" s="764"/>
      <c r="C16" s="764"/>
      <c r="D16" s="764"/>
      <c r="E16" s="764"/>
      <c r="F16" s="763"/>
      <c r="G16" s="763"/>
      <c r="H16" s="763"/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/>
      <c r="B17" s="764"/>
      <c r="C17" s="764"/>
      <c r="D17" s="764"/>
      <c r="E17" s="764"/>
      <c r="F17" s="763"/>
      <c r="G17" s="763"/>
      <c r="H17" s="763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/>
      <c r="B18" s="764"/>
      <c r="C18" s="764"/>
      <c r="D18" s="764"/>
      <c r="E18" s="764"/>
      <c r="F18" s="763"/>
      <c r="G18" s="763"/>
      <c r="H18" s="763"/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/>
      <c r="B19" s="764"/>
      <c r="C19" s="764"/>
      <c r="D19" s="764"/>
      <c r="E19" s="764"/>
      <c r="F19" s="763"/>
      <c r="G19" s="763"/>
      <c r="H19" s="763"/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/>
      <c r="B20" s="764"/>
      <c r="C20" s="764"/>
      <c r="D20" s="764"/>
      <c r="E20" s="764"/>
      <c r="F20" s="763"/>
      <c r="G20" s="763"/>
      <c r="H20" s="763"/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/>
      <c r="B21" s="764"/>
      <c r="C21" s="764"/>
      <c r="D21" s="764"/>
      <c r="E21" s="764"/>
      <c r="F21" s="763"/>
      <c r="G21" s="763"/>
      <c r="H21" s="763"/>
      <c r="I21" s="764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/>
      <c r="B22" s="764"/>
      <c r="C22" s="764"/>
      <c r="D22" s="764"/>
      <c r="E22" s="764"/>
      <c r="F22" s="763"/>
      <c r="G22" s="763"/>
      <c r="H22" s="763"/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/>
      <c r="B23" s="764"/>
      <c r="C23" s="764"/>
      <c r="D23" s="764"/>
      <c r="E23" s="764"/>
      <c r="F23" s="763"/>
      <c r="G23" s="763"/>
      <c r="H23" s="763"/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/>
      <c r="B24" s="764"/>
      <c r="C24" s="764"/>
      <c r="D24" s="764"/>
      <c r="E24" s="764"/>
      <c r="F24" s="763"/>
      <c r="G24" s="763"/>
      <c r="H24" s="763"/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/>
      <c r="B25" s="764"/>
      <c r="C25" s="764"/>
      <c r="D25" s="764"/>
      <c r="E25" s="764"/>
      <c r="F25" s="763"/>
      <c r="G25" s="763"/>
      <c r="H25" s="763"/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/>
      <c r="B26" s="764"/>
      <c r="C26" s="764"/>
      <c r="D26" s="764"/>
      <c r="E26" s="764"/>
      <c r="F26" s="763"/>
      <c r="G26" s="763"/>
      <c r="H26" s="763"/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/>
      <c r="B27" s="764"/>
      <c r="C27" s="764"/>
      <c r="D27" s="764"/>
      <c r="E27" s="764"/>
      <c r="F27" s="763"/>
      <c r="G27" s="763"/>
      <c r="H27" s="763"/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/>
      <c r="B28" s="764"/>
      <c r="C28" s="764"/>
      <c r="D28" s="764"/>
      <c r="E28" s="764"/>
      <c r="F28" s="763"/>
      <c r="G28" s="763"/>
      <c r="H28" s="763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/>
      <c r="B29" s="764"/>
      <c r="C29" s="764"/>
      <c r="D29" s="764"/>
      <c r="E29" s="764"/>
      <c r="F29" s="763"/>
      <c r="G29" s="763"/>
      <c r="H29" s="763"/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/>
      <c r="B30" s="764"/>
      <c r="C30" s="764"/>
      <c r="D30" s="764"/>
      <c r="E30" s="764"/>
      <c r="F30" s="763"/>
      <c r="G30" s="763"/>
      <c r="H30" s="763"/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/>
      <c r="B31" s="764"/>
      <c r="C31" s="764"/>
      <c r="D31" s="764"/>
      <c r="E31" s="764"/>
      <c r="F31" s="763"/>
      <c r="G31" s="763"/>
      <c r="H31" s="763"/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/>
      <c r="B32" s="764"/>
      <c r="C32" s="764"/>
      <c r="D32" s="764"/>
      <c r="E32" s="764"/>
      <c r="F32" s="763"/>
      <c r="G32" s="763"/>
      <c r="H32" s="763"/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/>
      <c r="F33" s="763"/>
      <c r="G33" s="763"/>
      <c r="H33" s="763"/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/>
      <c r="B36" s="764"/>
      <c r="C36" s="764"/>
      <c r="D36" s="764"/>
      <c r="E36" s="764"/>
      <c r="F36" s="763"/>
      <c r="G36" s="763"/>
      <c r="H36" s="763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/>
      <c r="B37" s="764"/>
      <c r="C37" s="764"/>
      <c r="D37" s="764"/>
      <c r="E37" s="764"/>
      <c r="F37" s="763"/>
      <c r="G37" s="763"/>
      <c r="H37" s="763"/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3"/>
      <c r="H38" s="763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/>
      <c r="B39" s="764"/>
      <c r="C39" s="764"/>
      <c r="D39" s="764"/>
      <c r="E39" s="764"/>
      <c r="F39" s="763"/>
      <c r="G39" s="763"/>
      <c r="H39" s="763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/>
      <c r="B40" s="764"/>
      <c r="C40" s="764"/>
      <c r="D40" s="764"/>
      <c r="E40" s="764"/>
      <c r="F40" s="763"/>
      <c r="G40" s="763"/>
      <c r="H40" s="763"/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/>
      <c r="B41" s="764"/>
      <c r="C41" s="764"/>
      <c r="D41" s="764"/>
      <c r="E41" s="764"/>
      <c r="F41" s="763"/>
      <c r="G41" s="763"/>
      <c r="H41" s="763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/>
      <c r="B42" s="764"/>
      <c r="C42" s="764"/>
      <c r="D42" s="764"/>
      <c r="E42" s="764"/>
      <c r="F42" s="763"/>
      <c r="G42" s="763"/>
      <c r="H42" s="763"/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3"/>
      <c r="G43" s="763"/>
      <c r="H43" s="763"/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4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13.14"/>
    <col customWidth="1" min="3" max="3" width="22.14"/>
    <col customWidth="1" min="4" max="4" width="34.43"/>
    <col customWidth="1" min="5" max="5" width="32.14"/>
    <col customWidth="1" min="6" max="6" width="5.14"/>
    <col customWidth="1" min="7" max="7" width="12.29"/>
    <col customWidth="1" min="8" max="9" width="12.57"/>
    <col customWidth="1" min="10" max="26" width="20.14"/>
  </cols>
  <sheetData>
    <row r="1" ht="9.75" customHeight="1">
      <c r="A1" s="761" t="s">
        <v>1011</v>
      </c>
      <c r="B1" s="761"/>
      <c r="C1" s="761"/>
      <c r="D1" s="761"/>
      <c r="E1" s="761"/>
      <c r="F1" s="762"/>
      <c r="G1" s="762" t="s">
        <v>540</v>
      </c>
      <c r="H1" s="762"/>
      <c r="I1" s="763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3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0.0</v>
      </c>
      <c r="I3" s="763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2321.0</v>
      </c>
      <c r="B4" s="765">
        <v>43131.0</v>
      </c>
      <c r="C4" s="764" t="s">
        <v>1012</v>
      </c>
      <c r="D4" s="764" t="s">
        <v>1013</v>
      </c>
      <c r="E4" s="764" t="s">
        <v>552</v>
      </c>
      <c r="F4" s="763"/>
      <c r="G4" s="763">
        <v>2000000.0</v>
      </c>
      <c r="H4" s="763">
        <v>2000000.0</v>
      </c>
      <c r="I4" s="763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2482.0</v>
      </c>
      <c r="B5" s="765">
        <v>43159.0</v>
      </c>
      <c r="C5" s="764" t="s">
        <v>1014</v>
      </c>
      <c r="D5" s="764" t="s">
        <v>1015</v>
      </c>
      <c r="E5" s="764" t="s">
        <v>552</v>
      </c>
      <c r="F5" s="763"/>
      <c r="G5" s="763">
        <v>7200000.0</v>
      </c>
      <c r="H5" s="763">
        <v>9200000.0</v>
      </c>
      <c r="I5" s="763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2482.0</v>
      </c>
      <c r="B6" s="765">
        <v>43159.0</v>
      </c>
      <c r="C6" s="764" t="s">
        <v>1012</v>
      </c>
      <c r="D6" s="764" t="s">
        <v>1016</v>
      </c>
      <c r="E6" s="764" t="s">
        <v>552</v>
      </c>
      <c r="F6" s="763"/>
      <c r="G6" s="763">
        <v>2000000.0</v>
      </c>
      <c r="H6" s="763">
        <v>1.12E7</v>
      </c>
      <c r="I6" s="763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2482.0</v>
      </c>
      <c r="B7" s="765">
        <v>43159.0</v>
      </c>
      <c r="C7" s="764" t="s">
        <v>1017</v>
      </c>
      <c r="D7" s="764" t="s">
        <v>1016</v>
      </c>
      <c r="E7" s="764" t="s">
        <v>552</v>
      </c>
      <c r="F7" s="763"/>
      <c r="G7" s="763">
        <v>3000000.0</v>
      </c>
      <c r="H7" s="763">
        <v>1.42E7</v>
      </c>
      <c r="I7" s="763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2617.0</v>
      </c>
      <c r="B8" s="765">
        <v>43190.0</v>
      </c>
      <c r="C8" s="764" t="s">
        <v>1014</v>
      </c>
      <c r="D8" s="764" t="s">
        <v>1018</v>
      </c>
      <c r="E8" s="764" t="s">
        <v>552</v>
      </c>
      <c r="F8" s="763"/>
      <c r="G8" s="763">
        <v>3600000.0</v>
      </c>
      <c r="H8" s="763">
        <v>1.78E7</v>
      </c>
      <c r="I8" s="763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2617.0</v>
      </c>
      <c r="B9" s="765">
        <v>43190.0</v>
      </c>
      <c r="C9" s="764" t="s">
        <v>1012</v>
      </c>
      <c r="D9" s="764" t="s">
        <v>1018</v>
      </c>
      <c r="E9" s="764" t="s">
        <v>552</v>
      </c>
      <c r="F9" s="763"/>
      <c r="G9" s="763">
        <v>2000000.0</v>
      </c>
      <c r="H9" s="763">
        <v>1.98E7</v>
      </c>
      <c r="I9" s="763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2733.0</v>
      </c>
      <c r="B10" s="765">
        <v>43190.0</v>
      </c>
      <c r="C10" s="764" t="s">
        <v>1019</v>
      </c>
      <c r="D10" s="764" t="s">
        <v>1020</v>
      </c>
      <c r="E10" s="764" t="s">
        <v>1021</v>
      </c>
      <c r="F10" s="763"/>
      <c r="G10" s="763">
        <v>5329818.18</v>
      </c>
      <c r="H10" s="763">
        <v>2.512981818E7</v>
      </c>
      <c r="I10" s="763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2787.0</v>
      </c>
      <c r="B11" s="765">
        <v>43195.0</v>
      </c>
      <c r="C11" s="764" t="s">
        <v>1017</v>
      </c>
      <c r="D11" s="764" t="s">
        <v>1022</v>
      </c>
      <c r="E11" s="764" t="s">
        <v>570</v>
      </c>
      <c r="F11" s="763"/>
      <c r="G11" s="763">
        <v>1500000.0</v>
      </c>
      <c r="H11" s="763">
        <v>2.662981818E7</v>
      </c>
      <c r="I11" s="763">
        <f>+G11</f>
        <v>1500000</v>
      </c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2832.0</v>
      </c>
      <c r="B12" s="765">
        <v>43220.0</v>
      </c>
      <c r="C12" s="764" t="s">
        <v>1012</v>
      </c>
      <c r="D12" s="764" t="s">
        <v>1023</v>
      </c>
      <c r="E12" s="764" t="s">
        <v>552</v>
      </c>
      <c r="F12" s="763"/>
      <c r="G12" s="763">
        <v>2000000.0</v>
      </c>
      <c r="H12" s="763">
        <v>2.862981818E7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2832.0</v>
      </c>
      <c r="B13" s="765">
        <v>43220.0</v>
      </c>
      <c r="C13" s="764" t="s">
        <v>1014</v>
      </c>
      <c r="D13" s="764" t="s">
        <v>1023</v>
      </c>
      <c r="E13" s="764" t="s">
        <v>552</v>
      </c>
      <c r="F13" s="763"/>
      <c r="G13" s="763">
        <v>3600000.0</v>
      </c>
      <c r="H13" s="763">
        <v>3.222981818E7</v>
      </c>
      <c r="I13" s="763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3034.0</v>
      </c>
      <c r="B14" s="765">
        <v>43237.0</v>
      </c>
      <c r="C14" s="764" t="s">
        <v>1017</v>
      </c>
      <c r="D14" s="764" t="s">
        <v>1024</v>
      </c>
      <c r="E14" s="764" t="s">
        <v>570</v>
      </c>
      <c r="F14" s="763"/>
      <c r="G14" s="763">
        <v>1500000.0</v>
      </c>
      <c r="H14" s="763">
        <v>3.372981818E7</v>
      </c>
      <c r="I14" s="763">
        <f>+G14</f>
        <v>1500000</v>
      </c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3114.0</v>
      </c>
      <c r="B15" s="765">
        <v>43251.0</v>
      </c>
      <c r="C15" s="764" t="s">
        <v>1012</v>
      </c>
      <c r="D15" s="764" t="s">
        <v>1025</v>
      </c>
      <c r="E15" s="764" t="s">
        <v>552</v>
      </c>
      <c r="F15" s="763"/>
      <c r="G15" s="763">
        <v>2000000.0</v>
      </c>
      <c r="H15" s="763">
        <v>3.572981818E7</v>
      </c>
      <c r="I15" s="763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3114.0</v>
      </c>
      <c r="B16" s="765">
        <v>43251.0</v>
      </c>
      <c r="C16" s="764" t="s">
        <v>1014</v>
      </c>
      <c r="D16" s="764" t="s">
        <v>1025</v>
      </c>
      <c r="E16" s="764" t="s">
        <v>552</v>
      </c>
      <c r="F16" s="763"/>
      <c r="G16" s="763">
        <v>3600000.0</v>
      </c>
      <c r="H16" s="763">
        <v>3.932981818E7</v>
      </c>
      <c r="I16" s="763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3352.0</v>
      </c>
      <c r="B17" s="765">
        <v>43281.0</v>
      </c>
      <c r="C17" s="764" t="s">
        <v>1014</v>
      </c>
      <c r="D17" s="764" t="s">
        <v>1026</v>
      </c>
      <c r="E17" s="764" t="s">
        <v>1027</v>
      </c>
      <c r="F17" s="763"/>
      <c r="G17" s="763">
        <v>3600000.0</v>
      </c>
      <c r="H17" s="763">
        <v>4.292981818E7</v>
      </c>
      <c r="I17" s="763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3355.0</v>
      </c>
      <c r="B18" s="765">
        <v>43281.0</v>
      </c>
      <c r="C18" s="764" t="s">
        <v>1012</v>
      </c>
      <c r="D18" s="764" t="s">
        <v>1028</v>
      </c>
      <c r="E18" s="764" t="s">
        <v>552</v>
      </c>
      <c r="F18" s="763"/>
      <c r="G18" s="763">
        <v>2000000.0</v>
      </c>
      <c r="H18" s="763">
        <v>4.492981818E7</v>
      </c>
      <c r="I18" s="763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3421.0</v>
      </c>
      <c r="B19" s="765">
        <v>43281.0</v>
      </c>
      <c r="C19" s="764" t="s">
        <v>1017</v>
      </c>
      <c r="D19" s="764" t="s">
        <v>1029</v>
      </c>
      <c r="E19" s="764" t="s">
        <v>1027</v>
      </c>
      <c r="F19" s="763"/>
      <c r="G19" s="763">
        <v>1500000.0</v>
      </c>
      <c r="H19" s="763">
        <v>4.642981818E7</v>
      </c>
      <c r="I19" s="763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3636.0</v>
      </c>
      <c r="B20" s="765">
        <v>43312.0</v>
      </c>
      <c r="C20" s="764" t="s">
        <v>1012</v>
      </c>
      <c r="D20" s="764" t="s">
        <v>1030</v>
      </c>
      <c r="E20" s="764" t="s">
        <v>552</v>
      </c>
      <c r="F20" s="763"/>
      <c r="G20" s="763">
        <v>2000000.0</v>
      </c>
      <c r="H20" s="763">
        <v>4.842981818E7</v>
      </c>
      <c r="I20" s="763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3636.0</v>
      </c>
      <c r="B21" s="765">
        <v>43312.0</v>
      </c>
      <c r="C21" s="764" t="s">
        <v>1014</v>
      </c>
      <c r="D21" s="764" t="s">
        <v>1030</v>
      </c>
      <c r="E21" s="764" t="s">
        <v>552</v>
      </c>
      <c r="F21" s="763"/>
      <c r="G21" s="763">
        <v>3600000.0</v>
      </c>
      <c r="H21" s="763">
        <v>5.202981818E7</v>
      </c>
      <c r="I21" s="763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3812.0</v>
      </c>
      <c r="B22" s="765">
        <v>43343.0</v>
      </c>
      <c r="C22" s="764" t="s">
        <v>1012</v>
      </c>
      <c r="D22" s="764" t="s">
        <v>1031</v>
      </c>
      <c r="E22" s="764" t="s">
        <v>552</v>
      </c>
      <c r="F22" s="763"/>
      <c r="G22" s="763">
        <v>3818181.82</v>
      </c>
      <c r="H22" s="763">
        <v>5.5848E7</v>
      </c>
      <c r="I22" s="763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3812.0</v>
      </c>
      <c r="B23" s="765">
        <v>43343.0</v>
      </c>
      <c r="C23" s="764" t="s">
        <v>1014</v>
      </c>
      <c r="D23" s="764" t="s">
        <v>1031</v>
      </c>
      <c r="E23" s="764" t="s">
        <v>552</v>
      </c>
      <c r="F23" s="763"/>
      <c r="G23" s="763">
        <v>3600000.0</v>
      </c>
      <c r="H23" s="763">
        <v>5.9448E7</v>
      </c>
      <c r="I23" s="763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3812.0</v>
      </c>
      <c r="B24" s="765">
        <v>43343.0</v>
      </c>
      <c r="C24" s="764" t="s">
        <v>1032</v>
      </c>
      <c r="D24" s="764" t="s">
        <v>1031</v>
      </c>
      <c r="E24" s="764" t="s">
        <v>552</v>
      </c>
      <c r="F24" s="763"/>
      <c r="G24" s="763">
        <v>1818181.8265</v>
      </c>
      <c r="H24" s="763">
        <v>6.12661818265E7</v>
      </c>
      <c r="I24" s="763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3999.0</v>
      </c>
      <c r="B25" s="765">
        <v>43362.0</v>
      </c>
      <c r="C25" s="764" t="s">
        <v>1012</v>
      </c>
      <c r="D25" s="764" t="s">
        <v>1033</v>
      </c>
      <c r="E25" s="764" t="s">
        <v>552</v>
      </c>
      <c r="F25" s="763"/>
      <c r="G25" s="763">
        <v>3818181.81</v>
      </c>
      <c r="H25" s="763">
        <v>6.50843636365E7</v>
      </c>
      <c r="I25" s="763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3999.0</v>
      </c>
      <c r="B26" s="765">
        <v>43362.0</v>
      </c>
      <c r="C26" s="764" t="s">
        <v>1014</v>
      </c>
      <c r="D26" s="764" t="s">
        <v>1033</v>
      </c>
      <c r="E26" s="764" t="s">
        <v>552</v>
      </c>
      <c r="F26" s="763"/>
      <c r="G26" s="763">
        <v>3600000.0</v>
      </c>
      <c r="H26" s="763">
        <v>6.86843636365E7</v>
      </c>
      <c r="I26" s="763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3999.0</v>
      </c>
      <c r="B27" s="765">
        <v>43362.0</v>
      </c>
      <c r="C27" s="764" t="s">
        <v>1032</v>
      </c>
      <c r="D27" s="764" t="s">
        <v>1033</v>
      </c>
      <c r="E27" s="764" t="s">
        <v>552</v>
      </c>
      <c r="F27" s="763"/>
      <c r="G27" s="763">
        <v>1818181.81</v>
      </c>
      <c r="H27" s="763">
        <v>7.05025454465E7</v>
      </c>
      <c r="I27" s="763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4031.0</v>
      </c>
      <c r="B28" s="765">
        <v>43363.0</v>
      </c>
      <c r="C28" s="764" t="s">
        <v>1017</v>
      </c>
      <c r="D28" s="764" t="s">
        <v>1034</v>
      </c>
      <c r="E28" s="764" t="s">
        <v>570</v>
      </c>
      <c r="F28" s="763"/>
      <c r="G28" s="763">
        <v>3477272.72</v>
      </c>
      <c r="H28" s="763">
        <v>7.39798181665E7</v>
      </c>
      <c r="I28" s="763">
        <f>+G28</f>
        <v>3477272.72</v>
      </c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4035.0</v>
      </c>
      <c r="B29" s="765">
        <v>43371.0</v>
      </c>
      <c r="C29" s="764" t="s">
        <v>977</v>
      </c>
      <c r="D29" s="764" t="s">
        <v>1035</v>
      </c>
      <c r="E29" s="764" t="s">
        <v>1027</v>
      </c>
      <c r="F29" s="763"/>
      <c r="G29" s="763">
        <v>1.265454546E7</v>
      </c>
      <c r="H29" s="763">
        <v>8.66343636265E7</v>
      </c>
      <c r="I29" s="763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4241.0</v>
      </c>
      <c r="B30" s="765">
        <v>43377.0</v>
      </c>
      <c r="C30" s="764" t="s">
        <v>1017</v>
      </c>
      <c r="D30" s="764" t="s">
        <v>1036</v>
      </c>
      <c r="E30" s="764" t="s">
        <v>570</v>
      </c>
      <c r="F30" s="763"/>
      <c r="G30" s="763">
        <v>1818181.81</v>
      </c>
      <c r="H30" s="763">
        <v>8.84525454365E7</v>
      </c>
      <c r="I30" s="763">
        <f t="shared" ref="I30:I31" si="1">+G30</f>
        <v>1818181.81</v>
      </c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4365.0</v>
      </c>
      <c r="B31" s="765">
        <v>43403.0</v>
      </c>
      <c r="C31" s="764" t="s">
        <v>977</v>
      </c>
      <c r="D31" s="764" t="s">
        <v>1037</v>
      </c>
      <c r="E31" s="764" t="s">
        <v>570</v>
      </c>
      <c r="F31" s="763"/>
      <c r="G31" s="763">
        <v>3163636.3637</v>
      </c>
      <c r="H31" s="763">
        <v>9.16161818002E7</v>
      </c>
      <c r="I31" s="763">
        <f t="shared" si="1"/>
        <v>3163636.364</v>
      </c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4329.0</v>
      </c>
      <c r="B32" s="765">
        <v>43404.0</v>
      </c>
      <c r="C32" s="764" t="s">
        <v>1014</v>
      </c>
      <c r="D32" s="764" t="s">
        <v>1038</v>
      </c>
      <c r="E32" s="764" t="s">
        <v>1027</v>
      </c>
      <c r="F32" s="763"/>
      <c r="G32" s="763">
        <v>3600000.0</v>
      </c>
      <c r="H32" s="763">
        <v>9.52161818002E7</v>
      </c>
      <c r="I32" s="763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>
        <v>4330.0</v>
      </c>
      <c r="B33" s="765">
        <v>43404.0</v>
      </c>
      <c r="C33" s="764" t="s">
        <v>1012</v>
      </c>
      <c r="D33" s="764" t="s">
        <v>1039</v>
      </c>
      <c r="E33" s="764" t="s">
        <v>552</v>
      </c>
      <c r="F33" s="763"/>
      <c r="G33" s="763">
        <v>3818181.81</v>
      </c>
      <c r="H33" s="763">
        <v>9.90343636102E7</v>
      </c>
      <c r="I33" s="763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>
        <v>4330.0</v>
      </c>
      <c r="B34" s="765">
        <v>43404.0</v>
      </c>
      <c r="C34" s="764" t="s">
        <v>1032</v>
      </c>
      <c r="D34" s="764" t="s">
        <v>1039</v>
      </c>
      <c r="E34" s="764" t="s">
        <v>552</v>
      </c>
      <c r="F34" s="763"/>
      <c r="G34" s="763">
        <v>1818181.8346</v>
      </c>
      <c r="H34" s="763">
        <v>1.008525454448E8</v>
      </c>
      <c r="I34" s="763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>
        <v>4416.0</v>
      </c>
      <c r="B35" s="765">
        <v>43410.0</v>
      </c>
      <c r="C35" s="764" t="s">
        <v>1017</v>
      </c>
      <c r="D35" s="764" t="s">
        <v>1040</v>
      </c>
      <c r="E35" s="764" t="s">
        <v>570</v>
      </c>
      <c r="F35" s="763"/>
      <c r="G35" s="763">
        <v>1818181.82</v>
      </c>
      <c r="H35" s="763">
        <v>1.026707272648E8</v>
      </c>
      <c r="I35" s="763">
        <f>+G35</f>
        <v>1818181.82</v>
      </c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>
        <v>4575.0</v>
      </c>
      <c r="B36" s="765">
        <v>43431.0</v>
      </c>
      <c r="C36" s="764" t="s">
        <v>1012</v>
      </c>
      <c r="D36" s="764" t="s">
        <v>1041</v>
      </c>
      <c r="E36" s="764" t="s">
        <v>552</v>
      </c>
      <c r="F36" s="763"/>
      <c r="G36" s="763">
        <v>3818181.81</v>
      </c>
      <c r="H36" s="763">
        <v>1.064889090748E8</v>
      </c>
      <c r="I36" s="763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>
        <v>4575.0</v>
      </c>
      <c r="B37" s="765">
        <v>43431.0</v>
      </c>
      <c r="C37" s="764" t="s">
        <v>1032</v>
      </c>
      <c r="D37" s="764" t="s">
        <v>1041</v>
      </c>
      <c r="E37" s="764" t="s">
        <v>552</v>
      </c>
      <c r="F37" s="763"/>
      <c r="G37" s="763">
        <v>1818181.83</v>
      </c>
      <c r="H37" s="763">
        <v>1.083070909048E8</v>
      </c>
      <c r="I37" s="763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>
        <v>4575.0</v>
      </c>
      <c r="B38" s="765">
        <v>43431.0</v>
      </c>
      <c r="C38" s="764" t="s">
        <v>1014</v>
      </c>
      <c r="D38" s="764" t="s">
        <v>1041</v>
      </c>
      <c r="E38" s="764" t="s">
        <v>552</v>
      </c>
      <c r="F38" s="763"/>
      <c r="G38" s="763">
        <v>3600000.0</v>
      </c>
      <c r="H38" s="763">
        <v>1.119070909048E8</v>
      </c>
      <c r="I38" s="763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4678.0</v>
      </c>
      <c r="B39" s="765">
        <v>43440.0</v>
      </c>
      <c r="C39" s="764" t="s">
        <v>1017</v>
      </c>
      <c r="D39" s="764" t="s">
        <v>1042</v>
      </c>
      <c r="E39" s="764" t="s">
        <v>570</v>
      </c>
      <c r="F39" s="764"/>
      <c r="G39" s="763">
        <v>1818181.82</v>
      </c>
      <c r="H39" s="763">
        <v>1.137252727248E8</v>
      </c>
      <c r="I39" s="763">
        <f>+G39</f>
        <v>1818181.82</v>
      </c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4796.0</v>
      </c>
      <c r="B40" s="765">
        <v>43453.0</v>
      </c>
      <c r="C40" s="764" t="s">
        <v>1012</v>
      </c>
      <c r="D40" s="764" t="s">
        <v>1042</v>
      </c>
      <c r="E40" s="764" t="s">
        <v>552</v>
      </c>
      <c r="F40" s="764"/>
      <c r="G40" s="763">
        <v>3818181.82</v>
      </c>
      <c r="H40" s="763">
        <v>1.175434545448E8</v>
      </c>
      <c r="I40" s="763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4796.0</v>
      </c>
      <c r="B41" s="765">
        <v>43453.0</v>
      </c>
      <c r="C41" s="764" t="s">
        <v>1014</v>
      </c>
      <c r="D41" s="764" t="s">
        <v>1042</v>
      </c>
      <c r="E41" s="764" t="s">
        <v>552</v>
      </c>
      <c r="F41" s="764"/>
      <c r="G41" s="763">
        <v>3600000.0</v>
      </c>
      <c r="H41" s="763">
        <v>1.211434545448E8</v>
      </c>
      <c r="I41" s="763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4796.0</v>
      </c>
      <c r="B42" s="765">
        <v>43453.0</v>
      </c>
      <c r="C42" s="764" t="s">
        <v>1032</v>
      </c>
      <c r="D42" s="764" t="s">
        <v>1042</v>
      </c>
      <c r="E42" s="764" t="s">
        <v>552</v>
      </c>
      <c r="F42" s="764"/>
      <c r="G42" s="763">
        <v>1818181.81</v>
      </c>
      <c r="H42" s="763">
        <v>1.229616363548E8</v>
      </c>
      <c r="I42" s="763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5"/>
      <c r="C43" s="764"/>
      <c r="D43" s="764"/>
      <c r="E43" s="764"/>
      <c r="F43" s="763"/>
      <c r="G43" s="763"/>
      <c r="H43" s="763"/>
      <c r="I43" s="763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2">
        <v>0.0</v>
      </c>
      <c r="G44" s="762">
        <f>SUM(G4:G43)</f>
        <v>122961636.4</v>
      </c>
      <c r="H44" s="762">
        <v>1.119070909048E8</v>
      </c>
      <c r="I44" s="762">
        <f>SUM(I4:I43)</f>
        <v>15095454.53</v>
      </c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3">
        <f>+I44*0.1</f>
        <v>1509545.453</v>
      </c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3">
        <f>+I44+I45</f>
        <v>16604999.99</v>
      </c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3">
        <f>+H52</f>
        <v>333737200</v>
      </c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3">
        <f>+I46+I47</f>
        <v>350342200</v>
      </c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3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3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9" t="s">
        <v>1043</v>
      </c>
      <c r="H51" s="769">
        <v>4.627502E7</v>
      </c>
      <c r="I51" s="763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9" t="s">
        <v>1044</v>
      </c>
      <c r="H52" s="769">
        <v>3.337372E8</v>
      </c>
      <c r="I52" s="763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3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3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3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3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3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3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3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3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3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3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3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3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3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3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3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3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3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3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3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3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3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3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3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3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3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3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3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3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3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3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3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3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3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3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3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3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3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3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3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3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3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3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3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3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3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3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3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3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3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3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3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3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3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3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3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3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3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3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3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3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3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3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3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3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3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3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3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3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3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3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3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3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3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3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3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3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3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3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3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3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3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3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3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3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3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3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3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3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3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3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3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3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3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3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3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3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3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3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3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3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3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3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3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3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3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3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3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3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3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3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3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3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3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3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3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3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3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3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3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3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3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3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3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3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3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3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3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3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3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3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3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3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3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3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3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3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3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3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3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3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3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3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3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3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3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3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3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3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3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3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3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3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3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3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3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3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3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3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3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3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3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3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3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3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3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3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3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3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3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3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3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3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3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3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3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3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3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3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3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3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3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3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3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3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3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3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3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3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3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3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3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3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3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3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3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3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3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3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3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3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3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3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3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3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3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3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3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3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3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3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3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3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3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3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3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3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3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3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3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3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3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3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3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3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3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3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3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3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3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3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3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3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3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3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3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3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3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3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3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3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3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3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3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3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3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3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3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3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3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3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3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3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3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3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3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3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3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3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3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3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3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3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3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3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3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3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3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3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3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3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3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3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3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3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3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3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3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3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3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3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3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3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3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3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3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3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3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3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3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3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3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3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3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3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3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3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3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3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3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3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3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3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3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3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3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3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3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3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3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3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3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3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3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3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3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3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3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3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3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3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3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3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3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3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3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3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3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3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3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3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3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3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3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3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3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3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3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3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3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3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3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3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3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3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3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3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3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3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3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3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3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3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3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3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3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3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3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3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3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3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3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3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3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3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3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3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3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3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3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3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3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3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3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3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3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3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3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3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3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3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3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3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3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3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3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3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3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3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3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3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3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3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3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3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3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3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3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3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3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3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3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3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3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3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3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3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3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3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3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3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3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3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3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3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3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3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3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3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3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3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3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3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3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3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3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3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3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3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3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3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3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3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3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3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3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3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3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3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3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3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3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3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3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3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3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3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3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3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3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3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3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3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3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3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3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3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3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3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3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3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3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3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3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3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3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3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3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3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3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3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3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3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3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3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3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3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3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3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3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3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3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3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3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3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3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3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3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3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3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3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3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3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3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3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3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3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3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3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3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3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3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3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3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3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3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3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3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3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3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3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3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3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3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3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3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3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3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3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3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3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3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3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3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3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3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3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3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3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3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3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3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3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3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3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3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3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3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3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3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3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3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3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3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3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3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3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3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3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3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3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3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3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3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3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3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3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3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3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3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3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3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3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3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3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3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3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3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3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3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3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3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3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3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3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3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3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3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3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3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3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3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3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3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3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3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3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3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3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3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3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3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3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3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3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3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3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3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3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3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3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3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3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3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3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3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3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3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3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3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3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3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3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3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3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3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3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3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3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3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3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3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3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3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3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3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3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3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3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3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3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3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3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3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3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3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3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3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3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3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3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3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3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3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3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3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3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3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3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3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3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3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3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3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3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3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3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3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3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3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3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3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3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3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3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3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3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3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3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3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3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3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3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3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3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3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3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3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3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3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3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3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3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3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3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3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3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3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3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3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3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3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3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3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3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3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3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3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3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3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3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3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3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3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3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3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3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3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3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3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3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3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3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3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3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3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3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3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3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3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3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3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3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3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3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3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3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3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3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3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3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3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3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3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3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3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3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3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3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3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3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3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3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3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3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3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3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3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3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3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3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3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3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3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3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3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3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3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3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3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3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3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3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3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3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3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3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3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3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3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3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3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3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3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3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3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3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3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3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3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3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3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3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3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3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3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3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3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3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3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3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3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3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3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3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3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3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3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3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3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3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3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3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3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3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3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3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3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3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3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3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3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3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3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3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3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3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3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3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3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3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3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3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3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3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3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3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3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3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3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3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3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3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3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3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3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3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3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3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3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3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3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3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3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3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3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3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3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3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3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3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3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3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3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3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3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3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3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3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3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3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3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3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3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3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3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3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3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3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3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3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3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3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3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3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3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3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3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3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3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3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3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3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3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3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3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3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3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3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3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3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3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3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3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3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3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3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3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3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3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3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3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3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3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3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3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3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3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3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3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3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3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3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3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3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3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3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3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3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3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3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3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3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3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3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3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3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3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3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3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3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3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3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3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3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3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3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3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3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3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3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3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3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3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3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3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3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3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3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13.14"/>
    <col customWidth="1" min="3" max="3" width="19.0"/>
    <col customWidth="1" min="4" max="4" width="34.43"/>
    <col customWidth="1" min="5" max="5" width="32.14"/>
    <col customWidth="1" min="6" max="6" width="5.29"/>
    <col customWidth="1" min="7" max="9" width="11.71"/>
    <col customWidth="1" min="10" max="26" width="11.43"/>
  </cols>
  <sheetData>
    <row r="1" ht="9.75" customHeight="1">
      <c r="A1" s="761" t="s">
        <v>1045</v>
      </c>
      <c r="B1" s="761"/>
      <c r="C1" s="761"/>
      <c r="D1" s="761"/>
      <c r="E1" s="761"/>
      <c r="F1" s="762"/>
      <c r="G1" s="762" t="s">
        <v>540</v>
      </c>
      <c r="H1" s="762"/>
      <c r="I1" s="763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3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0.0</v>
      </c>
      <c r="I3" s="763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2320.0</v>
      </c>
      <c r="B4" s="765">
        <v>43131.0</v>
      </c>
      <c r="C4" s="764" t="s">
        <v>1012</v>
      </c>
      <c r="D4" s="764" t="s">
        <v>1046</v>
      </c>
      <c r="E4" s="764" t="s">
        <v>552</v>
      </c>
      <c r="F4" s="763"/>
      <c r="G4" s="763">
        <v>2727272.7272</v>
      </c>
      <c r="H4" s="763">
        <v>2727272.7272</v>
      </c>
      <c r="I4" s="763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2483.0</v>
      </c>
      <c r="B5" s="765">
        <v>43159.0</v>
      </c>
      <c r="C5" s="764" t="s">
        <v>1012</v>
      </c>
      <c r="D5" s="764" t="s">
        <v>1047</v>
      </c>
      <c r="E5" s="764" t="s">
        <v>552</v>
      </c>
      <c r="F5" s="763"/>
      <c r="G5" s="763">
        <v>2727272.73</v>
      </c>
      <c r="H5" s="763">
        <v>5454545.4572</v>
      </c>
      <c r="I5" s="763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2618.0</v>
      </c>
      <c r="B6" s="765">
        <v>43190.0</v>
      </c>
      <c r="C6" s="764" t="s">
        <v>1012</v>
      </c>
      <c r="D6" s="764" t="s">
        <v>1048</v>
      </c>
      <c r="E6" s="764" t="s">
        <v>552</v>
      </c>
      <c r="F6" s="763"/>
      <c r="G6" s="763">
        <v>2727272.73</v>
      </c>
      <c r="H6" s="763">
        <v>8181818.1872</v>
      </c>
      <c r="I6" s="763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2831.0</v>
      </c>
      <c r="B7" s="765">
        <v>43220.0</v>
      </c>
      <c r="C7" s="764" t="s">
        <v>1012</v>
      </c>
      <c r="D7" s="764" t="s">
        <v>1049</v>
      </c>
      <c r="E7" s="764" t="s">
        <v>552</v>
      </c>
      <c r="F7" s="763"/>
      <c r="G7" s="763">
        <v>2727272.73</v>
      </c>
      <c r="H7" s="763">
        <v>1.09090909172E7</v>
      </c>
      <c r="I7" s="763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3113.0</v>
      </c>
      <c r="B8" s="765">
        <v>43251.0</v>
      </c>
      <c r="C8" s="764" t="s">
        <v>1012</v>
      </c>
      <c r="D8" s="764" t="s">
        <v>1050</v>
      </c>
      <c r="E8" s="764" t="s">
        <v>552</v>
      </c>
      <c r="F8" s="763"/>
      <c r="G8" s="763">
        <v>2727272.73</v>
      </c>
      <c r="H8" s="763">
        <v>1.36363636472E7</v>
      </c>
      <c r="I8" s="763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3354.0</v>
      </c>
      <c r="B9" s="765">
        <v>43281.0</v>
      </c>
      <c r="C9" s="764" t="s">
        <v>1012</v>
      </c>
      <c r="D9" s="764" t="s">
        <v>1051</v>
      </c>
      <c r="E9" s="764" t="s">
        <v>552</v>
      </c>
      <c r="F9" s="763"/>
      <c r="G9" s="763">
        <v>2727272.73</v>
      </c>
      <c r="H9" s="763">
        <v>1.63636363772E7</v>
      </c>
      <c r="I9" s="763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3637.0</v>
      </c>
      <c r="B10" s="765">
        <v>43312.0</v>
      </c>
      <c r="C10" s="764" t="s">
        <v>1012</v>
      </c>
      <c r="D10" s="764" t="s">
        <v>1052</v>
      </c>
      <c r="E10" s="764" t="s">
        <v>552</v>
      </c>
      <c r="F10" s="763"/>
      <c r="G10" s="763">
        <v>2727272.73</v>
      </c>
      <c r="H10" s="763">
        <v>1.90909091072E7</v>
      </c>
      <c r="I10" s="763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3811.0</v>
      </c>
      <c r="B11" s="765">
        <v>43343.0</v>
      </c>
      <c r="C11" s="764" t="s">
        <v>1012</v>
      </c>
      <c r="D11" s="764" t="s">
        <v>1053</v>
      </c>
      <c r="E11" s="764" t="s">
        <v>552</v>
      </c>
      <c r="F11" s="763"/>
      <c r="G11" s="763">
        <v>2727272.73</v>
      </c>
      <c r="H11" s="763">
        <v>2.18181818372E7</v>
      </c>
      <c r="I11" s="763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4000.0</v>
      </c>
      <c r="B12" s="765">
        <v>43362.0</v>
      </c>
      <c r="C12" s="764" t="s">
        <v>1012</v>
      </c>
      <c r="D12" s="764" t="s">
        <v>1054</v>
      </c>
      <c r="E12" s="764" t="s">
        <v>552</v>
      </c>
      <c r="F12" s="763"/>
      <c r="G12" s="763">
        <v>2727272.73</v>
      </c>
      <c r="H12" s="763">
        <v>2.45454545672E7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4035.0</v>
      </c>
      <c r="B13" s="765">
        <v>43371.0</v>
      </c>
      <c r="C13" s="764" t="s">
        <v>977</v>
      </c>
      <c r="D13" s="764" t="s">
        <v>1035</v>
      </c>
      <c r="E13" s="764" t="s">
        <v>1027</v>
      </c>
      <c r="F13" s="763"/>
      <c r="G13" s="763">
        <v>7702400.0</v>
      </c>
      <c r="H13" s="763">
        <v>3.22478545672E7</v>
      </c>
      <c r="I13" s="763">
        <f t="shared" ref="I13:I14" si="1">+G13</f>
        <v>7702400</v>
      </c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4365.0</v>
      </c>
      <c r="B14" s="765">
        <v>43403.0</v>
      </c>
      <c r="C14" s="764" t="s">
        <v>977</v>
      </c>
      <c r="D14" s="764" t="s">
        <v>1037</v>
      </c>
      <c r="E14" s="764" t="s">
        <v>570</v>
      </c>
      <c r="F14" s="763"/>
      <c r="G14" s="763">
        <v>1925600.0</v>
      </c>
      <c r="H14" s="763">
        <v>3.41734545672E7</v>
      </c>
      <c r="I14" s="763">
        <f t="shared" si="1"/>
        <v>1925600</v>
      </c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4331.0</v>
      </c>
      <c r="B15" s="765">
        <v>43404.0</v>
      </c>
      <c r="C15" s="764" t="s">
        <v>1012</v>
      </c>
      <c r="D15" s="764" t="s">
        <v>1055</v>
      </c>
      <c r="E15" s="764" t="s">
        <v>552</v>
      </c>
      <c r="F15" s="763"/>
      <c r="G15" s="763">
        <v>2727272.73</v>
      </c>
      <c r="H15" s="763">
        <v>3.69007272972E7</v>
      </c>
      <c r="I15" s="763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4574.0</v>
      </c>
      <c r="B16" s="765">
        <v>43431.0</v>
      </c>
      <c r="C16" s="764" t="s">
        <v>1012</v>
      </c>
      <c r="D16" s="764" t="s">
        <v>1056</v>
      </c>
      <c r="E16" s="764" t="s">
        <v>552</v>
      </c>
      <c r="F16" s="763"/>
      <c r="G16" s="763">
        <v>2727272.73</v>
      </c>
      <c r="H16" s="763">
        <v>3.96280000272E7</v>
      </c>
      <c r="I16" s="763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4797.0</v>
      </c>
      <c r="B17" s="765">
        <v>43453.0</v>
      </c>
      <c r="C17" s="764" t="s">
        <v>1012</v>
      </c>
      <c r="D17" s="764" t="s">
        <v>1057</v>
      </c>
      <c r="E17" s="764" t="s">
        <v>552</v>
      </c>
      <c r="F17" s="763"/>
      <c r="G17" s="763">
        <v>2727272.73</v>
      </c>
      <c r="H17" s="763">
        <v>4.23552727572E7</v>
      </c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/>
      <c r="B18" s="764"/>
      <c r="C18" s="764"/>
      <c r="D18" s="764"/>
      <c r="E18" s="764"/>
      <c r="F18" s="762">
        <v>0.0</v>
      </c>
      <c r="G18" s="762">
        <f>SUM(G4:G17)</f>
        <v>42355272.76</v>
      </c>
      <c r="H18" s="762">
        <f>+G18</f>
        <v>42355272.76</v>
      </c>
      <c r="I18" s="763">
        <f>SUM(I4:I17)</f>
        <v>9628000</v>
      </c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/>
      <c r="B19" s="764"/>
      <c r="C19" s="764"/>
      <c r="D19" s="764"/>
      <c r="E19" s="764"/>
      <c r="F19" s="763"/>
      <c r="G19" s="763"/>
      <c r="H19" s="763"/>
      <c r="I19" s="763">
        <f>+I18*0.1</f>
        <v>962800</v>
      </c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/>
      <c r="B20" s="764"/>
      <c r="C20" s="764"/>
      <c r="D20" s="764"/>
      <c r="E20" s="764"/>
      <c r="F20" s="763"/>
      <c r="G20" s="763"/>
      <c r="H20" s="763"/>
      <c r="I20" s="763">
        <f>+I18+I19</f>
        <v>10590800</v>
      </c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/>
      <c r="B21" s="764"/>
      <c r="C21" s="764"/>
      <c r="D21" s="764"/>
      <c r="E21" s="764"/>
      <c r="F21" s="763"/>
      <c r="G21" s="763"/>
      <c r="H21" s="763"/>
      <c r="I21" s="763">
        <f>+rent!H51</f>
        <v>46275020</v>
      </c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/>
      <c r="B22" s="764"/>
      <c r="C22" s="764"/>
      <c r="D22" s="764"/>
      <c r="E22" s="764"/>
      <c r="F22" s="763"/>
      <c r="G22" s="763"/>
      <c r="H22" s="763"/>
      <c r="I22" s="763">
        <f>+I20+I21</f>
        <v>56865820</v>
      </c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/>
      <c r="B23" s="764"/>
      <c r="C23" s="764"/>
      <c r="D23" s="764"/>
      <c r="E23" s="764"/>
      <c r="F23" s="763"/>
      <c r="G23" s="763"/>
      <c r="H23" s="763"/>
      <c r="I23" s="763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/>
      <c r="B24" s="764"/>
      <c r="C24" s="764"/>
      <c r="D24" s="764"/>
      <c r="E24" s="764"/>
      <c r="F24" s="763"/>
      <c r="G24" s="763"/>
      <c r="H24" s="763"/>
      <c r="I24" s="763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/>
      <c r="B25" s="764"/>
      <c r="C25" s="764"/>
      <c r="D25" s="764"/>
      <c r="E25" s="764"/>
      <c r="F25" s="763"/>
      <c r="G25" s="763"/>
      <c r="H25" s="763"/>
      <c r="I25" s="763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/>
      <c r="B26" s="764"/>
      <c r="C26" s="764"/>
      <c r="D26" s="764"/>
      <c r="E26" s="764"/>
      <c r="F26" s="763"/>
      <c r="G26" s="763"/>
      <c r="H26" s="763"/>
      <c r="I26" s="763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/>
      <c r="B27" s="764"/>
      <c r="C27" s="764"/>
      <c r="D27" s="764"/>
      <c r="E27" s="764"/>
      <c r="F27" s="763"/>
      <c r="G27" s="763"/>
      <c r="H27" s="763"/>
      <c r="I27" s="763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/>
      <c r="B28" s="764"/>
      <c r="C28" s="764"/>
      <c r="D28" s="764"/>
      <c r="E28" s="764"/>
      <c r="F28" s="763"/>
      <c r="G28" s="763"/>
      <c r="H28" s="763"/>
      <c r="I28" s="763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/>
      <c r="B29" s="764"/>
      <c r="C29" s="764"/>
      <c r="D29" s="764"/>
      <c r="E29" s="764"/>
      <c r="F29" s="763"/>
      <c r="G29" s="763"/>
      <c r="H29" s="763"/>
      <c r="I29" s="763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/>
      <c r="B30" s="764"/>
      <c r="C30" s="764"/>
      <c r="D30" s="764"/>
      <c r="E30" s="764"/>
      <c r="F30" s="763"/>
      <c r="G30" s="763"/>
      <c r="H30" s="763"/>
      <c r="I30" s="763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/>
      <c r="B31" s="764"/>
      <c r="C31" s="764"/>
      <c r="D31" s="764"/>
      <c r="E31" s="764"/>
      <c r="F31" s="763"/>
      <c r="G31" s="763"/>
      <c r="H31" s="763"/>
      <c r="I31" s="763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/>
      <c r="B32" s="764"/>
      <c r="C32" s="764"/>
      <c r="D32" s="764"/>
      <c r="E32" s="764"/>
      <c r="F32" s="763"/>
      <c r="G32" s="763"/>
      <c r="H32" s="763"/>
      <c r="I32" s="763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/>
      <c r="F33" s="763"/>
      <c r="G33" s="763"/>
      <c r="H33" s="763"/>
      <c r="I33" s="763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3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3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/>
      <c r="B36" s="764"/>
      <c r="C36" s="764"/>
      <c r="D36" s="764"/>
      <c r="E36" s="764"/>
      <c r="F36" s="763"/>
      <c r="G36" s="763"/>
      <c r="H36" s="763"/>
      <c r="I36" s="763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/>
      <c r="B37" s="764"/>
      <c r="C37" s="764"/>
      <c r="D37" s="764"/>
      <c r="E37" s="764"/>
      <c r="F37" s="763"/>
      <c r="G37" s="763"/>
      <c r="H37" s="763"/>
      <c r="I37" s="763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3"/>
      <c r="H38" s="763"/>
      <c r="I38" s="763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/>
      <c r="B39" s="764"/>
      <c r="C39" s="764"/>
      <c r="D39" s="764"/>
      <c r="E39" s="764"/>
      <c r="F39" s="763"/>
      <c r="G39" s="763"/>
      <c r="H39" s="763"/>
      <c r="I39" s="763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/>
      <c r="B40" s="764"/>
      <c r="C40" s="764"/>
      <c r="D40" s="764"/>
      <c r="E40" s="764"/>
      <c r="F40" s="763"/>
      <c r="G40" s="763"/>
      <c r="H40" s="763"/>
      <c r="I40" s="763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/>
      <c r="B41" s="764"/>
      <c r="C41" s="764"/>
      <c r="D41" s="764"/>
      <c r="E41" s="764"/>
      <c r="F41" s="763"/>
      <c r="G41" s="763"/>
      <c r="H41" s="763"/>
      <c r="I41" s="763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/>
      <c r="B42" s="764"/>
      <c r="C42" s="764"/>
      <c r="D42" s="764"/>
      <c r="E42" s="764"/>
      <c r="F42" s="763"/>
      <c r="G42" s="763"/>
      <c r="H42" s="763"/>
      <c r="I42" s="763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3"/>
      <c r="G43" s="763"/>
      <c r="H43" s="763"/>
      <c r="I43" s="763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3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3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3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3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3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3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3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3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3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3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3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3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3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3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3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3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3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3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3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3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3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3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3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3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3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3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3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3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3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3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3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3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3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3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3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3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3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3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3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3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3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3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3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3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3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3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3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3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3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3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3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3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3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3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3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3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3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3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3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3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3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3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3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3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3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3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3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3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3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3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3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3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3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3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3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3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3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3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3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3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3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3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3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3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3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3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3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3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3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3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3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3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3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3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3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3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3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3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3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3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3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3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3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3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3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3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3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3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3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3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3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3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3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3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3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3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3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3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3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3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3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3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3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3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3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3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3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3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3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3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3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3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3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3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3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3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3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3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3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3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3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3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3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3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3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3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3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3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3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3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3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3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3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3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3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3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3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3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3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3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3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3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3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3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3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3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3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3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3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3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3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3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3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3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3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3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3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3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3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3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3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3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3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3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3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3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3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3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3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3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3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3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3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3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3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3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3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3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3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3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3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3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3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3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3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3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3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3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3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3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3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3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3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3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3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3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3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3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3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3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3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3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3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3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3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3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3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3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3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3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3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3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3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3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3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3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3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3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3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3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3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3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3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3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3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3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3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3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3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3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3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3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3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3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3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3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3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3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3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3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3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3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3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3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3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3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3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3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3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3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3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3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3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3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3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3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3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3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3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3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3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3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3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3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3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3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3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3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3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3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3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3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3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3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3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3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3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3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3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3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3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3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3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3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3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3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3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3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3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3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3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3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3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3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3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3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3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3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3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3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3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3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3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3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3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3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3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3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3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3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3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3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3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3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3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3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3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3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3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3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3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3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3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3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3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3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3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3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3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3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3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3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3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3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3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3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3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3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3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3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3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3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3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3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3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3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3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3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3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3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3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3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3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3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3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3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3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3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3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3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3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3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3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3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3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3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3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3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3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3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3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3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3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3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3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3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3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3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3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3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3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3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3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3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3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3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3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3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3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3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3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3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3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3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3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3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3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3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3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3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3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3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3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3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3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3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3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3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3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3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3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3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3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3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3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3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3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3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3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3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3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3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3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3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3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3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3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3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3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3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3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3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3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3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3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3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3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3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3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3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3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3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3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3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3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3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3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3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3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3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3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3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3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3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3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3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3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3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3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3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3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3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3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3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3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3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3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3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3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3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3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3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3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3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3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3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3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3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3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3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3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3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3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3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3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3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3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3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3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3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3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3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3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3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3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3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3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3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3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3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3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3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3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3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3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3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3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3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3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3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3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3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3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3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3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3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3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3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3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3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3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3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3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3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3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3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3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3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3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3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3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3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3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3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3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3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3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3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3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3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3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3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3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3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3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3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3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3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3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3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3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3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3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3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3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3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3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3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3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3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3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3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3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3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3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3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3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3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3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3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3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3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3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3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3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3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3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3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3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3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3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3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3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3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3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3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3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3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3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3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3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3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3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3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3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3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3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3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3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3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3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3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3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3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3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3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3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3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3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3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3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3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3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3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3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3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3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3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3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3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3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3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3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3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3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3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3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3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3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3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3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3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3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3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3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3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3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3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3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3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3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3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3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3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3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3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3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3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3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3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3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3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3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3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3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3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3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3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3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3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3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3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3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3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3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3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3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3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3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3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3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3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3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3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3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3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3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3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3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3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3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3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3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3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3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3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3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3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3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3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3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3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3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3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3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3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3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3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3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3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3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3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3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3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3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3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3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3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3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3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3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3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3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3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3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3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3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3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3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3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3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3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3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3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3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3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3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3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3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3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3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3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3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3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3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3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3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3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3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3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3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3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3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3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3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3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3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3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3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3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3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3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3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3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3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3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3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3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3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3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3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3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3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3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3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3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3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3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3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3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3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3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3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3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3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3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3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3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3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3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3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3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3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3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3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3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3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3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3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3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3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3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3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3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3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3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3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3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3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3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3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3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3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3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3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3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3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3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3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3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3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3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3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3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3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3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3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3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3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3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3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3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3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3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3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3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3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3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3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3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3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3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3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3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3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3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3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3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3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3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3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3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3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3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3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3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3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3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3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3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3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3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3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3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3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3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3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3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3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3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3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3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3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3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3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3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3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3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3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3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3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3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3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3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3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3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3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3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3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3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3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3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3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3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3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3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3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3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3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3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3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3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3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3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3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3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3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3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3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3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3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3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3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3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3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3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3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3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3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3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3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3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3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3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3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3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3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3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3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3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3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3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3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3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3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3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3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3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3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3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3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3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3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3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3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3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3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86"/>
    <col customWidth="1" min="2" max="2" width="13.14"/>
    <col customWidth="1" min="3" max="3" width="19.43"/>
    <col customWidth="1" min="4" max="4" width="60.14"/>
    <col customWidth="1" min="5" max="5" width="32.14"/>
    <col customWidth="1" min="6" max="6" width="11.71"/>
    <col customWidth="1" min="7" max="8" width="14.0"/>
    <col customWidth="1" min="9" max="26" width="11.43"/>
  </cols>
  <sheetData>
    <row r="1" ht="9.75" customHeight="1">
      <c r="A1" s="768" t="s">
        <v>1058</v>
      </c>
      <c r="B1" s="178"/>
      <c r="C1" s="52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0.0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2489.0</v>
      </c>
      <c r="B4" s="765">
        <v>43143.0</v>
      </c>
      <c r="C4" s="764" t="s">
        <v>977</v>
      </c>
      <c r="D4" s="764" t="s">
        <v>1059</v>
      </c>
      <c r="E4" s="764" t="s">
        <v>552</v>
      </c>
      <c r="F4" s="763"/>
      <c r="G4" s="763">
        <v>7.608320661E7</v>
      </c>
      <c r="H4" s="763">
        <v>7.608320661E7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2596.0</v>
      </c>
      <c r="B5" s="765">
        <v>43144.0</v>
      </c>
      <c r="C5" s="764" t="s">
        <v>977</v>
      </c>
      <c r="D5" s="764" t="s">
        <v>1060</v>
      </c>
      <c r="E5" s="764" t="s">
        <v>552</v>
      </c>
      <c r="F5" s="763"/>
      <c r="G5" s="763">
        <v>458700.43</v>
      </c>
      <c r="H5" s="763">
        <v>7.654190704E7</v>
      </c>
      <c r="I5" s="763">
        <f>+G5</f>
        <v>458700.43</v>
      </c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2452.0</v>
      </c>
      <c r="B6" s="765">
        <v>43146.0</v>
      </c>
      <c r="C6" s="764" t="s">
        <v>977</v>
      </c>
      <c r="D6" s="764" t="s">
        <v>1061</v>
      </c>
      <c r="E6" s="764" t="s">
        <v>552</v>
      </c>
      <c r="F6" s="763"/>
      <c r="G6" s="763">
        <v>1.252215878E7</v>
      </c>
      <c r="H6" s="763">
        <v>8.906406582E7</v>
      </c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2928.0</v>
      </c>
      <c r="B7" s="765">
        <v>43201.0</v>
      </c>
      <c r="C7" s="764" t="s">
        <v>1062</v>
      </c>
      <c r="D7" s="764" t="s">
        <v>1063</v>
      </c>
      <c r="E7" s="764" t="s">
        <v>1064</v>
      </c>
      <c r="F7" s="763"/>
      <c r="G7" s="763">
        <v>4.9845892E7</v>
      </c>
      <c r="H7" s="763">
        <v>1.3890995782E8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3195.0</v>
      </c>
      <c r="B8" s="765">
        <v>43210.0</v>
      </c>
      <c r="C8" s="764" t="s">
        <v>945</v>
      </c>
      <c r="D8" s="764" t="s">
        <v>955</v>
      </c>
      <c r="E8" s="764" t="s">
        <v>552</v>
      </c>
      <c r="F8" s="763"/>
      <c r="G8" s="763">
        <v>9995634.28</v>
      </c>
      <c r="H8" s="763">
        <v>1.489055921E8</v>
      </c>
      <c r="I8" s="763">
        <f t="shared" ref="I8:I11" si="1">+G8</f>
        <v>9995634.28</v>
      </c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3197.0</v>
      </c>
      <c r="B9" s="765">
        <v>43213.0</v>
      </c>
      <c r="C9" s="764" t="s">
        <v>945</v>
      </c>
      <c r="D9" s="764" t="s">
        <v>956</v>
      </c>
      <c r="E9" s="764" t="s">
        <v>552</v>
      </c>
      <c r="F9" s="763"/>
      <c r="G9" s="763">
        <v>4387877.04</v>
      </c>
      <c r="H9" s="763">
        <v>1.5329346914E8</v>
      </c>
      <c r="I9" s="763">
        <f t="shared" si="1"/>
        <v>4387877.04</v>
      </c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3210.0</v>
      </c>
      <c r="B10" s="765">
        <v>43213.0</v>
      </c>
      <c r="C10" s="764" t="s">
        <v>977</v>
      </c>
      <c r="D10" s="764" t="s">
        <v>984</v>
      </c>
      <c r="E10" s="764" t="s">
        <v>552</v>
      </c>
      <c r="F10" s="763"/>
      <c r="G10" s="763">
        <v>3423759.35</v>
      </c>
      <c r="H10" s="763">
        <v>1.5671722849E8</v>
      </c>
      <c r="I10" s="763">
        <f t="shared" si="1"/>
        <v>3423759.35</v>
      </c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3200.0</v>
      </c>
      <c r="B11" s="765">
        <v>43214.0</v>
      </c>
      <c r="C11" s="764" t="s">
        <v>945</v>
      </c>
      <c r="D11" s="764" t="s">
        <v>957</v>
      </c>
      <c r="E11" s="764" t="s">
        <v>552</v>
      </c>
      <c r="F11" s="763"/>
      <c r="G11" s="763">
        <v>5917323.03</v>
      </c>
      <c r="H11" s="763">
        <v>1.6263455152E8</v>
      </c>
      <c r="I11" s="763">
        <f t="shared" si="1"/>
        <v>5917323.03</v>
      </c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3211.0</v>
      </c>
      <c r="B12" s="765">
        <v>43214.0</v>
      </c>
      <c r="C12" s="764" t="s">
        <v>977</v>
      </c>
      <c r="D12" s="764" t="s">
        <v>985</v>
      </c>
      <c r="E12" s="764" t="s">
        <v>552</v>
      </c>
      <c r="F12" s="763"/>
      <c r="G12" s="763">
        <v>1718400.0</v>
      </c>
      <c r="H12" s="763">
        <v>1.6435295152E8</v>
      </c>
      <c r="I12" s="764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3201.0</v>
      </c>
      <c r="B13" s="765">
        <v>43215.0</v>
      </c>
      <c r="C13" s="764" t="s">
        <v>945</v>
      </c>
      <c r="D13" s="764" t="s">
        <v>958</v>
      </c>
      <c r="E13" s="764" t="s">
        <v>552</v>
      </c>
      <c r="F13" s="763"/>
      <c r="G13" s="763">
        <v>5100143.43</v>
      </c>
      <c r="H13" s="763">
        <v>1.6945309495E8</v>
      </c>
      <c r="I13" s="763">
        <f t="shared" ref="I13:I14" si="2">+G13</f>
        <v>5100143.43</v>
      </c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3203.0</v>
      </c>
      <c r="B14" s="765">
        <v>43216.0</v>
      </c>
      <c r="C14" s="764" t="s">
        <v>945</v>
      </c>
      <c r="D14" s="764" t="s">
        <v>959</v>
      </c>
      <c r="E14" s="764" t="s">
        <v>552</v>
      </c>
      <c r="F14" s="763"/>
      <c r="G14" s="763">
        <v>1.736832681E7</v>
      </c>
      <c r="H14" s="763">
        <v>1.8682142176E8</v>
      </c>
      <c r="I14" s="763">
        <f t="shared" si="2"/>
        <v>17368326.81</v>
      </c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3212.0</v>
      </c>
      <c r="B15" s="765">
        <v>43216.0</v>
      </c>
      <c r="C15" s="764" t="s">
        <v>977</v>
      </c>
      <c r="D15" s="764" t="s">
        <v>986</v>
      </c>
      <c r="E15" s="764" t="s">
        <v>552</v>
      </c>
      <c r="F15" s="763"/>
      <c r="G15" s="763">
        <v>479447.5</v>
      </c>
      <c r="H15" s="763">
        <v>1.8730086926E8</v>
      </c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3204.0</v>
      </c>
      <c r="B16" s="765">
        <v>43217.0</v>
      </c>
      <c r="C16" s="764" t="s">
        <v>945</v>
      </c>
      <c r="D16" s="764" t="s">
        <v>960</v>
      </c>
      <c r="E16" s="764" t="s">
        <v>552</v>
      </c>
      <c r="F16" s="763"/>
      <c r="G16" s="763">
        <v>1.890771736E7</v>
      </c>
      <c r="H16" s="763">
        <v>2.0620858662E8</v>
      </c>
      <c r="I16" s="763">
        <f>+G16</f>
        <v>18907717.36</v>
      </c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3069.0</v>
      </c>
      <c r="B17" s="765">
        <v>43220.0</v>
      </c>
      <c r="C17" s="764" t="s">
        <v>1062</v>
      </c>
      <c r="D17" s="764" t="s">
        <v>1065</v>
      </c>
      <c r="E17" s="764" t="s">
        <v>1066</v>
      </c>
      <c r="F17" s="763"/>
      <c r="G17" s="763">
        <v>461359.04</v>
      </c>
      <c r="H17" s="763">
        <v>2.0666994566E8</v>
      </c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3207.0</v>
      </c>
      <c r="B18" s="765">
        <v>43220.0</v>
      </c>
      <c r="C18" s="764" t="s">
        <v>945</v>
      </c>
      <c r="D18" s="764" t="s">
        <v>961</v>
      </c>
      <c r="E18" s="764" t="s">
        <v>552</v>
      </c>
      <c r="F18" s="763"/>
      <c r="G18" s="763">
        <v>2786432.1</v>
      </c>
      <c r="H18" s="763">
        <v>2.0945637776E8</v>
      </c>
      <c r="I18" s="763">
        <f>+G18</f>
        <v>2786432.1</v>
      </c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3150.0</v>
      </c>
      <c r="B19" s="765">
        <v>43251.0</v>
      </c>
      <c r="C19" s="764" t="s">
        <v>1067</v>
      </c>
      <c r="D19" s="764" t="s">
        <v>1068</v>
      </c>
      <c r="E19" s="764" t="s">
        <v>1064</v>
      </c>
      <c r="F19" s="763"/>
      <c r="G19" s="763">
        <v>1.00848824104E9</v>
      </c>
      <c r="H19" s="763">
        <v>1.2179446188E9</v>
      </c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3387.0</v>
      </c>
      <c r="B20" s="765">
        <v>43252.0</v>
      </c>
      <c r="C20" s="764" t="s">
        <v>1069</v>
      </c>
      <c r="D20" s="764" t="s">
        <v>1070</v>
      </c>
      <c r="E20" s="764" t="s">
        <v>1071</v>
      </c>
      <c r="F20" s="763"/>
      <c r="G20" s="763">
        <v>1.5466284E7</v>
      </c>
      <c r="H20" s="763">
        <v>1.2334109028E9</v>
      </c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3672.0</v>
      </c>
      <c r="B21" s="765">
        <v>43312.0</v>
      </c>
      <c r="C21" s="764" t="s">
        <v>977</v>
      </c>
      <c r="D21" s="764" t="s">
        <v>1072</v>
      </c>
      <c r="E21" s="764" t="s">
        <v>552</v>
      </c>
      <c r="F21" s="763"/>
      <c r="G21" s="763">
        <v>9.9862619034E8</v>
      </c>
      <c r="H21" s="763">
        <v>2.23203709314E9</v>
      </c>
      <c r="I21" s="764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3674.0</v>
      </c>
      <c r="B22" s="765">
        <v>43312.0</v>
      </c>
      <c r="C22" s="764" t="s">
        <v>1062</v>
      </c>
      <c r="D22" s="764" t="s">
        <v>1073</v>
      </c>
      <c r="E22" s="764" t="s">
        <v>1074</v>
      </c>
      <c r="F22" s="763">
        <v>2.18738E7</v>
      </c>
      <c r="G22" s="763"/>
      <c r="H22" s="763">
        <v>2.21016329314E9</v>
      </c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4171.0</v>
      </c>
      <c r="B23" s="765">
        <v>43373.0</v>
      </c>
      <c r="C23" s="764" t="s">
        <v>1075</v>
      </c>
      <c r="D23" s="764" t="s">
        <v>1076</v>
      </c>
      <c r="E23" s="764" t="s">
        <v>1027</v>
      </c>
      <c r="F23" s="763"/>
      <c r="G23" s="763">
        <v>3.082885E8</v>
      </c>
      <c r="H23" s="763">
        <v>2.51845179314E9</v>
      </c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4235.0</v>
      </c>
      <c r="B24" s="765">
        <v>43373.0</v>
      </c>
      <c r="C24" s="764" t="s">
        <v>977</v>
      </c>
      <c r="D24" s="764" t="s">
        <v>996</v>
      </c>
      <c r="E24" s="764" t="s">
        <v>552</v>
      </c>
      <c r="F24" s="763"/>
      <c r="G24" s="763">
        <v>2.5665317874E8</v>
      </c>
      <c r="H24" s="763">
        <v>2.77510497188E9</v>
      </c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4235.0</v>
      </c>
      <c r="B25" s="765">
        <v>43373.0</v>
      </c>
      <c r="C25" s="764" t="s">
        <v>945</v>
      </c>
      <c r="D25" s="764" t="s">
        <v>1077</v>
      </c>
      <c r="E25" s="764" t="s">
        <v>552</v>
      </c>
      <c r="F25" s="763"/>
      <c r="G25" s="763">
        <v>7382675.8</v>
      </c>
      <c r="H25" s="763">
        <v>2.78248764768E9</v>
      </c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4232.0</v>
      </c>
      <c r="B26" s="765">
        <v>43385.0</v>
      </c>
      <c r="C26" s="764" t="s">
        <v>1032</v>
      </c>
      <c r="D26" s="764" t="s">
        <v>1078</v>
      </c>
      <c r="E26" s="764" t="s">
        <v>552</v>
      </c>
      <c r="F26" s="763"/>
      <c r="G26" s="763">
        <v>225000.0</v>
      </c>
      <c r="H26" s="763">
        <v>2.78271264768E9</v>
      </c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4233.0</v>
      </c>
      <c r="B27" s="765">
        <v>43385.0</v>
      </c>
      <c r="C27" s="764" t="s">
        <v>1032</v>
      </c>
      <c r="D27" s="764" t="s">
        <v>1079</v>
      </c>
      <c r="E27" s="764" t="s">
        <v>552</v>
      </c>
      <c r="F27" s="763"/>
      <c r="G27" s="763">
        <v>48000.0</v>
      </c>
      <c r="H27" s="763">
        <v>2.78276064768E9</v>
      </c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4586.0</v>
      </c>
      <c r="B28" s="765">
        <v>43410.0</v>
      </c>
      <c r="C28" s="764" t="s">
        <v>1080</v>
      </c>
      <c r="D28" s="764" t="s">
        <v>1081</v>
      </c>
      <c r="E28" s="764" t="s">
        <v>1027</v>
      </c>
      <c r="F28" s="763"/>
      <c r="G28" s="763">
        <v>8947270.0</v>
      </c>
      <c r="H28" s="763">
        <v>2.79170791768E9</v>
      </c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4586.0</v>
      </c>
      <c r="B29" s="765">
        <v>43410.0</v>
      </c>
      <c r="C29" s="764"/>
      <c r="D29" s="764" t="s">
        <v>1082</v>
      </c>
      <c r="E29" s="764" t="s">
        <v>1027</v>
      </c>
      <c r="F29" s="763"/>
      <c r="G29" s="763">
        <v>3629640.0</v>
      </c>
      <c r="H29" s="763">
        <v>2.79533755768E9</v>
      </c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4590.0</v>
      </c>
      <c r="B30" s="765">
        <v>43431.0</v>
      </c>
      <c r="C30" s="764" t="s">
        <v>1080</v>
      </c>
      <c r="D30" s="764" t="s">
        <v>1083</v>
      </c>
      <c r="E30" s="764" t="s">
        <v>1027</v>
      </c>
      <c r="F30" s="763"/>
      <c r="G30" s="763">
        <v>4662000.0</v>
      </c>
      <c r="H30" s="763">
        <v>2.79999955768E9</v>
      </c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/>
      <c r="B31" s="764"/>
      <c r="C31" s="764"/>
      <c r="D31" s="764"/>
      <c r="E31" s="764"/>
      <c r="F31" s="762">
        <v>2.18738E7</v>
      </c>
      <c r="G31" s="762">
        <v>2.82187335768E9</v>
      </c>
      <c r="H31" s="762">
        <v>2.79999955768E9</v>
      </c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/>
      <c r="B32" s="764"/>
      <c r="C32" s="764"/>
      <c r="D32" s="764"/>
      <c r="E32" s="764"/>
      <c r="F32" s="763"/>
      <c r="G32" s="763"/>
      <c r="H32" s="763"/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/>
      <c r="B33" s="764"/>
      <c r="C33" s="764"/>
      <c r="D33" s="764"/>
      <c r="E33" s="764"/>
      <c r="F33" s="763"/>
      <c r="G33" s="763"/>
      <c r="H33" s="763"/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/>
      <c r="B34" s="764"/>
      <c r="C34" s="764"/>
      <c r="D34" s="764"/>
      <c r="E34" s="764"/>
      <c r="F34" s="763"/>
      <c r="G34" s="763"/>
      <c r="H34" s="763"/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/>
      <c r="B35" s="764"/>
      <c r="C35" s="764"/>
      <c r="D35" s="764"/>
      <c r="E35" s="764"/>
      <c r="F35" s="763"/>
      <c r="G35" s="763"/>
      <c r="H35" s="763"/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/>
      <c r="B36" s="764"/>
      <c r="C36" s="764"/>
      <c r="D36" s="764"/>
      <c r="E36" s="764"/>
      <c r="F36" s="763"/>
      <c r="G36" s="763"/>
      <c r="H36" s="763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/>
      <c r="B37" s="764"/>
      <c r="C37" s="764"/>
      <c r="D37" s="764"/>
      <c r="E37" s="764"/>
      <c r="F37" s="763"/>
      <c r="G37" s="763"/>
      <c r="H37" s="763"/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/>
      <c r="B38" s="764"/>
      <c r="C38" s="764"/>
      <c r="D38" s="764"/>
      <c r="E38" s="764"/>
      <c r="F38" s="763"/>
      <c r="G38" s="763"/>
      <c r="H38" s="763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/>
      <c r="B39" s="764"/>
      <c r="C39" s="764"/>
      <c r="D39" s="764"/>
      <c r="E39" s="764"/>
      <c r="F39" s="763"/>
      <c r="G39" s="763"/>
      <c r="H39" s="763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/>
      <c r="B40" s="764"/>
      <c r="C40" s="764"/>
      <c r="D40" s="764"/>
      <c r="E40" s="764"/>
      <c r="F40" s="763"/>
      <c r="G40" s="763"/>
      <c r="H40" s="763"/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/>
      <c r="B41" s="764"/>
      <c r="C41" s="764"/>
      <c r="D41" s="764"/>
      <c r="E41" s="764"/>
      <c r="F41" s="763"/>
      <c r="G41" s="763"/>
      <c r="H41" s="763"/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/>
      <c r="B42" s="764"/>
      <c r="C42" s="764"/>
      <c r="D42" s="764"/>
      <c r="E42" s="764"/>
      <c r="F42" s="763"/>
      <c r="G42" s="763"/>
      <c r="H42" s="763"/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3"/>
      <c r="G43" s="763"/>
      <c r="H43" s="763"/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4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mergeCells count="1">
    <mergeCell ref="A1:C1"/>
  </mergeCells>
  <printOptions/>
  <pageMargins bottom="0.75" footer="0.0" header="0.0" left="0.7" right="0.7" top="0.75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43"/>
    <col customWidth="1" min="2" max="2" width="13.14"/>
    <col customWidth="1" min="3" max="3" width="19.43"/>
    <col customWidth="1" min="4" max="4" width="50.29"/>
    <col customWidth="1" min="5" max="5" width="44.29"/>
    <col customWidth="1" min="6" max="9" width="12.57"/>
    <col customWidth="1" min="10" max="26" width="11.43"/>
  </cols>
  <sheetData>
    <row r="1" ht="9.75" customHeight="1">
      <c r="A1" s="761" t="s">
        <v>947</v>
      </c>
      <c r="B1" s="761"/>
      <c r="C1" s="761"/>
      <c r="D1" s="761"/>
      <c r="E1" s="761"/>
      <c r="F1" s="762"/>
      <c r="G1" s="762" t="s">
        <v>540</v>
      </c>
      <c r="H1" s="762"/>
      <c r="I1" s="763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3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1977341.39</v>
      </c>
      <c r="I3" s="763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2218.0</v>
      </c>
      <c r="B4" s="765">
        <v>43109.0</v>
      </c>
      <c r="C4" s="764" t="s">
        <v>550</v>
      </c>
      <c r="D4" s="764" t="s">
        <v>1084</v>
      </c>
      <c r="E4" s="764" t="s">
        <v>1085</v>
      </c>
      <c r="F4" s="763">
        <v>1.6E7</v>
      </c>
      <c r="G4" s="763"/>
      <c r="H4" s="763">
        <v>1.797734139E7</v>
      </c>
      <c r="I4" s="763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2598.0</v>
      </c>
      <c r="B5" s="765">
        <v>43110.0</v>
      </c>
      <c r="C5" s="764" t="s">
        <v>550</v>
      </c>
      <c r="D5" s="764" t="s">
        <v>1086</v>
      </c>
      <c r="E5" s="764" t="s">
        <v>1087</v>
      </c>
      <c r="F5" s="763"/>
      <c r="G5" s="763">
        <v>217378.92</v>
      </c>
      <c r="H5" s="763">
        <v>1.775996247E7</v>
      </c>
      <c r="I5" s="763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2599.0</v>
      </c>
      <c r="B6" s="765">
        <v>43110.0</v>
      </c>
      <c r="C6" s="764" t="s">
        <v>945</v>
      </c>
      <c r="D6" s="764" t="s">
        <v>946</v>
      </c>
      <c r="E6" s="764" t="s">
        <v>552</v>
      </c>
      <c r="F6" s="763"/>
      <c r="G6" s="763">
        <v>1.658008308E7</v>
      </c>
      <c r="H6" s="763">
        <v>1179879.39</v>
      </c>
      <c r="I6" s="763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2260.0</v>
      </c>
      <c r="B7" s="765">
        <v>43118.0</v>
      </c>
      <c r="C7" s="764" t="s">
        <v>550</v>
      </c>
      <c r="D7" s="764" t="s">
        <v>1084</v>
      </c>
      <c r="E7" s="764" t="s">
        <v>570</v>
      </c>
      <c r="F7" s="763">
        <v>1000000.0</v>
      </c>
      <c r="G7" s="763"/>
      <c r="H7" s="763">
        <v>2179879.39</v>
      </c>
      <c r="I7" s="763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2600.0</v>
      </c>
      <c r="B8" s="765">
        <v>43118.0</v>
      </c>
      <c r="C8" s="764" t="s">
        <v>945</v>
      </c>
      <c r="D8" s="764" t="s">
        <v>948</v>
      </c>
      <c r="E8" s="764" t="s">
        <v>552</v>
      </c>
      <c r="F8" s="763"/>
      <c r="G8" s="763">
        <v>2066708.7</v>
      </c>
      <c r="H8" s="763">
        <v>113170.69</v>
      </c>
      <c r="I8" s="763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2603.0</v>
      </c>
      <c r="B9" s="765">
        <v>43118.0</v>
      </c>
      <c r="C9" s="764" t="s">
        <v>550</v>
      </c>
      <c r="D9" s="764" t="s">
        <v>1086</v>
      </c>
      <c r="E9" s="764" t="s">
        <v>1087</v>
      </c>
      <c r="F9" s="763"/>
      <c r="G9" s="763">
        <v>27096.3</v>
      </c>
      <c r="H9" s="763">
        <v>86074.39</v>
      </c>
      <c r="I9" s="763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2267.0</v>
      </c>
      <c r="B10" s="765">
        <v>43119.0</v>
      </c>
      <c r="C10" s="764" t="s">
        <v>550</v>
      </c>
      <c r="D10" s="764" t="s">
        <v>1084</v>
      </c>
      <c r="E10" s="764" t="s">
        <v>570</v>
      </c>
      <c r="F10" s="763">
        <v>1.0E7</v>
      </c>
      <c r="G10" s="763"/>
      <c r="H10" s="763">
        <v>1.008607439E7</v>
      </c>
      <c r="I10" s="763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2601.0</v>
      </c>
      <c r="B11" s="765">
        <v>43122.0</v>
      </c>
      <c r="C11" s="764" t="s">
        <v>945</v>
      </c>
      <c r="D11" s="764" t="s">
        <v>949</v>
      </c>
      <c r="E11" s="764" t="s">
        <v>552</v>
      </c>
      <c r="F11" s="763"/>
      <c r="G11" s="763">
        <v>9427342.96</v>
      </c>
      <c r="H11" s="763">
        <v>658731.43</v>
      </c>
      <c r="I11" s="763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2602.0</v>
      </c>
      <c r="B12" s="765">
        <v>43122.0</v>
      </c>
      <c r="C12" s="764" t="s">
        <v>550</v>
      </c>
      <c r="D12" s="764" t="s">
        <v>1086</v>
      </c>
      <c r="E12" s="764" t="s">
        <v>1087</v>
      </c>
      <c r="F12" s="763"/>
      <c r="G12" s="763">
        <v>123600.44</v>
      </c>
      <c r="H12" s="763">
        <v>535130.99</v>
      </c>
      <c r="I12" s="763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2595.0</v>
      </c>
      <c r="B13" s="765">
        <v>43131.0</v>
      </c>
      <c r="C13" s="764" t="s">
        <v>1088</v>
      </c>
      <c r="D13" s="764" t="s">
        <v>1089</v>
      </c>
      <c r="E13" s="764" t="s">
        <v>1090</v>
      </c>
      <c r="F13" s="763">
        <v>4757.48</v>
      </c>
      <c r="G13" s="763"/>
      <c r="H13" s="763">
        <v>539888.47</v>
      </c>
      <c r="I13" s="763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2604.0</v>
      </c>
      <c r="B14" s="765">
        <v>43131.0</v>
      </c>
      <c r="C14" s="764" t="s">
        <v>1088</v>
      </c>
      <c r="D14" s="764" t="s">
        <v>1091</v>
      </c>
      <c r="E14" s="764" t="s">
        <v>1087</v>
      </c>
      <c r="F14" s="763"/>
      <c r="G14" s="763">
        <v>6000.0</v>
      </c>
      <c r="H14" s="763">
        <v>533888.47</v>
      </c>
      <c r="I14" s="763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2596.0</v>
      </c>
      <c r="B15" s="765">
        <v>43144.0</v>
      </c>
      <c r="C15" s="764" t="s">
        <v>977</v>
      </c>
      <c r="D15" s="764" t="s">
        <v>1060</v>
      </c>
      <c r="E15" s="764" t="s">
        <v>552</v>
      </c>
      <c r="F15" s="763">
        <v>970972.18</v>
      </c>
      <c r="G15" s="763"/>
      <c r="H15" s="763">
        <v>1504860.65</v>
      </c>
      <c r="I15" s="763">
        <f>+F15</f>
        <v>970972.18</v>
      </c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2605.0</v>
      </c>
      <c r="B16" s="765">
        <v>43144.0</v>
      </c>
      <c r="C16" s="764" t="s">
        <v>550</v>
      </c>
      <c r="D16" s="764" t="s">
        <v>1086</v>
      </c>
      <c r="E16" s="764" t="s">
        <v>1087</v>
      </c>
      <c r="F16" s="763"/>
      <c r="G16" s="763">
        <v>12904.58</v>
      </c>
      <c r="H16" s="763">
        <v>1491956.07</v>
      </c>
      <c r="I16" s="763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2606.0</v>
      </c>
      <c r="B17" s="765">
        <v>43145.0</v>
      </c>
      <c r="C17" s="764" t="s">
        <v>550</v>
      </c>
      <c r="D17" s="764" t="s">
        <v>1086</v>
      </c>
      <c r="E17" s="764" t="s">
        <v>1087</v>
      </c>
      <c r="F17" s="763"/>
      <c r="G17" s="763">
        <v>12012.0</v>
      </c>
      <c r="H17" s="763">
        <v>1479944.07</v>
      </c>
      <c r="I17" s="763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2607.0</v>
      </c>
      <c r="B18" s="765">
        <v>43145.0</v>
      </c>
      <c r="C18" s="764" t="s">
        <v>945</v>
      </c>
      <c r="D18" s="764" t="s">
        <v>950</v>
      </c>
      <c r="E18" s="764" t="s">
        <v>552</v>
      </c>
      <c r="F18" s="763"/>
      <c r="G18" s="763">
        <v>916188.0</v>
      </c>
      <c r="H18" s="763">
        <v>563756.07</v>
      </c>
      <c r="I18" s="763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2608.0</v>
      </c>
      <c r="B19" s="765">
        <v>43145.0</v>
      </c>
      <c r="C19" s="764" t="s">
        <v>945</v>
      </c>
      <c r="D19" s="764" t="s">
        <v>951</v>
      </c>
      <c r="E19" s="764" t="s">
        <v>552</v>
      </c>
      <c r="F19" s="763"/>
      <c r="G19" s="763">
        <v>555733.47</v>
      </c>
      <c r="H19" s="763">
        <v>8022.6</v>
      </c>
      <c r="I19" s="763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2609.0</v>
      </c>
      <c r="B20" s="765">
        <v>43146.0</v>
      </c>
      <c r="C20" s="764" t="s">
        <v>550</v>
      </c>
      <c r="D20" s="764" t="s">
        <v>1086</v>
      </c>
      <c r="E20" s="764" t="s">
        <v>1087</v>
      </c>
      <c r="F20" s="763"/>
      <c r="G20" s="763">
        <v>7286.14</v>
      </c>
      <c r="H20" s="763">
        <v>736.46</v>
      </c>
      <c r="I20" s="763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2453.0</v>
      </c>
      <c r="B21" s="765">
        <v>43151.0</v>
      </c>
      <c r="C21" s="764" t="s">
        <v>550</v>
      </c>
      <c r="D21" s="764" t="s">
        <v>1092</v>
      </c>
      <c r="E21" s="764" t="s">
        <v>570</v>
      </c>
      <c r="F21" s="763">
        <v>5000000.0</v>
      </c>
      <c r="G21" s="763"/>
      <c r="H21" s="763">
        <v>5000736.46</v>
      </c>
      <c r="I21" s="763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2610.0</v>
      </c>
      <c r="B22" s="765">
        <v>43151.0</v>
      </c>
      <c r="C22" s="764" t="s">
        <v>945</v>
      </c>
      <c r="D22" s="764" t="s">
        <v>952</v>
      </c>
      <c r="E22" s="764" t="s">
        <v>552</v>
      </c>
      <c r="F22" s="763"/>
      <c r="G22" s="763">
        <v>4388339.16</v>
      </c>
      <c r="H22" s="763">
        <v>612397.3</v>
      </c>
      <c r="I22" s="763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2402.0</v>
      </c>
      <c r="B23" s="765">
        <v>43152.0</v>
      </c>
      <c r="C23" s="764" t="s">
        <v>550</v>
      </c>
      <c r="D23" s="764" t="s">
        <v>1093</v>
      </c>
      <c r="E23" s="764" t="s">
        <v>1085</v>
      </c>
      <c r="F23" s="763">
        <v>359400.0</v>
      </c>
      <c r="G23" s="763"/>
      <c r="H23" s="763">
        <v>971797.3</v>
      </c>
      <c r="I23" s="763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2440.0</v>
      </c>
      <c r="B24" s="765">
        <v>43152.0</v>
      </c>
      <c r="C24" s="764" t="s">
        <v>550</v>
      </c>
      <c r="D24" s="764" t="s">
        <v>1093</v>
      </c>
      <c r="E24" s="764" t="s">
        <v>570</v>
      </c>
      <c r="F24" s="763">
        <v>960000.0</v>
      </c>
      <c r="G24" s="763"/>
      <c r="H24" s="763">
        <v>1931797.3</v>
      </c>
      <c r="I24" s="763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2611.0</v>
      </c>
      <c r="B25" s="765">
        <v>43152.0</v>
      </c>
      <c r="C25" s="764" t="s">
        <v>550</v>
      </c>
      <c r="D25" s="764" t="s">
        <v>1086</v>
      </c>
      <c r="E25" s="764" t="s">
        <v>1087</v>
      </c>
      <c r="F25" s="763"/>
      <c r="G25" s="763">
        <v>57534.84</v>
      </c>
      <c r="H25" s="763">
        <v>1874262.46</v>
      </c>
      <c r="I25" s="763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2612.0</v>
      </c>
      <c r="B26" s="765">
        <v>43153.0</v>
      </c>
      <c r="C26" s="764" t="s">
        <v>945</v>
      </c>
      <c r="D26" s="764" t="s">
        <v>953</v>
      </c>
      <c r="E26" s="764" t="s">
        <v>552</v>
      </c>
      <c r="F26" s="763"/>
      <c r="G26" s="763">
        <v>1691424.0</v>
      </c>
      <c r="H26" s="763">
        <v>182838.46</v>
      </c>
      <c r="I26" s="763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2613.0</v>
      </c>
      <c r="B27" s="765">
        <v>43153.0</v>
      </c>
      <c r="C27" s="764" t="s">
        <v>550</v>
      </c>
      <c r="D27" s="764" t="s">
        <v>1086</v>
      </c>
      <c r="E27" s="764" t="s">
        <v>1087</v>
      </c>
      <c r="F27" s="763"/>
      <c r="G27" s="763">
        <v>22176.0</v>
      </c>
      <c r="H27" s="763">
        <v>160662.46</v>
      </c>
      <c r="I27" s="763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2597.0</v>
      </c>
      <c r="B28" s="765">
        <v>43159.0</v>
      </c>
      <c r="C28" s="764" t="s">
        <v>1088</v>
      </c>
      <c r="D28" s="764" t="s">
        <v>1094</v>
      </c>
      <c r="E28" s="764" t="s">
        <v>1090</v>
      </c>
      <c r="F28" s="763">
        <v>493.22</v>
      </c>
      <c r="G28" s="763"/>
      <c r="H28" s="763">
        <v>161155.68</v>
      </c>
      <c r="I28" s="763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2614.0</v>
      </c>
      <c r="B29" s="765">
        <v>43159.0</v>
      </c>
      <c r="C29" s="764" t="s">
        <v>1088</v>
      </c>
      <c r="D29" s="764" t="s">
        <v>1091</v>
      </c>
      <c r="E29" s="764" t="s">
        <v>1087</v>
      </c>
      <c r="F29" s="763"/>
      <c r="G29" s="763">
        <v>6000.0</v>
      </c>
      <c r="H29" s="763">
        <v>155155.68</v>
      </c>
      <c r="I29" s="763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2708.0</v>
      </c>
      <c r="B30" s="765">
        <v>43190.0</v>
      </c>
      <c r="C30" s="764" t="s">
        <v>1088</v>
      </c>
      <c r="D30" s="764" t="s">
        <v>1095</v>
      </c>
      <c r="E30" s="764" t="s">
        <v>1087</v>
      </c>
      <c r="F30" s="763"/>
      <c r="G30" s="763">
        <v>6000.0</v>
      </c>
      <c r="H30" s="763">
        <v>149155.68</v>
      </c>
      <c r="I30" s="763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3195.0</v>
      </c>
      <c r="B31" s="765">
        <v>43210.0</v>
      </c>
      <c r="C31" s="764" t="s">
        <v>945</v>
      </c>
      <c r="D31" s="764" t="s">
        <v>955</v>
      </c>
      <c r="E31" s="764" t="s">
        <v>552</v>
      </c>
      <c r="F31" s="763">
        <v>3.372760207E7</v>
      </c>
      <c r="G31" s="763"/>
      <c r="H31" s="763">
        <v>3.387675775E7</v>
      </c>
      <c r="I31" s="763">
        <f>+F31</f>
        <v>33727602.07</v>
      </c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3196.0</v>
      </c>
      <c r="B32" s="765">
        <v>43210.0</v>
      </c>
      <c r="C32" s="764" t="s">
        <v>1062</v>
      </c>
      <c r="D32" s="764" t="s">
        <v>1086</v>
      </c>
      <c r="E32" s="764" t="s">
        <v>1096</v>
      </c>
      <c r="F32" s="763"/>
      <c r="G32" s="763">
        <v>448252.46</v>
      </c>
      <c r="H32" s="763">
        <v>3.342850529E7</v>
      </c>
      <c r="I32" s="763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>
        <v>3197.0</v>
      </c>
      <c r="B33" s="765">
        <v>43213.0</v>
      </c>
      <c r="C33" s="764" t="s">
        <v>945</v>
      </c>
      <c r="D33" s="764" t="s">
        <v>956</v>
      </c>
      <c r="E33" s="764" t="s">
        <v>552</v>
      </c>
      <c r="F33" s="763">
        <v>1.516675495E7</v>
      </c>
      <c r="G33" s="763"/>
      <c r="H33" s="763">
        <v>4.859526024E7</v>
      </c>
      <c r="I33" s="763">
        <f>+F33</f>
        <v>15166754.95</v>
      </c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>
        <v>3198.0</v>
      </c>
      <c r="B34" s="765">
        <v>43213.0</v>
      </c>
      <c r="C34" s="764" t="s">
        <v>1062</v>
      </c>
      <c r="D34" s="764" t="s">
        <v>1086</v>
      </c>
      <c r="E34" s="764" t="s">
        <v>1096</v>
      </c>
      <c r="F34" s="763"/>
      <c r="G34" s="763">
        <v>201571.85</v>
      </c>
      <c r="H34" s="763">
        <v>4.839368839E7</v>
      </c>
      <c r="I34" s="763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>
        <v>3210.0</v>
      </c>
      <c r="B35" s="765">
        <v>43213.0</v>
      </c>
      <c r="C35" s="764" t="s">
        <v>977</v>
      </c>
      <c r="D35" s="764" t="s">
        <v>984</v>
      </c>
      <c r="E35" s="764" t="s">
        <v>552</v>
      </c>
      <c r="F35" s="763">
        <v>8242760.0</v>
      </c>
      <c r="G35" s="763"/>
      <c r="H35" s="763">
        <v>5.663644839E7</v>
      </c>
      <c r="I35" s="763">
        <f>+F35</f>
        <v>8242760</v>
      </c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>
        <v>3199.0</v>
      </c>
      <c r="B36" s="765">
        <v>43214.0</v>
      </c>
      <c r="C36" s="764" t="s">
        <v>1062</v>
      </c>
      <c r="D36" s="764" t="s">
        <v>1086</v>
      </c>
      <c r="E36" s="764" t="s">
        <v>1096</v>
      </c>
      <c r="F36" s="763"/>
      <c r="G36" s="763">
        <v>373096.48</v>
      </c>
      <c r="H36" s="763">
        <v>5.626335191E7</v>
      </c>
      <c r="I36" s="763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>
        <v>3200.0</v>
      </c>
      <c r="B37" s="765">
        <v>43214.0</v>
      </c>
      <c r="C37" s="764" t="s">
        <v>945</v>
      </c>
      <c r="D37" s="764" t="s">
        <v>957</v>
      </c>
      <c r="E37" s="764" t="s">
        <v>552</v>
      </c>
      <c r="F37" s="763">
        <v>1.982992378E7</v>
      </c>
      <c r="G37" s="763"/>
      <c r="H37" s="763">
        <v>7.609327569E7</v>
      </c>
      <c r="I37" s="763">
        <f t="shared" ref="I37:I38" si="1">+F37</f>
        <v>19829923.78</v>
      </c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>
        <v>3211.0</v>
      </c>
      <c r="B38" s="765">
        <v>43214.0</v>
      </c>
      <c r="C38" s="764" t="s">
        <v>977</v>
      </c>
      <c r="D38" s="764" t="s">
        <v>985</v>
      </c>
      <c r="E38" s="764" t="s">
        <v>552</v>
      </c>
      <c r="F38" s="763">
        <v>4147550.0</v>
      </c>
      <c r="G38" s="763"/>
      <c r="H38" s="763">
        <v>8.024082569E7</v>
      </c>
      <c r="I38" s="763">
        <f t="shared" si="1"/>
        <v>4147550</v>
      </c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2898.0</v>
      </c>
      <c r="B39" s="765">
        <v>43215.0</v>
      </c>
      <c r="C39" s="764" t="s">
        <v>550</v>
      </c>
      <c r="D39" s="764" t="s">
        <v>1084</v>
      </c>
      <c r="E39" s="764" t="s">
        <v>570</v>
      </c>
      <c r="F39" s="763"/>
      <c r="G39" s="763">
        <v>1.0E8</v>
      </c>
      <c r="H39" s="763">
        <v>-1.975917431E7</v>
      </c>
      <c r="I39" s="763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3201.0</v>
      </c>
      <c r="B40" s="765">
        <v>43215.0</v>
      </c>
      <c r="C40" s="764" t="s">
        <v>945</v>
      </c>
      <c r="D40" s="764" t="s">
        <v>958</v>
      </c>
      <c r="E40" s="764" t="s">
        <v>552</v>
      </c>
      <c r="F40" s="763">
        <v>2.009575981E7</v>
      </c>
      <c r="G40" s="763"/>
      <c r="H40" s="763">
        <v>336585.5</v>
      </c>
      <c r="I40" s="763">
        <f>+F40</f>
        <v>20095759.81</v>
      </c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3214.0</v>
      </c>
      <c r="B41" s="765">
        <v>43215.0</v>
      </c>
      <c r="C41" s="764" t="s">
        <v>1062</v>
      </c>
      <c r="D41" s="764" t="s">
        <v>1086</v>
      </c>
      <c r="E41" s="764" t="s">
        <v>1096</v>
      </c>
      <c r="F41" s="763"/>
      <c r="G41" s="763">
        <v>322202.67</v>
      </c>
      <c r="H41" s="763">
        <v>14382.83</v>
      </c>
      <c r="I41" s="763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3202.0</v>
      </c>
      <c r="B42" s="765">
        <v>43216.0</v>
      </c>
      <c r="C42" s="764" t="s">
        <v>1062</v>
      </c>
      <c r="D42" s="764" t="s">
        <v>1086</v>
      </c>
      <c r="E42" s="764" t="s">
        <v>1096</v>
      </c>
      <c r="F42" s="763"/>
      <c r="G42" s="763">
        <v>975472.4</v>
      </c>
      <c r="H42" s="763">
        <v>-961089.57</v>
      </c>
      <c r="I42" s="763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>
        <v>3203.0</v>
      </c>
      <c r="B43" s="765">
        <v>43216.0</v>
      </c>
      <c r="C43" s="764" t="s">
        <v>945</v>
      </c>
      <c r="D43" s="764" t="s">
        <v>959</v>
      </c>
      <c r="E43" s="764" t="s">
        <v>552</v>
      </c>
      <c r="F43" s="763">
        <v>7.223970791E7</v>
      </c>
      <c r="G43" s="763"/>
      <c r="H43" s="763">
        <v>7.127861834E7</v>
      </c>
      <c r="I43" s="763">
        <f t="shared" ref="I43:I44" si="2">+F43</f>
        <v>72239707.91</v>
      </c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>
        <v>3212.0</v>
      </c>
      <c r="B44" s="765">
        <v>43216.0</v>
      </c>
      <c r="C44" s="764" t="s">
        <v>977</v>
      </c>
      <c r="D44" s="764" t="s">
        <v>986</v>
      </c>
      <c r="E44" s="764" t="s">
        <v>552</v>
      </c>
      <c r="F44" s="763">
        <v>1157200.0</v>
      </c>
      <c r="G44" s="763"/>
      <c r="H44" s="763">
        <v>7.243581834E7</v>
      </c>
      <c r="I44" s="763">
        <f t="shared" si="2"/>
        <v>1157200</v>
      </c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>
        <v>2903.0</v>
      </c>
      <c r="B45" s="765">
        <v>43217.0</v>
      </c>
      <c r="C45" s="764" t="s">
        <v>550</v>
      </c>
      <c r="D45" s="764" t="s">
        <v>1084</v>
      </c>
      <c r="E45" s="764" t="s">
        <v>570</v>
      </c>
      <c r="F45" s="763"/>
      <c r="G45" s="763">
        <v>7.2E7</v>
      </c>
      <c r="H45" s="763">
        <v>435818.34</v>
      </c>
      <c r="I45" s="763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>
        <v>3204.0</v>
      </c>
      <c r="B46" s="765">
        <v>43217.0</v>
      </c>
      <c r="C46" s="764" t="s">
        <v>945</v>
      </c>
      <c r="D46" s="764" t="s">
        <v>960</v>
      </c>
      <c r="E46" s="764" t="s">
        <v>552</v>
      </c>
      <c r="F46" s="763">
        <v>7.767375225E7</v>
      </c>
      <c r="G46" s="763"/>
      <c r="H46" s="763">
        <v>7.810957059E7</v>
      </c>
      <c r="I46" s="763">
        <f>+F46</f>
        <v>77673752.25</v>
      </c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>
        <v>3205.0</v>
      </c>
      <c r="B47" s="765">
        <v>43217.0</v>
      </c>
      <c r="C47" s="764" t="s">
        <v>1062</v>
      </c>
      <c r="D47" s="764" t="s">
        <v>1086</v>
      </c>
      <c r="E47" s="764" t="s">
        <v>1096</v>
      </c>
      <c r="F47" s="763"/>
      <c r="G47" s="763">
        <v>1032313.26</v>
      </c>
      <c r="H47" s="763">
        <v>7.707725733E7</v>
      </c>
      <c r="I47" s="763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>
        <v>3213.0</v>
      </c>
      <c r="B48" s="765">
        <v>43217.0</v>
      </c>
      <c r="C48" s="764" t="s">
        <v>977</v>
      </c>
      <c r="D48" s="764" t="s">
        <v>987</v>
      </c>
      <c r="E48" s="764" t="s">
        <v>1097</v>
      </c>
      <c r="F48" s="763"/>
      <c r="G48" s="763">
        <v>2545000.0</v>
      </c>
      <c r="H48" s="763">
        <v>7.453225733E7</v>
      </c>
      <c r="I48" s="763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>
        <v>2904.0</v>
      </c>
      <c r="B49" s="765">
        <v>43220.0</v>
      </c>
      <c r="C49" s="764" t="s">
        <v>550</v>
      </c>
      <c r="D49" s="764" t="s">
        <v>1084</v>
      </c>
      <c r="E49" s="764" t="s">
        <v>570</v>
      </c>
      <c r="F49" s="763"/>
      <c r="G49" s="763">
        <v>8.4E7</v>
      </c>
      <c r="H49" s="763">
        <v>-9467742.67</v>
      </c>
      <c r="I49" s="763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>
        <v>3206.0</v>
      </c>
      <c r="B50" s="765">
        <v>43220.0</v>
      </c>
      <c r="C50" s="764" t="s">
        <v>1062</v>
      </c>
      <c r="D50" s="764" t="s">
        <v>1086</v>
      </c>
      <c r="E50" s="764" t="s">
        <v>1096</v>
      </c>
      <c r="F50" s="763"/>
      <c r="G50" s="763">
        <v>168781.14</v>
      </c>
      <c r="H50" s="763">
        <v>-9636523.81</v>
      </c>
      <c r="I50" s="763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>
        <v>3207.0</v>
      </c>
      <c r="B51" s="765">
        <v>43220.0</v>
      </c>
      <c r="C51" s="764" t="s">
        <v>945</v>
      </c>
      <c r="D51" s="764" t="s">
        <v>961</v>
      </c>
      <c r="E51" s="764" t="s">
        <v>552</v>
      </c>
      <c r="F51" s="763">
        <v>1.015450214E7</v>
      </c>
      <c r="G51" s="763"/>
      <c r="H51" s="763">
        <v>517978.33</v>
      </c>
      <c r="I51" s="763">
        <f>+F51</f>
        <v>10154502.14</v>
      </c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>
        <v>3208.0</v>
      </c>
      <c r="B52" s="765">
        <v>43220.0</v>
      </c>
      <c r="C52" s="764" t="s">
        <v>1088</v>
      </c>
      <c r="D52" s="764" t="s">
        <v>1098</v>
      </c>
      <c r="E52" s="764" t="s">
        <v>1090</v>
      </c>
      <c r="F52" s="763">
        <v>52120.12</v>
      </c>
      <c r="G52" s="763"/>
      <c r="H52" s="763">
        <v>570098.45</v>
      </c>
      <c r="I52" s="763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>
        <v>3209.0</v>
      </c>
      <c r="B53" s="765">
        <v>43220.0</v>
      </c>
      <c r="C53" s="764" t="s">
        <v>1088</v>
      </c>
      <c r="D53" s="764" t="s">
        <v>1091</v>
      </c>
      <c r="E53" s="764" t="s">
        <v>1087</v>
      </c>
      <c r="F53" s="763"/>
      <c r="G53" s="763">
        <v>6000.0</v>
      </c>
      <c r="H53" s="763">
        <v>564098.45</v>
      </c>
      <c r="I53" s="763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>
        <v>3143.0</v>
      </c>
      <c r="B54" s="765">
        <v>43251.0</v>
      </c>
      <c r="C54" s="764" t="s">
        <v>1088</v>
      </c>
      <c r="D54" s="764" t="s">
        <v>1091</v>
      </c>
      <c r="E54" s="764" t="s">
        <v>1087</v>
      </c>
      <c r="F54" s="763"/>
      <c r="G54" s="763">
        <v>6000.0</v>
      </c>
      <c r="H54" s="763">
        <v>558098.45</v>
      </c>
      <c r="I54" s="763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>
        <v>3177.0</v>
      </c>
      <c r="B55" s="765">
        <v>43256.0</v>
      </c>
      <c r="C55" s="764" t="s">
        <v>550</v>
      </c>
      <c r="D55" s="764" t="s">
        <v>1084</v>
      </c>
      <c r="E55" s="764" t="s">
        <v>570</v>
      </c>
      <c r="F55" s="763"/>
      <c r="G55" s="763">
        <v>558000.0</v>
      </c>
      <c r="H55" s="763">
        <v>98.45</v>
      </c>
      <c r="I55" s="763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>
        <v>3264.0</v>
      </c>
      <c r="B56" s="765">
        <v>43256.0</v>
      </c>
      <c r="C56" s="764" t="s">
        <v>1088</v>
      </c>
      <c r="D56" s="764" t="s">
        <v>1091</v>
      </c>
      <c r="E56" s="764" t="s">
        <v>570</v>
      </c>
      <c r="F56" s="763">
        <v>300.0</v>
      </c>
      <c r="G56" s="763"/>
      <c r="H56" s="763">
        <v>398.45</v>
      </c>
      <c r="I56" s="763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>
        <v>3373.0</v>
      </c>
      <c r="B57" s="765">
        <v>43256.0</v>
      </c>
      <c r="C57" s="764" t="s">
        <v>1088</v>
      </c>
      <c r="D57" s="764" t="s">
        <v>1091</v>
      </c>
      <c r="E57" s="764" t="s">
        <v>1087</v>
      </c>
      <c r="F57" s="763"/>
      <c r="G57" s="763">
        <v>300.0</v>
      </c>
      <c r="H57" s="763">
        <v>98.45</v>
      </c>
      <c r="I57" s="763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>
        <v>3374.0</v>
      </c>
      <c r="B58" s="765">
        <v>43281.0</v>
      </c>
      <c r="C58" s="764" t="s">
        <v>1088</v>
      </c>
      <c r="D58" s="764" t="s">
        <v>1091</v>
      </c>
      <c r="E58" s="764" t="s">
        <v>1087</v>
      </c>
      <c r="F58" s="763"/>
      <c r="G58" s="763">
        <v>98.45</v>
      </c>
      <c r="H58" s="763">
        <v>0.0</v>
      </c>
      <c r="I58" s="763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>
        <v>3546.0</v>
      </c>
      <c r="B59" s="765">
        <v>43298.0</v>
      </c>
      <c r="C59" s="764" t="s">
        <v>550</v>
      </c>
      <c r="D59" s="764" t="s">
        <v>1084</v>
      </c>
      <c r="E59" s="764" t="s">
        <v>570</v>
      </c>
      <c r="F59" s="763">
        <v>3.7E7</v>
      </c>
      <c r="G59" s="763"/>
      <c r="H59" s="763">
        <v>3.7E7</v>
      </c>
      <c r="I59" s="763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>
        <v>3558.0</v>
      </c>
      <c r="B60" s="765">
        <v>43299.0</v>
      </c>
      <c r="C60" s="764" t="s">
        <v>550</v>
      </c>
      <c r="D60" s="764" t="s">
        <v>1084</v>
      </c>
      <c r="E60" s="764" t="s">
        <v>570</v>
      </c>
      <c r="F60" s="763">
        <v>2.3E8</v>
      </c>
      <c r="G60" s="763"/>
      <c r="H60" s="763">
        <v>2.67E8</v>
      </c>
      <c r="I60" s="763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>
        <v>3654.0</v>
      </c>
      <c r="B61" s="765">
        <v>43299.0</v>
      </c>
      <c r="C61" s="764" t="s">
        <v>550</v>
      </c>
      <c r="D61" s="764" t="s">
        <v>965</v>
      </c>
      <c r="E61" s="764" t="s">
        <v>552</v>
      </c>
      <c r="F61" s="763"/>
      <c r="G61" s="763">
        <v>1.187504491E7</v>
      </c>
      <c r="H61" s="763">
        <v>2.5512495509E8</v>
      </c>
      <c r="I61" s="763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>
        <v>3654.0</v>
      </c>
      <c r="B62" s="765">
        <v>43299.0</v>
      </c>
      <c r="C62" s="764" t="s">
        <v>550</v>
      </c>
      <c r="D62" s="764" t="s">
        <v>965</v>
      </c>
      <c r="E62" s="764" t="s">
        <v>552</v>
      </c>
      <c r="F62" s="763"/>
      <c r="G62" s="763">
        <v>96717.69</v>
      </c>
      <c r="H62" s="763">
        <v>2.550282374E8</v>
      </c>
      <c r="I62" s="763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>
        <v>3655.0</v>
      </c>
      <c r="B63" s="765">
        <v>43300.0</v>
      </c>
      <c r="C63" s="764" t="s">
        <v>977</v>
      </c>
      <c r="D63" s="764" t="s">
        <v>991</v>
      </c>
      <c r="E63" s="764" t="s">
        <v>552</v>
      </c>
      <c r="F63" s="763"/>
      <c r="G63" s="763">
        <v>2.1974118264E8</v>
      </c>
      <c r="H63" s="763">
        <v>3.528705476E7</v>
      </c>
      <c r="I63" s="763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>
        <v>3655.0</v>
      </c>
      <c r="B64" s="765">
        <v>43300.0</v>
      </c>
      <c r="C64" s="764" t="s">
        <v>1062</v>
      </c>
      <c r="D64" s="764" t="s">
        <v>991</v>
      </c>
      <c r="E64" s="764" t="s">
        <v>552</v>
      </c>
      <c r="F64" s="763"/>
      <c r="G64" s="763">
        <v>698561.28</v>
      </c>
      <c r="H64" s="763">
        <v>3.458849348E7</v>
      </c>
      <c r="I64" s="763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>
        <v>3655.0</v>
      </c>
      <c r="B65" s="765">
        <v>43300.0</v>
      </c>
      <c r="C65" s="764" t="s">
        <v>1062</v>
      </c>
      <c r="D65" s="764" t="s">
        <v>991</v>
      </c>
      <c r="E65" s="764" t="s">
        <v>552</v>
      </c>
      <c r="F65" s="763"/>
      <c r="G65" s="763">
        <v>185414.4</v>
      </c>
      <c r="H65" s="763">
        <v>3.440307908E7</v>
      </c>
      <c r="I65" s="763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>
        <v>3573.0</v>
      </c>
      <c r="B66" s="765">
        <v>43301.0</v>
      </c>
      <c r="C66" s="764" t="s">
        <v>550</v>
      </c>
      <c r="D66" s="764" t="s">
        <v>1084</v>
      </c>
      <c r="E66" s="764" t="s">
        <v>570</v>
      </c>
      <c r="F66" s="763">
        <v>2.4E7</v>
      </c>
      <c r="G66" s="763"/>
      <c r="H66" s="763">
        <v>5.840307908E7</v>
      </c>
      <c r="I66" s="763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>
        <v>3656.0</v>
      </c>
      <c r="B67" s="765">
        <v>43301.0</v>
      </c>
      <c r="C67" s="764" t="s">
        <v>977</v>
      </c>
      <c r="D67" s="764" t="s">
        <v>992</v>
      </c>
      <c r="E67" s="764" t="s">
        <v>552</v>
      </c>
      <c r="F67" s="763"/>
      <c r="G67" s="763">
        <v>5.83360056E7</v>
      </c>
      <c r="H67" s="763">
        <v>67073.48</v>
      </c>
      <c r="I67" s="763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>
        <v>3657.0</v>
      </c>
      <c r="B68" s="765">
        <v>43312.0</v>
      </c>
      <c r="C68" s="764" t="s">
        <v>1088</v>
      </c>
      <c r="D68" s="764" t="s">
        <v>1099</v>
      </c>
      <c r="E68" s="764" t="s">
        <v>1090</v>
      </c>
      <c r="F68" s="763">
        <v>32214.25</v>
      </c>
      <c r="G68" s="763"/>
      <c r="H68" s="763">
        <v>99287.73</v>
      </c>
      <c r="I68" s="763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>
        <v>3658.0</v>
      </c>
      <c r="B69" s="765">
        <v>43312.0</v>
      </c>
      <c r="C69" s="764" t="s">
        <v>1088</v>
      </c>
      <c r="D69" s="764" t="s">
        <v>1091</v>
      </c>
      <c r="E69" s="764" t="s">
        <v>1087</v>
      </c>
      <c r="F69" s="763"/>
      <c r="G69" s="763">
        <v>6000.0</v>
      </c>
      <c r="H69" s="763">
        <v>93287.73</v>
      </c>
      <c r="I69" s="763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>
        <v>3914.0</v>
      </c>
      <c r="B70" s="765">
        <v>43343.0</v>
      </c>
      <c r="C70" s="764" t="s">
        <v>1088</v>
      </c>
      <c r="D70" s="764" t="s">
        <v>1091</v>
      </c>
      <c r="E70" s="764" t="s">
        <v>1087</v>
      </c>
      <c r="F70" s="763"/>
      <c r="G70" s="763">
        <v>6000.0</v>
      </c>
      <c r="H70" s="763">
        <v>87287.73</v>
      </c>
      <c r="I70" s="763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>
        <v>4098.0</v>
      </c>
      <c r="B71" s="765">
        <v>43373.0</v>
      </c>
      <c r="C71" s="764" t="s">
        <v>1088</v>
      </c>
      <c r="D71" s="764" t="s">
        <v>1091</v>
      </c>
      <c r="E71" s="764" t="s">
        <v>1087</v>
      </c>
      <c r="F71" s="763"/>
      <c r="G71" s="763">
        <v>6000.0</v>
      </c>
      <c r="H71" s="763">
        <v>81287.73</v>
      </c>
      <c r="I71" s="763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>
        <v>4114.0</v>
      </c>
      <c r="B72" s="765">
        <v>43375.0</v>
      </c>
      <c r="C72" s="764" t="s">
        <v>550</v>
      </c>
      <c r="D72" s="764" t="s">
        <v>1100</v>
      </c>
      <c r="E72" s="764" t="s">
        <v>570</v>
      </c>
      <c r="F72" s="763">
        <v>1.8E7</v>
      </c>
      <c r="G72" s="763"/>
      <c r="H72" s="763">
        <v>1.808128773E7</v>
      </c>
      <c r="I72" s="763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>
        <v>4508.0</v>
      </c>
      <c r="B73" s="765">
        <v>43375.0</v>
      </c>
      <c r="C73" s="764" t="s">
        <v>1002</v>
      </c>
      <c r="D73" s="764" t="s">
        <v>1101</v>
      </c>
      <c r="E73" s="764" t="s">
        <v>1074</v>
      </c>
      <c r="F73" s="763">
        <v>1.0E7</v>
      </c>
      <c r="G73" s="763"/>
      <c r="H73" s="763">
        <v>2.808128773E7</v>
      </c>
      <c r="I73" s="763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>
        <v>4510.0</v>
      </c>
      <c r="B74" s="765">
        <v>43376.0</v>
      </c>
      <c r="C74" s="764" t="s">
        <v>1002</v>
      </c>
      <c r="D74" s="764" t="s">
        <v>1007</v>
      </c>
      <c r="E74" s="764" t="s">
        <v>552</v>
      </c>
      <c r="F74" s="763"/>
      <c r="G74" s="763">
        <v>1.830463894E7</v>
      </c>
      <c r="H74" s="763">
        <v>9776648.79</v>
      </c>
      <c r="I74" s="763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>
        <v>4510.0</v>
      </c>
      <c r="B75" s="765">
        <v>43376.0</v>
      </c>
      <c r="C75" s="764" t="s">
        <v>1002</v>
      </c>
      <c r="D75" s="764" t="s">
        <v>1007</v>
      </c>
      <c r="E75" s="764" t="s">
        <v>552</v>
      </c>
      <c r="F75" s="763"/>
      <c r="G75" s="763">
        <v>113488.76</v>
      </c>
      <c r="H75" s="763">
        <v>9663160.03</v>
      </c>
      <c r="I75" s="763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>
        <v>4510.0</v>
      </c>
      <c r="B76" s="765">
        <v>43376.0</v>
      </c>
      <c r="C76" s="764" t="s">
        <v>1102</v>
      </c>
      <c r="D76" s="764" t="s">
        <v>1007</v>
      </c>
      <c r="E76" s="764" t="s">
        <v>552</v>
      </c>
      <c r="F76" s="763"/>
      <c r="G76" s="763">
        <v>124471.55</v>
      </c>
      <c r="H76" s="763">
        <v>9538688.48</v>
      </c>
      <c r="I76" s="763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>
        <v>4510.0</v>
      </c>
      <c r="B77" s="765">
        <v>43376.0</v>
      </c>
      <c r="C77" s="764" t="s">
        <v>1002</v>
      </c>
      <c r="D77" s="764" t="s">
        <v>1007</v>
      </c>
      <c r="E77" s="764" t="s">
        <v>552</v>
      </c>
      <c r="F77" s="763"/>
      <c r="G77" s="763">
        <v>9748536.99</v>
      </c>
      <c r="H77" s="763">
        <v>-209848.51</v>
      </c>
      <c r="I77" s="763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>
        <v>4510.0</v>
      </c>
      <c r="B78" s="765">
        <v>43376.0</v>
      </c>
      <c r="C78" s="764" t="s">
        <v>1102</v>
      </c>
      <c r="D78" s="764" t="s">
        <v>1007</v>
      </c>
      <c r="E78" s="764" t="s">
        <v>552</v>
      </c>
      <c r="F78" s="763"/>
      <c r="G78" s="763">
        <v>66290.06</v>
      </c>
      <c r="H78" s="763">
        <v>-276138.57</v>
      </c>
      <c r="I78" s="763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>
        <v>4242.0</v>
      </c>
      <c r="B79" s="765">
        <v>43377.0</v>
      </c>
      <c r="C79" s="764" t="s">
        <v>550</v>
      </c>
      <c r="D79" s="764" t="s">
        <v>1084</v>
      </c>
      <c r="E79" s="764" t="s">
        <v>570</v>
      </c>
      <c r="F79" s="763">
        <v>400000.0</v>
      </c>
      <c r="G79" s="763"/>
      <c r="H79" s="763">
        <v>123861.43</v>
      </c>
      <c r="I79" s="763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>
        <v>4806.0</v>
      </c>
      <c r="B80" s="765">
        <v>43381.0</v>
      </c>
      <c r="C80" s="764" t="s">
        <v>1102</v>
      </c>
      <c r="D80" s="764" t="s">
        <v>1086</v>
      </c>
      <c r="E80" s="764" t="s">
        <v>1096</v>
      </c>
      <c r="F80" s="763"/>
      <c r="G80" s="763">
        <v>60440.93</v>
      </c>
      <c r="H80" s="763">
        <v>63420.5</v>
      </c>
      <c r="I80" s="763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>
        <v>4509.0</v>
      </c>
      <c r="B81" s="765">
        <v>43404.0</v>
      </c>
      <c r="C81" s="764" t="s">
        <v>1088</v>
      </c>
      <c r="D81" s="764" t="s">
        <v>1103</v>
      </c>
      <c r="E81" s="764" t="s">
        <v>1090</v>
      </c>
      <c r="F81" s="763">
        <v>2769.66</v>
      </c>
      <c r="G81" s="763"/>
      <c r="H81" s="763">
        <v>66190.16</v>
      </c>
      <c r="I81" s="763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>
        <v>4807.0</v>
      </c>
      <c r="B82" s="765">
        <v>43404.0</v>
      </c>
      <c r="C82" s="764" t="s">
        <v>1102</v>
      </c>
      <c r="D82" s="764" t="s">
        <v>1091</v>
      </c>
      <c r="E82" s="764" t="s">
        <v>1087</v>
      </c>
      <c r="F82" s="763"/>
      <c r="G82" s="763">
        <v>6000.0</v>
      </c>
      <c r="H82" s="763">
        <v>60190.16</v>
      </c>
      <c r="I82" s="763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>
        <v>4808.0</v>
      </c>
      <c r="B83" s="765">
        <v>43434.0</v>
      </c>
      <c r="C83" s="764" t="s">
        <v>1088</v>
      </c>
      <c r="D83" s="764" t="s">
        <v>1091</v>
      </c>
      <c r="E83" s="764" t="s">
        <v>1087</v>
      </c>
      <c r="F83" s="763"/>
      <c r="G83" s="763">
        <v>6000.0</v>
      </c>
      <c r="H83" s="763">
        <v>54190.16</v>
      </c>
      <c r="I83" s="763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>
        <v>4947.0</v>
      </c>
      <c r="B84" s="765">
        <v>43465.0</v>
      </c>
      <c r="C84" s="764" t="s">
        <v>1088</v>
      </c>
      <c r="D84" s="764" t="s">
        <v>1091</v>
      </c>
      <c r="E84" s="764" t="s">
        <v>1087</v>
      </c>
      <c r="F84" s="763"/>
      <c r="G84" s="763">
        <v>6000.0</v>
      </c>
      <c r="H84" s="763">
        <v>48190.16</v>
      </c>
      <c r="I84" s="763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2">
        <v>6.1621853982E8</v>
      </c>
      <c r="G85" s="762">
        <v>6.1814769105E8</v>
      </c>
      <c r="H85" s="762">
        <v>48190.16</v>
      </c>
      <c r="I85" s="763">
        <f>SUM(I4:I84)</f>
        <v>263406485.1</v>
      </c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3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3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3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3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3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3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3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3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3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3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3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3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3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3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3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3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3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3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3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3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3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3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3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3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3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3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3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3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3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3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3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3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3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3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3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3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3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3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3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3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3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3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3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3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3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3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3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3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3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3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3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3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3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3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3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3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3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3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3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3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3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3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3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3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3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3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3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3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3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3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3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3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3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3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3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3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3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3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3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3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3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3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3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3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3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3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3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3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3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3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3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3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3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3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3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3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3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3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3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3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3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3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3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3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3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3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3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3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3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3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3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3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3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3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3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3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3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3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3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3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3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3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3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3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3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3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3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3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3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3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3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3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3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3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3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3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3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3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3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3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3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3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3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3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3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3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3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3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3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3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3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3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3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3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3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3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3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3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3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3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3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3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3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3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3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3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3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3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3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3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3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3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3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3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3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3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3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3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3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3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3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3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3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3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3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3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3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3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3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3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3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3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3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3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3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3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3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3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3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3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3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3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3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3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3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3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3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3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3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3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3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3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3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3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3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3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3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3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3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3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3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3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3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3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3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3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3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3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3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3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3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3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3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3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3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3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3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3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3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3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3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3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3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3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3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3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3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3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3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3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3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3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3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3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3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3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3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3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3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3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3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3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3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3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3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3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3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3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3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3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3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3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3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3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3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3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3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3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3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3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3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3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3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3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3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3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3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3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3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3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3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3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3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3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3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3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3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3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3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3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3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3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3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3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3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3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3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3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3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3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3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3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3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3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3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3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3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3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3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3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3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3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3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3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3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3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3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3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3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3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3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3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3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3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3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3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3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3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3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3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3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3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3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3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3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3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3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3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3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3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3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3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3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3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3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3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3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3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3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3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3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3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3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3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3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3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3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3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3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3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3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3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3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3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3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3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3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3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3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3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3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3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3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3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3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3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3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3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3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3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3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3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3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3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3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3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3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3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3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3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3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3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3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3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3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3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3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3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3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3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3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3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3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3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3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3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3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3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3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3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3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3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3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3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3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3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3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3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3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3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3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3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3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3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3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3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3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3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3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3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3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3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3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3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3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3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3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3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3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3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3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3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3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3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3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3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3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3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3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3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3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3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3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3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3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3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3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3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3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3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3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3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3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3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3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3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3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3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3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3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3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3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3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3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3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3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3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3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3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3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3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3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3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3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3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3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3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3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3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3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3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3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3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3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3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3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3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3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3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3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3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3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3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3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3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3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3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3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3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3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3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3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3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3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3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3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3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3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3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3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3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3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3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3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3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3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3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3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3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3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3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3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3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3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3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3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3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3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3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3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3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3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3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3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3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3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3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3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3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3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3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3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3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3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3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3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3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3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3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3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3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3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3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3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3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3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3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3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3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3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3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3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3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3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3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3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3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3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3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3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3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3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3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3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3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3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3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3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3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3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3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3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3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3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3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3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3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3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3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3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3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3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3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3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3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3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3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3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3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3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3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3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3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3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3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3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3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3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3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3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3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3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3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3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3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3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3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3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3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3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3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3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3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3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3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3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3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3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3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3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3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3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3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3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3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3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3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3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3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3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3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3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3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3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3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3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3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3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3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3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3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3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3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3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3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3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3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3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3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3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3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3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3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3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3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3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3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3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3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3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3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3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3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3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3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3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3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3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3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3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3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3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3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3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3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3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3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3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3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3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3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3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3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3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3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3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3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3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3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3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3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3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3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3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3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3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3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3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3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3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3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3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3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3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3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3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3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3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3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3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3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3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3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3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3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3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3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3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3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3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3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3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3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3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3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3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3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3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3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3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3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3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3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3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3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3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3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3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3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3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3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3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3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3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3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3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3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3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3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3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3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3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3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3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3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3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3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3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3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3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3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3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3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3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3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3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3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3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3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3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3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3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3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3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3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3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3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3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3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3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3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3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3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3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3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3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3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3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3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3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3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3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3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3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3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3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3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3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3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3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3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3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3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3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3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3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3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3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3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3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3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3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3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3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3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3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3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3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3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3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3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3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3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3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3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3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3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3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3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3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3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3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3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3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3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3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3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3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3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3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3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3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3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3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3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3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3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3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3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3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3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3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3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3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3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3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3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3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3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3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3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3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3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3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3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3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3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3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3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3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3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3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3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3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3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3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3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3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3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3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3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3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3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3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3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31.14"/>
    <col customWidth="1" min="3" max="3" width="6.86"/>
    <col customWidth="1" min="4" max="4" width="8.29"/>
    <col customWidth="1" min="5" max="5" width="6.86"/>
    <col customWidth="1" min="6" max="6" width="7.29"/>
    <col customWidth="1" min="7" max="7" width="7.43"/>
    <col customWidth="1" min="8" max="8" width="8.71"/>
    <col customWidth="1" min="9" max="9" width="6.86"/>
    <col customWidth="1" min="10" max="10" width="7.29"/>
    <col customWidth="1" min="11" max="14" width="8.14"/>
    <col customWidth="1" min="15" max="15" width="8.71"/>
    <col customWidth="1" min="16" max="16" width="7.71"/>
    <col customWidth="1" min="17" max="26" width="8.86"/>
  </cols>
  <sheetData>
    <row r="1" ht="14.25" customHeight="1">
      <c r="I1" s="172" t="s">
        <v>144</v>
      </c>
      <c r="J1" s="173"/>
      <c r="K1" s="173"/>
      <c r="L1" s="173"/>
      <c r="M1" s="173"/>
      <c r="N1" s="173"/>
      <c r="O1" s="173"/>
      <c r="P1" s="174"/>
    </row>
    <row r="2" ht="14.25" customHeight="1">
      <c r="A2" s="175"/>
      <c r="B2" s="176" t="s">
        <v>65</v>
      </c>
      <c r="C2" s="177" t="s">
        <v>145</v>
      </c>
      <c r="D2" s="178"/>
      <c r="E2" s="178"/>
      <c r="F2" s="178"/>
      <c r="G2" s="178"/>
      <c r="H2" s="178"/>
      <c r="I2" s="178"/>
      <c r="J2" s="179"/>
      <c r="K2" s="179"/>
      <c r="L2" s="179"/>
      <c r="M2" s="179"/>
      <c r="N2" s="179"/>
      <c r="O2" s="180" t="s">
        <v>146</v>
      </c>
      <c r="P2" s="181"/>
      <c r="Q2" s="175"/>
      <c r="R2" s="175"/>
      <c r="S2" s="175"/>
      <c r="T2" s="175"/>
      <c r="U2" s="175"/>
      <c r="V2" s="175"/>
      <c r="W2" s="175"/>
      <c r="X2" s="175"/>
      <c r="Y2" s="175"/>
      <c r="Z2" s="175"/>
    </row>
    <row r="3" ht="14.25" customHeight="1">
      <c r="A3" s="175"/>
      <c r="B3" s="182"/>
      <c r="C3" s="183" t="s">
        <v>147</v>
      </c>
      <c r="D3" s="183" t="s">
        <v>148</v>
      </c>
      <c r="E3" s="183" t="s">
        <v>149</v>
      </c>
      <c r="F3" s="183" t="s">
        <v>150</v>
      </c>
      <c r="G3" s="183" t="s">
        <v>151</v>
      </c>
      <c r="H3" s="183" t="s">
        <v>152</v>
      </c>
      <c r="I3" s="184" t="s">
        <v>153</v>
      </c>
      <c r="J3" s="184" t="s">
        <v>154</v>
      </c>
      <c r="K3" s="184" t="s">
        <v>155</v>
      </c>
      <c r="L3" s="184" t="s">
        <v>156</v>
      </c>
      <c r="M3" s="184" t="s">
        <v>157</v>
      </c>
      <c r="N3" s="184" t="s">
        <v>158</v>
      </c>
      <c r="O3" s="185"/>
      <c r="P3" s="181"/>
      <c r="Q3" s="175"/>
      <c r="R3" s="175"/>
      <c r="S3" s="175"/>
      <c r="T3" s="175"/>
      <c r="U3" s="175"/>
      <c r="V3" s="175"/>
      <c r="W3" s="175"/>
      <c r="X3" s="175"/>
      <c r="Y3" s="175"/>
      <c r="Z3" s="175"/>
    </row>
    <row r="4" ht="14.25" customHeight="1">
      <c r="A4" s="175"/>
      <c r="B4" s="186" t="s">
        <v>159</v>
      </c>
      <c r="C4" s="187">
        <v>0.351</v>
      </c>
      <c r="D4" s="188">
        <v>1554.63</v>
      </c>
      <c r="E4" s="188">
        <v>1983.3</v>
      </c>
      <c r="F4" s="187">
        <v>5.61</v>
      </c>
      <c r="G4" s="188">
        <v>396.0</v>
      </c>
      <c r="H4" s="188">
        <f>1091.64+4041898.814+2089-21</f>
        <v>4045058.454</v>
      </c>
      <c r="I4" s="188">
        <v>21.0</v>
      </c>
      <c r="J4" s="189">
        <v>14.0</v>
      </c>
      <c r="K4" s="189">
        <v>2.0</v>
      </c>
      <c r="L4" s="189"/>
      <c r="M4" s="189"/>
      <c r="N4" s="189"/>
      <c r="O4" s="190">
        <f t="shared" ref="O4:O9" si="1">SUM(C4:L4)</f>
        <v>4049035.345</v>
      </c>
      <c r="P4" s="181">
        <f>4041898.814+5031.18+351.167+1753.904-O4</f>
        <v>-0.2799999998</v>
      </c>
      <c r="Q4" s="175"/>
      <c r="R4" s="175"/>
      <c r="S4" s="175"/>
      <c r="T4" s="175"/>
      <c r="U4" s="175"/>
      <c r="V4" s="175"/>
      <c r="W4" s="175"/>
      <c r="X4" s="175"/>
      <c r="Y4" s="175"/>
      <c r="Z4" s="175"/>
    </row>
    <row r="5" ht="14.25" customHeight="1">
      <c r="A5" s="175"/>
      <c r="B5" s="186" t="s">
        <v>72</v>
      </c>
      <c r="C5" s="187">
        <f>978.4+10419.951+1022.831</f>
        <v>12421.182</v>
      </c>
      <c r="D5" s="188">
        <f>(1432.2-978.4)+9474.77+2916.666</f>
        <v>12845.236</v>
      </c>
      <c r="E5" s="188">
        <f>(1649.015-1432.2)+11076.576+2250</f>
        <v>13543.391</v>
      </c>
      <c r="F5" s="187">
        <f>(1676.664-1649.015)+8572.255+1833.33</f>
        <v>10433.234</v>
      </c>
      <c r="G5" s="188">
        <f>(2073.014-1676.66)+8590.721</f>
        <v>8987.075</v>
      </c>
      <c r="H5" s="188">
        <f>2672.99-2073.014+21398.884-600</f>
        <v>21398.86</v>
      </c>
      <c r="I5" s="188">
        <f>2997.863-2672.99+24701.012+600</f>
        <v>25625.885</v>
      </c>
      <c r="J5" s="189">
        <v>22862.0</v>
      </c>
      <c r="K5" s="189">
        <v>21294.0</v>
      </c>
      <c r="L5" s="189">
        <v>25305.0</v>
      </c>
      <c r="M5" s="189"/>
      <c r="N5" s="189"/>
      <c r="O5" s="190">
        <f t="shared" si="1"/>
        <v>174715.863</v>
      </c>
      <c r="P5" s="181" t="str">
        <f>+O5-'[1]СТ-өртөг'!H34</f>
        <v>#REF!</v>
      </c>
      <c r="Q5" s="175"/>
      <c r="R5" s="175"/>
      <c r="S5" s="175"/>
      <c r="T5" s="175"/>
      <c r="U5" s="175"/>
      <c r="V5" s="175"/>
      <c r="W5" s="175"/>
      <c r="X5" s="175"/>
      <c r="Y5" s="175"/>
      <c r="Z5" s="175"/>
    </row>
    <row r="6" ht="14.25" customHeight="1">
      <c r="A6" s="175"/>
      <c r="B6" s="186" t="s">
        <v>73</v>
      </c>
      <c r="C6" s="187">
        <v>0.0</v>
      </c>
      <c r="D6" s="188">
        <v>45000.0</v>
      </c>
      <c r="E6" s="188">
        <v>5000.0</v>
      </c>
      <c r="F6" s="187">
        <v>0.0</v>
      </c>
      <c r="G6" s="188">
        <v>22500.0</v>
      </c>
      <c r="H6" s="188">
        <v>106528.986</v>
      </c>
      <c r="I6" s="188"/>
      <c r="J6" s="189">
        <v>0.0</v>
      </c>
      <c r="K6" s="189">
        <v>10000.0</v>
      </c>
      <c r="L6" s="189"/>
      <c r="M6" s="189"/>
      <c r="N6" s="189"/>
      <c r="O6" s="190">
        <f t="shared" si="1"/>
        <v>189028.986</v>
      </c>
      <c r="P6" s="181" t="str">
        <f>+O6-'[1]СТ-өртөг'!G35</f>
        <v>#REF!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</row>
    <row r="7" ht="14.25" customHeight="1">
      <c r="A7" s="175"/>
      <c r="B7" s="186" t="s">
        <v>74</v>
      </c>
      <c r="C7" s="187">
        <f>41493.709/3</f>
        <v>13831.23633</v>
      </c>
      <c r="D7" s="188">
        <f t="shared" ref="D7:E7" si="2">+C7</f>
        <v>13831.23633</v>
      </c>
      <c r="E7" s="188">
        <f t="shared" si="2"/>
        <v>13831.23633</v>
      </c>
      <c r="F7" s="187">
        <v>2272.727</v>
      </c>
      <c r="G7" s="188">
        <v>9090.327</v>
      </c>
      <c r="H7" s="188">
        <v>22044.291</v>
      </c>
      <c r="I7" s="188">
        <v>10226.691</v>
      </c>
      <c r="J7" s="189">
        <v>10527.0</v>
      </c>
      <c r="K7" s="189">
        <v>8481.0</v>
      </c>
      <c r="L7" s="189">
        <v>1364.0</v>
      </c>
      <c r="M7" s="189"/>
      <c r="N7" s="189"/>
      <c r="O7" s="190">
        <f t="shared" si="1"/>
        <v>105499.745</v>
      </c>
      <c r="P7" s="181" t="str">
        <f t="shared" ref="P7:P9" si="3">+O7-'[1]СТ-өртөг'!H36</f>
        <v>#REF!</v>
      </c>
      <c r="Q7" s="175"/>
      <c r="R7" s="175"/>
      <c r="S7" s="175"/>
      <c r="T7" s="175"/>
      <c r="U7" s="175"/>
      <c r="V7" s="175"/>
      <c r="W7" s="175"/>
      <c r="X7" s="175"/>
      <c r="Y7" s="175"/>
      <c r="Z7" s="175"/>
    </row>
    <row r="8" ht="14.25" customHeight="1">
      <c r="A8" s="175"/>
      <c r="B8" s="186" t="s">
        <v>75</v>
      </c>
      <c r="C8" s="187">
        <v>1000.0</v>
      </c>
      <c r="D8" s="188">
        <v>4000.0</v>
      </c>
      <c r="E8" s="188">
        <v>47002.717</v>
      </c>
      <c r="F8" s="187">
        <v>7000.0</v>
      </c>
      <c r="G8" s="188">
        <v>2000.0</v>
      </c>
      <c r="H8" s="188">
        <v>45095.92</v>
      </c>
      <c r="I8" s="188">
        <v>20432.513</v>
      </c>
      <c r="J8" s="189">
        <v>20433.0</v>
      </c>
      <c r="K8" s="189">
        <v>5000.0</v>
      </c>
      <c r="L8" s="189">
        <v>-74324.0</v>
      </c>
      <c r="M8" s="189"/>
      <c r="N8" s="189"/>
      <c r="O8" s="190">
        <f t="shared" si="1"/>
        <v>77640.15</v>
      </c>
      <c r="P8" s="181" t="str">
        <f t="shared" si="3"/>
        <v>#REF!</v>
      </c>
      <c r="Q8" s="175"/>
      <c r="R8" s="175"/>
      <c r="S8" s="175"/>
      <c r="T8" s="175"/>
      <c r="U8" s="175"/>
      <c r="V8" s="175"/>
      <c r="W8" s="175"/>
      <c r="X8" s="175"/>
      <c r="Y8" s="175"/>
      <c r="Z8" s="175"/>
    </row>
    <row r="9" ht="14.25" customHeight="1">
      <c r="A9" s="175"/>
      <c r="B9" s="191" t="s">
        <v>84</v>
      </c>
      <c r="C9" s="192">
        <f>-10450.394+37982.885</f>
        <v>27532.491</v>
      </c>
      <c r="D9" s="193">
        <f>-3016.221+16598.901</f>
        <v>13582.68</v>
      </c>
      <c r="E9" s="193">
        <f>-8149.49+11930.939</f>
        <v>3781.449</v>
      </c>
      <c r="F9" s="192">
        <f>-10952.744+4763.377</f>
        <v>-6189.367</v>
      </c>
      <c r="G9" s="193">
        <f>-38166.996+19218.883</f>
        <v>-18948.113</v>
      </c>
      <c r="H9" s="193">
        <f>-84113.949+127581.47-2153</f>
        <v>41314.521</v>
      </c>
      <c r="I9" s="193">
        <f>-35462.614+61477.115-1875</f>
        <v>24139.501</v>
      </c>
      <c r="J9" s="194">
        <v>6318.0</v>
      </c>
      <c r="K9" s="194">
        <v>3326.0</v>
      </c>
      <c r="L9" s="194">
        <v>-3624.0</v>
      </c>
      <c r="M9" s="194"/>
      <c r="N9" s="194"/>
      <c r="O9" s="190">
        <f t="shared" si="1"/>
        <v>91233.162</v>
      </c>
      <c r="P9" s="181" t="str">
        <f t="shared" si="3"/>
        <v>#REF!</v>
      </c>
      <c r="Q9" s="175"/>
      <c r="R9" s="175"/>
      <c r="S9" s="175"/>
      <c r="T9" s="175"/>
      <c r="U9" s="175"/>
      <c r="V9" s="175"/>
      <c r="W9" s="175"/>
      <c r="X9" s="175"/>
      <c r="Y9" s="175"/>
      <c r="Z9" s="175"/>
    </row>
    <row r="10" ht="14.25" customHeight="1">
      <c r="A10" s="175"/>
      <c r="B10" s="195" t="s">
        <v>160</v>
      </c>
      <c r="C10" s="196">
        <f t="shared" ref="C10:O10" si="4">SUM(C4:C9)</f>
        <v>54785.26033</v>
      </c>
      <c r="D10" s="196">
        <f t="shared" si="4"/>
        <v>90813.78233</v>
      </c>
      <c r="E10" s="196">
        <f t="shared" si="4"/>
        <v>85142.09333</v>
      </c>
      <c r="F10" s="196">
        <f t="shared" si="4"/>
        <v>13522.204</v>
      </c>
      <c r="G10" s="196">
        <f t="shared" si="4"/>
        <v>24025.289</v>
      </c>
      <c r="H10" s="196">
        <f t="shared" si="4"/>
        <v>4281441.032</v>
      </c>
      <c r="I10" s="196">
        <f t="shared" si="4"/>
        <v>80445.59</v>
      </c>
      <c r="J10" s="197">
        <f t="shared" si="4"/>
        <v>60154</v>
      </c>
      <c r="K10" s="197">
        <f t="shared" si="4"/>
        <v>48103</v>
      </c>
      <c r="L10" s="197">
        <f t="shared" si="4"/>
        <v>-51279</v>
      </c>
      <c r="M10" s="197">
        <f t="shared" si="4"/>
        <v>0</v>
      </c>
      <c r="N10" s="197">
        <f t="shared" si="4"/>
        <v>0</v>
      </c>
      <c r="O10" s="198">
        <f t="shared" si="4"/>
        <v>4687153.251</v>
      </c>
      <c r="P10" s="181" t="str">
        <f>+O10-'[1]СТ-өртөг'!H46-'[1]СТ-өртөг'!H39</f>
        <v>#REF!</v>
      </c>
      <c r="Q10" s="181"/>
      <c r="R10" s="181"/>
      <c r="S10" s="181"/>
      <c r="T10" s="175"/>
      <c r="U10" s="175"/>
      <c r="V10" s="175"/>
      <c r="W10" s="175"/>
      <c r="X10" s="175"/>
      <c r="Y10" s="175"/>
      <c r="Z10" s="175"/>
    </row>
    <row r="11" ht="14.25" customHeight="1">
      <c r="A11" s="175"/>
      <c r="B11" s="199" t="s">
        <v>161</v>
      </c>
      <c r="C11" s="200">
        <f>10883.864+1185.294</f>
        <v>12069.158</v>
      </c>
      <c r="D11" s="201">
        <f>11992.829+1307.943</f>
        <v>13300.772</v>
      </c>
      <c r="E11" s="201">
        <f>10730.79+1180.386</f>
        <v>11911.176</v>
      </c>
      <c r="F11" s="200">
        <f>11554.471+1270.991</f>
        <v>12825.462</v>
      </c>
      <c r="G11" s="201">
        <f>31532.554+1073.636+3428.03</f>
        <v>36034.22</v>
      </c>
      <c r="H11" s="201">
        <f>15988.042+1745.294+1350</f>
        <v>19083.336</v>
      </c>
      <c r="I11" s="201">
        <f>16902.718+1880.368-1350</f>
        <v>17433.086</v>
      </c>
      <c r="J11" s="202">
        <v>19798.0</v>
      </c>
      <c r="K11" s="202">
        <v>23562.0</v>
      </c>
      <c r="L11" s="202">
        <v>24048.0</v>
      </c>
      <c r="M11" s="202">
        <v>24048.0</v>
      </c>
      <c r="N11" s="202">
        <v>24048.0</v>
      </c>
      <c r="O11" s="190">
        <f t="shared" ref="O11:O13" si="6">SUM(C11:L11)</f>
        <v>190065.21</v>
      </c>
      <c r="P11" s="181" t="str">
        <f t="shared" ref="P11:P14" si="7">+O11-'[1]СТ-өртөг'!H40</f>
        <v>#REF!</v>
      </c>
      <c r="Q11" s="175"/>
      <c r="R11" s="175"/>
      <c r="S11" s="175"/>
      <c r="T11" s="175"/>
      <c r="U11" s="175"/>
      <c r="V11" s="175"/>
      <c r="W11" s="175"/>
      <c r="X11" s="175"/>
      <c r="Y11" s="175"/>
      <c r="Z11" s="175"/>
    </row>
    <row r="12" ht="14.25" customHeight="1">
      <c r="A12" s="175"/>
      <c r="B12" s="186" t="s">
        <v>162</v>
      </c>
      <c r="C12" s="188">
        <f t="shared" ref="C12:N12" si="5">+C19</f>
        <v>22003.043</v>
      </c>
      <c r="D12" s="188">
        <f t="shared" si="5"/>
        <v>34100.074</v>
      </c>
      <c r="E12" s="188">
        <f t="shared" si="5"/>
        <v>34536.369</v>
      </c>
      <c r="F12" s="188">
        <f t="shared" si="5"/>
        <v>32706.702</v>
      </c>
      <c r="G12" s="188">
        <f t="shared" si="5"/>
        <v>57858.191</v>
      </c>
      <c r="H12" s="188">
        <f t="shared" si="5"/>
        <v>200316.739</v>
      </c>
      <c r="I12" s="188">
        <f t="shared" si="5"/>
        <v>68059.295</v>
      </c>
      <c r="J12" s="189">
        <f t="shared" si="5"/>
        <v>41011.49</v>
      </c>
      <c r="K12" s="189">
        <f t="shared" si="5"/>
        <v>55556</v>
      </c>
      <c r="L12" s="189">
        <f t="shared" si="5"/>
        <v>27242</v>
      </c>
      <c r="M12" s="189">
        <f t="shared" si="5"/>
        <v>0</v>
      </c>
      <c r="N12" s="189">
        <f t="shared" si="5"/>
        <v>0</v>
      </c>
      <c r="O12" s="190">
        <f t="shared" si="6"/>
        <v>573389.903</v>
      </c>
      <c r="P12" s="203" t="str">
        <f t="shared" si="7"/>
        <v>#REF!</v>
      </c>
      <c r="Q12" s="175"/>
      <c r="R12" s="175"/>
      <c r="S12" s="175"/>
      <c r="T12" s="175"/>
      <c r="U12" s="175"/>
      <c r="V12" s="175"/>
      <c r="W12" s="175"/>
      <c r="X12" s="175"/>
      <c r="Y12" s="175"/>
      <c r="Z12" s="175"/>
    </row>
    <row r="13" ht="14.25" customHeight="1">
      <c r="A13" s="175"/>
      <c r="B13" s="191" t="s">
        <v>163</v>
      </c>
      <c r="C13" s="193">
        <f t="shared" ref="C13:N13" si="8">+C28</f>
        <v>3077.63</v>
      </c>
      <c r="D13" s="193">
        <f t="shared" si="8"/>
        <v>2929.2</v>
      </c>
      <c r="E13" s="193">
        <f t="shared" si="8"/>
        <v>3274.483</v>
      </c>
      <c r="F13" s="193">
        <f t="shared" si="8"/>
        <v>1491.841</v>
      </c>
      <c r="G13" s="193">
        <f t="shared" si="8"/>
        <v>6738.317</v>
      </c>
      <c r="H13" s="193">
        <f t="shared" si="8"/>
        <v>23114.19</v>
      </c>
      <c r="I13" s="193">
        <f t="shared" si="8"/>
        <v>30.845</v>
      </c>
      <c r="J13" s="194">
        <f t="shared" si="8"/>
        <v>14132</v>
      </c>
      <c r="K13" s="194">
        <f t="shared" si="8"/>
        <v>2575</v>
      </c>
      <c r="L13" s="194">
        <f t="shared" si="8"/>
        <v>8655</v>
      </c>
      <c r="M13" s="194">
        <f t="shared" si="8"/>
        <v>0</v>
      </c>
      <c r="N13" s="194">
        <f t="shared" si="8"/>
        <v>0</v>
      </c>
      <c r="O13" s="190">
        <f t="shared" si="6"/>
        <v>66018.506</v>
      </c>
      <c r="P13" s="181" t="str">
        <f t="shared" si="7"/>
        <v>#REF!</v>
      </c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ht="14.25" customHeight="1">
      <c r="A14" s="175"/>
      <c r="B14" s="195" t="s">
        <v>82</v>
      </c>
      <c r="C14" s="196">
        <f t="shared" ref="C14:O14" si="9">SUM(C11:C13)</f>
        <v>37149.831</v>
      </c>
      <c r="D14" s="196">
        <f t="shared" si="9"/>
        <v>50330.046</v>
      </c>
      <c r="E14" s="196">
        <f t="shared" si="9"/>
        <v>49722.028</v>
      </c>
      <c r="F14" s="196">
        <f t="shared" si="9"/>
        <v>47024.005</v>
      </c>
      <c r="G14" s="196">
        <f t="shared" si="9"/>
        <v>100630.728</v>
      </c>
      <c r="H14" s="196">
        <f t="shared" si="9"/>
        <v>242514.265</v>
      </c>
      <c r="I14" s="196">
        <f t="shared" si="9"/>
        <v>85523.226</v>
      </c>
      <c r="J14" s="197">
        <f t="shared" si="9"/>
        <v>74941.49</v>
      </c>
      <c r="K14" s="197">
        <f t="shared" si="9"/>
        <v>81693</v>
      </c>
      <c r="L14" s="197">
        <f t="shared" si="9"/>
        <v>59945</v>
      </c>
      <c r="M14" s="197">
        <f t="shared" si="9"/>
        <v>24048</v>
      </c>
      <c r="N14" s="197">
        <f t="shared" si="9"/>
        <v>24048</v>
      </c>
      <c r="O14" s="198">
        <f t="shared" si="9"/>
        <v>829473.619</v>
      </c>
      <c r="P14" s="181" t="str">
        <f t="shared" si="7"/>
        <v>#REF!</v>
      </c>
      <c r="Q14" s="175"/>
      <c r="R14" s="175"/>
      <c r="S14" s="175"/>
      <c r="T14" s="175"/>
      <c r="U14" s="175"/>
      <c r="V14" s="175"/>
      <c r="W14" s="175"/>
      <c r="X14" s="175"/>
      <c r="Y14" s="175"/>
      <c r="Z14" s="175"/>
    </row>
    <row r="15" ht="14.25" customHeight="1">
      <c r="A15" s="175"/>
      <c r="B15" s="204" t="s">
        <v>164</v>
      </c>
      <c r="C15" s="205">
        <f t="shared" ref="C15:O15" si="10">+C10-C14</f>
        <v>17635.42933</v>
      </c>
      <c r="D15" s="205">
        <f t="shared" si="10"/>
        <v>40483.73633</v>
      </c>
      <c r="E15" s="205">
        <f t="shared" si="10"/>
        <v>35420.06533</v>
      </c>
      <c r="F15" s="205">
        <f t="shared" si="10"/>
        <v>-33501.801</v>
      </c>
      <c r="G15" s="205">
        <f t="shared" si="10"/>
        <v>-76605.439</v>
      </c>
      <c r="H15" s="205">
        <f t="shared" si="10"/>
        <v>4038926.767</v>
      </c>
      <c r="I15" s="205">
        <f t="shared" si="10"/>
        <v>-5077.636</v>
      </c>
      <c r="J15" s="206">
        <f t="shared" si="10"/>
        <v>-14787.49</v>
      </c>
      <c r="K15" s="206">
        <f t="shared" si="10"/>
        <v>-33590</v>
      </c>
      <c r="L15" s="206">
        <f t="shared" si="10"/>
        <v>-111224</v>
      </c>
      <c r="M15" s="206">
        <f t="shared" si="10"/>
        <v>-24048</v>
      </c>
      <c r="N15" s="206">
        <f t="shared" si="10"/>
        <v>-24048</v>
      </c>
      <c r="O15" s="207">
        <f t="shared" si="10"/>
        <v>3857679.632</v>
      </c>
      <c r="P15" s="181" t="str">
        <f t="shared" ref="P15:P17" si="11">+O15-'[1]СТ-өртөг'!H48</f>
        <v>#REF!</v>
      </c>
      <c r="Q15" s="181"/>
      <c r="R15" s="175"/>
      <c r="S15" s="175"/>
      <c r="T15" s="175"/>
      <c r="U15" s="175"/>
      <c r="V15" s="175"/>
      <c r="W15" s="175"/>
      <c r="X15" s="175"/>
      <c r="Y15" s="175"/>
      <c r="Z15" s="175"/>
    </row>
    <row r="16" ht="14.25" customHeight="1">
      <c r="A16" s="175"/>
      <c r="B16" s="186" t="s">
        <v>87</v>
      </c>
      <c r="C16" s="187"/>
      <c r="D16" s="188"/>
      <c r="E16" s="188"/>
      <c r="F16" s="187"/>
      <c r="G16" s="188"/>
      <c r="H16" s="188">
        <v>407861.0</v>
      </c>
      <c r="I16" s="188">
        <v>-685.0</v>
      </c>
      <c r="J16" s="189">
        <v>-1860.0</v>
      </c>
      <c r="K16" s="189">
        <v>-110535.0</v>
      </c>
      <c r="L16" s="189"/>
      <c r="M16" s="189"/>
      <c r="N16" s="189"/>
      <c r="O16" s="190">
        <f>+H16+I16+J16+K16+L16</f>
        <v>294781</v>
      </c>
      <c r="P16" s="181" t="str">
        <f t="shared" si="11"/>
        <v>#REF!</v>
      </c>
      <c r="Q16" s="175"/>
      <c r="R16" s="175"/>
      <c r="S16" s="175"/>
      <c r="T16" s="175"/>
      <c r="U16" s="175"/>
      <c r="V16" s="175"/>
      <c r="W16" s="175"/>
      <c r="X16" s="175"/>
      <c r="Y16" s="175"/>
      <c r="Z16" s="175"/>
    </row>
    <row r="17" ht="14.25" customHeight="1">
      <c r="A17" s="175"/>
      <c r="B17" s="195" t="s">
        <v>88</v>
      </c>
      <c r="C17" s="196">
        <f t="shared" ref="C17:O17" si="12">+C15-C16</f>
        <v>17635.42933</v>
      </c>
      <c r="D17" s="196">
        <f t="shared" si="12"/>
        <v>40483.73633</v>
      </c>
      <c r="E17" s="196">
        <f t="shared" si="12"/>
        <v>35420.06533</v>
      </c>
      <c r="F17" s="196">
        <f t="shared" si="12"/>
        <v>-33501.801</v>
      </c>
      <c r="G17" s="196">
        <f t="shared" si="12"/>
        <v>-76605.439</v>
      </c>
      <c r="H17" s="196">
        <f t="shared" si="12"/>
        <v>3631065.767</v>
      </c>
      <c r="I17" s="196">
        <f t="shared" si="12"/>
        <v>-4392.636</v>
      </c>
      <c r="J17" s="197">
        <f t="shared" si="12"/>
        <v>-12927.49</v>
      </c>
      <c r="K17" s="197">
        <f t="shared" si="12"/>
        <v>76945</v>
      </c>
      <c r="L17" s="197">
        <f t="shared" si="12"/>
        <v>-111224</v>
      </c>
      <c r="M17" s="197">
        <f t="shared" si="12"/>
        <v>-24048</v>
      </c>
      <c r="N17" s="197">
        <f t="shared" si="12"/>
        <v>-24048</v>
      </c>
      <c r="O17" s="198">
        <f t="shared" si="12"/>
        <v>3562898.632</v>
      </c>
      <c r="P17" s="181" t="str">
        <f t="shared" si="11"/>
        <v>#REF!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ht="14.25" customHeight="1">
      <c r="A18" s="175"/>
      <c r="B18" s="175"/>
      <c r="C18" s="175"/>
      <c r="D18" s="181">
        <f t="shared" ref="D18:E18" si="13">+D19-D12</f>
        <v>0</v>
      </c>
      <c r="E18" s="181">
        <f t="shared" si="13"/>
        <v>0</v>
      </c>
      <c r="F18" s="175"/>
      <c r="G18" s="181">
        <f t="shared" ref="G18:N18" si="14">+G19-G12</f>
        <v>0</v>
      </c>
      <c r="H18" s="181">
        <f t="shared" si="14"/>
        <v>0</v>
      </c>
      <c r="I18" s="181">
        <f t="shared" si="14"/>
        <v>0</v>
      </c>
      <c r="J18" s="181">
        <f t="shared" si="14"/>
        <v>0</v>
      </c>
      <c r="K18" s="181">
        <f t="shared" si="14"/>
        <v>0</v>
      </c>
      <c r="L18" s="181">
        <f t="shared" si="14"/>
        <v>0</v>
      </c>
      <c r="M18" s="181">
        <f t="shared" si="14"/>
        <v>0</v>
      </c>
      <c r="N18" s="181">
        <f t="shared" si="14"/>
        <v>0</v>
      </c>
      <c r="O18" s="181"/>
      <c r="P18" s="181"/>
      <c r="Q18" s="175"/>
      <c r="R18" s="175"/>
      <c r="S18" s="175"/>
      <c r="T18" s="175"/>
      <c r="U18" s="175"/>
      <c r="V18" s="175"/>
      <c r="W18" s="175"/>
      <c r="X18" s="175"/>
      <c r="Y18" s="175"/>
      <c r="Z18" s="175"/>
    </row>
    <row r="19" ht="14.25" customHeight="1">
      <c r="A19" s="175"/>
      <c r="B19" s="208" t="s">
        <v>162</v>
      </c>
      <c r="C19" s="209">
        <f t="shared" ref="C19:O19" si="15">SUM(C20:C26)</f>
        <v>22003.043</v>
      </c>
      <c r="D19" s="209">
        <f t="shared" si="15"/>
        <v>34100.074</v>
      </c>
      <c r="E19" s="209">
        <f t="shared" si="15"/>
        <v>34536.369</v>
      </c>
      <c r="F19" s="209">
        <f t="shared" si="15"/>
        <v>32706.702</v>
      </c>
      <c r="G19" s="209">
        <f t="shared" si="15"/>
        <v>57858.191</v>
      </c>
      <c r="H19" s="209">
        <f t="shared" si="15"/>
        <v>200316.739</v>
      </c>
      <c r="I19" s="209">
        <f t="shared" si="15"/>
        <v>68059.295</v>
      </c>
      <c r="J19" s="210">
        <f t="shared" si="15"/>
        <v>41011.49</v>
      </c>
      <c r="K19" s="210">
        <f t="shared" si="15"/>
        <v>55556</v>
      </c>
      <c r="L19" s="210">
        <f t="shared" si="15"/>
        <v>27242</v>
      </c>
      <c r="M19" s="210">
        <f t="shared" si="15"/>
        <v>0</v>
      </c>
      <c r="N19" s="210">
        <f t="shared" si="15"/>
        <v>0</v>
      </c>
      <c r="O19" s="211">
        <f t="shared" si="15"/>
        <v>573389.903</v>
      </c>
      <c r="P19" s="181" t="str">
        <f>+O19-'[1]СТ-өртөг'!H41</f>
        <v>#REF!</v>
      </c>
      <c r="Q19" s="175"/>
      <c r="R19" s="175"/>
      <c r="S19" s="175"/>
      <c r="T19" s="175"/>
      <c r="U19" s="175"/>
      <c r="V19" s="175"/>
      <c r="W19" s="175"/>
      <c r="X19" s="175"/>
      <c r="Y19" s="175"/>
      <c r="Z19" s="175"/>
    </row>
    <row r="20" ht="14.25" customHeight="1">
      <c r="A20" s="175"/>
      <c r="B20" s="186" t="s">
        <v>91</v>
      </c>
      <c r="C20" s="187">
        <v>10710.459</v>
      </c>
      <c r="D20" s="188">
        <v>11029.996</v>
      </c>
      <c r="E20" s="188">
        <v>20797.529</v>
      </c>
      <c r="F20" s="187">
        <f>22995.114-2090.464</f>
        <v>20904.65</v>
      </c>
      <c r="G20" s="188">
        <f>22713.8-2064.89</f>
        <v>20648.91</v>
      </c>
      <c r="H20" s="188">
        <f>33997.979-3090.725</f>
        <v>30907.254</v>
      </c>
      <c r="I20" s="188">
        <v>35000.457</v>
      </c>
      <c r="J20" s="189">
        <v>32166.99</v>
      </c>
      <c r="K20" s="189">
        <v>32271.0</v>
      </c>
      <c r="L20" s="189">
        <v>0.0</v>
      </c>
      <c r="M20" s="189"/>
      <c r="N20" s="189"/>
      <c r="O20" s="190">
        <f t="shared" ref="O20:O26" si="16">SUM(C20:L20)</f>
        <v>214437.245</v>
      </c>
      <c r="P20" s="181" t="str">
        <f t="shared" ref="P20:P26" si="17">+O20-'[1]СТ-өртөг'!H54</f>
        <v>#REF!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</row>
    <row r="21" ht="14.25" customHeight="1">
      <c r="A21" s="175"/>
      <c r="B21" s="186" t="s">
        <v>92</v>
      </c>
      <c r="C21" s="187">
        <f>489.166+2600.861+592-12+382.2+106.27+113.277</f>
        <v>4271.774</v>
      </c>
      <c r="D21" s="188">
        <f>2162.619+2600.861+290+1546.58+122.5+99.13+185.66+1000</f>
        <v>8007.35</v>
      </c>
      <c r="E21" s="188">
        <f>2046.35+2600.861+0+914.432+382.52+63.156+70+70.22</f>
        <v>6147.539</v>
      </c>
      <c r="F21" s="187">
        <f>1364.3+2600.861+1500+660+363.9+0</f>
        <v>6489.061</v>
      </c>
      <c r="G21" s="188">
        <f>1485.373+2600.861+492+1800.065+660+2476.409+62.728+973.674</f>
        <v>10551.11</v>
      </c>
      <c r="H21" s="188">
        <f>2834.712+2600.861+2374.903+2545.95+184.61+332.65+350-1351</f>
        <v>9872.686</v>
      </c>
      <c r="I21" s="188">
        <f>400+2600.861+592.455+459.305+1488.3+73.65+103.22+1352</f>
        <v>7069.791</v>
      </c>
      <c r="J21" s="189">
        <v>5074.0</v>
      </c>
      <c r="K21" s="189">
        <v>10178.0</v>
      </c>
      <c r="L21" s="189">
        <v>6831.0</v>
      </c>
      <c r="M21" s="189"/>
      <c r="N21" s="189"/>
      <c r="O21" s="190">
        <f t="shared" si="16"/>
        <v>74492.311</v>
      </c>
      <c r="P21" s="212" t="str">
        <f t="shared" si="17"/>
        <v>#REF!</v>
      </c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ht="14.25" customHeight="1">
      <c r="A22" s="175"/>
      <c r="B22" s="186" t="s">
        <v>93</v>
      </c>
      <c r="C22" s="187">
        <v>0.0</v>
      </c>
      <c r="D22" s="188">
        <v>0.0</v>
      </c>
      <c r="E22" s="188">
        <v>0.0</v>
      </c>
      <c r="F22" s="187">
        <v>2243.1</v>
      </c>
      <c r="G22" s="188">
        <v>5404.611</v>
      </c>
      <c r="H22" s="188">
        <v>2999.5</v>
      </c>
      <c r="I22" s="188">
        <v>3010.0</v>
      </c>
      <c r="J22" s="189">
        <v>2076.5</v>
      </c>
      <c r="K22" s="189">
        <v>1500.0</v>
      </c>
      <c r="L22" s="189">
        <v>1755.0</v>
      </c>
      <c r="M22" s="189"/>
      <c r="N22" s="189"/>
      <c r="O22" s="190">
        <f t="shared" si="16"/>
        <v>18988.711</v>
      </c>
      <c r="P22" s="181" t="str">
        <f t="shared" si="17"/>
        <v>#REF!</v>
      </c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ht="14.25" customHeight="1">
      <c r="A23" s="175"/>
      <c r="B23" s="186" t="s">
        <v>165</v>
      </c>
      <c r="C23" s="187">
        <v>3024.14</v>
      </c>
      <c r="D23" s="188">
        <v>0.0</v>
      </c>
      <c r="E23" s="188">
        <v>413.0</v>
      </c>
      <c r="F23" s="187">
        <f>630+1500</f>
        <v>2130</v>
      </c>
      <c r="G23" s="188">
        <f>380+6350.3</f>
        <v>6730.3</v>
      </c>
      <c r="H23" s="188">
        <v>37319.904</v>
      </c>
      <c r="I23" s="188">
        <f>480+5000</f>
        <v>5480</v>
      </c>
      <c r="J23" s="189">
        <v>100.0</v>
      </c>
      <c r="K23" s="189">
        <v>3130.0</v>
      </c>
      <c r="L23" s="189">
        <v>5790.0</v>
      </c>
      <c r="M23" s="189"/>
      <c r="N23" s="189"/>
      <c r="O23" s="190">
        <f t="shared" si="16"/>
        <v>64117.344</v>
      </c>
      <c r="P23" s="212" t="str">
        <f t="shared" si="17"/>
        <v>#REF!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</row>
    <row r="24" ht="14.25" customHeight="1">
      <c r="A24" s="175"/>
      <c r="B24" s="186" t="s">
        <v>95</v>
      </c>
      <c r="C24" s="187">
        <v>732.93</v>
      </c>
      <c r="D24" s="188">
        <f>1588.528+13.5</f>
        <v>1602.028</v>
      </c>
      <c r="E24" s="188">
        <f>1180.529+194+1689.1+354.4</f>
        <v>3418.029</v>
      </c>
      <c r="F24" s="187">
        <f>909.091+30.8</f>
        <v>939.891</v>
      </c>
      <c r="G24" s="188">
        <v>323.0</v>
      </c>
      <c r="H24" s="188">
        <f>2747.273+838.2+909.045</f>
        <v>4494.518</v>
      </c>
      <c r="I24" s="188">
        <f>1757.447+28</f>
        <v>1785.447</v>
      </c>
      <c r="J24" s="189">
        <v>596.0</v>
      </c>
      <c r="K24" s="189">
        <v>1000.0</v>
      </c>
      <c r="L24" s="189">
        <v>1465.0</v>
      </c>
      <c r="M24" s="189"/>
      <c r="N24" s="189"/>
      <c r="O24" s="190">
        <f t="shared" si="16"/>
        <v>16356.843</v>
      </c>
      <c r="P24" s="212" t="str">
        <f t="shared" si="17"/>
        <v>#REF!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</row>
    <row r="25" ht="14.25" customHeight="1">
      <c r="A25" s="175"/>
      <c r="B25" s="186" t="s">
        <v>166</v>
      </c>
      <c r="C25" s="187">
        <v>0.0</v>
      </c>
      <c r="D25" s="188">
        <v>0.0</v>
      </c>
      <c r="E25" s="188">
        <v>0.0</v>
      </c>
      <c r="F25" s="187">
        <v>0.0</v>
      </c>
      <c r="G25" s="188">
        <v>0.0</v>
      </c>
      <c r="H25" s="188">
        <f>30900+19489.3</f>
        <v>50389.3</v>
      </c>
      <c r="I25" s="188">
        <v>0.0</v>
      </c>
      <c r="J25" s="189">
        <v>0.0</v>
      </c>
      <c r="K25" s="189">
        <v>4565.0</v>
      </c>
      <c r="L25" s="189">
        <v>10500.0</v>
      </c>
      <c r="M25" s="189"/>
      <c r="N25" s="189"/>
      <c r="O25" s="190">
        <f t="shared" si="16"/>
        <v>65454.3</v>
      </c>
      <c r="P25" s="212" t="str">
        <f t="shared" si="17"/>
        <v>#REF!</v>
      </c>
      <c r="Q25" s="175"/>
      <c r="R25" s="175"/>
      <c r="S25" s="175"/>
      <c r="T25" s="175"/>
      <c r="U25" s="175"/>
      <c r="V25" s="175"/>
      <c r="W25" s="175"/>
      <c r="X25" s="175"/>
      <c r="Y25" s="175"/>
      <c r="Z25" s="175"/>
    </row>
    <row r="26" ht="14.25" customHeight="1">
      <c r="A26" s="175"/>
      <c r="B26" s="213" t="s">
        <v>167</v>
      </c>
      <c r="C26" s="214">
        <v>3263.74</v>
      </c>
      <c r="D26" s="215">
        <v>13460.7</v>
      </c>
      <c r="E26" s="215">
        <v>3760.272</v>
      </c>
      <c r="F26" s="214">
        <v>0.0</v>
      </c>
      <c r="G26" s="215">
        <v>14200.26</v>
      </c>
      <c r="H26" s="215">
        <v>64333.577</v>
      </c>
      <c r="I26" s="215">
        <v>15713.6</v>
      </c>
      <c r="J26" s="216">
        <v>998.0</v>
      </c>
      <c r="K26" s="216">
        <v>2912.0</v>
      </c>
      <c r="L26" s="216">
        <v>901.0</v>
      </c>
      <c r="M26" s="216"/>
      <c r="N26" s="216"/>
      <c r="O26" s="217">
        <f t="shared" si="16"/>
        <v>119543.149</v>
      </c>
      <c r="P26" s="212" t="str">
        <f t="shared" si="17"/>
        <v>#REF!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</row>
    <row r="27" ht="14.25" customHeight="1">
      <c r="A27" s="175"/>
      <c r="B27" s="175"/>
      <c r="C27" s="175"/>
      <c r="D27" s="181">
        <f t="shared" ref="D27:E27" si="18">+D28-D13</f>
        <v>0</v>
      </c>
      <c r="E27" s="181">
        <f t="shared" si="18"/>
        <v>0</v>
      </c>
      <c r="F27" s="175"/>
      <c r="G27" s="181">
        <f t="shared" ref="G27:N27" si="19">+G28-G13</f>
        <v>0</v>
      </c>
      <c r="H27" s="181">
        <f t="shared" si="19"/>
        <v>0</v>
      </c>
      <c r="I27" s="181">
        <f t="shared" si="19"/>
        <v>0</v>
      </c>
      <c r="J27" s="181">
        <f t="shared" si="19"/>
        <v>0</v>
      </c>
      <c r="K27" s="181">
        <f t="shared" si="19"/>
        <v>0</v>
      </c>
      <c r="L27" s="181">
        <f t="shared" si="19"/>
        <v>0</v>
      </c>
      <c r="M27" s="181">
        <f t="shared" si="19"/>
        <v>0</v>
      </c>
      <c r="N27" s="181">
        <f t="shared" si="19"/>
        <v>0</v>
      </c>
      <c r="O27" s="181"/>
      <c r="P27" s="181"/>
      <c r="Q27" s="175"/>
      <c r="R27" s="175"/>
      <c r="S27" s="175"/>
      <c r="T27" s="175"/>
      <c r="U27" s="175"/>
      <c r="V27" s="175"/>
      <c r="W27" s="175"/>
      <c r="X27" s="175"/>
      <c r="Y27" s="175"/>
      <c r="Z27" s="175"/>
    </row>
    <row r="28" ht="14.25" customHeight="1">
      <c r="A28" s="175"/>
      <c r="B28" s="208" t="s">
        <v>81</v>
      </c>
      <c r="C28" s="209">
        <f t="shared" ref="C28:O28" si="20">SUM(C29:C32)</f>
        <v>3077.63</v>
      </c>
      <c r="D28" s="209">
        <f t="shared" si="20"/>
        <v>2929.2</v>
      </c>
      <c r="E28" s="209">
        <f t="shared" si="20"/>
        <v>3274.483</v>
      </c>
      <c r="F28" s="209">
        <f t="shared" si="20"/>
        <v>1491.841</v>
      </c>
      <c r="G28" s="209">
        <f t="shared" si="20"/>
        <v>6738.317</v>
      </c>
      <c r="H28" s="209">
        <f t="shared" si="20"/>
        <v>23114.19</v>
      </c>
      <c r="I28" s="209">
        <f t="shared" si="20"/>
        <v>30.845</v>
      </c>
      <c r="J28" s="210">
        <f t="shared" si="20"/>
        <v>14132</v>
      </c>
      <c r="K28" s="210">
        <f t="shared" si="20"/>
        <v>2575</v>
      </c>
      <c r="L28" s="210">
        <f t="shared" si="20"/>
        <v>8655</v>
      </c>
      <c r="M28" s="210">
        <f t="shared" si="20"/>
        <v>0</v>
      </c>
      <c r="N28" s="210">
        <f t="shared" si="20"/>
        <v>0</v>
      </c>
      <c r="O28" s="211">
        <f t="shared" si="20"/>
        <v>66018.506</v>
      </c>
      <c r="P28" s="181" t="str">
        <f>+O28-'[1]СТ-өртөг'!H42</f>
        <v>#REF!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</row>
    <row r="29" ht="14.25" customHeight="1">
      <c r="A29" s="175"/>
      <c r="B29" s="186" t="s">
        <v>168</v>
      </c>
      <c r="C29" s="187">
        <v>3072.43</v>
      </c>
      <c r="D29" s="188">
        <v>2927.0</v>
      </c>
      <c r="E29" s="188">
        <v>2011.0</v>
      </c>
      <c r="F29" s="187">
        <v>1410.0</v>
      </c>
      <c r="G29" s="188">
        <v>964.0</v>
      </c>
      <c r="H29" s="188">
        <f>16452.216+6653.674</f>
        <v>23105.89</v>
      </c>
      <c r="I29" s="188"/>
      <c r="J29" s="189">
        <v>14109.0</v>
      </c>
      <c r="K29" s="189">
        <v>2542.0</v>
      </c>
      <c r="L29" s="189">
        <v>8622.0</v>
      </c>
      <c r="M29" s="189"/>
      <c r="N29" s="189"/>
      <c r="O29" s="190">
        <f t="shared" ref="O29:O31" si="21">SUM(C29:L29)</f>
        <v>58763.32</v>
      </c>
      <c r="P29" s="212" t="str">
        <f t="shared" ref="P29:P31" si="22">+O29-'[1]СТ-өртөг'!H63</f>
        <v>#REF!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</row>
    <row r="30" ht="14.25" customHeight="1">
      <c r="A30" s="175"/>
      <c r="B30" s="186" t="s">
        <v>102</v>
      </c>
      <c r="C30" s="187">
        <v>5.2</v>
      </c>
      <c r="D30" s="188">
        <v>2.2</v>
      </c>
      <c r="E30" s="188">
        <v>1263.483</v>
      </c>
      <c r="F30" s="187">
        <v>81.841</v>
      </c>
      <c r="G30" s="188">
        <v>481.767</v>
      </c>
      <c r="H30" s="188">
        <v>8.3</v>
      </c>
      <c r="I30" s="188">
        <v>30.845</v>
      </c>
      <c r="J30" s="189">
        <v>23.0</v>
      </c>
      <c r="K30" s="189">
        <v>33.0</v>
      </c>
      <c r="L30" s="189">
        <v>33.0</v>
      </c>
      <c r="M30" s="189"/>
      <c r="N30" s="189"/>
      <c r="O30" s="190">
        <f t="shared" si="21"/>
        <v>1962.636</v>
      </c>
      <c r="P30" s="212" t="str">
        <f t="shared" si="22"/>
        <v>#REF!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</row>
    <row r="31" ht="14.25" customHeight="1">
      <c r="A31" s="175"/>
      <c r="B31" s="213" t="s">
        <v>169</v>
      </c>
      <c r="C31" s="214">
        <v>0.0</v>
      </c>
      <c r="D31" s="215">
        <v>0.0</v>
      </c>
      <c r="E31" s="215">
        <v>0.0</v>
      </c>
      <c r="F31" s="214">
        <v>0.0</v>
      </c>
      <c r="G31" s="215">
        <v>5292.55</v>
      </c>
      <c r="H31" s="215">
        <v>0.0</v>
      </c>
      <c r="I31" s="215">
        <v>0.0</v>
      </c>
      <c r="J31" s="216">
        <v>0.0</v>
      </c>
      <c r="K31" s="216"/>
      <c r="L31" s="216"/>
      <c r="M31" s="216"/>
      <c r="N31" s="216"/>
      <c r="O31" s="217">
        <f t="shared" si="21"/>
        <v>5292.55</v>
      </c>
      <c r="P31" s="212" t="str">
        <f t="shared" si="22"/>
        <v>#REF!</v>
      </c>
      <c r="Q31" s="175"/>
      <c r="R31" s="175"/>
      <c r="S31" s="175"/>
      <c r="T31" s="175"/>
      <c r="U31" s="175"/>
      <c r="V31" s="175"/>
      <c r="W31" s="175"/>
      <c r="X31" s="175"/>
      <c r="Y31" s="175"/>
      <c r="Z31" s="175"/>
    </row>
    <row r="32" ht="14.25" hidden="1" customHeight="1">
      <c r="A32" s="175"/>
      <c r="B32" s="218" t="s">
        <v>170</v>
      </c>
      <c r="C32" s="219"/>
      <c r="D32" s="220"/>
      <c r="E32" s="220"/>
      <c r="F32" s="219"/>
      <c r="G32" s="220"/>
      <c r="H32" s="220"/>
      <c r="I32" s="220"/>
      <c r="J32" s="221"/>
      <c r="K32" s="221"/>
      <c r="L32" s="221"/>
      <c r="M32" s="221"/>
      <c r="N32" s="221"/>
      <c r="O32" s="222">
        <f>SUM(C32:K32)</f>
        <v>0</v>
      </c>
      <c r="P32" s="181"/>
      <c r="Q32" s="175"/>
      <c r="R32" s="175"/>
      <c r="S32" s="175"/>
      <c r="T32" s="175"/>
      <c r="U32" s="175"/>
      <c r="V32" s="175"/>
      <c r="W32" s="175"/>
      <c r="X32" s="175"/>
      <c r="Y32" s="175"/>
      <c r="Z32" s="175"/>
    </row>
    <row r="33" ht="14.25" customHeight="1">
      <c r="P33" s="174"/>
    </row>
    <row r="34" ht="14.25" customHeight="1">
      <c r="P34" s="174"/>
    </row>
    <row r="35" ht="14.25" customHeight="1">
      <c r="B35" s="223" t="s">
        <v>171</v>
      </c>
      <c r="C35" s="223"/>
      <c r="D35" s="223" t="s">
        <v>172</v>
      </c>
      <c r="P35" s="174"/>
    </row>
    <row r="36" ht="14.25" customHeight="1">
      <c r="P36" s="174"/>
    </row>
    <row r="37" ht="14.25" customHeight="1">
      <c r="P37" s="174"/>
    </row>
    <row r="38" ht="14.25" customHeight="1">
      <c r="P38" s="174"/>
    </row>
    <row r="39" ht="14.25" customHeight="1">
      <c r="P39" s="174"/>
    </row>
    <row r="40" ht="14.25" customHeight="1">
      <c r="P40" s="174"/>
    </row>
    <row r="41" ht="14.25" customHeight="1">
      <c r="P41" s="174"/>
    </row>
    <row r="42" ht="14.25" customHeight="1">
      <c r="P42" s="174"/>
    </row>
    <row r="43" ht="14.25" customHeight="1">
      <c r="P43" s="174"/>
    </row>
    <row r="44" ht="14.25" customHeight="1">
      <c r="P44" s="174"/>
    </row>
    <row r="45" ht="14.25" customHeight="1">
      <c r="P45" s="174"/>
    </row>
    <row r="46" ht="14.25" customHeight="1">
      <c r="P46" s="174"/>
    </row>
    <row r="47" ht="14.25" customHeight="1">
      <c r="P47" s="174"/>
    </row>
    <row r="48" ht="14.25" customHeight="1">
      <c r="P48" s="174"/>
    </row>
    <row r="49" ht="14.25" customHeight="1">
      <c r="P49" s="174"/>
    </row>
    <row r="50" ht="14.25" customHeight="1">
      <c r="P50" s="174"/>
    </row>
    <row r="51" ht="14.25" customHeight="1">
      <c r="P51" s="174"/>
    </row>
    <row r="52" ht="14.25" customHeight="1">
      <c r="P52" s="174"/>
    </row>
    <row r="53" ht="14.25" customHeight="1">
      <c r="P53" s="174"/>
    </row>
    <row r="54" ht="14.25" customHeight="1">
      <c r="P54" s="174"/>
    </row>
    <row r="55" ht="14.25" customHeight="1">
      <c r="P55" s="174"/>
    </row>
    <row r="56" ht="14.25" customHeight="1">
      <c r="P56" s="174"/>
    </row>
    <row r="57" ht="14.25" customHeight="1">
      <c r="P57" s="174"/>
    </row>
    <row r="58" ht="14.25" customHeight="1">
      <c r="P58" s="174"/>
    </row>
    <row r="59" ht="14.25" customHeight="1">
      <c r="P59" s="174"/>
    </row>
    <row r="60" ht="14.25" customHeight="1">
      <c r="P60" s="174"/>
    </row>
    <row r="61" ht="14.25" customHeight="1">
      <c r="P61" s="174"/>
    </row>
    <row r="62" ht="14.25" customHeight="1">
      <c r="P62" s="174"/>
    </row>
    <row r="63" ht="14.25" customHeight="1">
      <c r="P63" s="174"/>
    </row>
    <row r="64" ht="14.25" customHeight="1">
      <c r="P64" s="174"/>
    </row>
    <row r="65" ht="14.25" customHeight="1">
      <c r="P65" s="174"/>
    </row>
    <row r="66" ht="14.25" customHeight="1">
      <c r="P66" s="174"/>
    </row>
    <row r="67" ht="14.25" customHeight="1">
      <c r="P67" s="174"/>
    </row>
    <row r="68" ht="14.25" customHeight="1">
      <c r="P68" s="174"/>
    </row>
    <row r="69" ht="14.25" customHeight="1">
      <c r="P69" s="174"/>
    </row>
    <row r="70" ht="14.25" customHeight="1">
      <c r="P70" s="174"/>
    </row>
    <row r="71" ht="14.25" customHeight="1">
      <c r="P71" s="174"/>
    </row>
    <row r="72" ht="14.25" customHeight="1">
      <c r="P72" s="174"/>
    </row>
    <row r="73" ht="14.25" customHeight="1">
      <c r="P73" s="174"/>
    </row>
    <row r="74" ht="14.25" customHeight="1">
      <c r="P74" s="174"/>
    </row>
    <row r="75" ht="14.25" customHeight="1">
      <c r="P75" s="174"/>
    </row>
    <row r="76" ht="14.25" customHeight="1">
      <c r="P76" s="174"/>
    </row>
    <row r="77" ht="14.25" customHeight="1">
      <c r="P77" s="174"/>
    </row>
    <row r="78" ht="14.25" customHeight="1">
      <c r="P78" s="174"/>
    </row>
    <row r="79" ht="14.25" customHeight="1">
      <c r="P79" s="174"/>
    </row>
    <row r="80" ht="14.25" customHeight="1">
      <c r="P80" s="174"/>
    </row>
    <row r="81" ht="14.25" customHeight="1">
      <c r="P81" s="174"/>
    </row>
    <row r="82" ht="14.25" customHeight="1">
      <c r="P82" s="174"/>
    </row>
    <row r="83" ht="14.25" customHeight="1">
      <c r="P83" s="174"/>
    </row>
    <row r="84" ht="14.25" customHeight="1">
      <c r="P84" s="174"/>
    </row>
    <row r="85" ht="14.25" customHeight="1">
      <c r="P85" s="174"/>
    </row>
    <row r="86" ht="14.25" customHeight="1">
      <c r="P86" s="174"/>
    </row>
    <row r="87" ht="14.25" customHeight="1">
      <c r="P87" s="174"/>
    </row>
    <row r="88" ht="14.25" customHeight="1">
      <c r="P88" s="174"/>
    </row>
    <row r="89" ht="14.25" customHeight="1">
      <c r="P89" s="174"/>
    </row>
    <row r="90" ht="14.25" customHeight="1">
      <c r="P90" s="174"/>
    </row>
    <row r="91" ht="14.25" customHeight="1">
      <c r="P91" s="174"/>
    </row>
    <row r="92" ht="14.25" customHeight="1">
      <c r="P92" s="174"/>
    </row>
    <row r="93" ht="14.25" customHeight="1">
      <c r="P93" s="174"/>
    </row>
    <row r="94" ht="14.25" customHeight="1">
      <c r="P94" s="174"/>
    </row>
    <row r="95" ht="14.25" customHeight="1">
      <c r="P95" s="174"/>
    </row>
    <row r="96" ht="14.25" customHeight="1">
      <c r="P96" s="174"/>
    </row>
    <row r="97" ht="14.25" customHeight="1">
      <c r="P97" s="174"/>
    </row>
    <row r="98" ht="14.25" customHeight="1">
      <c r="P98" s="174"/>
    </row>
    <row r="99" ht="14.25" customHeight="1">
      <c r="P99" s="174"/>
    </row>
    <row r="100" ht="14.25" customHeight="1">
      <c r="P100" s="174"/>
    </row>
    <row r="101" ht="14.25" customHeight="1">
      <c r="P101" s="174"/>
    </row>
    <row r="102" ht="14.25" customHeight="1">
      <c r="P102" s="174"/>
    </row>
    <row r="103" ht="14.25" customHeight="1">
      <c r="P103" s="174"/>
    </row>
    <row r="104" ht="14.25" customHeight="1">
      <c r="P104" s="174"/>
    </row>
    <row r="105" ht="14.25" customHeight="1">
      <c r="P105" s="174"/>
    </row>
    <row r="106" ht="14.25" customHeight="1">
      <c r="P106" s="174"/>
    </row>
    <row r="107" ht="14.25" customHeight="1">
      <c r="P107" s="174"/>
    </row>
    <row r="108" ht="14.25" customHeight="1">
      <c r="P108" s="174"/>
    </row>
    <row r="109" ht="14.25" customHeight="1">
      <c r="P109" s="174"/>
    </row>
    <row r="110" ht="14.25" customHeight="1">
      <c r="P110" s="174"/>
    </row>
    <row r="111" ht="14.25" customHeight="1">
      <c r="P111" s="174"/>
    </row>
    <row r="112" ht="14.25" customHeight="1">
      <c r="P112" s="174"/>
    </row>
    <row r="113" ht="14.25" customHeight="1">
      <c r="P113" s="174"/>
    </row>
    <row r="114" ht="14.25" customHeight="1">
      <c r="P114" s="174"/>
    </row>
    <row r="115" ht="14.25" customHeight="1">
      <c r="P115" s="174"/>
    </row>
    <row r="116" ht="14.25" customHeight="1">
      <c r="P116" s="174"/>
    </row>
    <row r="117" ht="14.25" customHeight="1">
      <c r="P117" s="174"/>
    </row>
    <row r="118" ht="14.25" customHeight="1">
      <c r="P118" s="174"/>
    </row>
    <row r="119" ht="14.25" customHeight="1">
      <c r="P119" s="174"/>
    </row>
    <row r="120" ht="14.25" customHeight="1">
      <c r="P120" s="174"/>
    </row>
    <row r="121" ht="14.25" customHeight="1">
      <c r="P121" s="174"/>
    </row>
    <row r="122" ht="14.25" customHeight="1">
      <c r="P122" s="174"/>
    </row>
    <row r="123" ht="14.25" customHeight="1">
      <c r="P123" s="174"/>
    </row>
    <row r="124" ht="14.25" customHeight="1">
      <c r="P124" s="174"/>
    </row>
    <row r="125" ht="14.25" customHeight="1">
      <c r="P125" s="174"/>
    </row>
    <row r="126" ht="14.25" customHeight="1">
      <c r="P126" s="174"/>
    </row>
    <row r="127" ht="14.25" customHeight="1">
      <c r="P127" s="174"/>
    </row>
    <row r="128" ht="14.25" customHeight="1">
      <c r="P128" s="174"/>
    </row>
    <row r="129" ht="14.25" customHeight="1">
      <c r="P129" s="174"/>
    </row>
    <row r="130" ht="14.25" customHeight="1">
      <c r="P130" s="174"/>
    </row>
    <row r="131" ht="14.25" customHeight="1">
      <c r="P131" s="174"/>
    </row>
    <row r="132" ht="14.25" customHeight="1">
      <c r="P132" s="174"/>
    </row>
    <row r="133" ht="14.25" customHeight="1">
      <c r="P133" s="174"/>
    </row>
    <row r="134" ht="14.25" customHeight="1">
      <c r="P134" s="174"/>
    </row>
    <row r="135" ht="14.25" customHeight="1">
      <c r="P135" s="174"/>
    </row>
    <row r="136" ht="14.25" customHeight="1">
      <c r="P136" s="174"/>
    </row>
    <row r="137" ht="14.25" customHeight="1">
      <c r="P137" s="174"/>
    </row>
    <row r="138" ht="14.25" customHeight="1">
      <c r="P138" s="174"/>
    </row>
    <row r="139" ht="14.25" customHeight="1">
      <c r="P139" s="174"/>
    </row>
    <row r="140" ht="14.25" customHeight="1">
      <c r="P140" s="174"/>
    </row>
    <row r="141" ht="14.25" customHeight="1">
      <c r="P141" s="174"/>
    </row>
    <row r="142" ht="14.25" customHeight="1">
      <c r="P142" s="174"/>
    </row>
    <row r="143" ht="14.25" customHeight="1">
      <c r="P143" s="174"/>
    </row>
    <row r="144" ht="14.25" customHeight="1">
      <c r="P144" s="174"/>
    </row>
    <row r="145" ht="14.25" customHeight="1">
      <c r="P145" s="174"/>
    </row>
    <row r="146" ht="14.25" customHeight="1">
      <c r="P146" s="174"/>
    </row>
    <row r="147" ht="14.25" customHeight="1">
      <c r="P147" s="174"/>
    </row>
    <row r="148" ht="14.25" customHeight="1">
      <c r="P148" s="174"/>
    </row>
    <row r="149" ht="14.25" customHeight="1">
      <c r="P149" s="174"/>
    </row>
    <row r="150" ht="14.25" customHeight="1">
      <c r="P150" s="174"/>
    </row>
    <row r="151" ht="14.25" customHeight="1">
      <c r="P151" s="174"/>
    </row>
    <row r="152" ht="14.25" customHeight="1">
      <c r="P152" s="174"/>
    </row>
    <row r="153" ht="14.25" customHeight="1">
      <c r="P153" s="174"/>
    </row>
    <row r="154" ht="14.25" customHeight="1">
      <c r="P154" s="174"/>
    </row>
    <row r="155" ht="14.25" customHeight="1">
      <c r="P155" s="174"/>
    </row>
    <row r="156" ht="14.25" customHeight="1">
      <c r="P156" s="174"/>
    </row>
    <row r="157" ht="14.25" customHeight="1">
      <c r="P157" s="174"/>
    </row>
    <row r="158" ht="14.25" customHeight="1">
      <c r="P158" s="174"/>
    </row>
    <row r="159" ht="14.25" customHeight="1">
      <c r="P159" s="174"/>
    </row>
    <row r="160" ht="14.25" customHeight="1">
      <c r="P160" s="174"/>
    </row>
    <row r="161" ht="14.25" customHeight="1">
      <c r="P161" s="174"/>
    </row>
    <row r="162" ht="14.25" customHeight="1">
      <c r="P162" s="174"/>
    </row>
    <row r="163" ht="14.25" customHeight="1">
      <c r="P163" s="174"/>
    </row>
    <row r="164" ht="14.25" customHeight="1">
      <c r="P164" s="174"/>
    </row>
    <row r="165" ht="14.25" customHeight="1">
      <c r="P165" s="174"/>
    </row>
    <row r="166" ht="14.25" customHeight="1">
      <c r="P166" s="174"/>
    </row>
    <row r="167" ht="14.25" customHeight="1">
      <c r="P167" s="174"/>
    </row>
    <row r="168" ht="14.25" customHeight="1">
      <c r="P168" s="174"/>
    </row>
    <row r="169" ht="14.25" customHeight="1">
      <c r="P169" s="174"/>
    </row>
    <row r="170" ht="14.25" customHeight="1">
      <c r="P170" s="174"/>
    </row>
    <row r="171" ht="14.25" customHeight="1">
      <c r="P171" s="174"/>
    </row>
    <row r="172" ht="14.25" customHeight="1">
      <c r="P172" s="174"/>
    </row>
    <row r="173" ht="14.25" customHeight="1">
      <c r="P173" s="174"/>
    </row>
    <row r="174" ht="14.25" customHeight="1">
      <c r="P174" s="174"/>
    </row>
    <row r="175" ht="14.25" customHeight="1">
      <c r="P175" s="174"/>
    </row>
    <row r="176" ht="14.25" customHeight="1">
      <c r="P176" s="174"/>
    </row>
    <row r="177" ht="14.25" customHeight="1">
      <c r="P177" s="174"/>
    </row>
    <row r="178" ht="14.25" customHeight="1">
      <c r="P178" s="174"/>
    </row>
    <row r="179" ht="14.25" customHeight="1">
      <c r="P179" s="174"/>
    </row>
    <row r="180" ht="14.25" customHeight="1">
      <c r="P180" s="174"/>
    </row>
    <row r="181" ht="14.25" customHeight="1">
      <c r="P181" s="174"/>
    </row>
    <row r="182" ht="14.25" customHeight="1">
      <c r="P182" s="174"/>
    </row>
    <row r="183" ht="14.25" customHeight="1">
      <c r="P183" s="174"/>
    </row>
    <row r="184" ht="14.25" customHeight="1">
      <c r="P184" s="174"/>
    </row>
    <row r="185" ht="14.25" customHeight="1">
      <c r="P185" s="174"/>
    </row>
    <row r="186" ht="14.25" customHeight="1">
      <c r="P186" s="174"/>
    </row>
    <row r="187" ht="14.25" customHeight="1">
      <c r="P187" s="174"/>
    </row>
    <row r="188" ht="14.25" customHeight="1">
      <c r="P188" s="174"/>
    </row>
    <row r="189" ht="14.25" customHeight="1">
      <c r="P189" s="174"/>
    </row>
    <row r="190" ht="14.25" customHeight="1">
      <c r="P190" s="174"/>
    </row>
    <row r="191" ht="14.25" customHeight="1">
      <c r="P191" s="174"/>
    </row>
    <row r="192" ht="14.25" customHeight="1">
      <c r="P192" s="174"/>
    </row>
    <row r="193" ht="14.25" customHeight="1">
      <c r="P193" s="174"/>
    </row>
    <row r="194" ht="14.25" customHeight="1">
      <c r="P194" s="174"/>
    </row>
    <row r="195" ht="14.25" customHeight="1">
      <c r="P195" s="174"/>
    </row>
    <row r="196" ht="14.25" customHeight="1">
      <c r="P196" s="174"/>
    </row>
    <row r="197" ht="14.25" customHeight="1">
      <c r="P197" s="174"/>
    </row>
    <row r="198" ht="14.25" customHeight="1">
      <c r="P198" s="174"/>
    </row>
    <row r="199" ht="14.25" customHeight="1">
      <c r="P199" s="174"/>
    </row>
    <row r="200" ht="14.25" customHeight="1">
      <c r="P200" s="174"/>
    </row>
    <row r="201" ht="14.25" customHeight="1">
      <c r="P201" s="174"/>
    </row>
    <row r="202" ht="14.25" customHeight="1">
      <c r="P202" s="174"/>
    </row>
    <row r="203" ht="14.25" customHeight="1">
      <c r="P203" s="174"/>
    </row>
    <row r="204" ht="14.25" customHeight="1">
      <c r="P204" s="174"/>
    </row>
    <row r="205" ht="14.25" customHeight="1">
      <c r="P205" s="174"/>
    </row>
    <row r="206" ht="14.25" customHeight="1">
      <c r="P206" s="174"/>
    </row>
    <row r="207" ht="14.25" customHeight="1">
      <c r="P207" s="174"/>
    </row>
    <row r="208" ht="14.25" customHeight="1">
      <c r="P208" s="174"/>
    </row>
    <row r="209" ht="14.25" customHeight="1">
      <c r="P209" s="174"/>
    </row>
    <row r="210" ht="14.25" customHeight="1">
      <c r="P210" s="174"/>
    </row>
    <row r="211" ht="14.25" customHeight="1">
      <c r="P211" s="174"/>
    </row>
    <row r="212" ht="14.25" customHeight="1">
      <c r="P212" s="174"/>
    </row>
    <row r="213" ht="14.25" customHeight="1">
      <c r="P213" s="174"/>
    </row>
    <row r="214" ht="14.25" customHeight="1">
      <c r="P214" s="174"/>
    </row>
    <row r="215" ht="14.25" customHeight="1">
      <c r="P215" s="174"/>
    </row>
    <row r="216" ht="14.25" customHeight="1">
      <c r="P216" s="174"/>
    </row>
    <row r="217" ht="14.25" customHeight="1">
      <c r="P217" s="174"/>
    </row>
    <row r="218" ht="14.25" customHeight="1">
      <c r="P218" s="174"/>
    </row>
    <row r="219" ht="14.25" customHeight="1">
      <c r="P219" s="174"/>
    </row>
    <row r="220" ht="14.25" customHeight="1">
      <c r="P220" s="174"/>
    </row>
    <row r="221" ht="14.25" customHeight="1">
      <c r="P221" s="174"/>
    </row>
    <row r="222" ht="14.25" customHeight="1">
      <c r="P222" s="174"/>
    </row>
    <row r="223" ht="14.25" customHeight="1">
      <c r="P223" s="174"/>
    </row>
    <row r="224" ht="14.25" customHeight="1">
      <c r="P224" s="174"/>
    </row>
    <row r="225" ht="14.25" customHeight="1">
      <c r="P225" s="174"/>
    </row>
    <row r="226" ht="14.25" customHeight="1">
      <c r="P226" s="174"/>
    </row>
    <row r="227" ht="14.25" customHeight="1">
      <c r="P227" s="174"/>
    </row>
    <row r="228" ht="14.25" customHeight="1">
      <c r="P228" s="174"/>
    </row>
    <row r="229" ht="14.25" customHeight="1">
      <c r="P229" s="174"/>
    </row>
    <row r="230" ht="14.25" customHeight="1">
      <c r="P230" s="174"/>
    </row>
    <row r="231" ht="14.25" customHeight="1">
      <c r="P231" s="174"/>
    </row>
    <row r="232" ht="14.25" customHeight="1">
      <c r="P232" s="174"/>
    </row>
    <row r="233" ht="14.25" customHeight="1">
      <c r="P233" s="174"/>
    </row>
    <row r="234" ht="14.25" customHeight="1">
      <c r="P234" s="174"/>
    </row>
    <row r="235" ht="14.25" customHeight="1">
      <c r="P235" s="174"/>
    </row>
    <row r="236" ht="14.25" customHeight="1">
      <c r="P236" s="174"/>
    </row>
    <row r="237" ht="14.25" customHeight="1">
      <c r="P237" s="174"/>
    </row>
    <row r="238" ht="14.25" customHeight="1">
      <c r="P238" s="174"/>
    </row>
    <row r="239" ht="14.25" customHeight="1">
      <c r="P239" s="174"/>
    </row>
    <row r="240" ht="14.25" customHeight="1">
      <c r="P240" s="174"/>
    </row>
    <row r="241" ht="14.25" customHeight="1">
      <c r="P241" s="174"/>
    </row>
    <row r="242" ht="14.25" customHeight="1">
      <c r="P242" s="174"/>
    </row>
    <row r="243" ht="14.25" customHeight="1">
      <c r="P243" s="174"/>
    </row>
    <row r="244" ht="14.25" customHeight="1">
      <c r="P244" s="174"/>
    </row>
    <row r="245" ht="14.25" customHeight="1">
      <c r="P245" s="174"/>
    </row>
    <row r="246" ht="14.25" customHeight="1">
      <c r="P246" s="174"/>
    </row>
    <row r="247" ht="14.25" customHeight="1">
      <c r="P247" s="174"/>
    </row>
    <row r="248" ht="14.25" customHeight="1">
      <c r="P248" s="174"/>
    </row>
    <row r="249" ht="14.25" customHeight="1">
      <c r="P249" s="174"/>
    </row>
    <row r="250" ht="14.25" customHeight="1">
      <c r="P250" s="174"/>
    </row>
    <row r="251" ht="14.25" customHeight="1">
      <c r="P251" s="174"/>
    </row>
    <row r="252" ht="14.25" customHeight="1">
      <c r="P252" s="174"/>
    </row>
    <row r="253" ht="14.25" customHeight="1">
      <c r="P253" s="174"/>
    </row>
    <row r="254" ht="14.25" customHeight="1">
      <c r="P254" s="174"/>
    </row>
    <row r="255" ht="14.25" customHeight="1">
      <c r="P255" s="174"/>
    </row>
    <row r="256" ht="14.25" customHeight="1">
      <c r="P256" s="174"/>
    </row>
    <row r="257" ht="14.25" customHeight="1">
      <c r="P257" s="174"/>
    </row>
    <row r="258" ht="14.25" customHeight="1">
      <c r="P258" s="174"/>
    </row>
    <row r="259" ht="14.25" customHeight="1">
      <c r="P259" s="174"/>
    </row>
    <row r="260" ht="14.25" customHeight="1">
      <c r="P260" s="174"/>
    </row>
    <row r="261" ht="14.25" customHeight="1">
      <c r="P261" s="174"/>
    </row>
    <row r="262" ht="14.25" customHeight="1">
      <c r="P262" s="174"/>
    </row>
    <row r="263" ht="14.25" customHeight="1">
      <c r="P263" s="174"/>
    </row>
    <row r="264" ht="14.25" customHeight="1">
      <c r="P264" s="174"/>
    </row>
    <row r="265" ht="14.25" customHeight="1">
      <c r="P265" s="174"/>
    </row>
    <row r="266" ht="14.25" customHeight="1">
      <c r="P266" s="174"/>
    </row>
    <row r="267" ht="14.25" customHeight="1">
      <c r="P267" s="174"/>
    </row>
    <row r="268" ht="14.25" customHeight="1">
      <c r="P268" s="174"/>
    </row>
    <row r="269" ht="14.25" customHeight="1">
      <c r="P269" s="174"/>
    </row>
    <row r="270" ht="14.25" customHeight="1">
      <c r="P270" s="174"/>
    </row>
    <row r="271" ht="14.25" customHeight="1">
      <c r="P271" s="174"/>
    </row>
    <row r="272" ht="14.25" customHeight="1">
      <c r="P272" s="174"/>
    </row>
    <row r="273" ht="14.25" customHeight="1">
      <c r="P273" s="174"/>
    </row>
    <row r="274" ht="14.25" customHeight="1">
      <c r="P274" s="174"/>
    </row>
    <row r="275" ht="14.25" customHeight="1">
      <c r="P275" s="174"/>
    </row>
    <row r="276" ht="14.25" customHeight="1">
      <c r="P276" s="174"/>
    </row>
    <row r="277" ht="14.25" customHeight="1">
      <c r="P277" s="174"/>
    </row>
    <row r="278" ht="14.25" customHeight="1">
      <c r="P278" s="174"/>
    </row>
    <row r="279" ht="14.25" customHeight="1">
      <c r="P279" s="174"/>
    </row>
    <row r="280" ht="14.25" customHeight="1">
      <c r="P280" s="174"/>
    </row>
    <row r="281" ht="14.25" customHeight="1">
      <c r="P281" s="174"/>
    </row>
    <row r="282" ht="14.25" customHeight="1">
      <c r="P282" s="174"/>
    </row>
    <row r="283" ht="14.25" customHeight="1">
      <c r="P283" s="174"/>
    </row>
    <row r="284" ht="14.25" customHeight="1">
      <c r="P284" s="174"/>
    </row>
    <row r="285" ht="14.25" customHeight="1">
      <c r="P285" s="174"/>
    </row>
    <row r="286" ht="14.25" customHeight="1">
      <c r="P286" s="174"/>
    </row>
    <row r="287" ht="14.25" customHeight="1">
      <c r="P287" s="174"/>
    </row>
    <row r="288" ht="14.25" customHeight="1">
      <c r="P288" s="174"/>
    </row>
    <row r="289" ht="14.25" customHeight="1">
      <c r="P289" s="174"/>
    </row>
    <row r="290" ht="14.25" customHeight="1">
      <c r="P290" s="174"/>
    </row>
    <row r="291" ht="14.25" customHeight="1">
      <c r="P291" s="174"/>
    </row>
    <row r="292" ht="14.25" customHeight="1">
      <c r="P292" s="174"/>
    </row>
    <row r="293" ht="14.25" customHeight="1">
      <c r="P293" s="174"/>
    </row>
    <row r="294" ht="14.25" customHeight="1">
      <c r="P294" s="174"/>
    </row>
    <row r="295" ht="14.25" customHeight="1">
      <c r="P295" s="174"/>
    </row>
    <row r="296" ht="14.25" customHeight="1">
      <c r="P296" s="174"/>
    </row>
    <row r="297" ht="14.25" customHeight="1">
      <c r="P297" s="174"/>
    </row>
    <row r="298" ht="14.25" customHeight="1">
      <c r="P298" s="174"/>
    </row>
    <row r="299" ht="14.25" customHeight="1">
      <c r="P299" s="174"/>
    </row>
    <row r="300" ht="14.25" customHeight="1">
      <c r="P300" s="174"/>
    </row>
    <row r="301" ht="14.25" customHeight="1">
      <c r="P301" s="174"/>
    </row>
    <row r="302" ht="14.25" customHeight="1">
      <c r="P302" s="174"/>
    </row>
    <row r="303" ht="14.25" customHeight="1">
      <c r="P303" s="174"/>
    </row>
    <row r="304" ht="14.25" customHeight="1">
      <c r="P304" s="174"/>
    </row>
    <row r="305" ht="14.25" customHeight="1">
      <c r="P305" s="174"/>
    </row>
    <row r="306" ht="14.25" customHeight="1">
      <c r="P306" s="174"/>
    </row>
    <row r="307" ht="14.25" customHeight="1">
      <c r="P307" s="174"/>
    </row>
    <row r="308" ht="14.25" customHeight="1">
      <c r="P308" s="174"/>
    </row>
    <row r="309" ht="14.25" customHeight="1">
      <c r="P309" s="174"/>
    </row>
    <row r="310" ht="14.25" customHeight="1">
      <c r="P310" s="174"/>
    </row>
    <row r="311" ht="14.25" customHeight="1">
      <c r="P311" s="174"/>
    </row>
    <row r="312" ht="14.25" customHeight="1">
      <c r="P312" s="174"/>
    </row>
    <row r="313" ht="14.25" customHeight="1">
      <c r="P313" s="174"/>
    </row>
    <row r="314" ht="14.25" customHeight="1">
      <c r="P314" s="174"/>
    </row>
    <row r="315" ht="14.25" customHeight="1">
      <c r="P315" s="174"/>
    </row>
    <row r="316" ht="14.25" customHeight="1">
      <c r="P316" s="174"/>
    </row>
    <row r="317" ht="14.25" customHeight="1">
      <c r="P317" s="174"/>
    </row>
    <row r="318" ht="14.25" customHeight="1">
      <c r="P318" s="174"/>
    </row>
    <row r="319" ht="14.25" customHeight="1">
      <c r="P319" s="174"/>
    </row>
    <row r="320" ht="14.25" customHeight="1">
      <c r="P320" s="174"/>
    </row>
    <row r="321" ht="14.25" customHeight="1">
      <c r="P321" s="174"/>
    </row>
    <row r="322" ht="14.25" customHeight="1">
      <c r="P322" s="174"/>
    </row>
    <row r="323" ht="14.25" customHeight="1">
      <c r="P323" s="174"/>
    </row>
    <row r="324" ht="14.25" customHeight="1">
      <c r="P324" s="174"/>
    </row>
    <row r="325" ht="14.25" customHeight="1">
      <c r="P325" s="174"/>
    </row>
    <row r="326" ht="14.25" customHeight="1">
      <c r="P326" s="174"/>
    </row>
    <row r="327" ht="14.25" customHeight="1">
      <c r="P327" s="174"/>
    </row>
    <row r="328" ht="14.25" customHeight="1">
      <c r="P328" s="174"/>
    </row>
    <row r="329" ht="14.25" customHeight="1">
      <c r="P329" s="174"/>
    </row>
    <row r="330" ht="14.25" customHeight="1">
      <c r="P330" s="174"/>
    </row>
    <row r="331" ht="14.25" customHeight="1">
      <c r="P331" s="174"/>
    </row>
    <row r="332" ht="14.25" customHeight="1">
      <c r="P332" s="174"/>
    </row>
    <row r="333" ht="14.25" customHeight="1">
      <c r="P333" s="174"/>
    </row>
    <row r="334" ht="14.25" customHeight="1">
      <c r="P334" s="174"/>
    </row>
    <row r="335" ht="14.25" customHeight="1">
      <c r="P335" s="174"/>
    </row>
    <row r="336" ht="14.25" customHeight="1">
      <c r="P336" s="174"/>
    </row>
    <row r="337" ht="14.25" customHeight="1">
      <c r="P337" s="174"/>
    </row>
    <row r="338" ht="14.25" customHeight="1">
      <c r="P338" s="174"/>
    </row>
    <row r="339" ht="14.25" customHeight="1">
      <c r="P339" s="174"/>
    </row>
    <row r="340" ht="14.25" customHeight="1">
      <c r="P340" s="174"/>
    </row>
    <row r="341" ht="14.25" customHeight="1">
      <c r="P341" s="174"/>
    </row>
    <row r="342" ht="14.25" customHeight="1">
      <c r="P342" s="174"/>
    </row>
    <row r="343" ht="14.25" customHeight="1">
      <c r="P343" s="174"/>
    </row>
    <row r="344" ht="14.25" customHeight="1">
      <c r="P344" s="174"/>
    </row>
    <row r="345" ht="14.25" customHeight="1">
      <c r="P345" s="174"/>
    </row>
    <row r="346" ht="14.25" customHeight="1">
      <c r="P346" s="174"/>
    </row>
    <row r="347" ht="14.25" customHeight="1">
      <c r="P347" s="174"/>
    </row>
    <row r="348" ht="14.25" customHeight="1">
      <c r="P348" s="174"/>
    </row>
    <row r="349" ht="14.25" customHeight="1">
      <c r="P349" s="174"/>
    </row>
    <row r="350" ht="14.25" customHeight="1">
      <c r="P350" s="174"/>
    </row>
    <row r="351" ht="14.25" customHeight="1">
      <c r="P351" s="174"/>
    </row>
    <row r="352" ht="14.25" customHeight="1">
      <c r="P352" s="174"/>
    </row>
    <row r="353" ht="14.25" customHeight="1">
      <c r="P353" s="174"/>
    </row>
    <row r="354" ht="14.25" customHeight="1">
      <c r="P354" s="174"/>
    </row>
    <row r="355" ht="14.25" customHeight="1">
      <c r="P355" s="174"/>
    </row>
    <row r="356" ht="14.25" customHeight="1">
      <c r="P356" s="174"/>
    </row>
    <row r="357" ht="14.25" customHeight="1">
      <c r="P357" s="174"/>
    </row>
    <row r="358" ht="14.25" customHeight="1">
      <c r="P358" s="174"/>
    </row>
    <row r="359" ht="14.25" customHeight="1">
      <c r="P359" s="174"/>
    </row>
    <row r="360" ht="14.25" customHeight="1">
      <c r="P360" s="174"/>
    </row>
    <row r="361" ht="14.25" customHeight="1">
      <c r="P361" s="174"/>
    </row>
    <row r="362" ht="14.25" customHeight="1">
      <c r="P362" s="174"/>
    </row>
    <row r="363" ht="14.25" customHeight="1">
      <c r="P363" s="174"/>
    </row>
    <row r="364" ht="14.25" customHeight="1">
      <c r="P364" s="174"/>
    </row>
    <row r="365" ht="14.25" customHeight="1">
      <c r="P365" s="174"/>
    </row>
    <row r="366" ht="14.25" customHeight="1">
      <c r="P366" s="174"/>
    </row>
    <row r="367" ht="14.25" customHeight="1">
      <c r="P367" s="174"/>
    </row>
    <row r="368" ht="14.25" customHeight="1">
      <c r="P368" s="174"/>
    </row>
    <row r="369" ht="14.25" customHeight="1">
      <c r="P369" s="174"/>
    </row>
    <row r="370" ht="14.25" customHeight="1">
      <c r="P370" s="174"/>
    </row>
    <row r="371" ht="14.25" customHeight="1">
      <c r="P371" s="174"/>
    </row>
    <row r="372" ht="14.25" customHeight="1">
      <c r="P372" s="174"/>
    </row>
    <row r="373" ht="14.25" customHeight="1">
      <c r="P373" s="174"/>
    </row>
    <row r="374" ht="14.25" customHeight="1">
      <c r="P374" s="174"/>
    </row>
    <row r="375" ht="14.25" customHeight="1">
      <c r="P375" s="174"/>
    </row>
    <row r="376" ht="14.25" customHeight="1">
      <c r="P376" s="174"/>
    </row>
    <row r="377" ht="14.25" customHeight="1">
      <c r="P377" s="174"/>
    </row>
    <row r="378" ht="14.25" customHeight="1">
      <c r="P378" s="174"/>
    </row>
    <row r="379" ht="14.25" customHeight="1">
      <c r="P379" s="174"/>
    </row>
    <row r="380" ht="14.25" customHeight="1">
      <c r="P380" s="174"/>
    </row>
    <row r="381" ht="14.25" customHeight="1">
      <c r="P381" s="174"/>
    </row>
    <row r="382" ht="14.25" customHeight="1">
      <c r="P382" s="174"/>
    </row>
    <row r="383" ht="14.25" customHeight="1">
      <c r="P383" s="174"/>
    </row>
    <row r="384" ht="14.25" customHeight="1">
      <c r="P384" s="174"/>
    </row>
    <row r="385" ht="14.25" customHeight="1">
      <c r="P385" s="174"/>
    </row>
    <row r="386" ht="14.25" customHeight="1">
      <c r="P386" s="174"/>
    </row>
    <row r="387" ht="14.25" customHeight="1">
      <c r="P387" s="174"/>
    </row>
    <row r="388" ht="14.25" customHeight="1">
      <c r="P388" s="174"/>
    </row>
    <row r="389" ht="14.25" customHeight="1">
      <c r="P389" s="174"/>
    </row>
    <row r="390" ht="14.25" customHeight="1">
      <c r="P390" s="174"/>
    </row>
    <row r="391" ht="14.25" customHeight="1">
      <c r="P391" s="174"/>
    </row>
    <row r="392" ht="14.25" customHeight="1">
      <c r="P392" s="174"/>
    </row>
    <row r="393" ht="14.25" customHeight="1">
      <c r="P393" s="174"/>
    </row>
    <row r="394" ht="14.25" customHeight="1">
      <c r="P394" s="174"/>
    </row>
    <row r="395" ht="14.25" customHeight="1">
      <c r="P395" s="174"/>
    </row>
    <row r="396" ht="14.25" customHeight="1">
      <c r="P396" s="174"/>
    </row>
    <row r="397" ht="14.25" customHeight="1">
      <c r="P397" s="174"/>
    </row>
    <row r="398" ht="14.25" customHeight="1">
      <c r="P398" s="174"/>
    </row>
    <row r="399" ht="14.25" customHeight="1">
      <c r="P399" s="174"/>
    </row>
    <row r="400" ht="14.25" customHeight="1">
      <c r="P400" s="174"/>
    </row>
    <row r="401" ht="14.25" customHeight="1">
      <c r="P401" s="174"/>
    </row>
    <row r="402" ht="14.25" customHeight="1">
      <c r="P402" s="174"/>
    </row>
    <row r="403" ht="14.25" customHeight="1">
      <c r="P403" s="174"/>
    </row>
    <row r="404" ht="14.25" customHeight="1">
      <c r="P404" s="174"/>
    </row>
    <row r="405" ht="14.25" customHeight="1">
      <c r="P405" s="174"/>
    </row>
    <row r="406" ht="14.25" customHeight="1">
      <c r="P406" s="174"/>
    </row>
    <row r="407" ht="14.25" customHeight="1">
      <c r="P407" s="174"/>
    </row>
    <row r="408" ht="14.25" customHeight="1">
      <c r="P408" s="174"/>
    </row>
    <row r="409" ht="14.25" customHeight="1">
      <c r="P409" s="174"/>
    </row>
    <row r="410" ht="14.25" customHeight="1">
      <c r="P410" s="174"/>
    </row>
    <row r="411" ht="14.25" customHeight="1">
      <c r="P411" s="174"/>
    </row>
    <row r="412" ht="14.25" customHeight="1">
      <c r="P412" s="174"/>
    </row>
    <row r="413" ht="14.25" customHeight="1">
      <c r="P413" s="174"/>
    </row>
    <row r="414" ht="14.25" customHeight="1">
      <c r="P414" s="174"/>
    </row>
    <row r="415" ht="14.25" customHeight="1">
      <c r="P415" s="174"/>
    </row>
    <row r="416" ht="14.25" customHeight="1">
      <c r="P416" s="174"/>
    </row>
    <row r="417" ht="14.25" customHeight="1">
      <c r="P417" s="174"/>
    </row>
    <row r="418" ht="14.25" customHeight="1">
      <c r="P418" s="174"/>
    </row>
    <row r="419" ht="14.25" customHeight="1">
      <c r="P419" s="174"/>
    </row>
    <row r="420" ht="14.25" customHeight="1">
      <c r="P420" s="174"/>
    </row>
    <row r="421" ht="14.25" customHeight="1">
      <c r="P421" s="174"/>
    </row>
    <row r="422" ht="14.25" customHeight="1">
      <c r="P422" s="174"/>
    </row>
    <row r="423" ht="14.25" customHeight="1">
      <c r="P423" s="174"/>
    </row>
    <row r="424" ht="14.25" customHeight="1">
      <c r="P424" s="174"/>
    </row>
    <row r="425" ht="14.25" customHeight="1">
      <c r="P425" s="174"/>
    </row>
    <row r="426" ht="14.25" customHeight="1">
      <c r="P426" s="174"/>
    </row>
    <row r="427" ht="14.25" customHeight="1">
      <c r="P427" s="174"/>
    </row>
    <row r="428" ht="14.25" customHeight="1">
      <c r="P428" s="174"/>
    </row>
    <row r="429" ht="14.25" customHeight="1">
      <c r="P429" s="174"/>
    </row>
    <row r="430" ht="14.25" customHeight="1">
      <c r="P430" s="174"/>
    </row>
    <row r="431" ht="14.25" customHeight="1">
      <c r="P431" s="174"/>
    </row>
    <row r="432" ht="14.25" customHeight="1">
      <c r="P432" s="174"/>
    </row>
    <row r="433" ht="14.25" customHeight="1">
      <c r="P433" s="174"/>
    </row>
    <row r="434" ht="14.25" customHeight="1">
      <c r="P434" s="174"/>
    </row>
    <row r="435" ht="14.25" customHeight="1">
      <c r="P435" s="174"/>
    </row>
    <row r="436" ht="14.25" customHeight="1">
      <c r="P436" s="174"/>
    </row>
    <row r="437" ht="14.25" customHeight="1">
      <c r="P437" s="174"/>
    </row>
    <row r="438" ht="14.25" customHeight="1">
      <c r="P438" s="174"/>
    </row>
    <row r="439" ht="14.25" customHeight="1">
      <c r="P439" s="174"/>
    </row>
    <row r="440" ht="14.25" customHeight="1">
      <c r="P440" s="174"/>
    </row>
    <row r="441" ht="14.25" customHeight="1">
      <c r="P441" s="174"/>
    </row>
    <row r="442" ht="14.25" customHeight="1">
      <c r="P442" s="174"/>
    </row>
    <row r="443" ht="14.25" customHeight="1">
      <c r="P443" s="174"/>
    </row>
    <row r="444" ht="14.25" customHeight="1">
      <c r="P444" s="174"/>
    </row>
    <row r="445" ht="14.25" customHeight="1">
      <c r="P445" s="174"/>
    </row>
    <row r="446" ht="14.25" customHeight="1">
      <c r="P446" s="174"/>
    </row>
    <row r="447" ht="14.25" customHeight="1">
      <c r="P447" s="174"/>
    </row>
    <row r="448" ht="14.25" customHeight="1">
      <c r="P448" s="174"/>
    </row>
    <row r="449" ht="14.25" customHeight="1">
      <c r="P449" s="174"/>
    </row>
    <row r="450" ht="14.25" customHeight="1">
      <c r="P450" s="174"/>
    </row>
    <row r="451" ht="14.25" customHeight="1">
      <c r="P451" s="174"/>
    </row>
    <row r="452" ht="14.25" customHeight="1">
      <c r="P452" s="174"/>
    </row>
    <row r="453" ht="14.25" customHeight="1">
      <c r="P453" s="174"/>
    </row>
    <row r="454" ht="14.25" customHeight="1">
      <c r="P454" s="174"/>
    </row>
    <row r="455" ht="14.25" customHeight="1">
      <c r="P455" s="174"/>
    </row>
    <row r="456" ht="14.25" customHeight="1">
      <c r="P456" s="174"/>
    </row>
    <row r="457" ht="14.25" customHeight="1">
      <c r="P457" s="174"/>
    </row>
    <row r="458" ht="14.25" customHeight="1">
      <c r="P458" s="174"/>
    </row>
    <row r="459" ht="14.25" customHeight="1">
      <c r="P459" s="174"/>
    </row>
    <row r="460" ht="14.25" customHeight="1">
      <c r="P460" s="174"/>
    </row>
    <row r="461" ht="14.25" customHeight="1">
      <c r="P461" s="174"/>
    </row>
    <row r="462" ht="14.25" customHeight="1">
      <c r="P462" s="174"/>
    </row>
    <row r="463" ht="14.25" customHeight="1">
      <c r="P463" s="174"/>
    </row>
    <row r="464" ht="14.25" customHeight="1">
      <c r="P464" s="174"/>
    </row>
    <row r="465" ht="14.25" customHeight="1">
      <c r="P465" s="174"/>
    </row>
    <row r="466" ht="14.25" customHeight="1">
      <c r="P466" s="174"/>
    </row>
    <row r="467" ht="14.25" customHeight="1">
      <c r="P467" s="174"/>
    </row>
    <row r="468" ht="14.25" customHeight="1">
      <c r="P468" s="174"/>
    </row>
    <row r="469" ht="14.25" customHeight="1">
      <c r="P469" s="174"/>
    </row>
    <row r="470" ht="14.25" customHeight="1">
      <c r="P470" s="174"/>
    </row>
    <row r="471" ht="14.25" customHeight="1">
      <c r="P471" s="174"/>
    </row>
    <row r="472" ht="14.25" customHeight="1">
      <c r="P472" s="174"/>
    </row>
    <row r="473" ht="14.25" customHeight="1">
      <c r="P473" s="174"/>
    </row>
    <row r="474" ht="14.25" customHeight="1">
      <c r="P474" s="174"/>
    </row>
    <row r="475" ht="14.25" customHeight="1">
      <c r="P475" s="174"/>
    </row>
    <row r="476" ht="14.25" customHeight="1">
      <c r="P476" s="174"/>
    </row>
    <row r="477" ht="14.25" customHeight="1">
      <c r="P477" s="174"/>
    </row>
    <row r="478" ht="14.25" customHeight="1">
      <c r="P478" s="174"/>
    </row>
    <row r="479" ht="14.25" customHeight="1">
      <c r="P479" s="174"/>
    </row>
    <row r="480" ht="14.25" customHeight="1">
      <c r="P480" s="174"/>
    </row>
    <row r="481" ht="14.25" customHeight="1">
      <c r="P481" s="174"/>
    </row>
    <row r="482" ht="14.25" customHeight="1">
      <c r="P482" s="174"/>
    </row>
    <row r="483" ht="14.25" customHeight="1">
      <c r="P483" s="174"/>
    </row>
    <row r="484" ht="14.25" customHeight="1">
      <c r="P484" s="174"/>
    </row>
    <row r="485" ht="14.25" customHeight="1">
      <c r="P485" s="174"/>
    </row>
    <row r="486" ht="14.25" customHeight="1">
      <c r="P486" s="174"/>
    </row>
    <row r="487" ht="14.25" customHeight="1">
      <c r="P487" s="174"/>
    </row>
    <row r="488" ht="14.25" customHeight="1">
      <c r="P488" s="174"/>
    </row>
    <row r="489" ht="14.25" customHeight="1">
      <c r="P489" s="174"/>
    </row>
    <row r="490" ht="14.25" customHeight="1">
      <c r="P490" s="174"/>
    </row>
    <row r="491" ht="14.25" customHeight="1">
      <c r="P491" s="174"/>
    </row>
    <row r="492" ht="14.25" customHeight="1">
      <c r="P492" s="174"/>
    </row>
    <row r="493" ht="14.25" customHeight="1">
      <c r="P493" s="174"/>
    </row>
    <row r="494" ht="14.25" customHeight="1">
      <c r="P494" s="174"/>
    </row>
    <row r="495" ht="14.25" customHeight="1">
      <c r="P495" s="174"/>
    </row>
    <row r="496" ht="14.25" customHeight="1">
      <c r="P496" s="174"/>
    </row>
    <row r="497" ht="14.25" customHeight="1">
      <c r="P497" s="174"/>
    </row>
    <row r="498" ht="14.25" customHeight="1">
      <c r="P498" s="174"/>
    </row>
    <row r="499" ht="14.25" customHeight="1">
      <c r="P499" s="174"/>
    </row>
    <row r="500" ht="14.25" customHeight="1">
      <c r="P500" s="174"/>
    </row>
    <row r="501" ht="14.25" customHeight="1">
      <c r="P501" s="174"/>
    </row>
    <row r="502" ht="14.25" customHeight="1">
      <c r="P502" s="174"/>
    </row>
    <row r="503" ht="14.25" customHeight="1">
      <c r="P503" s="174"/>
    </row>
    <row r="504" ht="14.25" customHeight="1">
      <c r="P504" s="174"/>
    </row>
    <row r="505" ht="14.25" customHeight="1">
      <c r="P505" s="174"/>
    </row>
    <row r="506" ht="14.25" customHeight="1">
      <c r="P506" s="174"/>
    </row>
    <row r="507" ht="14.25" customHeight="1">
      <c r="P507" s="174"/>
    </row>
    <row r="508" ht="14.25" customHeight="1">
      <c r="P508" s="174"/>
    </row>
    <row r="509" ht="14.25" customHeight="1">
      <c r="P509" s="174"/>
    </row>
    <row r="510" ht="14.25" customHeight="1">
      <c r="P510" s="174"/>
    </row>
    <row r="511" ht="14.25" customHeight="1">
      <c r="P511" s="174"/>
    </row>
    <row r="512" ht="14.25" customHeight="1">
      <c r="P512" s="174"/>
    </row>
    <row r="513" ht="14.25" customHeight="1">
      <c r="P513" s="174"/>
    </row>
    <row r="514" ht="14.25" customHeight="1">
      <c r="P514" s="174"/>
    </row>
    <row r="515" ht="14.25" customHeight="1">
      <c r="P515" s="174"/>
    </row>
    <row r="516" ht="14.25" customHeight="1">
      <c r="P516" s="174"/>
    </row>
    <row r="517" ht="14.25" customHeight="1">
      <c r="P517" s="174"/>
    </row>
    <row r="518" ht="14.25" customHeight="1">
      <c r="P518" s="174"/>
    </row>
    <row r="519" ht="14.25" customHeight="1">
      <c r="P519" s="174"/>
    </row>
    <row r="520" ht="14.25" customHeight="1">
      <c r="P520" s="174"/>
    </row>
    <row r="521" ht="14.25" customHeight="1">
      <c r="P521" s="174"/>
    </row>
    <row r="522" ht="14.25" customHeight="1">
      <c r="P522" s="174"/>
    </row>
    <row r="523" ht="14.25" customHeight="1">
      <c r="P523" s="174"/>
    </row>
    <row r="524" ht="14.25" customHeight="1">
      <c r="P524" s="174"/>
    </row>
    <row r="525" ht="14.25" customHeight="1">
      <c r="P525" s="174"/>
    </row>
    <row r="526" ht="14.25" customHeight="1">
      <c r="P526" s="174"/>
    </row>
    <row r="527" ht="14.25" customHeight="1">
      <c r="P527" s="174"/>
    </row>
    <row r="528" ht="14.25" customHeight="1">
      <c r="P528" s="174"/>
    </row>
    <row r="529" ht="14.25" customHeight="1">
      <c r="P529" s="174"/>
    </row>
    <row r="530" ht="14.25" customHeight="1">
      <c r="P530" s="174"/>
    </row>
    <row r="531" ht="14.25" customHeight="1">
      <c r="P531" s="174"/>
    </row>
    <row r="532" ht="14.25" customHeight="1">
      <c r="P532" s="174"/>
    </row>
    <row r="533" ht="14.25" customHeight="1">
      <c r="P533" s="174"/>
    </row>
    <row r="534" ht="14.25" customHeight="1">
      <c r="P534" s="174"/>
    </row>
    <row r="535" ht="14.25" customHeight="1">
      <c r="P535" s="174"/>
    </row>
    <row r="536" ht="14.25" customHeight="1">
      <c r="P536" s="174"/>
    </row>
    <row r="537" ht="14.25" customHeight="1">
      <c r="P537" s="174"/>
    </row>
    <row r="538" ht="14.25" customHeight="1">
      <c r="P538" s="174"/>
    </row>
    <row r="539" ht="14.25" customHeight="1">
      <c r="P539" s="174"/>
    </row>
    <row r="540" ht="14.25" customHeight="1">
      <c r="P540" s="174"/>
    </row>
    <row r="541" ht="14.25" customHeight="1">
      <c r="P541" s="174"/>
    </row>
    <row r="542" ht="14.25" customHeight="1">
      <c r="P542" s="174"/>
    </row>
    <row r="543" ht="14.25" customHeight="1">
      <c r="P543" s="174"/>
    </row>
    <row r="544" ht="14.25" customHeight="1">
      <c r="P544" s="174"/>
    </row>
    <row r="545" ht="14.25" customHeight="1">
      <c r="P545" s="174"/>
    </row>
    <row r="546" ht="14.25" customHeight="1">
      <c r="P546" s="174"/>
    </row>
    <row r="547" ht="14.25" customHeight="1">
      <c r="P547" s="174"/>
    </row>
    <row r="548" ht="14.25" customHeight="1">
      <c r="P548" s="174"/>
    </row>
    <row r="549" ht="14.25" customHeight="1">
      <c r="P549" s="174"/>
    </row>
    <row r="550" ht="14.25" customHeight="1">
      <c r="P550" s="174"/>
    </row>
    <row r="551" ht="14.25" customHeight="1">
      <c r="P551" s="174"/>
    </row>
    <row r="552" ht="14.25" customHeight="1">
      <c r="P552" s="174"/>
    </row>
    <row r="553" ht="14.25" customHeight="1">
      <c r="P553" s="174"/>
    </row>
    <row r="554" ht="14.25" customHeight="1">
      <c r="P554" s="174"/>
    </row>
    <row r="555" ht="14.25" customHeight="1">
      <c r="P555" s="174"/>
    </row>
    <row r="556" ht="14.25" customHeight="1">
      <c r="P556" s="174"/>
    </row>
    <row r="557" ht="14.25" customHeight="1">
      <c r="P557" s="174"/>
    </row>
    <row r="558" ht="14.25" customHeight="1">
      <c r="P558" s="174"/>
    </row>
    <row r="559" ht="14.25" customHeight="1">
      <c r="P559" s="174"/>
    </row>
    <row r="560" ht="14.25" customHeight="1">
      <c r="P560" s="174"/>
    </row>
    <row r="561" ht="14.25" customHeight="1">
      <c r="P561" s="174"/>
    </row>
    <row r="562" ht="14.25" customHeight="1">
      <c r="P562" s="174"/>
    </row>
    <row r="563" ht="14.25" customHeight="1">
      <c r="P563" s="174"/>
    </row>
    <row r="564" ht="14.25" customHeight="1">
      <c r="P564" s="174"/>
    </row>
    <row r="565" ht="14.25" customHeight="1">
      <c r="P565" s="174"/>
    </row>
    <row r="566" ht="14.25" customHeight="1">
      <c r="P566" s="174"/>
    </row>
    <row r="567" ht="14.25" customHeight="1">
      <c r="P567" s="174"/>
    </row>
    <row r="568" ht="14.25" customHeight="1">
      <c r="P568" s="174"/>
    </row>
    <row r="569" ht="14.25" customHeight="1">
      <c r="P569" s="174"/>
    </row>
    <row r="570" ht="14.25" customHeight="1">
      <c r="P570" s="174"/>
    </row>
    <row r="571" ht="14.25" customHeight="1">
      <c r="P571" s="174"/>
    </row>
    <row r="572" ht="14.25" customHeight="1">
      <c r="P572" s="174"/>
    </row>
    <row r="573" ht="14.25" customHeight="1">
      <c r="P573" s="174"/>
    </row>
    <row r="574" ht="14.25" customHeight="1">
      <c r="P574" s="174"/>
    </row>
    <row r="575" ht="14.25" customHeight="1">
      <c r="P575" s="174"/>
    </row>
    <row r="576" ht="14.25" customHeight="1">
      <c r="P576" s="174"/>
    </row>
    <row r="577" ht="14.25" customHeight="1">
      <c r="P577" s="174"/>
    </row>
    <row r="578" ht="14.25" customHeight="1">
      <c r="P578" s="174"/>
    </row>
    <row r="579" ht="14.25" customHeight="1">
      <c r="P579" s="174"/>
    </row>
    <row r="580" ht="14.25" customHeight="1">
      <c r="P580" s="174"/>
    </row>
    <row r="581" ht="14.25" customHeight="1">
      <c r="P581" s="174"/>
    </row>
    <row r="582" ht="14.25" customHeight="1">
      <c r="P582" s="174"/>
    </row>
    <row r="583" ht="14.25" customHeight="1">
      <c r="P583" s="174"/>
    </row>
    <row r="584" ht="14.25" customHeight="1">
      <c r="P584" s="174"/>
    </row>
    <row r="585" ht="14.25" customHeight="1">
      <c r="P585" s="174"/>
    </row>
    <row r="586" ht="14.25" customHeight="1">
      <c r="P586" s="174"/>
    </row>
    <row r="587" ht="14.25" customHeight="1">
      <c r="P587" s="174"/>
    </row>
    <row r="588" ht="14.25" customHeight="1">
      <c r="P588" s="174"/>
    </row>
    <row r="589" ht="14.25" customHeight="1">
      <c r="P589" s="174"/>
    </row>
    <row r="590" ht="14.25" customHeight="1">
      <c r="P590" s="174"/>
    </row>
    <row r="591" ht="14.25" customHeight="1">
      <c r="P591" s="174"/>
    </row>
    <row r="592" ht="14.25" customHeight="1">
      <c r="P592" s="174"/>
    </row>
    <row r="593" ht="14.25" customHeight="1">
      <c r="P593" s="174"/>
    </row>
    <row r="594" ht="14.25" customHeight="1">
      <c r="P594" s="174"/>
    </row>
    <row r="595" ht="14.25" customHeight="1">
      <c r="P595" s="174"/>
    </row>
    <row r="596" ht="14.25" customHeight="1">
      <c r="P596" s="174"/>
    </row>
    <row r="597" ht="14.25" customHeight="1">
      <c r="P597" s="174"/>
    </row>
    <row r="598" ht="14.25" customHeight="1">
      <c r="P598" s="174"/>
    </row>
    <row r="599" ht="14.25" customHeight="1">
      <c r="P599" s="174"/>
    </row>
    <row r="600" ht="14.25" customHeight="1">
      <c r="P600" s="174"/>
    </row>
    <row r="601" ht="14.25" customHeight="1">
      <c r="P601" s="174"/>
    </row>
    <row r="602" ht="14.25" customHeight="1">
      <c r="P602" s="174"/>
    </row>
    <row r="603" ht="14.25" customHeight="1">
      <c r="P603" s="174"/>
    </row>
    <row r="604" ht="14.25" customHeight="1">
      <c r="P604" s="174"/>
    </row>
    <row r="605" ht="14.25" customHeight="1">
      <c r="P605" s="174"/>
    </row>
    <row r="606" ht="14.25" customHeight="1">
      <c r="P606" s="174"/>
    </row>
    <row r="607" ht="14.25" customHeight="1">
      <c r="P607" s="174"/>
    </row>
    <row r="608" ht="14.25" customHeight="1">
      <c r="P608" s="174"/>
    </row>
    <row r="609" ht="14.25" customHeight="1">
      <c r="P609" s="174"/>
    </row>
    <row r="610" ht="14.25" customHeight="1">
      <c r="P610" s="174"/>
    </row>
    <row r="611" ht="14.25" customHeight="1">
      <c r="P611" s="174"/>
    </row>
    <row r="612" ht="14.25" customHeight="1">
      <c r="P612" s="174"/>
    </row>
    <row r="613" ht="14.25" customHeight="1">
      <c r="P613" s="174"/>
    </row>
    <row r="614" ht="14.25" customHeight="1">
      <c r="P614" s="174"/>
    </row>
    <row r="615" ht="14.25" customHeight="1">
      <c r="P615" s="174"/>
    </row>
    <row r="616" ht="14.25" customHeight="1">
      <c r="P616" s="174"/>
    </row>
    <row r="617" ht="14.25" customHeight="1">
      <c r="P617" s="174"/>
    </row>
    <row r="618" ht="14.25" customHeight="1">
      <c r="P618" s="174"/>
    </row>
    <row r="619" ht="14.25" customHeight="1">
      <c r="P619" s="174"/>
    </row>
    <row r="620" ht="14.25" customHeight="1">
      <c r="P620" s="174"/>
    </row>
    <row r="621" ht="14.25" customHeight="1">
      <c r="P621" s="174"/>
    </row>
    <row r="622" ht="14.25" customHeight="1">
      <c r="P622" s="174"/>
    </row>
    <row r="623" ht="14.25" customHeight="1">
      <c r="P623" s="174"/>
    </row>
    <row r="624" ht="14.25" customHeight="1">
      <c r="P624" s="174"/>
    </row>
    <row r="625" ht="14.25" customHeight="1">
      <c r="P625" s="174"/>
    </row>
    <row r="626" ht="14.25" customHeight="1">
      <c r="P626" s="174"/>
    </row>
    <row r="627" ht="14.25" customHeight="1">
      <c r="P627" s="174"/>
    </row>
    <row r="628" ht="14.25" customHeight="1">
      <c r="P628" s="174"/>
    </row>
    <row r="629" ht="14.25" customHeight="1">
      <c r="P629" s="174"/>
    </row>
    <row r="630" ht="14.25" customHeight="1">
      <c r="P630" s="174"/>
    </row>
    <row r="631" ht="14.25" customHeight="1">
      <c r="P631" s="174"/>
    </row>
    <row r="632" ht="14.25" customHeight="1">
      <c r="P632" s="174"/>
    </row>
    <row r="633" ht="14.25" customHeight="1">
      <c r="P633" s="174"/>
    </row>
    <row r="634" ht="14.25" customHeight="1">
      <c r="P634" s="174"/>
    </row>
    <row r="635" ht="14.25" customHeight="1">
      <c r="P635" s="174"/>
    </row>
    <row r="636" ht="14.25" customHeight="1">
      <c r="P636" s="174"/>
    </row>
    <row r="637" ht="14.25" customHeight="1">
      <c r="P637" s="174"/>
    </row>
    <row r="638" ht="14.25" customHeight="1">
      <c r="P638" s="174"/>
    </row>
    <row r="639" ht="14.25" customHeight="1">
      <c r="P639" s="174"/>
    </row>
    <row r="640" ht="14.25" customHeight="1">
      <c r="P640" s="174"/>
    </row>
    <row r="641" ht="14.25" customHeight="1">
      <c r="P641" s="174"/>
    </row>
    <row r="642" ht="14.25" customHeight="1">
      <c r="P642" s="174"/>
    </row>
    <row r="643" ht="14.25" customHeight="1">
      <c r="P643" s="174"/>
    </row>
    <row r="644" ht="14.25" customHeight="1">
      <c r="P644" s="174"/>
    </row>
    <row r="645" ht="14.25" customHeight="1">
      <c r="P645" s="174"/>
    </row>
    <row r="646" ht="14.25" customHeight="1">
      <c r="P646" s="174"/>
    </row>
    <row r="647" ht="14.25" customHeight="1">
      <c r="P647" s="174"/>
    </row>
    <row r="648" ht="14.25" customHeight="1">
      <c r="P648" s="174"/>
    </row>
    <row r="649" ht="14.25" customHeight="1">
      <c r="P649" s="174"/>
    </row>
    <row r="650" ht="14.25" customHeight="1">
      <c r="P650" s="174"/>
    </row>
    <row r="651" ht="14.25" customHeight="1">
      <c r="P651" s="174"/>
    </row>
    <row r="652" ht="14.25" customHeight="1">
      <c r="P652" s="174"/>
    </row>
    <row r="653" ht="14.25" customHeight="1">
      <c r="P653" s="174"/>
    </row>
    <row r="654" ht="14.25" customHeight="1">
      <c r="P654" s="174"/>
    </row>
    <row r="655" ht="14.25" customHeight="1">
      <c r="P655" s="174"/>
    </row>
    <row r="656" ht="14.25" customHeight="1">
      <c r="P656" s="174"/>
    </row>
    <row r="657" ht="14.25" customHeight="1">
      <c r="P657" s="174"/>
    </row>
    <row r="658" ht="14.25" customHeight="1">
      <c r="P658" s="174"/>
    </row>
    <row r="659" ht="14.25" customHeight="1">
      <c r="P659" s="174"/>
    </row>
    <row r="660" ht="14.25" customHeight="1">
      <c r="P660" s="174"/>
    </row>
    <row r="661" ht="14.25" customHeight="1">
      <c r="P661" s="174"/>
    </row>
    <row r="662" ht="14.25" customHeight="1">
      <c r="P662" s="174"/>
    </row>
    <row r="663" ht="14.25" customHeight="1">
      <c r="P663" s="174"/>
    </row>
    <row r="664" ht="14.25" customHeight="1">
      <c r="P664" s="174"/>
    </row>
    <row r="665" ht="14.25" customHeight="1">
      <c r="P665" s="174"/>
    </row>
    <row r="666" ht="14.25" customHeight="1">
      <c r="P666" s="174"/>
    </row>
    <row r="667" ht="14.25" customHeight="1">
      <c r="P667" s="174"/>
    </row>
    <row r="668" ht="14.25" customHeight="1">
      <c r="P668" s="174"/>
    </row>
    <row r="669" ht="14.25" customHeight="1">
      <c r="P669" s="174"/>
    </row>
    <row r="670" ht="14.25" customHeight="1">
      <c r="P670" s="174"/>
    </row>
    <row r="671" ht="14.25" customHeight="1">
      <c r="P671" s="174"/>
    </row>
    <row r="672" ht="14.25" customHeight="1">
      <c r="P672" s="174"/>
    </row>
    <row r="673" ht="14.25" customHeight="1">
      <c r="P673" s="174"/>
    </row>
    <row r="674" ht="14.25" customHeight="1">
      <c r="P674" s="174"/>
    </row>
    <row r="675" ht="14.25" customHeight="1">
      <c r="P675" s="174"/>
    </row>
    <row r="676" ht="14.25" customHeight="1">
      <c r="P676" s="174"/>
    </row>
    <row r="677" ht="14.25" customHeight="1">
      <c r="P677" s="174"/>
    </row>
    <row r="678" ht="14.25" customHeight="1">
      <c r="P678" s="174"/>
    </row>
    <row r="679" ht="14.25" customHeight="1">
      <c r="P679" s="174"/>
    </row>
    <row r="680" ht="14.25" customHeight="1">
      <c r="P680" s="174"/>
    </row>
    <row r="681" ht="14.25" customHeight="1">
      <c r="P681" s="174"/>
    </row>
    <row r="682" ht="14.25" customHeight="1">
      <c r="P682" s="174"/>
    </row>
    <row r="683" ht="14.25" customHeight="1">
      <c r="P683" s="174"/>
    </row>
    <row r="684" ht="14.25" customHeight="1">
      <c r="P684" s="174"/>
    </row>
    <row r="685" ht="14.25" customHeight="1">
      <c r="P685" s="174"/>
    </row>
    <row r="686" ht="14.25" customHeight="1">
      <c r="P686" s="174"/>
    </row>
    <row r="687" ht="14.25" customHeight="1">
      <c r="P687" s="174"/>
    </row>
    <row r="688" ht="14.25" customHeight="1">
      <c r="P688" s="174"/>
    </row>
    <row r="689" ht="14.25" customHeight="1">
      <c r="P689" s="174"/>
    </row>
    <row r="690" ht="14.25" customHeight="1">
      <c r="P690" s="174"/>
    </row>
    <row r="691" ht="14.25" customHeight="1">
      <c r="P691" s="174"/>
    </row>
    <row r="692" ht="14.25" customHeight="1">
      <c r="P692" s="174"/>
    </row>
    <row r="693" ht="14.25" customHeight="1">
      <c r="P693" s="174"/>
    </row>
    <row r="694" ht="14.25" customHeight="1">
      <c r="P694" s="174"/>
    </row>
    <row r="695" ht="14.25" customHeight="1">
      <c r="P695" s="174"/>
    </row>
    <row r="696" ht="14.25" customHeight="1">
      <c r="P696" s="174"/>
    </row>
    <row r="697" ht="14.25" customHeight="1">
      <c r="P697" s="174"/>
    </row>
    <row r="698" ht="14.25" customHeight="1">
      <c r="P698" s="174"/>
    </row>
    <row r="699" ht="14.25" customHeight="1">
      <c r="P699" s="174"/>
    </row>
    <row r="700" ht="14.25" customHeight="1">
      <c r="P700" s="174"/>
    </row>
    <row r="701" ht="14.25" customHeight="1">
      <c r="P701" s="174"/>
    </row>
    <row r="702" ht="14.25" customHeight="1">
      <c r="P702" s="174"/>
    </row>
    <row r="703" ht="14.25" customHeight="1">
      <c r="P703" s="174"/>
    </row>
    <row r="704" ht="14.25" customHeight="1">
      <c r="P704" s="174"/>
    </row>
    <row r="705" ht="14.25" customHeight="1">
      <c r="P705" s="174"/>
    </row>
    <row r="706" ht="14.25" customHeight="1">
      <c r="P706" s="174"/>
    </row>
    <row r="707" ht="14.25" customHeight="1">
      <c r="P707" s="174"/>
    </row>
    <row r="708" ht="14.25" customHeight="1">
      <c r="P708" s="174"/>
    </row>
    <row r="709" ht="14.25" customHeight="1">
      <c r="P709" s="174"/>
    </row>
    <row r="710" ht="14.25" customHeight="1">
      <c r="P710" s="174"/>
    </row>
    <row r="711" ht="14.25" customHeight="1">
      <c r="P711" s="174"/>
    </row>
    <row r="712" ht="14.25" customHeight="1">
      <c r="P712" s="174"/>
    </row>
    <row r="713" ht="14.25" customHeight="1">
      <c r="P713" s="174"/>
    </row>
    <row r="714" ht="14.25" customHeight="1">
      <c r="P714" s="174"/>
    </row>
    <row r="715" ht="14.25" customHeight="1">
      <c r="P715" s="174"/>
    </row>
    <row r="716" ht="14.25" customHeight="1">
      <c r="P716" s="174"/>
    </row>
    <row r="717" ht="14.25" customHeight="1">
      <c r="P717" s="174"/>
    </row>
    <row r="718" ht="14.25" customHeight="1">
      <c r="P718" s="174"/>
    </row>
    <row r="719" ht="14.25" customHeight="1">
      <c r="P719" s="174"/>
    </row>
    <row r="720" ht="14.25" customHeight="1">
      <c r="P720" s="174"/>
    </row>
    <row r="721" ht="14.25" customHeight="1">
      <c r="P721" s="174"/>
    </row>
    <row r="722" ht="14.25" customHeight="1">
      <c r="P722" s="174"/>
    </row>
    <row r="723" ht="14.25" customHeight="1">
      <c r="P723" s="174"/>
    </row>
    <row r="724" ht="14.25" customHeight="1">
      <c r="P724" s="174"/>
    </row>
    <row r="725" ht="14.25" customHeight="1">
      <c r="P725" s="174"/>
    </row>
    <row r="726" ht="14.25" customHeight="1">
      <c r="P726" s="174"/>
    </row>
    <row r="727" ht="14.25" customHeight="1">
      <c r="P727" s="174"/>
    </row>
    <row r="728" ht="14.25" customHeight="1">
      <c r="P728" s="174"/>
    </row>
    <row r="729" ht="14.25" customHeight="1">
      <c r="P729" s="174"/>
    </row>
    <row r="730" ht="14.25" customHeight="1">
      <c r="P730" s="174"/>
    </row>
    <row r="731" ht="14.25" customHeight="1">
      <c r="P731" s="174"/>
    </row>
    <row r="732" ht="14.25" customHeight="1">
      <c r="P732" s="174"/>
    </row>
    <row r="733" ht="14.25" customHeight="1">
      <c r="P733" s="174"/>
    </row>
    <row r="734" ht="14.25" customHeight="1">
      <c r="P734" s="174"/>
    </row>
    <row r="735" ht="14.25" customHeight="1">
      <c r="P735" s="174"/>
    </row>
    <row r="736" ht="14.25" customHeight="1">
      <c r="P736" s="174"/>
    </row>
    <row r="737" ht="14.25" customHeight="1">
      <c r="P737" s="174"/>
    </row>
    <row r="738" ht="14.25" customHeight="1">
      <c r="P738" s="174"/>
    </row>
    <row r="739" ht="14.25" customHeight="1">
      <c r="P739" s="174"/>
    </row>
    <row r="740" ht="14.25" customHeight="1">
      <c r="P740" s="174"/>
    </row>
    <row r="741" ht="14.25" customHeight="1">
      <c r="P741" s="174"/>
    </row>
    <row r="742" ht="14.25" customHeight="1">
      <c r="P742" s="174"/>
    </row>
    <row r="743" ht="14.25" customHeight="1">
      <c r="P743" s="174"/>
    </row>
    <row r="744" ht="14.25" customHeight="1">
      <c r="P744" s="174"/>
    </row>
    <row r="745" ht="14.25" customHeight="1">
      <c r="P745" s="174"/>
    </row>
    <row r="746" ht="14.25" customHeight="1">
      <c r="P746" s="174"/>
    </row>
    <row r="747" ht="14.25" customHeight="1">
      <c r="P747" s="174"/>
    </row>
    <row r="748" ht="14.25" customHeight="1">
      <c r="P748" s="174"/>
    </row>
    <row r="749" ht="14.25" customHeight="1">
      <c r="P749" s="174"/>
    </row>
    <row r="750" ht="14.25" customHeight="1">
      <c r="P750" s="174"/>
    </row>
    <row r="751" ht="14.25" customHeight="1">
      <c r="P751" s="174"/>
    </row>
    <row r="752" ht="14.25" customHeight="1">
      <c r="P752" s="174"/>
    </row>
    <row r="753" ht="14.25" customHeight="1">
      <c r="P753" s="174"/>
    </row>
    <row r="754" ht="14.25" customHeight="1">
      <c r="P754" s="174"/>
    </row>
    <row r="755" ht="14.25" customHeight="1">
      <c r="P755" s="174"/>
    </row>
    <row r="756" ht="14.25" customHeight="1">
      <c r="P756" s="174"/>
    </row>
    <row r="757" ht="14.25" customHeight="1">
      <c r="P757" s="174"/>
    </row>
    <row r="758" ht="14.25" customHeight="1">
      <c r="P758" s="174"/>
    </row>
    <row r="759" ht="14.25" customHeight="1">
      <c r="P759" s="174"/>
    </row>
    <row r="760" ht="14.25" customHeight="1">
      <c r="P760" s="174"/>
    </row>
    <row r="761" ht="14.25" customHeight="1">
      <c r="P761" s="174"/>
    </row>
    <row r="762" ht="14.25" customHeight="1">
      <c r="P762" s="174"/>
    </row>
    <row r="763" ht="14.25" customHeight="1">
      <c r="P763" s="174"/>
    </row>
    <row r="764" ht="14.25" customHeight="1">
      <c r="P764" s="174"/>
    </row>
    <row r="765" ht="14.25" customHeight="1">
      <c r="P765" s="174"/>
    </row>
    <row r="766" ht="14.25" customHeight="1">
      <c r="P766" s="174"/>
    </row>
    <row r="767" ht="14.25" customHeight="1">
      <c r="P767" s="174"/>
    </row>
    <row r="768" ht="14.25" customHeight="1">
      <c r="P768" s="174"/>
    </row>
    <row r="769" ht="14.25" customHeight="1">
      <c r="P769" s="174"/>
    </row>
    <row r="770" ht="14.25" customHeight="1">
      <c r="P770" s="174"/>
    </row>
    <row r="771" ht="14.25" customHeight="1">
      <c r="P771" s="174"/>
    </row>
    <row r="772" ht="14.25" customHeight="1">
      <c r="P772" s="174"/>
    </row>
    <row r="773" ht="14.25" customHeight="1">
      <c r="P773" s="174"/>
    </row>
    <row r="774" ht="14.25" customHeight="1">
      <c r="P774" s="174"/>
    </row>
    <row r="775" ht="14.25" customHeight="1">
      <c r="P775" s="174"/>
    </row>
    <row r="776" ht="14.25" customHeight="1">
      <c r="P776" s="174"/>
    </row>
    <row r="777" ht="14.25" customHeight="1">
      <c r="P777" s="174"/>
    </row>
    <row r="778" ht="14.25" customHeight="1">
      <c r="P778" s="174"/>
    </row>
    <row r="779" ht="14.25" customHeight="1">
      <c r="P779" s="174"/>
    </row>
    <row r="780" ht="14.25" customHeight="1">
      <c r="P780" s="174"/>
    </row>
    <row r="781" ht="14.25" customHeight="1">
      <c r="P781" s="174"/>
    </row>
    <row r="782" ht="14.25" customHeight="1">
      <c r="P782" s="174"/>
    </row>
    <row r="783" ht="14.25" customHeight="1">
      <c r="P783" s="174"/>
    </row>
    <row r="784" ht="14.25" customHeight="1">
      <c r="P784" s="174"/>
    </row>
    <row r="785" ht="14.25" customHeight="1">
      <c r="P785" s="174"/>
    </row>
    <row r="786" ht="14.25" customHeight="1">
      <c r="P786" s="174"/>
    </row>
    <row r="787" ht="14.25" customHeight="1">
      <c r="P787" s="174"/>
    </row>
    <row r="788" ht="14.25" customHeight="1">
      <c r="P788" s="174"/>
    </row>
    <row r="789" ht="14.25" customHeight="1">
      <c r="P789" s="174"/>
    </row>
    <row r="790" ht="14.25" customHeight="1">
      <c r="P790" s="174"/>
    </row>
    <row r="791" ht="14.25" customHeight="1">
      <c r="P791" s="174"/>
    </row>
    <row r="792" ht="14.25" customHeight="1">
      <c r="P792" s="174"/>
    </row>
    <row r="793" ht="14.25" customHeight="1">
      <c r="P793" s="174"/>
    </row>
    <row r="794" ht="14.25" customHeight="1">
      <c r="P794" s="174"/>
    </row>
    <row r="795" ht="14.25" customHeight="1">
      <c r="P795" s="174"/>
    </row>
    <row r="796" ht="14.25" customHeight="1">
      <c r="P796" s="174"/>
    </row>
    <row r="797" ht="14.25" customHeight="1">
      <c r="P797" s="174"/>
    </row>
    <row r="798" ht="14.25" customHeight="1">
      <c r="P798" s="174"/>
    </row>
    <row r="799" ht="14.25" customHeight="1">
      <c r="P799" s="174"/>
    </row>
    <row r="800" ht="14.25" customHeight="1">
      <c r="P800" s="174"/>
    </row>
    <row r="801" ht="14.25" customHeight="1">
      <c r="P801" s="174"/>
    </row>
    <row r="802" ht="14.25" customHeight="1">
      <c r="P802" s="174"/>
    </row>
    <row r="803" ht="14.25" customHeight="1">
      <c r="P803" s="174"/>
    </row>
    <row r="804" ht="14.25" customHeight="1">
      <c r="P804" s="174"/>
    </row>
    <row r="805" ht="14.25" customHeight="1">
      <c r="P805" s="174"/>
    </row>
    <row r="806" ht="14.25" customHeight="1">
      <c r="P806" s="174"/>
    </row>
    <row r="807" ht="14.25" customHeight="1">
      <c r="P807" s="174"/>
    </row>
    <row r="808" ht="14.25" customHeight="1">
      <c r="P808" s="174"/>
    </row>
    <row r="809" ht="14.25" customHeight="1">
      <c r="P809" s="174"/>
    </row>
    <row r="810" ht="14.25" customHeight="1">
      <c r="P810" s="174"/>
    </row>
    <row r="811" ht="14.25" customHeight="1">
      <c r="P811" s="174"/>
    </row>
    <row r="812" ht="14.25" customHeight="1">
      <c r="P812" s="174"/>
    </row>
    <row r="813" ht="14.25" customHeight="1">
      <c r="P813" s="174"/>
    </row>
    <row r="814" ht="14.25" customHeight="1">
      <c r="P814" s="174"/>
    </row>
    <row r="815" ht="14.25" customHeight="1">
      <c r="P815" s="174"/>
    </row>
    <row r="816" ht="14.25" customHeight="1">
      <c r="P816" s="174"/>
    </row>
    <row r="817" ht="14.25" customHeight="1">
      <c r="P817" s="174"/>
    </row>
    <row r="818" ht="14.25" customHeight="1">
      <c r="P818" s="174"/>
    </row>
    <row r="819" ht="14.25" customHeight="1">
      <c r="P819" s="174"/>
    </row>
    <row r="820" ht="14.25" customHeight="1">
      <c r="P820" s="174"/>
    </row>
    <row r="821" ht="14.25" customHeight="1">
      <c r="P821" s="174"/>
    </row>
    <row r="822" ht="14.25" customHeight="1">
      <c r="P822" s="174"/>
    </row>
    <row r="823" ht="14.25" customHeight="1">
      <c r="P823" s="174"/>
    </row>
    <row r="824" ht="14.25" customHeight="1">
      <c r="P824" s="174"/>
    </row>
    <row r="825" ht="14.25" customHeight="1">
      <c r="P825" s="174"/>
    </row>
    <row r="826" ht="14.25" customHeight="1">
      <c r="P826" s="174"/>
    </row>
    <row r="827" ht="14.25" customHeight="1">
      <c r="P827" s="174"/>
    </row>
    <row r="828" ht="14.25" customHeight="1">
      <c r="P828" s="174"/>
    </row>
    <row r="829" ht="14.25" customHeight="1">
      <c r="P829" s="174"/>
    </row>
    <row r="830" ht="14.25" customHeight="1">
      <c r="P830" s="174"/>
    </row>
    <row r="831" ht="14.25" customHeight="1">
      <c r="P831" s="174"/>
    </row>
    <row r="832" ht="14.25" customHeight="1">
      <c r="P832" s="174"/>
    </row>
    <row r="833" ht="14.25" customHeight="1">
      <c r="P833" s="174"/>
    </row>
    <row r="834" ht="14.25" customHeight="1">
      <c r="P834" s="174"/>
    </row>
    <row r="835" ht="14.25" customHeight="1">
      <c r="P835" s="174"/>
    </row>
    <row r="836" ht="14.25" customHeight="1">
      <c r="P836" s="174"/>
    </row>
    <row r="837" ht="14.25" customHeight="1">
      <c r="P837" s="174"/>
    </row>
    <row r="838" ht="14.25" customHeight="1">
      <c r="P838" s="174"/>
    </row>
    <row r="839" ht="14.25" customHeight="1">
      <c r="P839" s="174"/>
    </row>
    <row r="840" ht="14.25" customHeight="1">
      <c r="P840" s="174"/>
    </row>
    <row r="841" ht="14.25" customHeight="1">
      <c r="P841" s="174"/>
    </row>
    <row r="842" ht="14.25" customHeight="1">
      <c r="P842" s="174"/>
    </row>
    <row r="843" ht="14.25" customHeight="1">
      <c r="P843" s="174"/>
    </row>
    <row r="844" ht="14.25" customHeight="1">
      <c r="P844" s="174"/>
    </row>
    <row r="845" ht="14.25" customHeight="1">
      <c r="P845" s="174"/>
    </row>
    <row r="846" ht="14.25" customHeight="1">
      <c r="P846" s="174"/>
    </row>
    <row r="847" ht="14.25" customHeight="1">
      <c r="P847" s="174"/>
    </row>
    <row r="848" ht="14.25" customHeight="1">
      <c r="P848" s="174"/>
    </row>
    <row r="849" ht="14.25" customHeight="1">
      <c r="P849" s="174"/>
    </row>
    <row r="850" ht="14.25" customHeight="1">
      <c r="P850" s="174"/>
    </row>
    <row r="851" ht="14.25" customHeight="1">
      <c r="P851" s="174"/>
    </row>
    <row r="852" ht="14.25" customHeight="1">
      <c r="P852" s="174"/>
    </row>
    <row r="853" ht="14.25" customHeight="1">
      <c r="P853" s="174"/>
    </row>
    <row r="854" ht="14.25" customHeight="1">
      <c r="P854" s="174"/>
    </row>
    <row r="855" ht="14.25" customHeight="1">
      <c r="P855" s="174"/>
    </row>
    <row r="856" ht="14.25" customHeight="1">
      <c r="P856" s="174"/>
    </row>
    <row r="857" ht="14.25" customHeight="1">
      <c r="P857" s="174"/>
    </row>
    <row r="858" ht="14.25" customHeight="1">
      <c r="P858" s="174"/>
    </row>
    <row r="859" ht="14.25" customHeight="1">
      <c r="P859" s="174"/>
    </row>
    <row r="860" ht="14.25" customHeight="1">
      <c r="P860" s="174"/>
    </row>
    <row r="861" ht="14.25" customHeight="1">
      <c r="P861" s="174"/>
    </row>
    <row r="862" ht="14.25" customHeight="1">
      <c r="P862" s="174"/>
    </row>
    <row r="863" ht="14.25" customHeight="1">
      <c r="P863" s="174"/>
    </row>
    <row r="864" ht="14.25" customHeight="1">
      <c r="P864" s="174"/>
    </row>
    <row r="865" ht="14.25" customHeight="1">
      <c r="P865" s="174"/>
    </row>
    <row r="866" ht="14.25" customHeight="1">
      <c r="P866" s="174"/>
    </row>
    <row r="867" ht="14.25" customHeight="1">
      <c r="P867" s="174"/>
    </row>
    <row r="868" ht="14.25" customHeight="1">
      <c r="P868" s="174"/>
    </row>
    <row r="869" ht="14.25" customHeight="1">
      <c r="P869" s="174"/>
    </row>
    <row r="870" ht="14.25" customHeight="1">
      <c r="P870" s="174"/>
    </row>
    <row r="871" ht="14.25" customHeight="1">
      <c r="P871" s="174"/>
    </row>
    <row r="872" ht="14.25" customHeight="1">
      <c r="P872" s="174"/>
    </row>
    <row r="873" ht="14.25" customHeight="1">
      <c r="P873" s="174"/>
    </row>
    <row r="874" ht="14.25" customHeight="1">
      <c r="P874" s="174"/>
    </row>
    <row r="875" ht="14.25" customHeight="1">
      <c r="P875" s="174"/>
    </row>
    <row r="876" ht="14.25" customHeight="1">
      <c r="P876" s="174"/>
    </row>
    <row r="877" ht="14.25" customHeight="1">
      <c r="P877" s="174"/>
    </row>
    <row r="878" ht="14.25" customHeight="1">
      <c r="P878" s="174"/>
    </row>
    <row r="879" ht="14.25" customHeight="1">
      <c r="P879" s="174"/>
    </row>
    <row r="880" ht="14.25" customHeight="1">
      <c r="P880" s="174"/>
    </row>
    <row r="881" ht="14.25" customHeight="1">
      <c r="P881" s="174"/>
    </row>
    <row r="882" ht="14.25" customHeight="1">
      <c r="P882" s="174"/>
    </row>
    <row r="883" ht="14.25" customHeight="1">
      <c r="P883" s="174"/>
    </row>
    <row r="884" ht="14.25" customHeight="1">
      <c r="P884" s="174"/>
    </row>
    <row r="885" ht="14.25" customHeight="1">
      <c r="P885" s="174"/>
    </row>
    <row r="886" ht="14.25" customHeight="1">
      <c r="P886" s="174"/>
    </row>
    <row r="887" ht="14.25" customHeight="1">
      <c r="P887" s="174"/>
    </row>
    <row r="888" ht="14.25" customHeight="1">
      <c r="P888" s="174"/>
    </row>
    <row r="889" ht="14.25" customHeight="1">
      <c r="P889" s="174"/>
    </row>
    <row r="890" ht="14.25" customHeight="1">
      <c r="P890" s="174"/>
    </row>
    <row r="891" ht="14.25" customHeight="1">
      <c r="P891" s="174"/>
    </row>
    <row r="892" ht="14.25" customHeight="1">
      <c r="P892" s="174"/>
    </row>
    <row r="893" ht="14.25" customHeight="1">
      <c r="P893" s="174"/>
    </row>
    <row r="894" ht="14.25" customHeight="1">
      <c r="P894" s="174"/>
    </row>
    <row r="895" ht="14.25" customHeight="1">
      <c r="P895" s="174"/>
    </row>
    <row r="896" ht="14.25" customHeight="1">
      <c r="P896" s="174"/>
    </row>
    <row r="897" ht="14.25" customHeight="1">
      <c r="P897" s="174"/>
    </row>
    <row r="898" ht="14.25" customHeight="1">
      <c r="P898" s="174"/>
    </row>
    <row r="899" ht="14.25" customHeight="1">
      <c r="P899" s="174"/>
    </row>
    <row r="900" ht="14.25" customHeight="1">
      <c r="P900" s="174"/>
    </row>
    <row r="901" ht="14.25" customHeight="1">
      <c r="P901" s="174"/>
    </row>
    <row r="902" ht="14.25" customHeight="1">
      <c r="P902" s="174"/>
    </row>
    <row r="903" ht="14.25" customHeight="1">
      <c r="P903" s="174"/>
    </row>
    <row r="904" ht="14.25" customHeight="1">
      <c r="P904" s="174"/>
    </row>
    <row r="905" ht="14.25" customHeight="1">
      <c r="P905" s="174"/>
    </row>
    <row r="906" ht="14.25" customHeight="1">
      <c r="P906" s="174"/>
    </row>
    <row r="907" ht="14.25" customHeight="1">
      <c r="P907" s="174"/>
    </row>
    <row r="908" ht="14.25" customHeight="1">
      <c r="P908" s="174"/>
    </row>
    <row r="909" ht="14.25" customHeight="1">
      <c r="P909" s="174"/>
    </row>
    <row r="910" ht="14.25" customHeight="1">
      <c r="P910" s="174"/>
    </row>
    <row r="911" ht="14.25" customHeight="1">
      <c r="P911" s="174"/>
    </row>
    <row r="912" ht="14.25" customHeight="1">
      <c r="P912" s="174"/>
    </row>
    <row r="913" ht="14.25" customHeight="1">
      <c r="P913" s="174"/>
    </row>
    <row r="914" ht="14.25" customHeight="1">
      <c r="P914" s="174"/>
    </row>
    <row r="915" ht="14.25" customHeight="1">
      <c r="P915" s="174"/>
    </row>
    <row r="916" ht="14.25" customHeight="1">
      <c r="P916" s="174"/>
    </row>
    <row r="917" ht="14.25" customHeight="1">
      <c r="P917" s="174"/>
    </row>
    <row r="918" ht="14.25" customHeight="1">
      <c r="P918" s="174"/>
    </row>
    <row r="919" ht="14.25" customHeight="1">
      <c r="P919" s="174"/>
    </row>
    <row r="920" ht="14.25" customHeight="1">
      <c r="P920" s="174"/>
    </row>
    <row r="921" ht="14.25" customHeight="1">
      <c r="P921" s="174"/>
    </row>
    <row r="922" ht="14.25" customHeight="1">
      <c r="P922" s="174"/>
    </row>
    <row r="923" ht="14.25" customHeight="1">
      <c r="P923" s="174"/>
    </row>
    <row r="924" ht="14.25" customHeight="1">
      <c r="P924" s="174"/>
    </row>
    <row r="925" ht="14.25" customHeight="1">
      <c r="P925" s="174"/>
    </row>
    <row r="926" ht="14.25" customHeight="1">
      <c r="P926" s="174"/>
    </row>
    <row r="927" ht="14.25" customHeight="1">
      <c r="P927" s="174"/>
    </row>
    <row r="928" ht="14.25" customHeight="1">
      <c r="P928" s="174"/>
    </row>
    <row r="929" ht="14.25" customHeight="1">
      <c r="P929" s="174"/>
    </row>
    <row r="930" ht="14.25" customHeight="1">
      <c r="P930" s="174"/>
    </row>
    <row r="931" ht="14.25" customHeight="1">
      <c r="P931" s="174"/>
    </row>
    <row r="932" ht="14.25" customHeight="1">
      <c r="P932" s="174"/>
    </row>
    <row r="933" ht="14.25" customHeight="1">
      <c r="P933" s="174"/>
    </row>
    <row r="934" ht="14.25" customHeight="1">
      <c r="P934" s="174"/>
    </row>
    <row r="935" ht="14.25" customHeight="1">
      <c r="P935" s="174"/>
    </row>
    <row r="936" ht="14.25" customHeight="1">
      <c r="P936" s="174"/>
    </row>
    <row r="937" ht="14.25" customHeight="1">
      <c r="P937" s="174"/>
    </row>
    <row r="938" ht="14.25" customHeight="1">
      <c r="P938" s="174"/>
    </row>
    <row r="939" ht="14.25" customHeight="1">
      <c r="P939" s="174"/>
    </row>
    <row r="940" ht="14.25" customHeight="1">
      <c r="P940" s="174"/>
    </row>
    <row r="941" ht="14.25" customHeight="1">
      <c r="P941" s="174"/>
    </row>
    <row r="942" ht="14.25" customHeight="1">
      <c r="P942" s="174"/>
    </row>
    <row r="943" ht="14.25" customHeight="1">
      <c r="P943" s="174"/>
    </row>
    <row r="944" ht="14.25" customHeight="1">
      <c r="P944" s="174"/>
    </row>
    <row r="945" ht="14.25" customHeight="1">
      <c r="P945" s="174"/>
    </row>
    <row r="946" ht="14.25" customHeight="1">
      <c r="P946" s="174"/>
    </row>
    <row r="947" ht="14.25" customHeight="1">
      <c r="P947" s="174"/>
    </row>
    <row r="948" ht="14.25" customHeight="1">
      <c r="P948" s="174"/>
    </row>
    <row r="949" ht="14.25" customHeight="1">
      <c r="P949" s="174"/>
    </row>
    <row r="950" ht="14.25" customHeight="1">
      <c r="P950" s="174"/>
    </row>
    <row r="951" ht="14.25" customHeight="1">
      <c r="P951" s="174"/>
    </row>
    <row r="952" ht="14.25" customHeight="1">
      <c r="P952" s="174"/>
    </row>
    <row r="953" ht="14.25" customHeight="1">
      <c r="P953" s="174"/>
    </row>
    <row r="954" ht="14.25" customHeight="1">
      <c r="P954" s="174"/>
    </row>
    <row r="955" ht="14.25" customHeight="1">
      <c r="P955" s="174"/>
    </row>
    <row r="956" ht="14.25" customHeight="1">
      <c r="P956" s="174"/>
    </row>
    <row r="957" ht="14.25" customHeight="1">
      <c r="P957" s="174"/>
    </row>
    <row r="958" ht="14.25" customHeight="1">
      <c r="P958" s="174"/>
    </row>
    <row r="959" ht="14.25" customHeight="1">
      <c r="P959" s="174"/>
    </row>
    <row r="960" ht="14.25" customHeight="1">
      <c r="P960" s="174"/>
    </row>
    <row r="961" ht="14.25" customHeight="1">
      <c r="P961" s="174"/>
    </row>
    <row r="962" ht="14.25" customHeight="1">
      <c r="P962" s="174"/>
    </row>
    <row r="963" ht="14.25" customHeight="1">
      <c r="P963" s="174"/>
    </row>
    <row r="964" ht="14.25" customHeight="1">
      <c r="P964" s="174"/>
    </row>
    <row r="965" ht="14.25" customHeight="1">
      <c r="P965" s="174"/>
    </row>
    <row r="966" ht="14.25" customHeight="1">
      <c r="P966" s="174"/>
    </row>
    <row r="967" ht="14.25" customHeight="1">
      <c r="P967" s="174"/>
    </row>
    <row r="968" ht="14.25" customHeight="1">
      <c r="P968" s="174"/>
    </row>
    <row r="969" ht="14.25" customHeight="1">
      <c r="P969" s="174"/>
    </row>
    <row r="970" ht="14.25" customHeight="1">
      <c r="P970" s="174"/>
    </row>
    <row r="971" ht="14.25" customHeight="1">
      <c r="P971" s="174"/>
    </row>
    <row r="972" ht="14.25" customHeight="1">
      <c r="P972" s="174"/>
    </row>
    <row r="973" ht="14.25" customHeight="1">
      <c r="P973" s="174"/>
    </row>
    <row r="974" ht="14.25" customHeight="1">
      <c r="P974" s="174"/>
    </row>
    <row r="975" ht="14.25" customHeight="1">
      <c r="P975" s="174"/>
    </row>
    <row r="976" ht="14.25" customHeight="1">
      <c r="P976" s="174"/>
    </row>
    <row r="977" ht="14.25" customHeight="1">
      <c r="P977" s="174"/>
    </row>
    <row r="978" ht="14.25" customHeight="1">
      <c r="P978" s="174"/>
    </row>
    <row r="979" ht="14.25" customHeight="1">
      <c r="P979" s="174"/>
    </row>
    <row r="980" ht="14.25" customHeight="1">
      <c r="P980" s="174"/>
    </row>
    <row r="981" ht="14.25" customHeight="1">
      <c r="P981" s="174"/>
    </row>
    <row r="982" ht="14.25" customHeight="1">
      <c r="P982" s="174"/>
    </row>
    <row r="983" ht="14.25" customHeight="1">
      <c r="P983" s="174"/>
    </row>
    <row r="984" ht="14.25" customHeight="1">
      <c r="P984" s="174"/>
    </row>
    <row r="985" ht="14.25" customHeight="1">
      <c r="P985" s="174"/>
    </row>
    <row r="986" ht="14.25" customHeight="1">
      <c r="P986" s="174"/>
    </row>
    <row r="987" ht="14.25" customHeight="1">
      <c r="P987" s="174"/>
    </row>
    <row r="988" ht="14.25" customHeight="1">
      <c r="P988" s="174"/>
    </row>
    <row r="989" ht="14.25" customHeight="1">
      <c r="P989" s="174"/>
    </row>
    <row r="990" ht="14.25" customHeight="1">
      <c r="P990" s="174"/>
    </row>
    <row r="991" ht="14.25" customHeight="1">
      <c r="P991" s="174"/>
    </row>
    <row r="992" ht="14.25" customHeight="1">
      <c r="P992" s="174"/>
    </row>
    <row r="993" ht="14.25" customHeight="1">
      <c r="P993" s="174"/>
    </row>
    <row r="994" ht="14.25" customHeight="1">
      <c r="P994" s="174"/>
    </row>
    <row r="995" ht="14.25" customHeight="1">
      <c r="P995" s="174"/>
    </row>
    <row r="996" ht="14.25" customHeight="1">
      <c r="P996" s="174"/>
    </row>
    <row r="997" ht="14.25" customHeight="1">
      <c r="P997" s="174"/>
    </row>
    <row r="998" ht="14.25" customHeight="1">
      <c r="P998" s="174"/>
    </row>
    <row r="999" ht="14.25" customHeight="1">
      <c r="P999" s="174"/>
    </row>
    <row r="1000" ht="14.25" customHeight="1">
      <c r="P1000" s="174"/>
    </row>
  </sheetData>
  <mergeCells count="4">
    <mergeCell ref="I1:O1"/>
    <mergeCell ref="B2:B3"/>
    <mergeCell ref="C2:I2"/>
    <mergeCell ref="O2:O3"/>
  </mergeCells>
  <printOptions/>
  <pageMargins bottom="0.33" footer="0.0" header="0.0" left="0.7" right="0.17" top="0.7"/>
  <pageSetup paperSize="9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86"/>
    <col customWidth="1" min="2" max="2" width="13.14"/>
    <col customWidth="1" min="3" max="3" width="21.57"/>
    <col customWidth="1" min="4" max="4" width="42.86"/>
    <col customWidth="1" min="5" max="5" width="28.14"/>
    <col customWidth="1" min="6" max="6" width="12.29"/>
    <col customWidth="1" min="7" max="7" width="11.71"/>
    <col customWidth="1" min="8" max="9" width="12.57"/>
    <col customWidth="1" min="10" max="26" width="11.43"/>
  </cols>
  <sheetData>
    <row r="1" ht="9.75" customHeight="1">
      <c r="A1" s="761" t="s">
        <v>1104</v>
      </c>
      <c r="B1" s="761"/>
      <c r="C1" s="76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0.0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2088.0</v>
      </c>
      <c r="B4" s="765">
        <v>43103.0</v>
      </c>
      <c r="C4" s="764" t="s">
        <v>1105</v>
      </c>
      <c r="D4" s="764" t="s">
        <v>1106</v>
      </c>
      <c r="E4" s="764" t="s">
        <v>1107</v>
      </c>
      <c r="F4" s="763">
        <v>1.1286E7</v>
      </c>
      <c r="G4" s="763"/>
      <c r="H4" s="763">
        <v>1.1286E7</v>
      </c>
      <c r="I4" s="763">
        <f>+F4</f>
        <v>11286000</v>
      </c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2274.0</v>
      </c>
      <c r="B5" s="765">
        <v>43103.0</v>
      </c>
      <c r="C5" s="764" t="s">
        <v>1019</v>
      </c>
      <c r="D5" s="764" t="s">
        <v>1108</v>
      </c>
      <c r="E5" s="764" t="s">
        <v>1021</v>
      </c>
      <c r="F5" s="763">
        <v>2.7911995E7</v>
      </c>
      <c r="G5" s="763"/>
      <c r="H5" s="763">
        <v>3.9197995E7</v>
      </c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2364.0</v>
      </c>
      <c r="B6" s="765">
        <v>43131.0</v>
      </c>
      <c r="C6" s="764" t="s">
        <v>1105</v>
      </c>
      <c r="D6" s="764" t="s">
        <v>1109</v>
      </c>
      <c r="E6" s="764" t="s">
        <v>570</v>
      </c>
      <c r="F6" s="763">
        <v>1.1286E7</v>
      </c>
      <c r="G6" s="763"/>
      <c r="H6" s="763">
        <v>5.0483995E7</v>
      </c>
      <c r="I6" s="763">
        <f>+F6</f>
        <v>11286000</v>
      </c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2392.0</v>
      </c>
      <c r="B7" s="765">
        <v>43131.0</v>
      </c>
      <c r="C7" s="764" t="s">
        <v>1019</v>
      </c>
      <c r="D7" s="764" t="s">
        <v>1110</v>
      </c>
      <c r="E7" s="764" t="s">
        <v>1111</v>
      </c>
      <c r="F7" s="763"/>
      <c r="G7" s="763">
        <v>2537454.09</v>
      </c>
      <c r="H7" s="763">
        <v>4.794654091E7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2392.0</v>
      </c>
      <c r="B8" s="765">
        <v>43131.0</v>
      </c>
      <c r="C8" s="764" t="s">
        <v>1105</v>
      </c>
      <c r="D8" s="764" t="s">
        <v>1110</v>
      </c>
      <c r="E8" s="764" t="s">
        <v>1111</v>
      </c>
      <c r="F8" s="763"/>
      <c r="G8" s="763">
        <v>1026000.0</v>
      </c>
      <c r="H8" s="763">
        <v>4.692054091E7</v>
      </c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2516.0</v>
      </c>
      <c r="B9" s="765">
        <v>43159.0</v>
      </c>
      <c r="C9" s="764" t="s">
        <v>1105</v>
      </c>
      <c r="D9" s="764" t="s">
        <v>1112</v>
      </c>
      <c r="E9" s="764" t="s">
        <v>1111</v>
      </c>
      <c r="F9" s="763"/>
      <c r="G9" s="763">
        <v>1026000.0</v>
      </c>
      <c r="H9" s="763">
        <v>4.589454091E7</v>
      </c>
      <c r="I9" s="764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2524.0</v>
      </c>
      <c r="B10" s="765">
        <v>43159.0</v>
      </c>
      <c r="C10" s="764" t="s">
        <v>1019</v>
      </c>
      <c r="D10" s="764" t="s">
        <v>1113</v>
      </c>
      <c r="E10" s="764" t="s">
        <v>1021</v>
      </c>
      <c r="F10" s="763">
        <v>2.778837E7</v>
      </c>
      <c r="G10" s="763"/>
      <c r="H10" s="763">
        <v>7.368291091E7</v>
      </c>
      <c r="I10" s="764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2486.0</v>
      </c>
      <c r="B11" s="765">
        <v>43160.0</v>
      </c>
      <c r="C11" s="764" t="s">
        <v>1019</v>
      </c>
      <c r="D11" s="764" t="s">
        <v>1114</v>
      </c>
      <c r="E11" s="764" t="s">
        <v>1021</v>
      </c>
      <c r="F11" s="763">
        <v>2.7533645E7</v>
      </c>
      <c r="G11" s="763"/>
      <c r="H11" s="763">
        <v>1.0121655591E8</v>
      </c>
      <c r="I11" s="764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2540.0</v>
      </c>
      <c r="B12" s="765">
        <v>43168.0</v>
      </c>
      <c r="C12" s="764" t="s">
        <v>1105</v>
      </c>
      <c r="D12" s="764" t="s">
        <v>1115</v>
      </c>
      <c r="E12" s="764" t="s">
        <v>570</v>
      </c>
      <c r="F12" s="763">
        <v>1.1286E7</v>
      </c>
      <c r="G12" s="763"/>
      <c r="H12" s="763">
        <v>1.1250255591E8</v>
      </c>
      <c r="I12" s="763">
        <f>+F12</f>
        <v>11286000</v>
      </c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2751.0</v>
      </c>
      <c r="B13" s="765">
        <v>43190.0</v>
      </c>
      <c r="C13" s="764" t="s">
        <v>1105</v>
      </c>
      <c r="D13" s="764" t="s">
        <v>1116</v>
      </c>
      <c r="E13" s="764" t="s">
        <v>1111</v>
      </c>
      <c r="F13" s="763"/>
      <c r="G13" s="763">
        <v>1026000.0</v>
      </c>
      <c r="H13" s="763">
        <v>1.1147655591E8</v>
      </c>
      <c r="I13" s="764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2702.0</v>
      </c>
      <c r="B14" s="765">
        <v>43191.0</v>
      </c>
      <c r="C14" s="764" t="s">
        <v>1105</v>
      </c>
      <c r="D14" s="764" t="s">
        <v>1117</v>
      </c>
      <c r="E14" s="764" t="s">
        <v>1107</v>
      </c>
      <c r="F14" s="763">
        <v>1.1286E7</v>
      </c>
      <c r="G14" s="763"/>
      <c r="H14" s="763">
        <v>1.2276255591E8</v>
      </c>
      <c r="I14" s="763">
        <f>+F14</f>
        <v>11286000</v>
      </c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2936.0</v>
      </c>
      <c r="B15" s="765">
        <v>43199.0</v>
      </c>
      <c r="C15" s="764" t="s">
        <v>1019</v>
      </c>
      <c r="D15" s="764" t="s">
        <v>1118</v>
      </c>
      <c r="E15" s="764" t="s">
        <v>1021</v>
      </c>
      <c r="F15" s="763">
        <v>2.501532273E7</v>
      </c>
      <c r="G15" s="763"/>
      <c r="H15" s="763">
        <v>1.4777787864E8</v>
      </c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3108.0</v>
      </c>
      <c r="B16" s="765">
        <v>43220.0</v>
      </c>
      <c r="C16" s="764" t="s">
        <v>1105</v>
      </c>
      <c r="D16" s="764" t="s">
        <v>1119</v>
      </c>
      <c r="E16" s="764" t="s">
        <v>1111</v>
      </c>
      <c r="F16" s="763"/>
      <c r="G16" s="763">
        <v>1026000.0</v>
      </c>
      <c r="H16" s="763">
        <v>1.4675187864E8</v>
      </c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2955.0</v>
      </c>
      <c r="B17" s="765">
        <v>43222.0</v>
      </c>
      <c r="C17" s="764" t="s">
        <v>1105</v>
      </c>
      <c r="D17" s="764" t="s">
        <v>1120</v>
      </c>
      <c r="E17" s="764" t="s">
        <v>570</v>
      </c>
      <c r="F17" s="763">
        <v>1.026E7</v>
      </c>
      <c r="G17" s="763"/>
      <c r="H17" s="763">
        <v>1.5701187864E8</v>
      </c>
      <c r="I17" s="763">
        <f>+F17</f>
        <v>10260000</v>
      </c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2843.0</v>
      </c>
      <c r="B18" s="765">
        <v>43223.0</v>
      </c>
      <c r="C18" s="764" t="s">
        <v>1019</v>
      </c>
      <c r="D18" s="764" t="s">
        <v>1121</v>
      </c>
      <c r="E18" s="764" t="s">
        <v>1021</v>
      </c>
      <c r="F18" s="763">
        <v>2.7618975E7</v>
      </c>
      <c r="G18" s="763"/>
      <c r="H18" s="763">
        <v>1.8463085364E8</v>
      </c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3134.0</v>
      </c>
      <c r="B19" s="765">
        <v>43256.0</v>
      </c>
      <c r="C19" s="764" t="s">
        <v>1019</v>
      </c>
      <c r="D19" s="764" t="s">
        <v>1122</v>
      </c>
      <c r="E19" s="764" t="s">
        <v>1021</v>
      </c>
      <c r="F19" s="763">
        <v>2.77127E7</v>
      </c>
      <c r="G19" s="763"/>
      <c r="H19" s="763">
        <v>2.1234355364E8</v>
      </c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3294.0</v>
      </c>
      <c r="B20" s="765">
        <v>43264.0</v>
      </c>
      <c r="C20" s="764" t="s">
        <v>1105</v>
      </c>
      <c r="D20" s="764" t="s">
        <v>1123</v>
      </c>
      <c r="E20" s="764" t="s">
        <v>570</v>
      </c>
      <c r="F20" s="763">
        <v>1.026E7</v>
      </c>
      <c r="G20" s="763"/>
      <c r="H20" s="763">
        <v>2.2260355364E8</v>
      </c>
      <c r="I20" s="763">
        <f>+F20</f>
        <v>10260000</v>
      </c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3420.0</v>
      </c>
      <c r="B21" s="765">
        <v>43281.0</v>
      </c>
      <c r="C21" s="764" t="s">
        <v>1105</v>
      </c>
      <c r="D21" s="764" t="s">
        <v>1124</v>
      </c>
      <c r="E21" s="764" t="s">
        <v>1111</v>
      </c>
      <c r="F21" s="763"/>
      <c r="G21" s="763">
        <v>1776740.27</v>
      </c>
      <c r="H21" s="763">
        <v>2.2082681337E8</v>
      </c>
      <c r="I21" s="764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3695.0</v>
      </c>
      <c r="B22" s="765">
        <v>43283.0</v>
      </c>
      <c r="C22" s="764" t="s">
        <v>1019</v>
      </c>
      <c r="D22" s="764" t="s">
        <v>1125</v>
      </c>
      <c r="E22" s="764" t="s">
        <v>1021</v>
      </c>
      <c r="F22" s="763">
        <v>2.832243E7</v>
      </c>
      <c r="G22" s="763"/>
      <c r="H22" s="763">
        <v>2.4914924337E8</v>
      </c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3548.0</v>
      </c>
      <c r="B23" s="765">
        <v>43299.0</v>
      </c>
      <c r="C23" s="764" t="s">
        <v>1105</v>
      </c>
      <c r="D23" s="764" t="s">
        <v>1126</v>
      </c>
      <c r="E23" s="764" t="s">
        <v>570</v>
      </c>
      <c r="F23" s="763">
        <v>1.3145E7</v>
      </c>
      <c r="G23" s="763"/>
      <c r="H23" s="763">
        <v>2.6229424337E8</v>
      </c>
      <c r="I23" s="763">
        <f t="shared" ref="I23:I25" si="1">+F23</f>
        <v>13145000</v>
      </c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3552.0</v>
      </c>
      <c r="B24" s="765">
        <v>43299.0</v>
      </c>
      <c r="C24" s="764" t="s">
        <v>1105</v>
      </c>
      <c r="D24" s="764" t="s">
        <v>1127</v>
      </c>
      <c r="E24" s="764" t="s">
        <v>570</v>
      </c>
      <c r="F24" s="763">
        <v>1.3145E7</v>
      </c>
      <c r="G24" s="763"/>
      <c r="H24" s="763">
        <v>2.7543924337E8</v>
      </c>
      <c r="I24" s="763">
        <f t="shared" si="1"/>
        <v>13145000</v>
      </c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3555.0</v>
      </c>
      <c r="B25" s="765">
        <v>43299.0</v>
      </c>
      <c r="C25" s="764" t="s">
        <v>1105</v>
      </c>
      <c r="D25" s="764" t="s">
        <v>1128</v>
      </c>
      <c r="E25" s="764" t="s">
        <v>570</v>
      </c>
      <c r="F25" s="763">
        <v>1.026E7</v>
      </c>
      <c r="G25" s="763"/>
      <c r="H25" s="763">
        <v>2.8569924337E8</v>
      </c>
      <c r="I25" s="763">
        <f t="shared" si="1"/>
        <v>10260000</v>
      </c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3670.0</v>
      </c>
      <c r="B26" s="765">
        <v>43315.0</v>
      </c>
      <c r="C26" s="764" t="s">
        <v>1019</v>
      </c>
      <c r="D26" s="764" t="s">
        <v>1129</v>
      </c>
      <c r="E26" s="764" t="s">
        <v>1021</v>
      </c>
      <c r="F26" s="763">
        <v>2.83188651E7</v>
      </c>
      <c r="G26" s="763"/>
      <c r="H26" s="763">
        <v>3.1401810847E8</v>
      </c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3755.0</v>
      </c>
      <c r="B27" s="765">
        <v>43332.0</v>
      </c>
      <c r="C27" s="764" t="s">
        <v>1105</v>
      </c>
      <c r="D27" s="764" t="s">
        <v>1130</v>
      </c>
      <c r="E27" s="764" t="s">
        <v>570</v>
      </c>
      <c r="F27" s="763">
        <v>1.3145E7</v>
      </c>
      <c r="G27" s="763"/>
      <c r="H27" s="763">
        <v>3.2716310847E8</v>
      </c>
      <c r="I27" s="763">
        <f t="shared" ref="I27:I29" si="2">+F27</f>
        <v>13145000</v>
      </c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3843.0</v>
      </c>
      <c r="B28" s="765">
        <v>43342.0</v>
      </c>
      <c r="C28" s="764" t="s">
        <v>1105</v>
      </c>
      <c r="D28" s="764" t="s">
        <v>1131</v>
      </c>
      <c r="E28" s="764" t="s">
        <v>570</v>
      </c>
      <c r="F28" s="763">
        <v>1.026E7</v>
      </c>
      <c r="G28" s="763"/>
      <c r="H28" s="763">
        <v>3.3742310847E8</v>
      </c>
      <c r="I28" s="763">
        <f t="shared" si="2"/>
        <v>10260000</v>
      </c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3851.0</v>
      </c>
      <c r="B29" s="765">
        <v>43343.0</v>
      </c>
      <c r="C29" s="764" t="s">
        <v>977</v>
      </c>
      <c r="D29" s="764" t="s">
        <v>1132</v>
      </c>
      <c r="E29" s="764" t="s">
        <v>570</v>
      </c>
      <c r="F29" s="763">
        <v>218000.0</v>
      </c>
      <c r="G29" s="763"/>
      <c r="H29" s="763">
        <v>3.3764110847E8</v>
      </c>
      <c r="I29" s="763">
        <f t="shared" si="2"/>
        <v>218000</v>
      </c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3932.0</v>
      </c>
      <c r="B30" s="765">
        <v>43348.0</v>
      </c>
      <c r="C30" s="764" t="s">
        <v>1019</v>
      </c>
      <c r="D30" s="764" t="s">
        <v>1133</v>
      </c>
      <c r="E30" s="764" t="s">
        <v>1021</v>
      </c>
      <c r="F30" s="763">
        <v>2.8439385E7</v>
      </c>
      <c r="G30" s="763"/>
      <c r="H30" s="763">
        <v>3.6608049347E8</v>
      </c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4033.0</v>
      </c>
      <c r="B31" s="765">
        <v>43363.0</v>
      </c>
      <c r="C31" s="764" t="s">
        <v>1105</v>
      </c>
      <c r="D31" s="764" t="s">
        <v>1134</v>
      </c>
      <c r="E31" s="764" t="s">
        <v>570</v>
      </c>
      <c r="F31" s="763">
        <v>2.629E7</v>
      </c>
      <c r="G31" s="763"/>
      <c r="H31" s="763">
        <v>3.9237049347E8</v>
      </c>
      <c r="I31" s="763">
        <f t="shared" ref="I31:I34" si="3">+F31</f>
        <v>26290000</v>
      </c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4049.0</v>
      </c>
      <c r="B32" s="765">
        <v>43367.0</v>
      </c>
      <c r="C32" s="764" t="s">
        <v>1105</v>
      </c>
      <c r="D32" s="764" t="s">
        <v>1135</v>
      </c>
      <c r="E32" s="764" t="s">
        <v>552</v>
      </c>
      <c r="F32" s="763">
        <v>1.026E7</v>
      </c>
      <c r="G32" s="763"/>
      <c r="H32" s="763">
        <v>4.0263049347E8</v>
      </c>
      <c r="I32" s="763">
        <f t="shared" si="3"/>
        <v>10260000</v>
      </c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>
        <v>4076.0</v>
      </c>
      <c r="B33" s="765">
        <v>43371.0</v>
      </c>
      <c r="C33" s="764" t="s">
        <v>1105</v>
      </c>
      <c r="D33" s="764" t="s">
        <v>1136</v>
      </c>
      <c r="E33" s="764" t="s">
        <v>570</v>
      </c>
      <c r="F33" s="763">
        <v>1.3145E7</v>
      </c>
      <c r="G33" s="763"/>
      <c r="H33" s="763">
        <v>4.1577549347E8</v>
      </c>
      <c r="I33" s="763">
        <f t="shared" si="3"/>
        <v>13145000</v>
      </c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>
        <v>4078.0</v>
      </c>
      <c r="B34" s="765">
        <v>43371.0</v>
      </c>
      <c r="C34" s="764" t="s">
        <v>1105</v>
      </c>
      <c r="D34" s="764" t="s">
        <v>1137</v>
      </c>
      <c r="E34" s="764" t="s">
        <v>570</v>
      </c>
      <c r="F34" s="763">
        <v>1.026E7</v>
      </c>
      <c r="G34" s="763"/>
      <c r="H34" s="763">
        <v>4.2603549347E8</v>
      </c>
      <c r="I34" s="763">
        <f t="shared" si="3"/>
        <v>10260000</v>
      </c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>
        <v>4087.0</v>
      </c>
      <c r="B35" s="765">
        <v>43374.0</v>
      </c>
      <c r="C35" s="764" t="s">
        <v>1019</v>
      </c>
      <c r="D35" s="764" t="s">
        <v>1138</v>
      </c>
      <c r="E35" s="764" t="s">
        <v>1021</v>
      </c>
      <c r="F35" s="763">
        <v>2.9349495E7</v>
      </c>
      <c r="G35" s="763"/>
      <c r="H35" s="763">
        <v>4.5538498847E8</v>
      </c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>
        <v>4334.0</v>
      </c>
      <c r="B36" s="765">
        <v>43405.0</v>
      </c>
      <c r="C36" s="764" t="s">
        <v>1019</v>
      </c>
      <c r="D36" s="764" t="s">
        <v>1139</v>
      </c>
      <c r="E36" s="764" t="s">
        <v>1021</v>
      </c>
      <c r="F36" s="763">
        <v>2.9492325E7</v>
      </c>
      <c r="G36" s="763"/>
      <c r="H36" s="763">
        <v>4.8487731347E8</v>
      </c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>
        <v>4399.0</v>
      </c>
      <c r="B37" s="765">
        <v>43409.0</v>
      </c>
      <c r="C37" s="764" t="s">
        <v>1105</v>
      </c>
      <c r="D37" s="764" t="s">
        <v>1140</v>
      </c>
      <c r="E37" s="764" t="s">
        <v>570</v>
      </c>
      <c r="F37" s="763">
        <v>1.026E7</v>
      </c>
      <c r="G37" s="763"/>
      <c r="H37" s="763">
        <v>4.9513731347E8</v>
      </c>
      <c r="I37" s="763">
        <f t="shared" ref="I37:I41" si="4">+F37</f>
        <v>10260000</v>
      </c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>
        <v>4414.0</v>
      </c>
      <c r="B38" s="765">
        <v>43409.0</v>
      </c>
      <c r="C38" s="764" t="s">
        <v>1105</v>
      </c>
      <c r="D38" s="764" t="s">
        <v>1141</v>
      </c>
      <c r="E38" s="764" t="s">
        <v>570</v>
      </c>
      <c r="F38" s="763">
        <v>1.3145E7</v>
      </c>
      <c r="G38" s="763"/>
      <c r="H38" s="763">
        <v>5.0828231347E8</v>
      </c>
      <c r="I38" s="763">
        <f t="shared" si="4"/>
        <v>13145000</v>
      </c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4433.0</v>
      </c>
      <c r="B39" s="765">
        <v>43411.0</v>
      </c>
      <c r="C39" s="764" t="s">
        <v>977</v>
      </c>
      <c r="D39" s="764" t="s">
        <v>1142</v>
      </c>
      <c r="E39" s="764" t="s">
        <v>570</v>
      </c>
      <c r="F39" s="763">
        <v>218000.0</v>
      </c>
      <c r="G39" s="763"/>
      <c r="H39" s="763">
        <v>5.0850031347E8</v>
      </c>
      <c r="I39" s="763">
        <f t="shared" si="4"/>
        <v>218000</v>
      </c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4606.0</v>
      </c>
      <c r="B40" s="765">
        <v>43431.0</v>
      </c>
      <c r="C40" s="764" t="s">
        <v>1105</v>
      </c>
      <c r="D40" s="764" t="s">
        <v>1143</v>
      </c>
      <c r="E40" s="764" t="s">
        <v>570</v>
      </c>
      <c r="F40" s="763">
        <v>1.026E7</v>
      </c>
      <c r="G40" s="763"/>
      <c r="H40" s="763">
        <v>5.1876031347E8</v>
      </c>
      <c r="I40" s="763">
        <f t="shared" si="4"/>
        <v>10260000</v>
      </c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4610.0</v>
      </c>
      <c r="B41" s="765">
        <v>43431.0</v>
      </c>
      <c r="C41" s="764" t="s">
        <v>1105</v>
      </c>
      <c r="D41" s="764" t="s">
        <v>1144</v>
      </c>
      <c r="E41" s="764" t="s">
        <v>570</v>
      </c>
      <c r="F41" s="763">
        <v>1.3145E7</v>
      </c>
      <c r="G41" s="763"/>
      <c r="H41" s="763">
        <v>5.3190531347E8</v>
      </c>
      <c r="I41" s="763">
        <f t="shared" si="4"/>
        <v>13145000</v>
      </c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4639.0</v>
      </c>
      <c r="B42" s="765">
        <v>43437.0</v>
      </c>
      <c r="C42" s="764" t="s">
        <v>1019</v>
      </c>
      <c r="D42" s="764" t="s">
        <v>1145</v>
      </c>
      <c r="E42" s="764" t="s">
        <v>1021</v>
      </c>
      <c r="F42" s="763">
        <v>3.021096E7</v>
      </c>
      <c r="G42" s="763"/>
      <c r="H42" s="763">
        <v>5.6211627347E8</v>
      </c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/>
      <c r="B43" s="764"/>
      <c r="C43" s="764"/>
      <c r="D43" s="764"/>
      <c r="E43" s="764"/>
      <c r="F43" s="762">
        <v>5.7053446783E8</v>
      </c>
      <c r="G43" s="762">
        <v>8418194.36</v>
      </c>
      <c r="H43" s="762">
        <v>5.6211627347E8</v>
      </c>
      <c r="I43" s="766">
        <f>SUM(I4:I42)</f>
        <v>232820000</v>
      </c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/>
      <c r="B44" s="764"/>
      <c r="C44" s="764"/>
      <c r="D44" s="764"/>
      <c r="E44" s="764"/>
      <c r="F44" s="763"/>
      <c r="G44" s="763"/>
      <c r="H44" s="763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/>
      <c r="B45" s="764"/>
      <c r="C45" s="764"/>
      <c r="D45" s="764"/>
      <c r="E45" s="764"/>
      <c r="F45" s="763"/>
      <c r="G45" s="763"/>
      <c r="H45" s="763"/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/>
      <c r="B46" s="764"/>
      <c r="C46" s="764"/>
      <c r="D46" s="764"/>
      <c r="E46" s="764"/>
      <c r="F46" s="763"/>
      <c r="G46" s="763"/>
      <c r="H46" s="763"/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/>
      <c r="B47" s="764"/>
      <c r="C47" s="764"/>
      <c r="D47" s="764"/>
      <c r="E47" s="764"/>
      <c r="F47" s="763"/>
      <c r="G47" s="763"/>
      <c r="H47" s="763"/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/>
      <c r="B48" s="764"/>
      <c r="C48" s="764"/>
      <c r="D48" s="764"/>
      <c r="E48" s="764"/>
      <c r="F48" s="763"/>
      <c r="G48" s="763"/>
      <c r="H48" s="763"/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/>
      <c r="B49" s="764"/>
      <c r="C49" s="764"/>
      <c r="D49" s="764"/>
      <c r="E49" s="764"/>
      <c r="F49" s="763"/>
      <c r="G49" s="763"/>
      <c r="H49" s="763"/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/>
      <c r="B50" s="764"/>
      <c r="C50" s="764"/>
      <c r="D50" s="764"/>
      <c r="E50" s="764"/>
      <c r="F50" s="763"/>
      <c r="G50" s="763"/>
      <c r="H50" s="763"/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/>
      <c r="B51" s="764"/>
      <c r="C51" s="764"/>
      <c r="D51" s="764"/>
      <c r="E51" s="764"/>
      <c r="F51" s="763"/>
      <c r="G51" s="763"/>
      <c r="H51" s="763"/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/>
      <c r="B52" s="764"/>
      <c r="C52" s="764"/>
      <c r="D52" s="764"/>
      <c r="E52" s="764"/>
      <c r="F52" s="763"/>
      <c r="G52" s="763"/>
      <c r="H52" s="763"/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/>
      <c r="B53" s="764"/>
      <c r="C53" s="764"/>
      <c r="D53" s="764"/>
      <c r="E53" s="764"/>
      <c r="F53" s="763"/>
      <c r="G53" s="763"/>
      <c r="H53" s="763"/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/>
      <c r="B54" s="764"/>
      <c r="C54" s="764"/>
      <c r="D54" s="764"/>
      <c r="E54" s="764"/>
      <c r="F54" s="763"/>
      <c r="G54" s="763"/>
      <c r="H54" s="763"/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3"/>
      <c r="G55" s="763"/>
      <c r="H55" s="763"/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/>
      <c r="B60" s="764"/>
      <c r="C60" s="764"/>
      <c r="D60" s="764"/>
      <c r="E60" s="764"/>
      <c r="F60" s="763"/>
      <c r="G60" s="763"/>
      <c r="H60" s="763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/>
      <c r="B61" s="764"/>
      <c r="C61" s="764"/>
      <c r="D61" s="764"/>
      <c r="E61" s="764"/>
      <c r="F61" s="763"/>
      <c r="G61" s="763"/>
      <c r="H61" s="763"/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3"/>
      <c r="H62" s="763"/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/>
      <c r="B63" s="764"/>
      <c r="C63" s="764"/>
      <c r="D63" s="764"/>
      <c r="E63" s="764"/>
      <c r="F63" s="763"/>
      <c r="G63" s="763"/>
      <c r="H63" s="763"/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/>
      <c r="B64" s="764"/>
      <c r="C64" s="764"/>
      <c r="D64" s="764"/>
      <c r="E64" s="764"/>
      <c r="F64" s="763"/>
      <c r="G64" s="763"/>
      <c r="H64" s="763"/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/>
      <c r="B65" s="764"/>
      <c r="C65" s="764"/>
      <c r="D65" s="764"/>
      <c r="E65" s="764"/>
      <c r="F65" s="763"/>
      <c r="G65" s="763"/>
      <c r="H65" s="763"/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/>
      <c r="B66" s="764"/>
      <c r="C66" s="764"/>
      <c r="D66" s="764"/>
      <c r="E66" s="764"/>
      <c r="F66" s="763"/>
      <c r="G66" s="763"/>
      <c r="H66" s="763"/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/>
      <c r="B67" s="764"/>
      <c r="C67" s="764"/>
      <c r="D67" s="764"/>
      <c r="E67" s="764"/>
      <c r="F67" s="763"/>
      <c r="G67" s="763"/>
      <c r="H67" s="763"/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/>
      <c r="B68" s="764"/>
      <c r="C68" s="764"/>
      <c r="D68" s="764"/>
      <c r="E68" s="764"/>
      <c r="F68" s="763"/>
      <c r="G68" s="763"/>
      <c r="H68" s="763"/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/>
      <c r="B69" s="764"/>
      <c r="C69" s="764"/>
      <c r="D69" s="764"/>
      <c r="E69" s="764"/>
      <c r="F69" s="763"/>
      <c r="G69" s="763"/>
      <c r="H69" s="763"/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/>
      <c r="B70" s="764"/>
      <c r="C70" s="764"/>
      <c r="D70" s="764"/>
      <c r="E70" s="764"/>
      <c r="F70" s="763"/>
      <c r="G70" s="763"/>
      <c r="H70" s="763"/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/>
      <c r="B71" s="764"/>
      <c r="C71" s="764"/>
      <c r="D71" s="764"/>
      <c r="E71" s="764"/>
      <c r="F71" s="763"/>
      <c r="G71" s="763"/>
      <c r="H71" s="763"/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/>
      <c r="B72" s="764"/>
      <c r="C72" s="764"/>
      <c r="D72" s="764"/>
      <c r="E72" s="764"/>
      <c r="F72" s="763"/>
      <c r="G72" s="763"/>
      <c r="H72" s="763"/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/>
      <c r="B73" s="764"/>
      <c r="C73" s="764"/>
      <c r="D73" s="764"/>
      <c r="E73" s="764"/>
      <c r="F73" s="763"/>
      <c r="G73" s="763"/>
      <c r="H73" s="763"/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/>
      <c r="B74" s="764"/>
      <c r="C74" s="764"/>
      <c r="D74" s="764"/>
      <c r="E74" s="764"/>
      <c r="F74" s="763"/>
      <c r="G74" s="763"/>
      <c r="H74" s="763"/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/>
      <c r="B75" s="764"/>
      <c r="C75" s="764"/>
      <c r="D75" s="764"/>
      <c r="E75" s="764"/>
      <c r="F75" s="763"/>
      <c r="G75" s="763"/>
      <c r="H75" s="763"/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/>
      <c r="B76" s="764"/>
      <c r="C76" s="764"/>
      <c r="D76" s="764"/>
      <c r="E76" s="764"/>
      <c r="F76" s="763"/>
      <c r="G76" s="763"/>
      <c r="H76" s="763"/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/>
      <c r="B77" s="764"/>
      <c r="C77" s="764"/>
      <c r="D77" s="764"/>
      <c r="E77" s="764"/>
      <c r="F77" s="763"/>
      <c r="G77" s="763"/>
      <c r="H77" s="763"/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/>
      <c r="B78" s="764"/>
      <c r="C78" s="764"/>
      <c r="D78" s="764"/>
      <c r="E78" s="764"/>
      <c r="F78" s="763"/>
      <c r="G78" s="763"/>
      <c r="H78" s="763"/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3"/>
      <c r="G79" s="763"/>
      <c r="H79" s="763"/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/>
      <c r="G83" s="763"/>
      <c r="H83" s="763"/>
      <c r="I83" s="764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29"/>
    <col customWidth="1" min="2" max="2" width="13.14"/>
    <col customWidth="1" min="3" max="3" width="18.29"/>
    <col customWidth="1" min="4" max="4" width="62.29"/>
    <col customWidth="1" min="5" max="5" width="32.14"/>
    <col customWidth="1" min="6" max="6" width="5.29"/>
    <col customWidth="1" min="7" max="7" width="12.29"/>
    <col customWidth="1" min="8" max="8" width="12.57"/>
    <col customWidth="1" min="9" max="9" width="11.71"/>
    <col customWidth="1" min="10" max="26" width="11.43"/>
  </cols>
  <sheetData>
    <row r="1" ht="9.75" customHeight="1">
      <c r="A1" s="761" t="s">
        <v>1146</v>
      </c>
      <c r="B1" s="761"/>
      <c r="C1" s="76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0.0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2387.0</v>
      </c>
      <c r="B4" s="765">
        <v>43117.0</v>
      </c>
      <c r="C4" s="764" t="s">
        <v>1147</v>
      </c>
      <c r="D4" s="764" t="s">
        <v>1148</v>
      </c>
      <c r="E4" s="764" t="s">
        <v>570</v>
      </c>
      <c r="F4" s="763"/>
      <c r="G4" s="763">
        <v>405211.55</v>
      </c>
      <c r="H4" s="763">
        <v>405211.55</v>
      </c>
      <c r="I4" s="763">
        <f>+G4</f>
        <v>405211.55</v>
      </c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2323.0</v>
      </c>
      <c r="B5" s="765">
        <v>43131.0</v>
      </c>
      <c r="C5" s="764" t="s">
        <v>1019</v>
      </c>
      <c r="D5" s="764" t="s">
        <v>1149</v>
      </c>
      <c r="E5" s="764" t="s">
        <v>1021</v>
      </c>
      <c r="F5" s="763"/>
      <c r="G5" s="763">
        <v>1.8143175E7</v>
      </c>
      <c r="H5" s="763">
        <v>1.854838655E7</v>
      </c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2492.0</v>
      </c>
      <c r="B6" s="765">
        <v>43131.0</v>
      </c>
      <c r="C6" s="764" t="s">
        <v>1032</v>
      </c>
      <c r="D6" s="764" t="s">
        <v>1150</v>
      </c>
      <c r="E6" s="764" t="s">
        <v>1085</v>
      </c>
      <c r="F6" s="763"/>
      <c r="G6" s="763">
        <v>1124876.85</v>
      </c>
      <c r="H6" s="763">
        <v>1.96732634E7</v>
      </c>
      <c r="I6" s="763">
        <f>+G6</f>
        <v>1124876.85</v>
      </c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2498.0</v>
      </c>
      <c r="B7" s="765">
        <v>43131.0</v>
      </c>
      <c r="C7" s="764" t="s">
        <v>1151</v>
      </c>
      <c r="D7" s="764" t="s">
        <v>1152</v>
      </c>
      <c r="E7" s="764" t="s">
        <v>1153</v>
      </c>
      <c r="F7" s="763"/>
      <c r="G7" s="763">
        <v>2956684.37</v>
      </c>
      <c r="H7" s="763">
        <v>2.262994777E7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2737.0</v>
      </c>
      <c r="B8" s="765">
        <v>43131.0</v>
      </c>
      <c r="C8" s="764" t="s">
        <v>1154</v>
      </c>
      <c r="D8" s="764" t="s">
        <v>1155</v>
      </c>
      <c r="E8" s="764" t="s">
        <v>1153</v>
      </c>
      <c r="F8" s="763"/>
      <c r="G8" s="763">
        <v>184915.24</v>
      </c>
      <c r="H8" s="763">
        <v>2.281486301E7</v>
      </c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4198.0</v>
      </c>
      <c r="B9" s="765">
        <v>43131.0</v>
      </c>
      <c r="C9" s="764" t="s">
        <v>1147</v>
      </c>
      <c r="D9" s="764" t="s">
        <v>1156</v>
      </c>
      <c r="E9" s="764" t="s">
        <v>1157</v>
      </c>
      <c r="F9" s="763"/>
      <c r="G9" s="763">
        <v>499014.0</v>
      </c>
      <c r="H9" s="763">
        <v>2.331387701E7</v>
      </c>
      <c r="I9" s="764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2456.0</v>
      </c>
      <c r="B10" s="765">
        <v>43154.0</v>
      </c>
      <c r="C10" s="764" t="s">
        <v>1147</v>
      </c>
      <c r="D10" s="764" t="s">
        <v>1158</v>
      </c>
      <c r="E10" s="764" t="s">
        <v>570</v>
      </c>
      <c r="F10" s="763"/>
      <c r="G10" s="763">
        <v>732280.0</v>
      </c>
      <c r="H10" s="763">
        <v>2.404615701E7</v>
      </c>
      <c r="I10" s="763">
        <f>+G10</f>
        <v>732280</v>
      </c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2487.0</v>
      </c>
      <c r="B11" s="765">
        <v>43159.0</v>
      </c>
      <c r="C11" s="764" t="s">
        <v>1019</v>
      </c>
      <c r="D11" s="764" t="s">
        <v>1159</v>
      </c>
      <c r="E11" s="764" t="s">
        <v>1021</v>
      </c>
      <c r="F11" s="763"/>
      <c r="G11" s="763">
        <v>1.796475E7</v>
      </c>
      <c r="H11" s="763">
        <v>4.201090701E7</v>
      </c>
      <c r="I11" s="764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2497.0</v>
      </c>
      <c r="B12" s="765">
        <v>43159.0</v>
      </c>
      <c r="C12" s="764" t="s">
        <v>1151</v>
      </c>
      <c r="D12" s="764" t="s">
        <v>1160</v>
      </c>
      <c r="E12" s="764" t="s">
        <v>1071</v>
      </c>
      <c r="F12" s="763"/>
      <c r="G12" s="763">
        <v>3801863.01</v>
      </c>
      <c r="H12" s="763">
        <v>4.581277002E7</v>
      </c>
      <c r="I12" s="764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2499.0</v>
      </c>
      <c r="B13" s="765">
        <v>43159.0</v>
      </c>
      <c r="C13" s="764" t="s">
        <v>1151</v>
      </c>
      <c r="D13" s="764" t="s">
        <v>1161</v>
      </c>
      <c r="E13" s="764" t="s">
        <v>1153</v>
      </c>
      <c r="F13" s="763"/>
      <c r="G13" s="763">
        <v>2644291.435</v>
      </c>
      <c r="H13" s="763">
        <v>4.8457061455E7</v>
      </c>
      <c r="I13" s="764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2500.0</v>
      </c>
      <c r="B14" s="765">
        <v>43159.0</v>
      </c>
      <c r="C14" s="764" t="s">
        <v>1032</v>
      </c>
      <c r="D14" s="764" t="s">
        <v>1162</v>
      </c>
      <c r="E14" s="764" t="s">
        <v>552</v>
      </c>
      <c r="F14" s="763"/>
      <c r="G14" s="763">
        <v>1006026.0</v>
      </c>
      <c r="H14" s="763">
        <v>4.9463087455E7</v>
      </c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2512.0</v>
      </c>
      <c r="B15" s="765">
        <v>43159.0</v>
      </c>
      <c r="C15" s="764" t="s">
        <v>1067</v>
      </c>
      <c r="D15" s="764" t="s">
        <v>1163</v>
      </c>
      <c r="E15" s="764" t="s">
        <v>1074</v>
      </c>
      <c r="F15" s="763"/>
      <c r="G15" s="763">
        <v>370559.76</v>
      </c>
      <c r="H15" s="763">
        <v>4.9833647215E7</v>
      </c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2512.0</v>
      </c>
      <c r="B16" s="765">
        <v>43159.0</v>
      </c>
      <c r="C16" s="764" t="s">
        <v>1067</v>
      </c>
      <c r="D16" s="764" t="s">
        <v>1164</v>
      </c>
      <c r="E16" s="764" t="s">
        <v>1074</v>
      </c>
      <c r="F16" s="763"/>
      <c r="G16" s="763">
        <v>334699.14</v>
      </c>
      <c r="H16" s="763">
        <v>5.0168346355E7</v>
      </c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2738.0</v>
      </c>
      <c r="B17" s="765">
        <v>43159.0</v>
      </c>
      <c r="C17" s="764" t="s">
        <v>1154</v>
      </c>
      <c r="D17" s="764" t="s">
        <v>1165</v>
      </c>
      <c r="E17" s="764" t="s">
        <v>1153</v>
      </c>
      <c r="F17" s="763"/>
      <c r="G17" s="763">
        <v>165371.51</v>
      </c>
      <c r="H17" s="763">
        <v>5.0333717865E7</v>
      </c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4199.0</v>
      </c>
      <c r="B18" s="765">
        <v>43159.0</v>
      </c>
      <c r="C18" s="764" t="s">
        <v>1147</v>
      </c>
      <c r="D18" s="764" t="s">
        <v>1166</v>
      </c>
      <c r="E18" s="764" t="s">
        <v>1157</v>
      </c>
      <c r="F18" s="763"/>
      <c r="G18" s="763">
        <v>199437.0</v>
      </c>
      <c r="H18" s="763">
        <v>5.0533154865E7</v>
      </c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2548.0</v>
      </c>
      <c r="B19" s="765">
        <v>43173.0</v>
      </c>
      <c r="C19" s="764" t="s">
        <v>1167</v>
      </c>
      <c r="D19" s="764" t="s">
        <v>1168</v>
      </c>
      <c r="E19" s="764" t="s">
        <v>552</v>
      </c>
      <c r="F19" s="763"/>
      <c r="G19" s="763">
        <v>155396.03</v>
      </c>
      <c r="H19" s="763">
        <v>5.0688550895E7</v>
      </c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2533.0</v>
      </c>
      <c r="B20" s="765">
        <v>43174.0</v>
      </c>
      <c r="C20" s="764" t="s">
        <v>1002</v>
      </c>
      <c r="D20" s="764" t="s">
        <v>1169</v>
      </c>
      <c r="E20" s="764" t="s">
        <v>1074</v>
      </c>
      <c r="F20" s="763"/>
      <c r="G20" s="763">
        <v>1558033.74</v>
      </c>
      <c r="H20" s="763">
        <v>5.2246584635E7</v>
      </c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2588.0</v>
      </c>
      <c r="B21" s="765">
        <v>43175.0</v>
      </c>
      <c r="C21" s="764" t="s">
        <v>1147</v>
      </c>
      <c r="D21" s="764" t="s">
        <v>1170</v>
      </c>
      <c r="E21" s="764" t="s">
        <v>570</v>
      </c>
      <c r="F21" s="763"/>
      <c r="G21" s="763">
        <v>499273.0</v>
      </c>
      <c r="H21" s="763">
        <v>5.2745857635E7</v>
      </c>
      <c r="I21" s="763">
        <f t="shared" ref="I21:I22" si="1">+G21</f>
        <v>499273</v>
      </c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2659.0</v>
      </c>
      <c r="B22" s="765">
        <v>43182.0</v>
      </c>
      <c r="C22" s="764" t="s">
        <v>1171</v>
      </c>
      <c r="D22" s="764" t="s">
        <v>1172</v>
      </c>
      <c r="E22" s="764" t="s">
        <v>1085</v>
      </c>
      <c r="F22" s="763"/>
      <c r="G22" s="763">
        <v>190148.46</v>
      </c>
      <c r="H22" s="763">
        <v>5.2936006095E7</v>
      </c>
      <c r="I22" s="763">
        <f t="shared" si="1"/>
        <v>190148.46</v>
      </c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2669.0</v>
      </c>
      <c r="B23" s="765">
        <v>43190.0</v>
      </c>
      <c r="C23" s="764" t="s">
        <v>1151</v>
      </c>
      <c r="D23" s="764" t="s">
        <v>1173</v>
      </c>
      <c r="E23" s="764" t="s">
        <v>1071</v>
      </c>
      <c r="F23" s="763"/>
      <c r="G23" s="763">
        <v>1997589.04</v>
      </c>
      <c r="H23" s="763">
        <v>5.4933595135E7</v>
      </c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2670.0</v>
      </c>
      <c r="B24" s="765">
        <v>43190.0</v>
      </c>
      <c r="C24" s="764" t="s">
        <v>1151</v>
      </c>
      <c r="D24" s="764" t="s">
        <v>1174</v>
      </c>
      <c r="E24" s="764" t="s">
        <v>1153</v>
      </c>
      <c r="F24" s="763"/>
      <c r="G24" s="763">
        <v>3558551.47</v>
      </c>
      <c r="H24" s="763">
        <v>5.8492146605E7</v>
      </c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2732.0</v>
      </c>
      <c r="B25" s="765">
        <v>43190.0</v>
      </c>
      <c r="C25" s="764" t="s">
        <v>1019</v>
      </c>
      <c r="D25" s="764" t="s">
        <v>1175</v>
      </c>
      <c r="E25" s="764" t="s">
        <v>1021</v>
      </c>
      <c r="F25" s="763"/>
      <c r="G25" s="763">
        <v>1.7945775E7</v>
      </c>
      <c r="H25" s="763">
        <v>7.6437921605E7</v>
      </c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2735.0</v>
      </c>
      <c r="B26" s="765">
        <v>43190.0</v>
      </c>
      <c r="C26" s="764" t="s">
        <v>1171</v>
      </c>
      <c r="D26" s="764" t="s">
        <v>1176</v>
      </c>
      <c r="E26" s="764" t="s">
        <v>1153</v>
      </c>
      <c r="F26" s="763"/>
      <c r="G26" s="763">
        <v>32757.02</v>
      </c>
      <c r="H26" s="763">
        <v>7.6470678625E7</v>
      </c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2736.0</v>
      </c>
      <c r="B27" s="765">
        <v>43190.0</v>
      </c>
      <c r="C27" s="764" t="s">
        <v>1154</v>
      </c>
      <c r="D27" s="764" t="s">
        <v>1177</v>
      </c>
      <c r="E27" s="764" t="s">
        <v>1153</v>
      </c>
      <c r="F27" s="763"/>
      <c r="G27" s="763">
        <v>182898.55</v>
      </c>
      <c r="H27" s="763">
        <v>7.6653577175E7</v>
      </c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4200.0</v>
      </c>
      <c r="B28" s="765">
        <v>43190.0</v>
      </c>
      <c r="C28" s="764" t="s">
        <v>1147</v>
      </c>
      <c r="D28" s="764" t="s">
        <v>1178</v>
      </c>
      <c r="E28" s="764" t="s">
        <v>1157</v>
      </c>
      <c r="F28" s="763"/>
      <c r="G28" s="763">
        <v>527003.0</v>
      </c>
      <c r="H28" s="763">
        <v>7.7180580175E7</v>
      </c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3079.0</v>
      </c>
      <c r="B29" s="765">
        <v>43206.0</v>
      </c>
      <c r="C29" s="764" t="s">
        <v>1032</v>
      </c>
      <c r="D29" s="764" t="s">
        <v>1179</v>
      </c>
      <c r="E29" s="764" t="s">
        <v>582</v>
      </c>
      <c r="F29" s="763"/>
      <c r="G29" s="763">
        <v>3000000.0</v>
      </c>
      <c r="H29" s="763">
        <v>8.0180580175E7</v>
      </c>
      <c r="I29" s="763">
        <f t="shared" ref="I29:I33" si="2">+G29</f>
        <v>3000000</v>
      </c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2829.0</v>
      </c>
      <c r="B30" s="765">
        <v>43207.0</v>
      </c>
      <c r="C30" s="764" t="s">
        <v>1147</v>
      </c>
      <c r="D30" s="764" t="s">
        <v>1180</v>
      </c>
      <c r="E30" s="764" t="s">
        <v>570</v>
      </c>
      <c r="F30" s="763"/>
      <c r="G30" s="763">
        <v>527118.0</v>
      </c>
      <c r="H30" s="763">
        <v>8.0707698175E7</v>
      </c>
      <c r="I30" s="763">
        <f t="shared" si="2"/>
        <v>527118</v>
      </c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3080.0</v>
      </c>
      <c r="B31" s="765">
        <v>43208.0</v>
      </c>
      <c r="C31" s="764" t="s">
        <v>1032</v>
      </c>
      <c r="D31" s="764" t="s">
        <v>1179</v>
      </c>
      <c r="E31" s="764" t="s">
        <v>582</v>
      </c>
      <c r="F31" s="763"/>
      <c r="G31" s="763">
        <v>473000.0</v>
      </c>
      <c r="H31" s="763">
        <v>8.1180698175E7</v>
      </c>
      <c r="I31" s="763">
        <f t="shared" si="2"/>
        <v>473000</v>
      </c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3081.0</v>
      </c>
      <c r="B32" s="765">
        <v>43213.0</v>
      </c>
      <c r="C32" s="764" t="s">
        <v>1032</v>
      </c>
      <c r="D32" s="764" t="s">
        <v>1179</v>
      </c>
      <c r="E32" s="764" t="s">
        <v>582</v>
      </c>
      <c r="F32" s="763"/>
      <c r="G32" s="763">
        <v>1133683.0</v>
      </c>
      <c r="H32" s="763">
        <v>8.2314381175E7</v>
      </c>
      <c r="I32" s="763">
        <f t="shared" si="2"/>
        <v>1133683</v>
      </c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>
        <v>3098.0</v>
      </c>
      <c r="B33" s="765">
        <v>43214.0</v>
      </c>
      <c r="C33" s="764" t="s">
        <v>1171</v>
      </c>
      <c r="D33" s="764" t="s">
        <v>1181</v>
      </c>
      <c r="E33" s="764" t="s">
        <v>1085</v>
      </c>
      <c r="F33" s="763"/>
      <c r="G33" s="763">
        <v>109756.18</v>
      </c>
      <c r="H33" s="763">
        <v>8.2424137355E7</v>
      </c>
      <c r="I33" s="763">
        <f t="shared" si="2"/>
        <v>109756.18</v>
      </c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>
        <v>2937.0</v>
      </c>
      <c r="B34" s="765">
        <v>43220.0</v>
      </c>
      <c r="C34" s="764" t="s">
        <v>1019</v>
      </c>
      <c r="D34" s="764" t="s">
        <v>1182</v>
      </c>
      <c r="E34" s="764" t="s">
        <v>1021</v>
      </c>
      <c r="F34" s="763"/>
      <c r="G34" s="763">
        <v>1.8012375E7</v>
      </c>
      <c r="H34" s="763">
        <v>1.00436512355E8</v>
      </c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>
        <v>3071.0</v>
      </c>
      <c r="B35" s="765">
        <v>43220.0</v>
      </c>
      <c r="C35" s="764" t="s">
        <v>1154</v>
      </c>
      <c r="D35" s="764" t="s">
        <v>1183</v>
      </c>
      <c r="E35" s="764" t="s">
        <v>1153</v>
      </c>
      <c r="F35" s="763"/>
      <c r="G35" s="763">
        <v>177650.05</v>
      </c>
      <c r="H35" s="763">
        <v>1.00614162405E8</v>
      </c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>
        <v>3099.0</v>
      </c>
      <c r="B36" s="765">
        <v>43220.0</v>
      </c>
      <c r="C36" s="764" t="s">
        <v>1171</v>
      </c>
      <c r="D36" s="764" t="s">
        <v>1184</v>
      </c>
      <c r="E36" s="764" t="s">
        <v>1153</v>
      </c>
      <c r="F36" s="763"/>
      <c r="G36" s="763">
        <v>19045.08</v>
      </c>
      <c r="H36" s="763">
        <v>1.00633207485E8</v>
      </c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>
        <v>3184.0</v>
      </c>
      <c r="B37" s="765">
        <v>43220.0</v>
      </c>
      <c r="C37" s="764" t="s">
        <v>1151</v>
      </c>
      <c r="D37" s="764" t="s">
        <v>1185</v>
      </c>
      <c r="E37" s="764" t="s">
        <v>1153</v>
      </c>
      <c r="F37" s="763"/>
      <c r="G37" s="763">
        <v>3361805.65</v>
      </c>
      <c r="H37" s="763">
        <v>1.03995013135E8</v>
      </c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>
        <v>4201.0</v>
      </c>
      <c r="B38" s="765">
        <v>43220.0</v>
      </c>
      <c r="C38" s="764" t="s">
        <v>1147</v>
      </c>
      <c r="D38" s="764" t="s">
        <v>1186</v>
      </c>
      <c r="E38" s="764" t="s">
        <v>1157</v>
      </c>
      <c r="F38" s="763"/>
      <c r="G38" s="763">
        <v>458980.0</v>
      </c>
      <c r="H38" s="763">
        <v>1.04453993135E8</v>
      </c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4893.0</v>
      </c>
      <c r="B39" s="765">
        <v>43220.0</v>
      </c>
      <c r="C39" s="764" t="s">
        <v>1032</v>
      </c>
      <c r="D39" s="764" t="s">
        <v>1187</v>
      </c>
      <c r="E39" s="764" t="s">
        <v>1157</v>
      </c>
      <c r="F39" s="763"/>
      <c r="G39" s="763">
        <v>1714613.0</v>
      </c>
      <c r="H39" s="763">
        <v>1.06168606135E8</v>
      </c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3118.0</v>
      </c>
      <c r="B40" s="765">
        <v>43230.0</v>
      </c>
      <c r="C40" s="764" t="s">
        <v>1032</v>
      </c>
      <c r="D40" s="764" t="s">
        <v>1179</v>
      </c>
      <c r="E40" s="764" t="s">
        <v>570</v>
      </c>
      <c r="F40" s="763"/>
      <c r="G40" s="763">
        <v>1955730.0</v>
      </c>
      <c r="H40" s="763">
        <v>1.08124336135E8</v>
      </c>
      <c r="I40" s="763">
        <f t="shared" ref="I40:I44" si="3">+G40</f>
        <v>1955730</v>
      </c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3035.0</v>
      </c>
      <c r="B41" s="765">
        <v>43237.0</v>
      </c>
      <c r="C41" s="764" t="s">
        <v>1147</v>
      </c>
      <c r="D41" s="764" t="s">
        <v>1188</v>
      </c>
      <c r="E41" s="764" t="s">
        <v>570</v>
      </c>
      <c r="F41" s="763"/>
      <c r="G41" s="763">
        <v>524679.0</v>
      </c>
      <c r="H41" s="763">
        <v>1.08649015135E8</v>
      </c>
      <c r="I41" s="763">
        <f t="shared" si="3"/>
        <v>524679</v>
      </c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3175.0</v>
      </c>
      <c r="B42" s="765">
        <v>43244.0</v>
      </c>
      <c r="C42" s="764" t="s">
        <v>1171</v>
      </c>
      <c r="D42" s="764" t="s">
        <v>1172</v>
      </c>
      <c r="E42" s="764" t="s">
        <v>1085</v>
      </c>
      <c r="F42" s="763"/>
      <c r="G42" s="763">
        <v>76499.44</v>
      </c>
      <c r="H42" s="763">
        <v>1.08725514575E8</v>
      </c>
      <c r="I42" s="763">
        <f t="shared" si="3"/>
        <v>76499.44</v>
      </c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>
        <v>3126.0</v>
      </c>
      <c r="B43" s="765">
        <v>43248.0</v>
      </c>
      <c r="C43" s="764" t="s">
        <v>1032</v>
      </c>
      <c r="D43" s="764" t="s">
        <v>1189</v>
      </c>
      <c r="E43" s="764" t="s">
        <v>582</v>
      </c>
      <c r="F43" s="763"/>
      <c r="G43" s="763">
        <v>3624993.0</v>
      </c>
      <c r="H43" s="763">
        <v>1.12350507575E8</v>
      </c>
      <c r="I43" s="763">
        <f t="shared" si="3"/>
        <v>3624993</v>
      </c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>
        <v>3125.0</v>
      </c>
      <c r="B44" s="765">
        <v>43251.0</v>
      </c>
      <c r="C44" s="764" t="s">
        <v>1032</v>
      </c>
      <c r="D44" s="764" t="s">
        <v>1179</v>
      </c>
      <c r="E44" s="764" t="s">
        <v>582</v>
      </c>
      <c r="F44" s="763"/>
      <c r="G44" s="763">
        <v>579603.0</v>
      </c>
      <c r="H44" s="763">
        <v>1.12930110575E8</v>
      </c>
      <c r="I44" s="763">
        <f t="shared" si="3"/>
        <v>579603</v>
      </c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>
        <v>3135.0</v>
      </c>
      <c r="B45" s="765">
        <v>43251.0</v>
      </c>
      <c r="C45" s="764" t="s">
        <v>1019</v>
      </c>
      <c r="D45" s="764" t="s">
        <v>1190</v>
      </c>
      <c r="E45" s="764" t="s">
        <v>1021</v>
      </c>
      <c r="F45" s="763"/>
      <c r="G45" s="763">
        <v>1.80678E7</v>
      </c>
      <c r="H45" s="763">
        <v>1.30997910575E8</v>
      </c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>
        <v>3183.0</v>
      </c>
      <c r="B46" s="765">
        <v>43251.0</v>
      </c>
      <c r="C46" s="764" t="s">
        <v>1151</v>
      </c>
      <c r="D46" s="764" t="s">
        <v>1191</v>
      </c>
      <c r="E46" s="764" t="s">
        <v>1071</v>
      </c>
      <c r="F46" s="763"/>
      <c r="G46" s="763">
        <v>1933150.68</v>
      </c>
      <c r="H46" s="763">
        <v>1.32931061255E8</v>
      </c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>
        <v>3183.0</v>
      </c>
      <c r="B47" s="765">
        <v>43251.0</v>
      </c>
      <c r="C47" s="764" t="s">
        <v>1151</v>
      </c>
      <c r="D47" s="764" t="s">
        <v>1191</v>
      </c>
      <c r="E47" s="764" t="s">
        <v>1071</v>
      </c>
      <c r="F47" s="763"/>
      <c r="G47" s="763">
        <v>1997589.04</v>
      </c>
      <c r="H47" s="763">
        <v>1.34928650295E8</v>
      </c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>
        <v>3185.0</v>
      </c>
      <c r="B48" s="765">
        <v>43251.0</v>
      </c>
      <c r="C48" s="764" t="s">
        <v>1151</v>
      </c>
      <c r="D48" s="764" t="s">
        <v>1192</v>
      </c>
      <c r="E48" s="764" t="s">
        <v>1153</v>
      </c>
      <c r="F48" s="763"/>
      <c r="G48" s="763">
        <v>3386339.35</v>
      </c>
      <c r="H48" s="763">
        <v>1.38314989645E8</v>
      </c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>
        <v>3218.0</v>
      </c>
      <c r="B49" s="765">
        <v>43251.0</v>
      </c>
      <c r="C49" s="764" t="s">
        <v>1154</v>
      </c>
      <c r="D49" s="764" t="s">
        <v>1193</v>
      </c>
      <c r="E49" s="764" t="s">
        <v>1153</v>
      </c>
      <c r="F49" s="763"/>
      <c r="G49" s="763">
        <v>184147.02</v>
      </c>
      <c r="H49" s="763">
        <v>1.38499136665E8</v>
      </c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>
        <v>4188.0</v>
      </c>
      <c r="B50" s="765">
        <v>43251.0</v>
      </c>
      <c r="C50" s="764" t="s">
        <v>1032</v>
      </c>
      <c r="D50" s="764" t="s">
        <v>1194</v>
      </c>
      <c r="E50" s="764" t="s">
        <v>1157</v>
      </c>
      <c r="F50" s="763"/>
      <c r="G50" s="763">
        <v>176046.0</v>
      </c>
      <c r="H50" s="763">
        <v>1.38675182665E8</v>
      </c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>
        <v>4202.0</v>
      </c>
      <c r="B51" s="765">
        <v>43251.0</v>
      </c>
      <c r="C51" s="764" t="s">
        <v>1147</v>
      </c>
      <c r="D51" s="764" t="s">
        <v>1195</v>
      </c>
      <c r="E51" s="764" t="s">
        <v>1157</v>
      </c>
      <c r="F51" s="763"/>
      <c r="G51" s="763">
        <v>489376.0</v>
      </c>
      <c r="H51" s="763">
        <v>1.39164558665E8</v>
      </c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>
        <v>3335.0</v>
      </c>
      <c r="B52" s="765">
        <v>43272.0</v>
      </c>
      <c r="C52" s="764" t="s">
        <v>1171</v>
      </c>
      <c r="D52" s="764" t="s">
        <v>1172</v>
      </c>
      <c r="E52" s="764" t="s">
        <v>1085</v>
      </c>
      <c r="F52" s="763"/>
      <c r="G52" s="763">
        <v>46871.62</v>
      </c>
      <c r="H52" s="763">
        <v>1.39211430285E8</v>
      </c>
      <c r="I52" s="763">
        <f t="shared" ref="I52:I53" si="4">+G52</f>
        <v>46871.62</v>
      </c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>
        <v>3369.0</v>
      </c>
      <c r="B53" s="765">
        <v>43280.0</v>
      </c>
      <c r="C53" s="764" t="s">
        <v>1147</v>
      </c>
      <c r="D53" s="764" t="s">
        <v>1180</v>
      </c>
      <c r="E53" s="764" t="s">
        <v>570</v>
      </c>
      <c r="F53" s="763"/>
      <c r="G53" s="763">
        <v>914484.0</v>
      </c>
      <c r="H53" s="763">
        <v>1.40125914285E8</v>
      </c>
      <c r="I53" s="763">
        <f t="shared" si="4"/>
        <v>914484</v>
      </c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>
        <v>4189.0</v>
      </c>
      <c r="B54" s="765">
        <v>43280.0</v>
      </c>
      <c r="C54" s="764" t="s">
        <v>1032</v>
      </c>
      <c r="D54" s="764" t="s">
        <v>1196</v>
      </c>
      <c r="E54" s="764" t="s">
        <v>1157</v>
      </c>
      <c r="F54" s="763"/>
      <c r="G54" s="763">
        <v>5281372.0</v>
      </c>
      <c r="H54" s="763">
        <v>1.45407286285E8</v>
      </c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>
        <v>3390.0</v>
      </c>
      <c r="B55" s="765">
        <v>43281.0</v>
      </c>
      <c r="C55" s="764" t="s">
        <v>1019</v>
      </c>
      <c r="D55" s="764" t="s">
        <v>1197</v>
      </c>
      <c r="E55" s="764" t="s">
        <v>1021</v>
      </c>
      <c r="F55" s="763"/>
      <c r="G55" s="763">
        <v>1.8474675E7</v>
      </c>
      <c r="H55" s="763">
        <v>1.63881961285E8</v>
      </c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>
        <v>3394.0</v>
      </c>
      <c r="B56" s="765">
        <v>43281.0</v>
      </c>
      <c r="C56" s="764" t="s">
        <v>1154</v>
      </c>
      <c r="D56" s="764" t="s">
        <v>1198</v>
      </c>
      <c r="E56" s="764" t="s">
        <v>1153</v>
      </c>
      <c r="F56" s="763"/>
      <c r="G56" s="763">
        <v>182209.56</v>
      </c>
      <c r="H56" s="763">
        <v>1.64064170845E8</v>
      </c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>
        <v>3413.0</v>
      </c>
      <c r="B57" s="765">
        <v>43281.0</v>
      </c>
      <c r="C57" s="764" t="s">
        <v>1151</v>
      </c>
      <c r="D57" s="764" t="s">
        <v>1199</v>
      </c>
      <c r="E57" s="764" t="s">
        <v>1153</v>
      </c>
      <c r="F57" s="763"/>
      <c r="G57" s="763">
        <v>3253710.5</v>
      </c>
      <c r="H57" s="763">
        <v>1.67317881345E8</v>
      </c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>
        <v>3416.0</v>
      </c>
      <c r="B58" s="765">
        <v>43281.0</v>
      </c>
      <c r="C58" s="764" t="s">
        <v>1151</v>
      </c>
      <c r="D58" s="764" t="s">
        <v>1200</v>
      </c>
      <c r="E58" s="764" t="s">
        <v>1071</v>
      </c>
      <c r="F58" s="763"/>
      <c r="G58" s="763">
        <v>1933150.68</v>
      </c>
      <c r="H58" s="763">
        <v>1.69251032025E8</v>
      </c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>
        <v>4203.0</v>
      </c>
      <c r="B59" s="765">
        <v>43281.0</v>
      </c>
      <c r="C59" s="764" t="s">
        <v>1147</v>
      </c>
      <c r="D59" s="764" t="s">
        <v>1201</v>
      </c>
      <c r="E59" s="764" t="s">
        <v>1157</v>
      </c>
      <c r="F59" s="763"/>
      <c r="G59" s="763">
        <v>64869.0</v>
      </c>
      <c r="H59" s="763">
        <v>1.69315901025E8</v>
      </c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4">
        <v>3457.0</v>
      </c>
      <c r="B60" s="765">
        <v>43283.0</v>
      </c>
      <c r="C60" s="764" t="s">
        <v>1032</v>
      </c>
      <c r="D60" s="764" t="s">
        <v>1202</v>
      </c>
      <c r="E60" s="764" t="s">
        <v>570</v>
      </c>
      <c r="F60" s="763"/>
      <c r="G60" s="763">
        <v>178491.0</v>
      </c>
      <c r="H60" s="763">
        <v>1.69494392025E8</v>
      </c>
      <c r="I60" s="763">
        <f t="shared" ref="I60:I61" si="5">+G60</f>
        <v>178491</v>
      </c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4">
        <v>3465.0</v>
      </c>
      <c r="B61" s="765">
        <v>43286.0</v>
      </c>
      <c r="C61" s="764" t="s">
        <v>1032</v>
      </c>
      <c r="D61" s="764" t="s">
        <v>1203</v>
      </c>
      <c r="E61" s="764" t="s">
        <v>570</v>
      </c>
      <c r="F61" s="763"/>
      <c r="G61" s="763">
        <v>399926.0</v>
      </c>
      <c r="H61" s="763">
        <v>1.69894318025E8</v>
      </c>
      <c r="I61" s="763">
        <f t="shared" si="5"/>
        <v>399926</v>
      </c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>
        <v>3671.0</v>
      </c>
      <c r="B62" s="765">
        <v>43312.0</v>
      </c>
      <c r="C62" s="764" t="s">
        <v>1019</v>
      </c>
      <c r="D62" s="764" t="s">
        <v>1204</v>
      </c>
      <c r="E62" s="764" t="s">
        <v>1021</v>
      </c>
      <c r="F62" s="763"/>
      <c r="G62" s="763">
        <v>1.8477075E7</v>
      </c>
      <c r="H62" s="763">
        <v>1.88371393025E8</v>
      </c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>
        <v>3696.0</v>
      </c>
      <c r="B63" s="765">
        <v>43312.0</v>
      </c>
      <c r="C63" s="764" t="s">
        <v>1151</v>
      </c>
      <c r="D63" s="764" t="s">
        <v>1205</v>
      </c>
      <c r="E63" s="764" t="s">
        <v>1071</v>
      </c>
      <c r="F63" s="763"/>
      <c r="G63" s="763">
        <v>1997589.0</v>
      </c>
      <c r="H63" s="763">
        <v>1.90368982025E8</v>
      </c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>
        <v>3698.0</v>
      </c>
      <c r="B64" s="765">
        <v>43312.0</v>
      </c>
      <c r="C64" s="764" t="s">
        <v>1151</v>
      </c>
      <c r="D64" s="764" t="s">
        <v>1206</v>
      </c>
      <c r="E64" s="764" t="s">
        <v>1153</v>
      </c>
      <c r="F64" s="763"/>
      <c r="G64" s="763">
        <v>3262189.18</v>
      </c>
      <c r="H64" s="763">
        <v>1.93631171205E8</v>
      </c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>
        <v>3774.0</v>
      </c>
      <c r="B65" s="765">
        <v>43312.0</v>
      </c>
      <c r="C65" s="764" t="s">
        <v>1154</v>
      </c>
      <c r="D65" s="764" t="s">
        <v>1207</v>
      </c>
      <c r="E65" s="764" t="s">
        <v>1153</v>
      </c>
      <c r="F65" s="763"/>
      <c r="G65" s="763">
        <v>188318.35</v>
      </c>
      <c r="H65" s="763">
        <v>1.93819489555E8</v>
      </c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>
        <v>4190.0</v>
      </c>
      <c r="B66" s="765">
        <v>43312.0</v>
      </c>
      <c r="C66" s="764" t="s">
        <v>1032</v>
      </c>
      <c r="D66" s="764" t="s">
        <v>1208</v>
      </c>
      <c r="E66" s="764" t="s">
        <v>1157</v>
      </c>
      <c r="F66" s="763"/>
      <c r="G66" s="763">
        <v>3528726.0</v>
      </c>
      <c r="H66" s="763">
        <v>1.97348215555E8</v>
      </c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>
        <v>4204.0</v>
      </c>
      <c r="B67" s="765">
        <v>43312.0</v>
      </c>
      <c r="C67" s="764" t="s">
        <v>1147</v>
      </c>
      <c r="D67" s="764" t="s">
        <v>1209</v>
      </c>
      <c r="E67" s="764" t="s">
        <v>1157</v>
      </c>
      <c r="F67" s="763"/>
      <c r="G67" s="763">
        <v>1005465.0</v>
      </c>
      <c r="H67" s="763">
        <v>1.98353680555E8</v>
      </c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>
        <v>3793.0</v>
      </c>
      <c r="B68" s="765">
        <v>43334.0</v>
      </c>
      <c r="C68" s="764" t="s">
        <v>1147</v>
      </c>
      <c r="D68" s="764" t="s">
        <v>1180</v>
      </c>
      <c r="E68" s="764" t="s">
        <v>570</v>
      </c>
      <c r="F68" s="763"/>
      <c r="G68" s="763">
        <v>684350.0</v>
      </c>
      <c r="H68" s="763">
        <v>1.99038030555E8</v>
      </c>
      <c r="I68" s="763">
        <f>+G68</f>
        <v>684350</v>
      </c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>
        <v>3823.0</v>
      </c>
      <c r="B69" s="765">
        <v>43342.0</v>
      </c>
      <c r="C69" s="764" t="s">
        <v>1154</v>
      </c>
      <c r="D69" s="764" t="s">
        <v>1210</v>
      </c>
      <c r="E69" s="764" t="s">
        <v>1153</v>
      </c>
      <c r="F69" s="763"/>
      <c r="G69" s="763">
        <v>189085.81</v>
      </c>
      <c r="H69" s="763">
        <v>1.99227116365E8</v>
      </c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>
        <v>3859.0</v>
      </c>
      <c r="B70" s="765">
        <v>43343.0</v>
      </c>
      <c r="C70" s="764" t="s">
        <v>1019</v>
      </c>
      <c r="D70" s="764" t="s">
        <v>1211</v>
      </c>
      <c r="E70" s="764" t="s">
        <v>1021</v>
      </c>
      <c r="F70" s="763"/>
      <c r="G70" s="763">
        <v>1.8550725E7</v>
      </c>
      <c r="H70" s="763">
        <v>2.17777841365E8</v>
      </c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>
        <v>3919.0</v>
      </c>
      <c r="B71" s="765">
        <v>43343.0</v>
      </c>
      <c r="C71" s="764" t="s">
        <v>1151</v>
      </c>
      <c r="D71" s="764" t="s">
        <v>1212</v>
      </c>
      <c r="E71" s="764" t="s">
        <v>1153</v>
      </c>
      <c r="F71" s="763"/>
      <c r="G71" s="763">
        <v>3174350.59</v>
      </c>
      <c r="H71" s="763">
        <v>2.20952191955E8</v>
      </c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>
        <v>4151.0</v>
      </c>
      <c r="B72" s="765">
        <v>43343.0</v>
      </c>
      <c r="C72" s="764" t="s">
        <v>1151</v>
      </c>
      <c r="D72" s="764" t="s">
        <v>1213</v>
      </c>
      <c r="E72" s="764" t="s">
        <v>1157</v>
      </c>
      <c r="F72" s="763"/>
      <c r="G72" s="763">
        <v>1997589.0</v>
      </c>
      <c r="H72" s="763">
        <v>2.22949780955E8</v>
      </c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>
        <v>4191.0</v>
      </c>
      <c r="B73" s="765">
        <v>43343.0</v>
      </c>
      <c r="C73" s="764" t="s">
        <v>1032</v>
      </c>
      <c r="D73" s="764" t="s">
        <v>1214</v>
      </c>
      <c r="E73" s="764" t="s">
        <v>1157</v>
      </c>
      <c r="F73" s="763"/>
      <c r="G73" s="763">
        <v>4051500.0</v>
      </c>
      <c r="H73" s="763">
        <v>2.27001280955E8</v>
      </c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>
        <v>4205.0</v>
      </c>
      <c r="B74" s="765">
        <v>43343.0</v>
      </c>
      <c r="C74" s="764" t="s">
        <v>1147</v>
      </c>
      <c r="D74" s="764" t="s">
        <v>1215</v>
      </c>
      <c r="E74" s="764" t="s">
        <v>1157</v>
      </c>
      <c r="F74" s="763"/>
      <c r="G74" s="763">
        <v>319561.0</v>
      </c>
      <c r="H74" s="763">
        <v>2.27320841955E8</v>
      </c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>
        <v>4066.0</v>
      </c>
      <c r="B75" s="765">
        <v>43348.0</v>
      </c>
      <c r="C75" s="764" t="s">
        <v>1019</v>
      </c>
      <c r="D75" s="764" t="s">
        <v>1216</v>
      </c>
      <c r="E75" s="764" t="s">
        <v>1021</v>
      </c>
      <c r="F75" s="763"/>
      <c r="G75" s="763">
        <v>1.8553725E7</v>
      </c>
      <c r="H75" s="763">
        <v>2.45874566955E8</v>
      </c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>
        <v>4123.0</v>
      </c>
      <c r="B76" s="765">
        <v>43369.0</v>
      </c>
      <c r="C76" s="764" t="s">
        <v>1147</v>
      </c>
      <c r="D76" s="764" t="s">
        <v>1180</v>
      </c>
      <c r="E76" s="764" t="s">
        <v>570</v>
      </c>
      <c r="F76" s="763"/>
      <c r="G76" s="763">
        <v>798961.0</v>
      </c>
      <c r="H76" s="763">
        <v>2.46673527955E8</v>
      </c>
      <c r="I76" s="763">
        <f>+G76</f>
        <v>798961</v>
      </c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>
        <v>4149.0</v>
      </c>
      <c r="B77" s="765">
        <v>43373.0</v>
      </c>
      <c r="C77" s="764" t="s">
        <v>1151</v>
      </c>
      <c r="D77" s="764" t="s">
        <v>1217</v>
      </c>
      <c r="E77" s="764" t="s">
        <v>1153</v>
      </c>
      <c r="F77" s="763"/>
      <c r="G77" s="763">
        <v>3069012.89</v>
      </c>
      <c r="H77" s="763">
        <v>2.49742540845E8</v>
      </c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>
        <v>4152.0</v>
      </c>
      <c r="B78" s="765">
        <v>43373.0</v>
      </c>
      <c r="C78" s="764" t="s">
        <v>1151</v>
      </c>
      <c r="D78" s="764" t="s">
        <v>1218</v>
      </c>
      <c r="E78" s="764" t="s">
        <v>1157</v>
      </c>
      <c r="F78" s="763"/>
      <c r="G78" s="763">
        <v>1933151.0</v>
      </c>
      <c r="H78" s="763">
        <v>2.51675691845E8</v>
      </c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>
        <v>4173.0</v>
      </c>
      <c r="B79" s="765">
        <v>43373.0</v>
      </c>
      <c r="C79" s="764" t="s">
        <v>1154</v>
      </c>
      <c r="D79" s="764" t="s">
        <v>1219</v>
      </c>
      <c r="E79" s="764" t="s">
        <v>1153</v>
      </c>
      <c r="F79" s="763"/>
      <c r="G79" s="763">
        <v>188781.06</v>
      </c>
      <c r="H79" s="763">
        <v>2.51864472905E8</v>
      </c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>
        <v>4192.0</v>
      </c>
      <c r="B80" s="765">
        <v>43373.0</v>
      </c>
      <c r="C80" s="764" t="s">
        <v>1032</v>
      </c>
      <c r="D80" s="764" t="s">
        <v>1220</v>
      </c>
      <c r="E80" s="764" t="s">
        <v>1157</v>
      </c>
      <c r="F80" s="763"/>
      <c r="G80" s="763">
        <v>3920806.0</v>
      </c>
      <c r="H80" s="763">
        <v>2.55785278905E8</v>
      </c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>
        <v>4206.0</v>
      </c>
      <c r="B81" s="765">
        <v>43373.0</v>
      </c>
      <c r="C81" s="764" t="s">
        <v>1147</v>
      </c>
      <c r="D81" s="764" t="s">
        <v>1221</v>
      </c>
      <c r="E81" s="764" t="s">
        <v>1157</v>
      </c>
      <c r="F81" s="763"/>
      <c r="G81" s="763">
        <v>159258.0</v>
      </c>
      <c r="H81" s="763">
        <v>2.55944536905E8</v>
      </c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>
        <v>4088.0</v>
      </c>
      <c r="B82" s="765">
        <v>43374.0</v>
      </c>
      <c r="C82" s="764" t="s">
        <v>1019</v>
      </c>
      <c r="D82" s="764" t="s">
        <v>1222</v>
      </c>
      <c r="E82" s="764" t="s">
        <v>1021</v>
      </c>
      <c r="F82" s="763"/>
      <c r="G82" s="763">
        <v>1.9140975E7</v>
      </c>
      <c r="H82" s="763">
        <v>2.75085511905E8</v>
      </c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>
        <v>4324.0</v>
      </c>
      <c r="B83" s="765">
        <v>43396.0</v>
      </c>
      <c r="C83" s="764" t="s">
        <v>1147</v>
      </c>
      <c r="D83" s="764" t="s">
        <v>1188</v>
      </c>
      <c r="E83" s="764" t="s">
        <v>570</v>
      </c>
      <c r="F83" s="763"/>
      <c r="G83" s="763">
        <v>701015.0</v>
      </c>
      <c r="H83" s="763">
        <v>2.75786526905E8</v>
      </c>
      <c r="I83" s="763">
        <f>+G83</f>
        <v>701015</v>
      </c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>
        <v>4337.0</v>
      </c>
      <c r="B84" s="765">
        <v>43404.0</v>
      </c>
      <c r="C84" s="764" t="s">
        <v>1151</v>
      </c>
      <c r="D84" s="764" t="s">
        <v>1223</v>
      </c>
      <c r="E84" s="764" t="s">
        <v>1153</v>
      </c>
      <c r="F84" s="763"/>
      <c r="G84" s="763">
        <v>3082178.77</v>
      </c>
      <c r="H84" s="763">
        <v>2.78868705675E8</v>
      </c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>
        <v>4890.0</v>
      </c>
      <c r="B85" s="765">
        <v>43404.0</v>
      </c>
      <c r="C85" s="764" t="s">
        <v>1032</v>
      </c>
      <c r="D85" s="764" t="s">
        <v>1224</v>
      </c>
      <c r="E85" s="764" t="s">
        <v>1157</v>
      </c>
      <c r="F85" s="763"/>
      <c r="G85" s="763">
        <v>4051500.0</v>
      </c>
      <c r="H85" s="763">
        <v>2.82920205675E8</v>
      </c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>
        <v>4890.0</v>
      </c>
      <c r="B86" s="765">
        <v>43404.0</v>
      </c>
      <c r="C86" s="764" t="s">
        <v>1147</v>
      </c>
      <c r="D86" s="764" t="s">
        <v>1224</v>
      </c>
      <c r="E86" s="764" t="s">
        <v>1157</v>
      </c>
      <c r="F86" s="763"/>
      <c r="G86" s="763">
        <v>283115.0</v>
      </c>
      <c r="H86" s="763">
        <v>2.83203320675E8</v>
      </c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>
        <v>4939.0</v>
      </c>
      <c r="B87" s="765">
        <v>43404.0</v>
      </c>
      <c r="C87" s="764" t="s">
        <v>1154</v>
      </c>
      <c r="D87" s="764" t="s">
        <v>1225</v>
      </c>
      <c r="E87" s="764" t="s">
        <v>1153</v>
      </c>
      <c r="F87" s="763"/>
      <c r="G87" s="763">
        <v>196034.2</v>
      </c>
      <c r="H87" s="763">
        <v>2.83399354875E8</v>
      </c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>
        <v>4376.0</v>
      </c>
      <c r="B88" s="765">
        <v>43405.0</v>
      </c>
      <c r="C88" s="764" t="s">
        <v>1019</v>
      </c>
      <c r="D88" s="764" t="s">
        <v>1226</v>
      </c>
      <c r="E88" s="764" t="s">
        <v>1021</v>
      </c>
      <c r="F88" s="763"/>
      <c r="G88" s="763">
        <v>1.92333E7</v>
      </c>
      <c r="H88" s="763">
        <v>3.02632654875E8</v>
      </c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>
        <v>4596.0</v>
      </c>
      <c r="B89" s="765">
        <v>43417.0</v>
      </c>
      <c r="C89" s="764" t="s">
        <v>1032</v>
      </c>
      <c r="D89" s="764" t="s">
        <v>1188</v>
      </c>
      <c r="E89" s="764" t="s">
        <v>570</v>
      </c>
      <c r="F89" s="763"/>
      <c r="G89" s="763">
        <v>1590105.0</v>
      </c>
      <c r="H89" s="763">
        <v>3.04222759875E8</v>
      </c>
      <c r="I89" s="763">
        <f t="shared" ref="I89:I90" si="6">+G89</f>
        <v>1590105</v>
      </c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>
        <v>4598.0</v>
      </c>
      <c r="B90" s="765">
        <v>43423.0</v>
      </c>
      <c r="C90" s="764" t="s">
        <v>1147</v>
      </c>
      <c r="D90" s="764" t="s">
        <v>1188</v>
      </c>
      <c r="E90" s="764" t="s">
        <v>570</v>
      </c>
      <c r="F90" s="763"/>
      <c r="G90" s="763">
        <v>566230.0</v>
      </c>
      <c r="H90" s="763">
        <v>3.04788989875E8</v>
      </c>
      <c r="I90" s="763">
        <f t="shared" si="6"/>
        <v>566230</v>
      </c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>
        <v>4891.0</v>
      </c>
      <c r="B91" s="765">
        <v>43434.0</v>
      </c>
      <c r="C91" s="764" t="s">
        <v>1032</v>
      </c>
      <c r="D91" s="764" t="s">
        <v>1227</v>
      </c>
      <c r="E91" s="764" t="s">
        <v>1157</v>
      </c>
      <c r="F91" s="763"/>
      <c r="G91" s="763">
        <v>2060818.0</v>
      </c>
      <c r="H91" s="763">
        <v>3.06849807875E8</v>
      </c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>
        <v>4891.0</v>
      </c>
      <c r="B92" s="765">
        <v>43434.0</v>
      </c>
      <c r="C92" s="764" t="s">
        <v>1147</v>
      </c>
      <c r="D92" s="764" t="s">
        <v>1227</v>
      </c>
      <c r="E92" s="764" t="s">
        <v>1157</v>
      </c>
      <c r="F92" s="763"/>
      <c r="G92" s="763">
        <v>375006.0</v>
      </c>
      <c r="H92" s="763">
        <v>3.07224813875E8</v>
      </c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>
        <v>4910.0</v>
      </c>
      <c r="B93" s="765">
        <v>43434.0</v>
      </c>
      <c r="C93" s="764" t="s">
        <v>1151</v>
      </c>
      <c r="D93" s="764" t="s">
        <v>1228</v>
      </c>
      <c r="E93" s="764" t="s">
        <v>1153</v>
      </c>
      <c r="F93" s="763"/>
      <c r="G93" s="763">
        <v>2942693.36</v>
      </c>
      <c r="H93" s="763">
        <v>3.10167507235E8</v>
      </c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>
        <v>4940.0</v>
      </c>
      <c r="B94" s="765">
        <v>43434.0</v>
      </c>
      <c r="C94" s="764" t="s">
        <v>1154</v>
      </c>
      <c r="D94" s="764" t="s">
        <v>1229</v>
      </c>
      <c r="E94" s="764" t="s">
        <v>1153</v>
      </c>
      <c r="F94" s="763"/>
      <c r="G94" s="763">
        <v>193722.99</v>
      </c>
      <c r="H94" s="763">
        <v>3.10361230225E8</v>
      </c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>
        <v>4640.0</v>
      </c>
      <c r="B95" s="765">
        <v>43437.0</v>
      </c>
      <c r="C95" s="764" t="s">
        <v>1019</v>
      </c>
      <c r="D95" s="764" t="s">
        <v>1230</v>
      </c>
      <c r="E95" s="764" t="s">
        <v>1021</v>
      </c>
      <c r="F95" s="763"/>
      <c r="G95" s="763">
        <v>1.97028E7</v>
      </c>
      <c r="H95" s="763">
        <v>3.30064030225E8</v>
      </c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>
        <v>4888.0</v>
      </c>
      <c r="B96" s="765">
        <v>43462.0</v>
      </c>
      <c r="C96" s="764" t="s">
        <v>1147</v>
      </c>
      <c r="D96" s="764" t="s">
        <v>1188</v>
      </c>
      <c r="E96" s="764" t="s">
        <v>570</v>
      </c>
      <c r="F96" s="763"/>
      <c r="G96" s="763">
        <v>843763.0</v>
      </c>
      <c r="H96" s="763">
        <v>3.30907793225E8</v>
      </c>
      <c r="I96" s="763">
        <f>+G96</f>
        <v>843763</v>
      </c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>
        <v>4911.0</v>
      </c>
      <c r="B97" s="765">
        <v>43465.0</v>
      </c>
      <c r="C97" s="764" t="s">
        <v>1151</v>
      </c>
      <c r="D97" s="764" t="s">
        <v>1228</v>
      </c>
      <c r="E97" s="764" t="s">
        <v>1153</v>
      </c>
      <c r="F97" s="763"/>
      <c r="G97" s="763">
        <v>2960889.71</v>
      </c>
      <c r="H97" s="763">
        <v>3.33868682935E8</v>
      </c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>
        <v>4931.0</v>
      </c>
      <c r="B98" s="765">
        <v>43465.0</v>
      </c>
      <c r="C98" s="764" t="s">
        <v>1032</v>
      </c>
      <c r="D98" s="764" t="s">
        <v>1231</v>
      </c>
      <c r="E98" s="764" t="s">
        <v>1027</v>
      </c>
      <c r="F98" s="763"/>
      <c r="G98" s="763">
        <v>3482401.0</v>
      </c>
      <c r="H98" s="763">
        <v>3.37351083935E8</v>
      </c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>
        <v>4932.0</v>
      </c>
      <c r="B99" s="765">
        <v>43465.0</v>
      </c>
      <c r="C99" s="764" t="s">
        <v>1032</v>
      </c>
      <c r="D99" s="764" t="s">
        <v>1232</v>
      </c>
      <c r="E99" s="764" t="s">
        <v>1157</v>
      </c>
      <c r="F99" s="763"/>
      <c r="G99" s="763">
        <v>112603.0</v>
      </c>
      <c r="H99" s="763">
        <v>3.37463686935E8</v>
      </c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>
        <v>4934.0</v>
      </c>
      <c r="B100" s="765">
        <v>43465.0</v>
      </c>
      <c r="C100" s="764" t="s">
        <v>1147</v>
      </c>
      <c r="D100" s="764" t="s">
        <v>1233</v>
      </c>
      <c r="E100" s="764" t="s">
        <v>1157</v>
      </c>
      <c r="F100" s="763"/>
      <c r="G100" s="763">
        <v>124569.0</v>
      </c>
      <c r="H100" s="763">
        <v>3.37588255935E8</v>
      </c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>
        <v>4941.0</v>
      </c>
      <c r="B101" s="765">
        <v>43465.0</v>
      </c>
      <c r="C101" s="764" t="s">
        <v>1154</v>
      </c>
      <c r="D101" s="764" t="s">
        <v>1234</v>
      </c>
      <c r="E101" s="764" t="s">
        <v>1153</v>
      </c>
      <c r="F101" s="763"/>
      <c r="G101" s="763">
        <v>202024.8</v>
      </c>
      <c r="H101" s="763">
        <v>3.37790280735E8</v>
      </c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2">
        <v>0.0</v>
      </c>
      <c r="G102" s="762">
        <v>3.37790280735E8</v>
      </c>
      <c r="H102" s="762">
        <v>3.37790280735E8</v>
      </c>
      <c r="I102" s="766">
        <f>SUM(I4:I101)</f>
        <v>21681048.1</v>
      </c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19.43"/>
    <col customWidth="1" min="4" max="4" width="35.71"/>
    <col customWidth="1" min="5" max="5" width="35.14"/>
    <col customWidth="1" min="6" max="6" width="12.57"/>
    <col customWidth="1" min="7" max="7" width="13.71"/>
    <col customWidth="1" min="8" max="8" width="14.0"/>
    <col customWidth="1" min="9" max="26" width="9.14"/>
  </cols>
  <sheetData>
    <row r="1" ht="9.75" customHeight="1">
      <c r="A1" s="761" t="s">
        <v>1235</v>
      </c>
      <c r="B1" s="761"/>
      <c r="C1" s="761"/>
      <c r="D1" s="761"/>
      <c r="E1" s="761"/>
      <c r="F1" s="762"/>
      <c r="G1" s="762" t="s">
        <v>540</v>
      </c>
      <c r="H1" s="762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</row>
    <row r="2" ht="9.75" customHeight="1">
      <c r="A2" s="761" t="s">
        <v>541</v>
      </c>
      <c r="B2" s="761" t="s">
        <v>542</v>
      </c>
      <c r="C2" s="761" t="s">
        <v>543</v>
      </c>
      <c r="D2" s="761" t="s">
        <v>544</v>
      </c>
      <c r="E2" s="761" t="s">
        <v>545</v>
      </c>
      <c r="F2" s="762" t="s">
        <v>546</v>
      </c>
      <c r="G2" s="762" t="s">
        <v>547</v>
      </c>
      <c r="H2" s="762" t="s">
        <v>548</v>
      </c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  <c r="Z2" s="764"/>
    </row>
    <row r="3" ht="9.75" customHeight="1">
      <c r="A3" s="764"/>
      <c r="B3" s="764"/>
      <c r="C3" s="764"/>
      <c r="D3" s="764"/>
      <c r="E3" s="764"/>
      <c r="F3" s="763"/>
      <c r="G3" s="762" t="s">
        <v>549</v>
      </c>
      <c r="H3" s="762">
        <v>2.174999999E9</v>
      </c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  <c r="U3" s="764"/>
      <c r="V3" s="764"/>
      <c r="W3" s="764"/>
      <c r="X3" s="764"/>
      <c r="Y3" s="764"/>
      <c r="Z3" s="764"/>
    </row>
    <row r="4" ht="9.75" customHeight="1">
      <c r="A4" s="764">
        <v>2485.0</v>
      </c>
      <c r="B4" s="765">
        <v>43152.0</v>
      </c>
      <c r="C4" s="764" t="s">
        <v>1062</v>
      </c>
      <c r="D4" s="764" t="s">
        <v>1236</v>
      </c>
      <c r="E4" s="764" t="s">
        <v>1074</v>
      </c>
      <c r="F4" s="763">
        <v>4000000.0</v>
      </c>
      <c r="G4" s="763"/>
      <c r="H4" s="763">
        <v>2.170999999E9</v>
      </c>
      <c r="I4" s="764"/>
      <c r="J4" s="764"/>
      <c r="K4" s="764"/>
      <c r="L4" s="764"/>
      <c r="M4" s="764"/>
      <c r="N4" s="764"/>
      <c r="O4" s="764"/>
      <c r="P4" s="764"/>
      <c r="Q4" s="764"/>
      <c r="R4" s="764"/>
      <c r="S4" s="764"/>
      <c r="T4" s="764"/>
      <c r="U4" s="764"/>
      <c r="V4" s="764"/>
      <c r="W4" s="764"/>
      <c r="X4" s="764"/>
      <c r="Y4" s="764"/>
      <c r="Z4" s="764"/>
    </row>
    <row r="5" ht="9.75" customHeight="1">
      <c r="A5" s="764">
        <v>3617.0</v>
      </c>
      <c r="B5" s="765">
        <v>43290.0</v>
      </c>
      <c r="C5" s="764" t="s">
        <v>1062</v>
      </c>
      <c r="D5" s="764" t="s">
        <v>1237</v>
      </c>
      <c r="E5" s="764" t="s">
        <v>582</v>
      </c>
      <c r="F5" s="763"/>
      <c r="G5" s="763">
        <v>7.5E7</v>
      </c>
      <c r="H5" s="763">
        <v>2.245999999E9</v>
      </c>
      <c r="I5" s="764"/>
      <c r="J5" s="764"/>
      <c r="K5" s="764"/>
      <c r="L5" s="764"/>
      <c r="M5" s="764"/>
      <c r="N5" s="764"/>
      <c r="O5" s="764"/>
      <c r="P5" s="764"/>
      <c r="Q5" s="764"/>
      <c r="R5" s="764"/>
      <c r="S5" s="764"/>
      <c r="T5" s="764"/>
      <c r="U5" s="764"/>
      <c r="V5" s="764"/>
      <c r="W5" s="764"/>
      <c r="X5" s="764"/>
      <c r="Y5" s="764"/>
      <c r="Z5" s="764"/>
    </row>
    <row r="6" ht="9.75" customHeight="1">
      <c r="A6" s="764">
        <v>3618.0</v>
      </c>
      <c r="B6" s="765">
        <v>43297.0</v>
      </c>
      <c r="C6" s="764" t="s">
        <v>1062</v>
      </c>
      <c r="D6" s="764" t="s">
        <v>1237</v>
      </c>
      <c r="E6" s="764" t="s">
        <v>582</v>
      </c>
      <c r="F6" s="763"/>
      <c r="G6" s="763">
        <v>2.0E7</v>
      </c>
      <c r="H6" s="763">
        <v>2.265999999E9</v>
      </c>
      <c r="I6" s="764"/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9.75" customHeight="1">
      <c r="A7" s="764">
        <v>3619.0</v>
      </c>
      <c r="B7" s="765">
        <v>43298.0</v>
      </c>
      <c r="C7" s="764" t="s">
        <v>1062</v>
      </c>
      <c r="D7" s="764" t="s">
        <v>1237</v>
      </c>
      <c r="E7" s="764" t="s">
        <v>582</v>
      </c>
      <c r="F7" s="763"/>
      <c r="G7" s="763">
        <v>3.0E8</v>
      </c>
      <c r="H7" s="763">
        <v>2.565999999E9</v>
      </c>
      <c r="I7" s="764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9.75" customHeight="1">
      <c r="A8" s="764">
        <v>3620.0</v>
      </c>
      <c r="B8" s="765">
        <v>43301.0</v>
      </c>
      <c r="C8" s="764" t="s">
        <v>1062</v>
      </c>
      <c r="D8" s="764" t="s">
        <v>1237</v>
      </c>
      <c r="E8" s="764" t="s">
        <v>582</v>
      </c>
      <c r="F8" s="763"/>
      <c r="G8" s="763">
        <v>3000000.0</v>
      </c>
      <c r="H8" s="763">
        <v>2.568999999E9</v>
      </c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9.75" customHeight="1">
      <c r="A9" s="764">
        <v>3621.0</v>
      </c>
      <c r="B9" s="765">
        <v>43306.0</v>
      </c>
      <c r="C9" s="764" t="s">
        <v>1062</v>
      </c>
      <c r="D9" s="764" t="s">
        <v>1237</v>
      </c>
      <c r="E9" s="764" t="s">
        <v>582</v>
      </c>
      <c r="F9" s="763"/>
      <c r="G9" s="763">
        <v>2.2E7</v>
      </c>
      <c r="H9" s="763">
        <v>2.590999999E9</v>
      </c>
      <c r="I9" s="764"/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9.75" customHeight="1">
      <c r="A10" s="764">
        <v>3622.0</v>
      </c>
      <c r="B10" s="765">
        <v>43312.0</v>
      </c>
      <c r="C10" s="764" t="s">
        <v>1062</v>
      </c>
      <c r="D10" s="764" t="s">
        <v>1237</v>
      </c>
      <c r="E10" s="764" t="s">
        <v>582</v>
      </c>
      <c r="F10" s="763"/>
      <c r="G10" s="763">
        <v>1.0E7</v>
      </c>
      <c r="H10" s="763">
        <v>2.600999999E9</v>
      </c>
      <c r="I10" s="764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</row>
    <row r="11" ht="9.75" customHeight="1">
      <c r="A11" s="764">
        <v>3639.0</v>
      </c>
      <c r="B11" s="765">
        <v>43312.0</v>
      </c>
      <c r="C11" s="764" t="s">
        <v>1062</v>
      </c>
      <c r="D11" s="764" t="s">
        <v>1238</v>
      </c>
      <c r="E11" s="764" t="s">
        <v>1096</v>
      </c>
      <c r="F11" s="763"/>
      <c r="G11" s="763">
        <v>1.0E7</v>
      </c>
      <c r="H11" s="763">
        <v>2.610999999E9</v>
      </c>
      <c r="I11" s="764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64"/>
      <c r="X11" s="764"/>
      <c r="Y11" s="764"/>
      <c r="Z11" s="764"/>
    </row>
    <row r="12" ht="9.75" customHeight="1">
      <c r="A12" s="764">
        <v>3759.0</v>
      </c>
      <c r="B12" s="765">
        <v>43315.0</v>
      </c>
      <c r="C12" s="764" t="s">
        <v>1062</v>
      </c>
      <c r="D12" s="764" t="s">
        <v>1237</v>
      </c>
      <c r="E12" s="764" t="s">
        <v>582</v>
      </c>
      <c r="F12" s="763"/>
      <c r="G12" s="763">
        <v>2000000.0</v>
      </c>
      <c r="H12" s="763">
        <v>2.612999999E9</v>
      </c>
      <c r="I12" s="764"/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64"/>
      <c r="X12" s="764"/>
      <c r="Y12" s="764"/>
      <c r="Z12" s="764"/>
    </row>
    <row r="13" ht="9.75" customHeight="1">
      <c r="A13" s="764">
        <v>3760.0</v>
      </c>
      <c r="B13" s="765">
        <v>43319.0</v>
      </c>
      <c r="C13" s="764" t="s">
        <v>1062</v>
      </c>
      <c r="D13" s="764" t="s">
        <v>1237</v>
      </c>
      <c r="E13" s="764" t="s">
        <v>582</v>
      </c>
      <c r="F13" s="763"/>
      <c r="G13" s="763">
        <v>2.0E8</v>
      </c>
      <c r="H13" s="763">
        <v>2.812999999E9</v>
      </c>
      <c r="I13" s="764"/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64"/>
      <c r="X13" s="764"/>
      <c r="Y13" s="764"/>
      <c r="Z13" s="764"/>
    </row>
    <row r="14" ht="9.75" customHeight="1">
      <c r="A14" s="764">
        <v>3761.0</v>
      </c>
      <c r="B14" s="765">
        <v>43325.0</v>
      </c>
      <c r="C14" s="764" t="s">
        <v>1062</v>
      </c>
      <c r="D14" s="764" t="s">
        <v>1237</v>
      </c>
      <c r="E14" s="764" t="s">
        <v>582</v>
      </c>
      <c r="F14" s="763"/>
      <c r="G14" s="763">
        <v>5.0E7</v>
      </c>
      <c r="H14" s="763">
        <v>2.862999999E9</v>
      </c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4"/>
    </row>
    <row r="15" ht="9.75" customHeight="1">
      <c r="A15" s="764">
        <v>3762.0</v>
      </c>
      <c r="B15" s="765">
        <v>43326.0</v>
      </c>
      <c r="C15" s="764" t="s">
        <v>1062</v>
      </c>
      <c r="D15" s="764" t="s">
        <v>1237</v>
      </c>
      <c r="E15" s="764" t="s">
        <v>582</v>
      </c>
      <c r="F15" s="763"/>
      <c r="G15" s="763">
        <v>2.1E7</v>
      </c>
      <c r="H15" s="763">
        <v>2.883999999E9</v>
      </c>
      <c r="I15" s="764"/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64"/>
      <c r="X15" s="764"/>
      <c r="Y15" s="764"/>
      <c r="Z15" s="764"/>
    </row>
    <row r="16" ht="9.75" customHeight="1">
      <c r="A16" s="764">
        <v>3805.0</v>
      </c>
      <c r="B16" s="765">
        <v>43333.0</v>
      </c>
      <c r="C16" s="764" t="s">
        <v>1062</v>
      </c>
      <c r="D16" s="764" t="s">
        <v>1237</v>
      </c>
      <c r="E16" s="764" t="s">
        <v>582</v>
      </c>
      <c r="F16" s="763"/>
      <c r="G16" s="763">
        <v>2.07E8</v>
      </c>
      <c r="H16" s="763">
        <v>3.090999999E9</v>
      </c>
      <c r="I16" s="764"/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64"/>
      <c r="X16" s="764"/>
      <c r="Y16" s="764"/>
      <c r="Z16" s="764"/>
    </row>
    <row r="17" ht="9.75" customHeight="1">
      <c r="A17" s="764">
        <v>3861.0</v>
      </c>
      <c r="B17" s="765">
        <v>43339.0</v>
      </c>
      <c r="C17" s="764" t="s">
        <v>1062</v>
      </c>
      <c r="D17" s="764" t="s">
        <v>1237</v>
      </c>
      <c r="E17" s="764" t="s">
        <v>582</v>
      </c>
      <c r="F17" s="763"/>
      <c r="G17" s="763">
        <v>5.4E7</v>
      </c>
      <c r="H17" s="763">
        <v>3.144999999E9</v>
      </c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</row>
    <row r="18" ht="9.75" customHeight="1">
      <c r="A18" s="764">
        <v>3865.0</v>
      </c>
      <c r="B18" s="765">
        <v>43342.0</v>
      </c>
      <c r="C18" s="764" t="s">
        <v>1062</v>
      </c>
      <c r="D18" s="764" t="s">
        <v>1237</v>
      </c>
      <c r="E18" s="764" t="s">
        <v>582</v>
      </c>
      <c r="F18" s="763"/>
      <c r="G18" s="763">
        <v>2.3E7</v>
      </c>
      <c r="H18" s="763">
        <v>3.167999999E9</v>
      </c>
      <c r="I18" s="764"/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64"/>
      <c r="X18" s="764"/>
      <c r="Y18" s="764"/>
      <c r="Z18" s="764"/>
    </row>
    <row r="19" ht="9.75" customHeight="1">
      <c r="A19" s="764">
        <v>3900.0</v>
      </c>
      <c r="B19" s="765">
        <v>43343.0</v>
      </c>
      <c r="C19" s="764" t="s">
        <v>1062</v>
      </c>
      <c r="D19" s="764" t="s">
        <v>1237</v>
      </c>
      <c r="E19" s="764" t="s">
        <v>582</v>
      </c>
      <c r="F19" s="763"/>
      <c r="G19" s="763">
        <v>5.0E7</v>
      </c>
      <c r="H19" s="763">
        <v>3.217999999E9</v>
      </c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64"/>
      <c r="Z19" s="764"/>
    </row>
    <row r="20" ht="9.75" customHeight="1">
      <c r="A20" s="764">
        <v>3907.0</v>
      </c>
      <c r="B20" s="765">
        <v>43346.0</v>
      </c>
      <c r="C20" s="764" t="s">
        <v>1062</v>
      </c>
      <c r="D20" s="764" t="s">
        <v>1237</v>
      </c>
      <c r="E20" s="764" t="s">
        <v>582</v>
      </c>
      <c r="F20" s="763"/>
      <c r="G20" s="763">
        <v>2.0E8</v>
      </c>
      <c r="H20" s="763">
        <v>3.417999999E9</v>
      </c>
      <c r="I20" s="764"/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64"/>
      <c r="X20" s="764"/>
      <c r="Y20" s="764"/>
      <c r="Z20" s="764"/>
    </row>
    <row r="21" ht="9.75" customHeight="1">
      <c r="A21" s="764">
        <v>3985.0</v>
      </c>
      <c r="B21" s="765">
        <v>43353.0</v>
      </c>
      <c r="C21" s="764" t="s">
        <v>1062</v>
      </c>
      <c r="D21" s="764" t="s">
        <v>1237</v>
      </c>
      <c r="E21" s="764" t="s">
        <v>582</v>
      </c>
      <c r="F21" s="763"/>
      <c r="G21" s="763">
        <v>5.0E7</v>
      </c>
      <c r="H21" s="763">
        <v>3.467999999E9</v>
      </c>
      <c r="I21" s="764"/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64"/>
      <c r="X21" s="764"/>
      <c r="Y21" s="764"/>
      <c r="Z21" s="764"/>
    </row>
    <row r="22" ht="9.75" customHeight="1">
      <c r="A22" s="764">
        <v>3986.0</v>
      </c>
      <c r="B22" s="765">
        <v>43354.0</v>
      </c>
      <c r="C22" s="764" t="s">
        <v>1062</v>
      </c>
      <c r="D22" s="764" t="s">
        <v>1239</v>
      </c>
      <c r="E22" s="764" t="s">
        <v>552</v>
      </c>
      <c r="F22" s="763"/>
      <c r="G22" s="763">
        <v>9000000.0</v>
      </c>
      <c r="H22" s="763">
        <v>3.476999999E9</v>
      </c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64"/>
      <c r="X22" s="764"/>
      <c r="Y22" s="764"/>
      <c r="Z22" s="764"/>
    </row>
    <row r="23" ht="9.75" customHeight="1">
      <c r="A23" s="764">
        <v>4018.0</v>
      </c>
      <c r="B23" s="765">
        <v>43354.0</v>
      </c>
      <c r="C23" s="764" t="s">
        <v>1062</v>
      </c>
      <c r="D23" s="764" t="s">
        <v>1237</v>
      </c>
      <c r="E23" s="764" t="s">
        <v>582</v>
      </c>
      <c r="F23" s="763"/>
      <c r="G23" s="763">
        <v>5.5E7</v>
      </c>
      <c r="H23" s="763">
        <v>3.531999999E9</v>
      </c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  <c r="Y23" s="764"/>
      <c r="Z23" s="764"/>
    </row>
    <row r="24" ht="9.75" customHeight="1">
      <c r="A24" s="764">
        <v>4019.0</v>
      </c>
      <c r="B24" s="765">
        <v>43360.0</v>
      </c>
      <c r="C24" s="764" t="s">
        <v>1062</v>
      </c>
      <c r="D24" s="764" t="s">
        <v>1237</v>
      </c>
      <c r="E24" s="764" t="s">
        <v>582</v>
      </c>
      <c r="F24" s="763"/>
      <c r="G24" s="763">
        <v>4.4E7</v>
      </c>
      <c r="H24" s="763">
        <v>3.575999999E9</v>
      </c>
      <c r="I24" s="764"/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4"/>
      <c r="Y24" s="764"/>
      <c r="Z24" s="764"/>
    </row>
    <row r="25" ht="9.75" customHeight="1">
      <c r="A25" s="764">
        <v>4021.0</v>
      </c>
      <c r="B25" s="765">
        <v>43361.0</v>
      </c>
      <c r="C25" s="764" t="s">
        <v>1062</v>
      </c>
      <c r="D25" s="764" t="s">
        <v>1237</v>
      </c>
      <c r="E25" s="764" t="s">
        <v>582</v>
      </c>
      <c r="F25" s="763"/>
      <c r="G25" s="763">
        <v>1000000.0</v>
      </c>
      <c r="H25" s="763">
        <v>3.576999999E9</v>
      </c>
      <c r="I25" s="764"/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64"/>
      <c r="X25" s="764"/>
      <c r="Y25" s="764"/>
      <c r="Z25" s="764"/>
    </row>
    <row r="26" ht="9.75" customHeight="1">
      <c r="A26" s="764">
        <v>4059.0</v>
      </c>
      <c r="B26" s="765">
        <v>43364.0</v>
      </c>
      <c r="C26" s="764" t="s">
        <v>1062</v>
      </c>
      <c r="D26" s="764" t="s">
        <v>1237</v>
      </c>
      <c r="E26" s="764" t="s">
        <v>582</v>
      </c>
      <c r="F26" s="763"/>
      <c r="G26" s="763">
        <v>5.0E7</v>
      </c>
      <c r="H26" s="763">
        <v>3.626999999E9</v>
      </c>
      <c r="I26" s="764"/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64"/>
      <c r="X26" s="764"/>
      <c r="Y26" s="764"/>
      <c r="Z26" s="764"/>
    </row>
    <row r="27" ht="9.75" customHeight="1">
      <c r="A27" s="764">
        <v>4060.0</v>
      </c>
      <c r="B27" s="765">
        <v>43367.0</v>
      </c>
      <c r="C27" s="764" t="s">
        <v>1062</v>
      </c>
      <c r="D27" s="764" t="s">
        <v>1237</v>
      </c>
      <c r="E27" s="764" t="s">
        <v>582</v>
      </c>
      <c r="F27" s="763"/>
      <c r="G27" s="763">
        <v>3.0E7</v>
      </c>
      <c r="H27" s="763">
        <v>3.656999999E9</v>
      </c>
      <c r="I27" s="764"/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64"/>
      <c r="X27" s="764"/>
      <c r="Y27" s="764"/>
      <c r="Z27" s="764"/>
    </row>
    <row r="28" ht="9.75" customHeight="1">
      <c r="A28" s="764">
        <v>4061.0</v>
      </c>
      <c r="B28" s="765">
        <v>43369.0</v>
      </c>
      <c r="C28" s="764" t="s">
        <v>1062</v>
      </c>
      <c r="D28" s="764" t="s">
        <v>1237</v>
      </c>
      <c r="E28" s="764" t="s">
        <v>582</v>
      </c>
      <c r="F28" s="763"/>
      <c r="G28" s="763">
        <v>2.4E7</v>
      </c>
      <c r="H28" s="763">
        <v>3.680999999E9</v>
      </c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</row>
    <row r="29" ht="9.75" customHeight="1">
      <c r="A29" s="764">
        <v>4342.0</v>
      </c>
      <c r="B29" s="765">
        <v>43375.0</v>
      </c>
      <c r="C29" s="764" t="s">
        <v>1062</v>
      </c>
      <c r="D29" s="764" t="s">
        <v>1237</v>
      </c>
      <c r="E29" s="764" t="s">
        <v>582</v>
      </c>
      <c r="F29" s="763"/>
      <c r="G29" s="763">
        <v>1.8E7</v>
      </c>
      <c r="H29" s="763">
        <v>3.698999999E9</v>
      </c>
      <c r="I29" s="764"/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64"/>
      <c r="X29" s="764"/>
      <c r="Y29" s="764"/>
      <c r="Z29" s="764"/>
    </row>
    <row r="30" ht="9.75" customHeight="1">
      <c r="A30" s="764">
        <v>4344.0</v>
      </c>
      <c r="B30" s="765">
        <v>43377.0</v>
      </c>
      <c r="C30" s="764" t="s">
        <v>1062</v>
      </c>
      <c r="D30" s="764" t="s">
        <v>1237</v>
      </c>
      <c r="E30" s="764" t="s">
        <v>582</v>
      </c>
      <c r="F30" s="763"/>
      <c r="G30" s="763">
        <v>3000000.0</v>
      </c>
      <c r="H30" s="763">
        <v>3.701999999E9</v>
      </c>
      <c r="I30" s="764"/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64"/>
      <c r="X30" s="764"/>
      <c r="Y30" s="764"/>
      <c r="Z30" s="764"/>
    </row>
    <row r="31" ht="9.75" customHeight="1">
      <c r="A31" s="764">
        <v>4345.0</v>
      </c>
      <c r="B31" s="765">
        <v>43381.0</v>
      </c>
      <c r="C31" s="764" t="s">
        <v>1062</v>
      </c>
      <c r="D31" s="764" t="s">
        <v>1237</v>
      </c>
      <c r="E31" s="764" t="s">
        <v>582</v>
      </c>
      <c r="F31" s="763"/>
      <c r="G31" s="763">
        <v>1000000.0</v>
      </c>
      <c r="H31" s="763">
        <v>3.702999999E9</v>
      </c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64"/>
      <c r="X31" s="764"/>
      <c r="Y31" s="764"/>
      <c r="Z31" s="764"/>
    </row>
    <row r="32" ht="9.75" customHeight="1">
      <c r="A32" s="764">
        <v>4347.0</v>
      </c>
      <c r="B32" s="765">
        <v>43384.0</v>
      </c>
      <c r="C32" s="764" t="s">
        <v>1062</v>
      </c>
      <c r="D32" s="764" t="s">
        <v>1237</v>
      </c>
      <c r="E32" s="764" t="s">
        <v>582</v>
      </c>
      <c r="F32" s="763"/>
      <c r="G32" s="763">
        <v>5000000.0</v>
      </c>
      <c r="H32" s="763">
        <v>3.707999999E9</v>
      </c>
      <c r="I32" s="764"/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64"/>
      <c r="X32" s="764"/>
      <c r="Y32" s="764"/>
      <c r="Z32" s="764"/>
    </row>
    <row r="33" ht="9.75" customHeight="1">
      <c r="A33" s="764">
        <v>4348.0</v>
      </c>
      <c r="B33" s="765">
        <v>43397.0</v>
      </c>
      <c r="C33" s="764" t="s">
        <v>1062</v>
      </c>
      <c r="D33" s="764" t="s">
        <v>1237</v>
      </c>
      <c r="E33" s="764" t="s">
        <v>582</v>
      </c>
      <c r="F33" s="763"/>
      <c r="G33" s="763">
        <v>5000000.0</v>
      </c>
      <c r="H33" s="763">
        <v>3.712999999E9</v>
      </c>
      <c r="I33" s="764"/>
      <c r="J33" s="764"/>
      <c r="K33" s="764"/>
      <c r="L33" s="764"/>
      <c r="M33" s="764"/>
      <c r="N33" s="764"/>
      <c r="O33" s="764"/>
      <c r="P33" s="764"/>
      <c r="Q33" s="764"/>
      <c r="R33" s="764"/>
      <c r="S33" s="764"/>
      <c r="T33" s="764"/>
      <c r="U33" s="764"/>
      <c r="V33" s="764"/>
      <c r="W33" s="764"/>
      <c r="X33" s="764"/>
      <c r="Y33" s="764"/>
      <c r="Z33" s="764"/>
    </row>
    <row r="34" ht="9.75" customHeight="1">
      <c r="A34" s="764">
        <v>4350.0</v>
      </c>
      <c r="B34" s="765">
        <v>43399.0</v>
      </c>
      <c r="C34" s="764" t="s">
        <v>1062</v>
      </c>
      <c r="D34" s="764" t="s">
        <v>1237</v>
      </c>
      <c r="E34" s="764" t="s">
        <v>582</v>
      </c>
      <c r="F34" s="763"/>
      <c r="G34" s="763">
        <v>4.0E7</v>
      </c>
      <c r="H34" s="763">
        <v>3.752999999E9</v>
      </c>
      <c r="I34" s="764"/>
      <c r="J34" s="764"/>
      <c r="K34" s="764"/>
      <c r="L34" s="764"/>
      <c r="M34" s="764"/>
      <c r="N34" s="764"/>
      <c r="O34" s="764"/>
      <c r="P34" s="764"/>
      <c r="Q34" s="764"/>
      <c r="R34" s="764"/>
      <c r="S34" s="764"/>
      <c r="T34" s="764"/>
      <c r="U34" s="764"/>
      <c r="V34" s="764"/>
      <c r="W34" s="764"/>
      <c r="X34" s="764"/>
      <c r="Y34" s="764"/>
      <c r="Z34" s="764"/>
    </row>
    <row r="35" ht="9.75" customHeight="1">
      <c r="A35" s="764">
        <v>4353.0</v>
      </c>
      <c r="B35" s="765">
        <v>43404.0</v>
      </c>
      <c r="C35" s="764" t="s">
        <v>1062</v>
      </c>
      <c r="D35" s="764" t="s">
        <v>1237</v>
      </c>
      <c r="E35" s="764" t="s">
        <v>582</v>
      </c>
      <c r="F35" s="763"/>
      <c r="G35" s="763">
        <v>1.0E7</v>
      </c>
      <c r="H35" s="763">
        <v>3.762999999E9</v>
      </c>
      <c r="I35" s="764"/>
      <c r="J35" s="764"/>
      <c r="K35" s="764"/>
      <c r="L35" s="764"/>
      <c r="M35" s="764"/>
      <c r="N35" s="764"/>
      <c r="O35" s="764"/>
      <c r="P35" s="764"/>
      <c r="Q35" s="764"/>
      <c r="R35" s="764"/>
      <c r="S35" s="764"/>
      <c r="T35" s="764"/>
      <c r="U35" s="764"/>
      <c r="V35" s="764"/>
      <c r="W35" s="764"/>
      <c r="X35" s="764"/>
      <c r="Y35" s="764"/>
      <c r="Z35" s="764"/>
    </row>
    <row r="36" ht="9.75" customHeight="1">
      <c r="A36" s="764">
        <v>4528.0</v>
      </c>
      <c r="B36" s="765">
        <v>43409.0</v>
      </c>
      <c r="C36" s="764" t="s">
        <v>1062</v>
      </c>
      <c r="D36" s="764" t="s">
        <v>1237</v>
      </c>
      <c r="E36" s="764" t="s">
        <v>552</v>
      </c>
      <c r="F36" s="763"/>
      <c r="G36" s="763">
        <v>4.6E7</v>
      </c>
      <c r="H36" s="763">
        <v>3.808999999E9</v>
      </c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764"/>
      <c r="Y36" s="764"/>
      <c r="Z36" s="764"/>
    </row>
    <row r="37" ht="9.75" customHeight="1">
      <c r="A37" s="764">
        <v>4529.0</v>
      </c>
      <c r="B37" s="765">
        <v>43410.0</v>
      </c>
      <c r="C37" s="764" t="s">
        <v>1062</v>
      </c>
      <c r="D37" s="764" t="s">
        <v>1237</v>
      </c>
      <c r="E37" s="764" t="s">
        <v>552</v>
      </c>
      <c r="F37" s="763"/>
      <c r="G37" s="763">
        <v>1.06E8</v>
      </c>
      <c r="H37" s="763">
        <v>3.914999999E9</v>
      </c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764"/>
      <c r="Y37" s="764"/>
      <c r="Z37" s="764"/>
    </row>
    <row r="38" ht="9.75" customHeight="1">
      <c r="A38" s="764">
        <v>4536.0</v>
      </c>
      <c r="B38" s="765">
        <v>43418.0</v>
      </c>
      <c r="C38" s="764" t="s">
        <v>1062</v>
      </c>
      <c r="D38" s="764" t="s">
        <v>1237</v>
      </c>
      <c r="E38" s="764" t="s">
        <v>582</v>
      </c>
      <c r="F38" s="763"/>
      <c r="G38" s="763">
        <v>1.0E7</v>
      </c>
      <c r="H38" s="763">
        <v>3.924999999E9</v>
      </c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</row>
    <row r="39" ht="9.75" customHeight="1">
      <c r="A39" s="764">
        <v>4537.0</v>
      </c>
      <c r="B39" s="765">
        <v>43419.0</v>
      </c>
      <c r="C39" s="764" t="s">
        <v>1062</v>
      </c>
      <c r="D39" s="764" t="s">
        <v>1237</v>
      </c>
      <c r="E39" s="764" t="s">
        <v>582</v>
      </c>
      <c r="F39" s="763"/>
      <c r="G39" s="763">
        <v>7.0E7</v>
      </c>
      <c r="H39" s="763">
        <v>3.994999999E9</v>
      </c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</row>
    <row r="40" ht="9.75" customHeight="1">
      <c r="A40" s="764">
        <v>4553.0</v>
      </c>
      <c r="B40" s="765">
        <v>43423.0</v>
      </c>
      <c r="C40" s="764" t="s">
        <v>1062</v>
      </c>
      <c r="D40" s="764" t="s">
        <v>1237</v>
      </c>
      <c r="E40" s="764" t="s">
        <v>582</v>
      </c>
      <c r="F40" s="763"/>
      <c r="G40" s="763">
        <v>1.85E8</v>
      </c>
      <c r="H40" s="763">
        <v>4.179999999E9</v>
      </c>
      <c r="I40" s="764"/>
      <c r="J40" s="764"/>
      <c r="K40" s="764"/>
      <c r="L40" s="764"/>
      <c r="M40" s="764"/>
      <c r="N40" s="764"/>
      <c r="O40" s="764"/>
      <c r="P40" s="764"/>
      <c r="Q40" s="764"/>
      <c r="R40" s="764"/>
      <c r="S40" s="764"/>
      <c r="T40" s="764"/>
      <c r="U40" s="764"/>
      <c r="V40" s="764"/>
      <c r="W40" s="764"/>
      <c r="X40" s="764"/>
      <c r="Y40" s="764"/>
      <c r="Z40" s="764"/>
    </row>
    <row r="41" ht="9.75" customHeight="1">
      <c r="A41" s="764">
        <v>4558.0</v>
      </c>
      <c r="B41" s="765">
        <v>43424.0</v>
      </c>
      <c r="C41" s="764" t="s">
        <v>1062</v>
      </c>
      <c r="D41" s="764" t="s">
        <v>1240</v>
      </c>
      <c r="E41" s="764" t="s">
        <v>582</v>
      </c>
      <c r="F41" s="763">
        <v>7.2E7</v>
      </c>
      <c r="G41" s="763"/>
      <c r="H41" s="763">
        <v>4.107999999E9</v>
      </c>
      <c r="I41" s="764"/>
      <c r="J41" s="764"/>
      <c r="K41" s="764"/>
      <c r="L41" s="764"/>
      <c r="M41" s="764"/>
      <c r="N41" s="764"/>
      <c r="O41" s="764"/>
      <c r="P41" s="764"/>
      <c r="Q41" s="764"/>
      <c r="R41" s="764"/>
      <c r="S41" s="764"/>
      <c r="T41" s="764"/>
      <c r="U41" s="764"/>
      <c r="V41" s="764"/>
      <c r="W41" s="764"/>
      <c r="X41" s="764"/>
      <c r="Y41" s="764"/>
      <c r="Z41" s="764"/>
    </row>
    <row r="42" ht="9.75" customHeight="1">
      <c r="A42" s="764">
        <v>4567.0</v>
      </c>
      <c r="B42" s="765">
        <v>43426.0</v>
      </c>
      <c r="C42" s="764" t="s">
        <v>1062</v>
      </c>
      <c r="D42" s="764" t="s">
        <v>1241</v>
      </c>
      <c r="E42" s="764" t="s">
        <v>582</v>
      </c>
      <c r="F42" s="763">
        <v>7.0E7</v>
      </c>
      <c r="G42" s="763"/>
      <c r="H42" s="763">
        <v>4.037999999E9</v>
      </c>
      <c r="I42" s="764"/>
      <c r="J42" s="764"/>
      <c r="K42" s="764"/>
      <c r="L42" s="764"/>
      <c r="M42" s="764"/>
      <c r="N42" s="764"/>
      <c r="O42" s="764"/>
      <c r="P42" s="764"/>
      <c r="Q42" s="764"/>
      <c r="R42" s="764"/>
      <c r="S42" s="764"/>
      <c r="T42" s="764"/>
      <c r="U42" s="764"/>
      <c r="V42" s="764"/>
      <c r="W42" s="764"/>
      <c r="X42" s="764"/>
      <c r="Y42" s="764"/>
      <c r="Z42" s="764"/>
    </row>
    <row r="43" ht="9.75" customHeight="1">
      <c r="A43" s="764">
        <v>4570.0</v>
      </c>
      <c r="B43" s="765">
        <v>43431.0</v>
      </c>
      <c r="C43" s="764" t="s">
        <v>1062</v>
      </c>
      <c r="D43" s="764" t="s">
        <v>1237</v>
      </c>
      <c r="E43" s="764" t="s">
        <v>582</v>
      </c>
      <c r="F43" s="763"/>
      <c r="G43" s="763">
        <v>4.0E7</v>
      </c>
      <c r="H43" s="763">
        <v>4.077999999E9</v>
      </c>
      <c r="I43" s="764"/>
      <c r="J43" s="764"/>
      <c r="K43" s="764"/>
      <c r="L43" s="764"/>
      <c r="M43" s="764"/>
      <c r="N43" s="764"/>
      <c r="O43" s="764"/>
      <c r="P43" s="764"/>
      <c r="Q43" s="764"/>
      <c r="R43" s="764"/>
      <c r="S43" s="764"/>
      <c r="T43" s="764"/>
      <c r="U43" s="764"/>
      <c r="V43" s="764"/>
      <c r="W43" s="764"/>
      <c r="X43" s="764"/>
      <c r="Y43" s="764"/>
      <c r="Z43" s="764"/>
    </row>
    <row r="44" ht="9.75" customHeight="1">
      <c r="A44" s="764">
        <v>4776.0</v>
      </c>
      <c r="B44" s="765">
        <v>43432.0</v>
      </c>
      <c r="C44" s="764" t="s">
        <v>1062</v>
      </c>
      <c r="D44" s="764" t="s">
        <v>1237</v>
      </c>
      <c r="E44" s="764" t="s">
        <v>552</v>
      </c>
      <c r="F44" s="763"/>
      <c r="G44" s="763">
        <v>7.4E7</v>
      </c>
      <c r="H44" s="763">
        <v>4.151999999E9</v>
      </c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764"/>
      <c r="W44" s="764"/>
      <c r="X44" s="764"/>
      <c r="Y44" s="764"/>
      <c r="Z44" s="764"/>
    </row>
    <row r="45" ht="9.75" customHeight="1">
      <c r="A45" s="764">
        <v>4778.0</v>
      </c>
      <c r="B45" s="765">
        <v>43434.0</v>
      </c>
      <c r="C45" s="764" t="s">
        <v>1062</v>
      </c>
      <c r="D45" s="764" t="s">
        <v>1237</v>
      </c>
      <c r="E45" s="764" t="s">
        <v>552</v>
      </c>
      <c r="F45" s="763"/>
      <c r="G45" s="763">
        <v>2000000.0</v>
      </c>
      <c r="H45" s="763">
        <v>4.153999999E9</v>
      </c>
      <c r="I45" s="764"/>
      <c r="J45" s="764"/>
      <c r="K45" s="764"/>
      <c r="L45" s="764"/>
      <c r="M45" s="764"/>
      <c r="N45" s="764"/>
      <c r="O45" s="764"/>
      <c r="P45" s="764"/>
      <c r="Q45" s="764"/>
      <c r="R45" s="764"/>
      <c r="S45" s="764"/>
      <c r="T45" s="764"/>
      <c r="U45" s="764"/>
      <c r="V45" s="764"/>
      <c r="W45" s="764"/>
      <c r="X45" s="764"/>
      <c r="Y45" s="764"/>
      <c r="Z45" s="764"/>
    </row>
    <row r="46" ht="9.75" customHeight="1">
      <c r="A46" s="764">
        <v>4781.0</v>
      </c>
      <c r="B46" s="765">
        <v>43437.0</v>
      </c>
      <c r="C46" s="764" t="s">
        <v>1062</v>
      </c>
      <c r="D46" s="764" t="s">
        <v>1237</v>
      </c>
      <c r="E46" s="764" t="s">
        <v>552</v>
      </c>
      <c r="F46" s="763"/>
      <c r="G46" s="763">
        <v>3.1E7</v>
      </c>
      <c r="H46" s="763">
        <v>4.184999999E9</v>
      </c>
      <c r="I46" s="764"/>
      <c r="J46" s="764"/>
      <c r="K46" s="764"/>
      <c r="L46" s="764"/>
      <c r="M46" s="764"/>
      <c r="N46" s="764"/>
      <c r="O46" s="764"/>
      <c r="P46" s="764"/>
      <c r="Q46" s="764"/>
      <c r="R46" s="764"/>
      <c r="S46" s="764"/>
      <c r="T46" s="764"/>
      <c r="U46" s="764"/>
      <c r="V46" s="764"/>
      <c r="W46" s="764"/>
      <c r="X46" s="764"/>
      <c r="Y46" s="764"/>
      <c r="Z46" s="764"/>
    </row>
    <row r="47" ht="9.75" customHeight="1">
      <c r="A47" s="764">
        <v>4782.0</v>
      </c>
      <c r="B47" s="765">
        <v>43438.0</v>
      </c>
      <c r="C47" s="764" t="s">
        <v>1062</v>
      </c>
      <c r="D47" s="764" t="s">
        <v>1237</v>
      </c>
      <c r="E47" s="764" t="s">
        <v>552</v>
      </c>
      <c r="F47" s="763"/>
      <c r="G47" s="763">
        <v>6000000.0</v>
      </c>
      <c r="H47" s="763">
        <v>4.190999999E9</v>
      </c>
      <c r="I47" s="764"/>
      <c r="J47" s="764"/>
      <c r="K47" s="764"/>
      <c r="L47" s="764"/>
      <c r="M47" s="764"/>
      <c r="N47" s="764"/>
      <c r="O47" s="764"/>
      <c r="P47" s="764"/>
      <c r="Q47" s="764"/>
      <c r="R47" s="764"/>
      <c r="S47" s="764"/>
      <c r="T47" s="764"/>
      <c r="U47" s="764"/>
      <c r="V47" s="764"/>
      <c r="W47" s="764"/>
      <c r="X47" s="764"/>
      <c r="Y47" s="764"/>
      <c r="Z47" s="764"/>
    </row>
    <row r="48" ht="9.75" customHeight="1">
      <c r="A48" s="764">
        <v>4783.0</v>
      </c>
      <c r="B48" s="765">
        <v>43439.0</v>
      </c>
      <c r="C48" s="764" t="s">
        <v>1062</v>
      </c>
      <c r="D48" s="764" t="s">
        <v>1237</v>
      </c>
      <c r="E48" s="764" t="s">
        <v>552</v>
      </c>
      <c r="F48" s="763"/>
      <c r="G48" s="763">
        <v>4000000.0</v>
      </c>
      <c r="H48" s="763">
        <v>4.194999999E9</v>
      </c>
      <c r="I48" s="764"/>
      <c r="J48" s="764"/>
      <c r="K48" s="764"/>
      <c r="L48" s="764"/>
      <c r="M48" s="764"/>
      <c r="N48" s="764"/>
      <c r="O48" s="764"/>
      <c r="P48" s="764"/>
      <c r="Q48" s="764"/>
      <c r="R48" s="764"/>
      <c r="S48" s="764"/>
      <c r="T48" s="764"/>
      <c r="U48" s="764"/>
      <c r="V48" s="764"/>
      <c r="W48" s="764"/>
      <c r="X48" s="764"/>
      <c r="Y48" s="764"/>
      <c r="Z48" s="764"/>
    </row>
    <row r="49" ht="9.75" customHeight="1">
      <c r="A49" s="764">
        <v>4784.0</v>
      </c>
      <c r="B49" s="765">
        <v>43441.0</v>
      </c>
      <c r="C49" s="764" t="s">
        <v>1062</v>
      </c>
      <c r="D49" s="764" t="s">
        <v>1237</v>
      </c>
      <c r="E49" s="764" t="s">
        <v>552</v>
      </c>
      <c r="F49" s="763"/>
      <c r="G49" s="763">
        <v>1.5E7</v>
      </c>
      <c r="H49" s="763">
        <v>4.209999999E9</v>
      </c>
      <c r="I49" s="764"/>
      <c r="J49" s="764"/>
      <c r="K49" s="764"/>
      <c r="L49" s="764"/>
      <c r="M49" s="764"/>
      <c r="N49" s="764"/>
      <c r="O49" s="764"/>
      <c r="P49" s="764"/>
      <c r="Q49" s="764"/>
      <c r="R49" s="764"/>
      <c r="S49" s="764"/>
      <c r="T49" s="764"/>
      <c r="U49" s="764"/>
      <c r="V49" s="764"/>
      <c r="W49" s="764"/>
      <c r="X49" s="764"/>
      <c r="Y49" s="764"/>
      <c r="Z49" s="764"/>
    </row>
    <row r="50" ht="9.75" customHeight="1">
      <c r="A50" s="764">
        <v>4785.0</v>
      </c>
      <c r="B50" s="765">
        <v>43444.0</v>
      </c>
      <c r="C50" s="764" t="s">
        <v>1062</v>
      </c>
      <c r="D50" s="764" t="s">
        <v>1237</v>
      </c>
      <c r="E50" s="764" t="s">
        <v>552</v>
      </c>
      <c r="F50" s="763"/>
      <c r="G50" s="763">
        <v>6000000.0</v>
      </c>
      <c r="H50" s="763">
        <v>4.215999999E9</v>
      </c>
      <c r="I50" s="764"/>
      <c r="J50" s="764"/>
      <c r="K50" s="764"/>
      <c r="L50" s="764"/>
      <c r="M50" s="764"/>
      <c r="N50" s="764"/>
      <c r="O50" s="764"/>
      <c r="P50" s="764"/>
      <c r="Q50" s="764"/>
      <c r="R50" s="764"/>
      <c r="S50" s="764"/>
      <c r="T50" s="764"/>
      <c r="U50" s="764"/>
      <c r="V50" s="764"/>
      <c r="W50" s="764"/>
      <c r="X50" s="764"/>
      <c r="Y50" s="764"/>
      <c r="Z50" s="764"/>
    </row>
    <row r="51" ht="9.75" customHeight="1">
      <c r="A51" s="764">
        <v>4787.0</v>
      </c>
      <c r="B51" s="765">
        <v>43446.0</v>
      </c>
      <c r="C51" s="764" t="s">
        <v>1062</v>
      </c>
      <c r="D51" s="764" t="s">
        <v>1237</v>
      </c>
      <c r="E51" s="764" t="s">
        <v>582</v>
      </c>
      <c r="F51" s="763"/>
      <c r="G51" s="763">
        <v>5.0E7</v>
      </c>
      <c r="H51" s="763">
        <v>4.265999999E9</v>
      </c>
      <c r="I51" s="764"/>
      <c r="J51" s="764"/>
      <c r="K51" s="764"/>
      <c r="L51" s="764"/>
      <c r="M51" s="764"/>
      <c r="N51" s="764"/>
      <c r="O51" s="764"/>
      <c r="P51" s="764"/>
      <c r="Q51" s="764"/>
      <c r="R51" s="764"/>
      <c r="S51" s="764"/>
      <c r="T51" s="764"/>
      <c r="U51" s="764"/>
      <c r="V51" s="764"/>
      <c r="W51" s="764"/>
      <c r="X51" s="764"/>
      <c r="Y51" s="764"/>
      <c r="Z51" s="764"/>
    </row>
    <row r="52" ht="9.75" customHeight="1">
      <c r="A52" s="764">
        <v>4788.0</v>
      </c>
      <c r="B52" s="765">
        <v>43446.0</v>
      </c>
      <c r="C52" s="764" t="s">
        <v>1062</v>
      </c>
      <c r="D52" s="764" t="s">
        <v>1237</v>
      </c>
      <c r="E52" s="764" t="s">
        <v>552</v>
      </c>
      <c r="F52" s="763"/>
      <c r="G52" s="763">
        <v>6.0E7</v>
      </c>
      <c r="H52" s="763">
        <v>4.325999999E9</v>
      </c>
      <c r="I52" s="764"/>
      <c r="J52" s="764"/>
      <c r="K52" s="764"/>
      <c r="L52" s="764"/>
      <c r="M52" s="764"/>
      <c r="N52" s="764"/>
      <c r="O52" s="764"/>
      <c r="P52" s="764"/>
      <c r="Q52" s="764"/>
      <c r="R52" s="764"/>
      <c r="S52" s="764"/>
      <c r="T52" s="764"/>
      <c r="U52" s="764"/>
      <c r="V52" s="764"/>
      <c r="W52" s="764"/>
      <c r="X52" s="764"/>
      <c r="Y52" s="764"/>
      <c r="Z52" s="764"/>
    </row>
    <row r="53" ht="9.75" customHeight="1">
      <c r="A53" s="764">
        <v>4789.0</v>
      </c>
      <c r="B53" s="765">
        <v>43447.0</v>
      </c>
      <c r="C53" s="764" t="s">
        <v>1062</v>
      </c>
      <c r="D53" s="764" t="s">
        <v>1237</v>
      </c>
      <c r="E53" s="764" t="s">
        <v>552</v>
      </c>
      <c r="F53" s="763"/>
      <c r="G53" s="763">
        <v>1.4E7</v>
      </c>
      <c r="H53" s="763">
        <v>4.339999999E9</v>
      </c>
      <c r="I53" s="764"/>
      <c r="J53" s="764"/>
      <c r="K53" s="764"/>
      <c r="L53" s="764"/>
      <c r="M53" s="764"/>
      <c r="N53" s="764"/>
      <c r="O53" s="764"/>
      <c r="P53" s="764"/>
      <c r="Q53" s="764"/>
      <c r="R53" s="764"/>
      <c r="S53" s="764"/>
      <c r="T53" s="764"/>
      <c r="U53" s="764"/>
      <c r="V53" s="764"/>
      <c r="W53" s="764"/>
      <c r="X53" s="764"/>
      <c r="Y53" s="764"/>
      <c r="Z53" s="764"/>
    </row>
    <row r="54" ht="9.75" customHeight="1">
      <c r="A54" s="764">
        <v>4790.0</v>
      </c>
      <c r="B54" s="765">
        <v>43451.0</v>
      </c>
      <c r="C54" s="764" t="s">
        <v>1062</v>
      </c>
      <c r="D54" s="764" t="s">
        <v>1237</v>
      </c>
      <c r="E54" s="764" t="s">
        <v>552</v>
      </c>
      <c r="F54" s="763"/>
      <c r="G54" s="763">
        <v>1000000.0</v>
      </c>
      <c r="H54" s="763">
        <v>4.340999999E9</v>
      </c>
      <c r="I54" s="764"/>
      <c r="J54" s="764"/>
      <c r="K54" s="764"/>
      <c r="L54" s="764"/>
      <c r="M54" s="764"/>
      <c r="N54" s="764"/>
      <c r="O54" s="764"/>
      <c r="P54" s="764"/>
      <c r="Q54" s="764"/>
      <c r="R54" s="764"/>
      <c r="S54" s="764"/>
      <c r="T54" s="764"/>
      <c r="U54" s="764"/>
      <c r="V54" s="764"/>
      <c r="W54" s="764"/>
      <c r="X54" s="764"/>
      <c r="Y54" s="764"/>
      <c r="Z54" s="764"/>
    </row>
    <row r="55" ht="9.75" customHeight="1">
      <c r="A55" s="764"/>
      <c r="B55" s="764"/>
      <c r="C55" s="764"/>
      <c r="D55" s="764"/>
      <c r="E55" s="764"/>
      <c r="F55" s="762">
        <v>1.46E8</v>
      </c>
      <c r="G55" s="762">
        <v>2.312E9</v>
      </c>
      <c r="H55" s="762">
        <v>4.340999999E9</v>
      </c>
      <c r="I55" s="764"/>
      <c r="J55" s="764"/>
      <c r="K55" s="764"/>
      <c r="L55" s="764"/>
      <c r="M55" s="764"/>
      <c r="N55" s="764"/>
      <c r="O55" s="764"/>
      <c r="P55" s="764"/>
      <c r="Q55" s="764"/>
      <c r="R55" s="764"/>
      <c r="S55" s="764"/>
      <c r="T55" s="764"/>
      <c r="U55" s="764"/>
      <c r="V55" s="764"/>
      <c r="W55" s="764"/>
      <c r="X55" s="764"/>
      <c r="Y55" s="764"/>
      <c r="Z55" s="764"/>
    </row>
    <row r="56" ht="9.75" customHeight="1">
      <c r="A56" s="764"/>
      <c r="B56" s="764"/>
      <c r="C56" s="764"/>
      <c r="D56" s="764"/>
      <c r="E56" s="764"/>
      <c r="F56" s="763"/>
      <c r="G56" s="763"/>
      <c r="H56" s="763"/>
      <c r="I56" s="764"/>
      <c r="J56" s="764"/>
      <c r="K56" s="764"/>
      <c r="L56" s="764"/>
      <c r="M56" s="764"/>
      <c r="N56" s="764"/>
      <c r="O56" s="764"/>
      <c r="P56" s="764"/>
      <c r="Q56" s="764"/>
      <c r="R56" s="764"/>
      <c r="S56" s="764"/>
      <c r="T56" s="764"/>
      <c r="U56" s="764"/>
      <c r="V56" s="764"/>
      <c r="W56" s="764"/>
      <c r="X56" s="764"/>
      <c r="Y56" s="764"/>
      <c r="Z56" s="764"/>
    </row>
    <row r="57" ht="9.75" customHeight="1">
      <c r="A57" s="764"/>
      <c r="B57" s="764"/>
      <c r="C57" s="764"/>
      <c r="D57" s="764"/>
      <c r="E57" s="764"/>
      <c r="F57" s="763"/>
      <c r="G57" s="763"/>
      <c r="H57" s="763"/>
      <c r="I57" s="764"/>
      <c r="J57" s="764"/>
      <c r="K57" s="764"/>
      <c r="L57" s="764"/>
      <c r="M57" s="764"/>
      <c r="N57" s="764"/>
      <c r="O57" s="764"/>
      <c r="P57" s="764"/>
      <c r="Q57" s="764"/>
      <c r="R57" s="764"/>
      <c r="S57" s="764"/>
      <c r="T57" s="764"/>
      <c r="U57" s="764"/>
      <c r="V57" s="764"/>
      <c r="W57" s="764"/>
      <c r="X57" s="764"/>
      <c r="Y57" s="764"/>
      <c r="Z57" s="764"/>
    </row>
    <row r="58" ht="9.75" customHeight="1">
      <c r="A58" s="764"/>
      <c r="B58" s="764"/>
      <c r="C58" s="764"/>
      <c r="D58" s="764"/>
      <c r="E58" s="764"/>
      <c r="F58" s="763"/>
      <c r="G58" s="763"/>
      <c r="H58" s="763"/>
      <c r="I58" s="764"/>
      <c r="J58" s="764"/>
      <c r="K58" s="764"/>
      <c r="L58" s="764"/>
      <c r="M58" s="764"/>
      <c r="N58" s="764"/>
      <c r="O58" s="764"/>
      <c r="P58" s="764"/>
      <c r="Q58" s="764"/>
      <c r="R58" s="764"/>
      <c r="S58" s="764"/>
      <c r="T58" s="764"/>
      <c r="U58" s="764"/>
      <c r="V58" s="764"/>
      <c r="W58" s="764"/>
      <c r="X58" s="764"/>
      <c r="Y58" s="764"/>
      <c r="Z58" s="764"/>
    </row>
    <row r="59" ht="9.75" customHeight="1">
      <c r="A59" s="764"/>
      <c r="B59" s="764"/>
      <c r="C59" s="764"/>
      <c r="D59" s="764"/>
      <c r="E59" s="764"/>
      <c r="F59" s="763"/>
      <c r="G59" s="763"/>
      <c r="H59" s="763"/>
      <c r="I59" s="764"/>
      <c r="J59" s="764"/>
      <c r="K59" s="764"/>
      <c r="L59" s="764"/>
      <c r="M59" s="764"/>
      <c r="N59" s="764"/>
      <c r="O59" s="764"/>
      <c r="P59" s="764"/>
      <c r="Q59" s="764"/>
      <c r="R59" s="764"/>
      <c r="S59" s="764"/>
      <c r="T59" s="764"/>
      <c r="U59" s="764"/>
      <c r="V59" s="764"/>
      <c r="W59" s="764"/>
      <c r="X59" s="764"/>
      <c r="Y59" s="764"/>
      <c r="Z59" s="764"/>
    </row>
    <row r="60" ht="9.75" customHeight="1">
      <c r="A60" s="761" t="s">
        <v>1242</v>
      </c>
      <c r="B60" s="761"/>
      <c r="C60" s="761"/>
      <c r="D60" s="761"/>
      <c r="E60" s="761"/>
      <c r="F60" s="762"/>
      <c r="G60" s="762" t="s">
        <v>540</v>
      </c>
      <c r="H60" s="762"/>
      <c r="I60" s="764"/>
      <c r="J60" s="764"/>
      <c r="K60" s="764"/>
      <c r="L60" s="764"/>
      <c r="M60" s="764"/>
      <c r="N60" s="764"/>
      <c r="O60" s="764"/>
      <c r="P60" s="764"/>
      <c r="Q60" s="764"/>
      <c r="R60" s="764"/>
      <c r="S60" s="764"/>
      <c r="T60" s="764"/>
      <c r="U60" s="764"/>
      <c r="V60" s="764"/>
      <c r="W60" s="764"/>
      <c r="X60" s="764"/>
      <c r="Y60" s="764"/>
      <c r="Z60" s="764"/>
    </row>
    <row r="61" ht="9.75" customHeight="1">
      <c r="A61" s="761" t="s">
        <v>541</v>
      </c>
      <c r="B61" s="761" t="s">
        <v>542</v>
      </c>
      <c r="C61" s="761" t="s">
        <v>543</v>
      </c>
      <c r="D61" s="761" t="s">
        <v>544</v>
      </c>
      <c r="E61" s="761" t="s">
        <v>545</v>
      </c>
      <c r="F61" s="762" t="s">
        <v>546</v>
      </c>
      <c r="G61" s="762" t="s">
        <v>547</v>
      </c>
      <c r="H61" s="762" t="s">
        <v>548</v>
      </c>
      <c r="I61" s="764"/>
      <c r="J61" s="764"/>
      <c r="K61" s="764"/>
      <c r="L61" s="764"/>
      <c r="M61" s="764"/>
      <c r="N61" s="764"/>
      <c r="O61" s="764"/>
      <c r="P61" s="764"/>
      <c r="Q61" s="764"/>
      <c r="R61" s="764"/>
      <c r="S61" s="764"/>
      <c r="T61" s="764"/>
      <c r="U61" s="764"/>
      <c r="V61" s="764"/>
      <c r="W61" s="764"/>
      <c r="X61" s="764"/>
      <c r="Y61" s="764"/>
      <c r="Z61" s="764"/>
    </row>
    <row r="62" ht="9.75" customHeight="1">
      <c r="A62" s="764"/>
      <c r="B62" s="764"/>
      <c r="C62" s="764"/>
      <c r="D62" s="764"/>
      <c r="E62" s="764"/>
      <c r="F62" s="763"/>
      <c r="G62" s="762" t="s">
        <v>549</v>
      </c>
      <c r="H62" s="762">
        <v>6.067825000049757E8</v>
      </c>
      <c r="I62" s="764"/>
      <c r="J62" s="764"/>
      <c r="K62" s="764"/>
      <c r="L62" s="764"/>
      <c r="M62" s="764"/>
      <c r="N62" s="764"/>
      <c r="O62" s="764"/>
      <c r="P62" s="764"/>
      <c r="Q62" s="764"/>
      <c r="R62" s="764"/>
      <c r="S62" s="764"/>
      <c r="T62" s="764"/>
      <c r="U62" s="764"/>
      <c r="V62" s="764"/>
      <c r="W62" s="764"/>
      <c r="X62" s="764"/>
      <c r="Y62" s="764"/>
      <c r="Z62" s="764"/>
    </row>
    <row r="63" ht="9.75" customHeight="1">
      <c r="A63" s="764">
        <v>2771.0</v>
      </c>
      <c r="B63" s="765">
        <v>43190.0</v>
      </c>
      <c r="C63" s="764" t="s">
        <v>1062</v>
      </c>
      <c r="D63" s="764"/>
      <c r="E63" s="764" t="s">
        <v>1243</v>
      </c>
      <c r="F63" s="763">
        <v>8590000.00007044</v>
      </c>
      <c r="G63" s="763"/>
      <c r="H63" s="763">
        <v>5.981925000049052E8</v>
      </c>
      <c r="I63" s="764"/>
      <c r="J63" s="764"/>
      <c r="K63" s="764"/>
      <c r="L63" s="764"/>
      <c r="M63" s="764"/>
      <c r="N63" s="764"/>
      <c r="O63" s="764"/>
      <c r="P63" s="764"/>
      <c r="Q63" s="764"/>
      <c r="R63" s="764"/>
      <c r="S63" s="764"/>
      <c r="T63" s="764"/>
      <c r="U63" s="764"/>
      <c r="V63" s="764"/>
      <c r="W63" s="764"/>
      <c r="X63" s="764"/>
      <c r="Y63" s="764"/>
      <c r="Z63" s="764"/>
    </row>
    <row r="64" ht="9.75" customHeight="1">
      <c r="A64" s="764">
        <v>3249.0</v>
      </c>
      <c r="B64" s="765">
        <v>43251.0</v>
      </c>
      <c r="C64" s="764" t="s">
        <v>1062</v>
      </c>
      <c r="D64" s="764"/>
      <c r="E64" s="764" t="s">
        <v>1244</v>
      </c>
      <c r="F64" s="763"/>
      <c r="G64" s="763">
        <v>4067500.00003335</v>
      </c>
      <c r="H64" s="763">
        <v>6.022600000049385E8</v>
      </c>
      <c r="I64" s="764"/>
      <c r="J64" s="764"/>
      <c r="K64" s="764"/>
      <c r="L64" s="764"/>
      <c r="M64" s="764"/>
      <c r="N64" s="764"/>
      <c r="O64" s="764"/>
      <c r="P64" s="764"/>
      <c r="Q64" s="764"/>
      <c r="R64" s="764"/>
      <c r="S64" s="764"/>
      <c r="T64" s="764"/>
      <c r="U64" s="764"/>
      <c r="V64" s="764"/>
      <c r="W64" s="764"/>
      <c r="X64" s="764"/>
      <c r="Y64" s="764"/>
      <c r="Z64" s="764"/>
    </row>
    <row r="65" ht="9.75" customHeight="1">
      <c r="A65" s="764">
        <v>3334.0</v>
      </c>
      <c r="B65" s="765">
        <v>43272.0</v>
      </c>
      <c r="C65" s="764" t="s">
        <v>1062</v>
      </c>
      <c r="D65" s="764" t="s">
        <v>1245</v>
      </c>
      <c r="E65" s="764" t="s">
        <v>1085</v>
      </c>
      <c r="F65" s="763">
        <v>4882460.0</v>
      </c>
      <c r="G65" s="763"/>
      <c r="H65" s="763">
        <v>5.973775400049385E8</v>
      </c>
      <c r="I65" s="764"/>
      <c r="J65" s="764"/>
      <c r="K65" s="764"/>
      <c r="L65" s="764"/>
      <c r="M65" s="764"/>
      <c r="N65" s="764"/>
      <c r="O65" s="764"/>
      <c r="P65" s="764"/>
      <c r="Q65" s="764"/>
      <c r="R65" s="764"/>
      <c r="S65" s="764"/>
      <c r="T65" s="764"/>
      <c r="U65" s="764"/>
      <c r="V65" s="764"/>
      <c r="W65" s="764"/>
      <c r="X65" s="764"/>
      <c r="Y65" s="764"/>
      <c r="Z65" s="764"/>
    </row>
    <row r="66" ht="9.75" customHeight="1">
      <c r="A66" s="764">
        <v>3336.0</v>
      </c>
      <c r="B66" s="765">
        <v>43273.0</v>
      </c>
      <c r="C66" s="764" t="s">
        <v>1062</v>
      </c>
      <c r="D66" s="764" t="s">
        <v>1245</v>
      </c>
      <c r="E66" s="764" t="s">
        <v>1085</v>
      </c>
      <c r="F66" s="763">
        <v>2450980.0</v>
      </c>
      <c r="G66" s="763"/>
      <c r="H66" s="763">
        <v>5.949265600049385E8</v>
      </c>
      <c r="I66" s="764"/>
      <c r="J66" s="764"/>
      <c r="K66" s="764"/>
      <c r="L66" s="764"/>
      <c r="M66" s="764"/>
      <c r="N66" s="764"/>
      <c r="O66" s="764"/>
      <c r="P66" s="764"/>
      <c r="Q66" s="764"/>
      <c r="R66" s="764"/>
      <c r="S66" s="764"/>
      <c r="T66" s="764"/>
      <c r="U66" s="764"/>
      <c r="V66" s="764"/>
      <c r="W66" s="764"/>
      <c r="X66" s="764"/>
      <c r="Y66" s="764"/>
      <c r="Z66" s="764"/>
    </row>
    <row r="67" ht="9.75" customHeight="1">
      <c r="A67" s="764">
        <v>3423.0</v>
      </c>
      <c r="B67" s="765">
        <v>43281.0</v>
      </c>
      <c r="C67" s="764" t="s">
        <v>1062</v>
      </c>
      <c r="D67" s="764"/>
      <c r="E67" s="764" t="s">
        <v>1244</v>
      </c>
      <c r="F67" s="763"/>
      <c r="G67" s="763">
        <v>1.350607000011121E7</v>
      </c>
      <c r="H67" s="763">
        <v>6.084326300050497E8</v>
      </c>
      <c r="I67" s="764"/>
      <c r="J67" s="764"/>
      <c r="K67" s="764"/>
      <c r="L67" s="764"/>
      <c r="M67" s="764"/>
      <c r="N67" s="764"/>
      <c r="O67" s="764"/>
      <c r="P67" s="764"/>
      <c r="Q67" s="764"/>
      <c r="R67" s="764"/>
      <c r="S67" s="764"/>
      <c r="T67" s="764"/>
      <c r="U67" s="764"/>
      <c r="V67" s="764"/>
      <c r="W67" s="764"/>
      <c r="X67" s="764"/>
      <c r="Y67" s="764"/>
      <c r="Z67" s="764"/>
    </row>
    <row r="68" ht="9.75" customHeight="1">
      <c r="A68" s="764">
        <v>3689.0</v>
      </c>
      <c r="B68" s="765">
        <v>43312.0</v>
      </c>
      <c r="C68" s="764" t="s">
        <v>1062</v>
      </c>
      <c r="D68" s="764"/>
      <c r="E68" s="764" t="s">
        <v>1244</v>
      </c>
      <c r="F68" s="763"/>
      <c r="G68" s="763">
        <v>79040.00000066</v>
      </c>
      <c r="H68" s="763">
        <v>6.085116700050504E8</v>
      </c>
      <c r="I68" s="764"/>
      <c r="J68" s="764"/>
      <c r="K68" s="764"/>
      <c r="L68" s="764"/>
      <c r="M68" s="764"/>
      <c r="N68" s="764"/>
      <c r="O68" s="764"/>
      <c r="P68" s="764"/>
      <c r="Q68" s="764"/>
      <c r="R68" s="764"/>
      <c r="S68" s="764"/>
      <c r="T68" s="764"/>
      <c r="U68" s="764"/>
      <c r="V68" s="764"/>
      <c r="W68" s="764"/>
      <c r="X68" s="764"/>
      <c r="Y68" s="764"/>
      <c r="Z68" s="764"/>
    </row>
    <row r="69" ht="9.75" customHeight="1">
      <c r="A69" s="764">
        <v>3886.0</v>
      </c>
      <c r="B69" s="765">
        <v>43343.0</v>
      </c>
      <c r="C69" s="764" t="s">
        <v>1062</v>
      </c>
      <c r="D69" s="764"/>
      <c r="E69" s="764" t="s">
        <v>1244</v>
      </c>
      <c r="F69" s="763"/>
      <c r="G69" s="763">
        <v>2425540.00002013</v>
      </c>
      <c r="H69" s="763">
        <v>6.109372100050706E8</v>
      </c>
      <c r="I69" s="764"/>
      <c r="J69" s="764"/>
      <c r="K69" s="764"/>
      <c r="L69" s="764"/>
      <c r="M69" s="764"/>
      <c r="N69" s="764"/>
      <c r="O69" s="764"/>
      <c r="P69" s="764"/>
      <c r="Q69" s="764"/>
      <c r="R69" s="764"/>
      <c r="S69" s="764"/>
      <c r="T69" s="764"/>
      <c r="U69" s="764"/>
      <c r="V69" s="764"/>
      <c r="W69" s="764"/>
      <c r="X69" s="764"/>
      <c r="Y69" s="764"/>
      <c r="Z69" s="764"/>
    </row>
    <row r="70" ht="9.75" customHeight="1">
      <c r="A70" s="764">
        <v>4224.0</v>
      </c>
      <c r="B70" s="765">
        <v>43373.0</v>
      </c>
      <c r="C70" s="764" t="s">
        <v>1062</v>
      </c>
      <c r="D70" s="764"/>
      <c r="E70" s="764" t="s">
        <v>1244</v>
      </c>
      <c r="F70" s="763"/>
      <c r="G70" s="763">
        <v>1.943890000016134E7</v>
      </c>
      <c r="H70" s="763">
        <v>6.303761100052319E8</v>
      </c>
      <c r="I70" s="764"/>
      <c r="J70" s="764"/>
      <c r="K70" s="764"/>
      <c r="L70" s="764"/>
      <c r="M70" s="764"/>
      <c r="N70" s="764"/>
      <c r="O70" s="764"/>
      <c r="P70" s="764"/>
      <c r="Q70" s="764"/>
      <c r="R70" s="764"/>
      <c r="S70" s="764"/>
      <c r="T70" s="764"/>
      <c r="U70" s="764"/>
      <c r="V70" s="764"/>
      <c r="W70" s="764"/>
      <c r="X70" s="764"/>
      <c r="Y70" s="764"/>
      <c r="Z70" s="764"/>
    </row>
    <row r="71" ht="9.75" customHeight="1">
      <c r="A71" s="764">
        <v>4539.0</v>
      </c>
      <c r="B71" s="765">
        <v>43420.0</v>
      </c>
      <c r="C71" s="764" t="s">
        <v>1062</v>
      </c>
      <c r="D71" s="764" t="s">
        <v>1246</v>
      </c>
      <c r="E71" s="764" t="s">
        <v>582</v>
      </c>
      <c r="F71" s="763"/>
      <c r="G71" s="763">
        <v>2.1841855E8</v>
      </c>
      <c r="H71" s="763">
        <v>8.487946600052319E8</v>
      </c>
      <c r="I71" s="764"/>
      <c r="J71" s="764"/>
      <c r="K71" s="764"/>
      <c r="L71" s="764"/>
      <c r="M71" s="764"/>
      <c r="N71" s="764"/>
      <c r="O71" s="764"/>
      <c r="P71" s="764"/>
      <c r="Q71" s="764"/>
      <c r="R71" s="764"/>
      <c r="S71" s="764"/>
      <c r="T71" s="764"/>
      <c r="U71" s="764"/>
      <c r="V71" s="764"/>
      <c r="W71" s="764"/>
      <c r="X71" s="764"/>
      <c r="Y71" s="764"/>
      <c r="Z71" s="764"/>
    </row>
    <row r="72" ht="9.75" customHeight="1">
      <c r="A72" s="764">
        <v>4555.0</v>
      </c>
      <c r="B72" s="765">
        <v>43423.0</v>
      </c>
      <c r="C72" s="764" t="s">
        <v>1062</v>
      </c>
      <c r="D72" s="764" t="s">
        <v>1247</v>
      </c>
      <c r="E72" s="764" t="s">
        <v>582</v>
      </c>
      <c r="F72" s="763"/>
      <c r="G72" s="763">
        <v>1.699269E8</v>
      </c>
      <c r="H72" s="763">
        <v>1.018721560005232E9</v>
      </c>
      <c r="I72" s="764"/>
      <c r="J72" s="764"/>
      <c r="K72" s="764"/>
      <c r="L72" s="764"/>
      <c r="M72" s="764"/>
      <c r="N72" s="764"/>
      <c r="O72" s="764"/>
      <c r="P72" s="764"/>
      <c r="Q72" s="764"/>
      <c r="R72" s="764"/>
      <c r="S72" s="764"/>
      <c r="T72" s="764"/>
      <c r="U72" s="764"/>
      <c r="V72" s="764"/>
      <c r="W72" s="764"/>
      <c r="X72" s="764"/>
      <c r="Y72" s="764"/>
      <c r="Z72" s="764"/>
    </row>
    <row r="73" ht="9.75" customHeight="1">
      <c r="A73" s="764">
        <v>4562.0</v>
      </c>
      <c r="B73" s="765">
        <v>43426.0</v>
      </c>
      <c r="C73" s="764" t="s">
        <v>1062</v>
      </c>
      <c r="D73" s="764" t="s">
        <v>1248</v>
      </c>
      <c r="E73" s="764" t="s">
        <v>552</v>
      </c>
      <c r="F73" s="763"/>
      <c r="G73" s="763">
        <v>5.17266E7</v>
      </c>
      <c r="H73" s="763">
        <v>1.070448160005232E9</v>
      </c>
      <c r="I73" s="764"/>
      <c r="J73" s="764"/>
      <c r="K73" s="764"/>
      <c r="L73" s="764"/>
      <c r="M73" s="764"/>
      <c r="N73" s="764"/>
      <c r="O73" s="764"/>
      <c r="P73" s="764"/>
      <c r="Q73" s="764"/>
      <c r="R73" s="764"/>
      <c r="S73" s="764"/>
      <c r="T73" s="764"/>
      <c r="U73" s="764"/>
      <c r="V73" s="764"/>
      <c r="W73" s="764"/>
      <c r="X73" s="764"/>
      <c r="Y73" s="764"/>
      <c r="Z73" s="764"/>
    </row>
    <row r="74" ht="9.75" customHeight="1">
      <c r="A74" s="764">
        <v>4779.0</v>
      </c>
      <c r="B74" s="765">
        <v>43434.0</v>
      </c>
      <c r="C74" s="764" t="s">
        <v>1062</v>
      </c>
      <c r="D74" s="764" t="s">
        <v>1249</v>
      </c>
      <c r="E74" s="764" t="s">
        <v>582</v>
      </c>
      <c r="F74" s="763"/>
      <c r="G74" s="763">
        <v>4.714092E7</v>
      </c>
      <c r="H74" s="763">
        <v>1.117589080005232E9</v>
      </c>
      <c r="I74" s="764"/>
      <c r="J74" s="764"/>
      <c r="K74" s="764"/>
      <c r="L74" s="764"/>
      <c r="M74" s="764"/>
      <c r="N74" s="764"/>
      <c r="O74" s="764"/>
      <c r="P74" s="764"/>
      <c r="Q74" s="764"/>
      <c r="R74" s="764"/>
      <c r="S74" s="764"/>
      <c r="T74" s="764"/>
      <c r="U74" s="764"/>
      <c r="V74" s="764"/>
      <c r="W74" s="764"/>
      <c r="X74" s="764"/>
      <c r="Y74" s="764"/>
      <c r="Z74" s="764"/>
    </row>
    <row r="75" ht="9.75" customHeight="1">
      <c r="A75" s="764">
        <v>4786.0</v>
      </c>
      <c r="B75" s="765">
        <v>43445.0</v>
      </c>
      <c r="C75" s="764" t="s">
        <v>1062</v>
      </c>
      <c r="D75" s="764" t="s">
        <v>1250</v>
      </c>
      <c r="E75" s="764" t="s">
        <v>552</v>
      </c>
      <c r="F75" s="763"/>
      <c r="G75" s="763">
        <v>2.6344E7</v>
      </c>
      <c r="H75" s="763">
        <v>1.143933080005232E9</v>
      </c>
      <c r="I75" s="764"/>
      <c r="J75" s="764"/>
      <c r="K75" s="764"/>
      <c r="L75" s="764"/>
      <c r="M75" s="764"/>
      <c r="N75" s="764"/>
      <c r="O75" s="764"/>
      <c r="P75" s="764"/>
      <c r="Q75" s="764"/>
      <c r="R75" s="764"/>
      <c r="S75" s="764"/>
      <c r="T75" s="764"/>
      <c r="U75" s="764"/>
      <c r="V75" s="764"/>
      <c r="W75" s="764"/>
      <c r="X75" s="764"/>
      <c r="Y75" s="764"/>
      <c r="Z75" s="764"/>
    </row>
    <row r="76" ht="9.75" customHeight="1">
      <c r="A76" s="764">
        <v>4730.0</v>
      </c>
      <c r="B76" s="765">
        <v>43446.0</v>
      </c>
      <c r="C76" s="764" t="s">
        <v>1062</v>
      </c>
      <c r="D76" s="764" t="s">
        <v>1251</v>
      </c>
      <c r="E76" s="764" t="s">
        <v>570</v>
      </c>
      <c r="F76" s="763">
        <v>5268520.0</v>
      </c>
      <c r="G76" s="763"/>
      <c r="H76" s="763">
        <v>1.138664560005232E9</v>
      </c>
      <c r="I76" s="764"/>
      <c r="J76" s="764"/>
      <c r="K76" s="764"/>
      <c r="L76" s="764"/>
      <c r="M76" s="764"/>
      <c r="N76" s="764"/>
      <c r="O76" s="764"/>
      <c r="P76" s="764"/>
      <c r="Q76" s="764"/>
      <c r="R76" s="764"/>
      <c r="S76" s="764"/>
      <c r="T76" s="764"/>
      <c r="U76" s="764"/>
      <c r="V76" s="764"/>
      <c r="W76" s="764"/>
      <c r="X76" s="764"/>
      <c r="Y76" s="764"/>
      <c r="Z76" s="764"/>
    </row>
    <row r="77" ht="9.75" customHeight="1">
      <c r="A77" s="764">
        <v>4791.0</v>
      </c>
      <c r="B77" s="765">
        <v>43451.0</v>
      </c>
      <c r="C77" s="764" t="s">
        <v>1062</v>
      </c>
      <c r="D77" s="764" t="s">
        <v>1252</v>
      </c>
      <c r="E77" s="764" t="s">
        <v>582</v>
      </c>
      <c r="F77" s="763"/>
      <c r="G77" s="763">
        <v>1.317495E7</v>
      </c>
      <c r="H77" s="763">
        <v>1.151839510005232E9</v>
      </c>
      <c r="I77" s="764"/>
      <c r="J77" s="764"/>
      <c r="K77" s="764"/>
      <c r="L77" s="764"/>
      <c r="M77" s="764"/>
      <c r="N77" s="764"/>
      <c r="O77" s="764"/>
      <c r="P77" s="764"/>
      <c r="Q77" s="764"/>
      <c r="R77" s="764"/>
      <c r="S77" s="764"/>
      <c r="T77" s="764"/>
      <c r="U77" s="764"/>
      <c r="V77" s="764"/>
      <c r="W77" s="764"/>
      <c r="X77" s="764"/>
      <c r="Y77" s="764"/>
      <c r="Z77" s="764"/>
    </row>
    <row r="78" ht="9.75" customHeight="1">
      <c r="A78" s="764">
        <v>4997.0</v>
      </c>
      <c r="B78" s="765">
        <v>43465.0</v>
      </c>
      <c r="C78" s="764" t="s">
        <v>1062</v>
      </c>
      <c r="D78" s="764"/>
      <c r="E78" s="764" t="s">
        <v>1244</v>
      </c>
      <c r="F78" s="763"/>
      <c r="G78" s="763">
        <v>3.483157000018612E7</v>
      </c>
      <c r="H78" s="763">
        <v>1.186671080005418E9</v>
      </c>
      <c r="I78" s="764"/>
      <c r="J78" s="764"/>
      <c r="K78" s="764"/>
      <c r="L78" s="764"/>
      <c r="M78" s="764"/>
      <c r="N78" s="764"/>
      <c r="O78" s="764"/>
      <c r="P78" s="764"/>
      <c r="Q78" s="764"/>
      <c r="R78" s="764"/>
      <c r="S78" s="764"/>
      <c r="T78" s="764"/>
      <c r="U78" s="764"/>
      <c r="V78" s="764"/>
      <c r="W78" s="764"/>
      <c r="X78" s="764"/>
      <c r="Y78" s="764"/>
      <c r="Z78" s="764"/>
    </row>
    <row r="79" ht="9.75" customHeight="1">
      <c r="A79" s="764"/>
      <c r="B79" s="764"/>
      <c r="C79" s="764"/>
      <c r="D79" s="764"/>
      <c r="E79" s="764"/>
      <c r="F79" s="762">
        <v>2.119196000007044E7</v>
      </c>
      <c r="G79" s="762">
        <v>6.010805400005128E8</v>
      </c>
      <c r="H79" s="762">
        <v>1.186671080005418E9</v>
      </c>
      <c r="I79" s="764"/>
      <c r="J79" s="764"/>
      <c r="K79" s="764"/>
      <c r="L79" s="764"/>
      <c r="M79" s="764"/>
      <c r="N79" s="764"/>
      <c r="O79" s="764"/>
      <c r="P79" s="764"/>
      <c r="Q79" s="764"/>
      <c r="R79" s="764"/>
      <c r="S79" s="764"/>
      <c r="T79" s="764"/>
      <c r="U79" s="764"/>
      <c r="V79" s="764"/>
      <c r="W79" s="764"/>
      <c r="X79" s="764"/>
      <c r="Y79" s="764"/>
      <c r="Z79" s="764"/>
    </row>
    <row r="80" ht="9.75" customHeight="1">
      <c r="A80" s="764"/>
      <c r="B80" s="764"/>
      <c r="C80" s="764"/>
      <c r="D80" s="764"/>
      <c r="E80" s="764"/>
      <c r="F80" s="763"/>
      <c r="G80" s="763"/>
      <c r="H80" s="763"/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764"/>
      <c r="T80" s="764"/>
      <c r="U80" s="764"/>
      <c r="V80" s="764"/>
      <c r="W80" s="764"/>
      <c r="X80" s="764"/>
      <c r="Y80" s="764"/>
      <c r="Z80" s="764"/>
    </row>
    <row r="81" ht="9.75" customHeight="1">
      <c r="A81" s="764"/>
      <c r="B81" s="764"/>
      <c r="C81" s="764"/>
      <c r="D81" s="764"/>
      <c r="E81" s="764"/>
      <c r="F81" s="763"/>
      <c r="G81" s="763"/>
      <c r="H81" s="763"/>
      <c r="I81" s="764"/>
      <c r="J81" s="764"/>
      <c r="K81" s="764"/>
      <c r="L81" s="764"/>
      <c r="M81" s="764"/>
      <c r="N81" s="764"/>
      <c r="O81" s="764"/>
      <c r="P81" s="764"/>
      <c r="Q81" s="764"/>
      <c r="R81" s="764"/>
      <c r="S81" s="764"/>
      <c r="T81" s="764"/>
      <c r="U81" s="764"/>
      <c r="V81" s="764"/>
      <c r="W81" s="764"/>
      <c r="X81" s="764"/>
      <c r="Y81" s="764"/>
      <c r="Z81" s="764"/>
    </row>
    <row r="82" ht="9.75" customHeight="1">
      <c r="A82" s="764"/>
      <c r="B82" s="764"/>
      <c r="C82" s="764"/>
      <c r="D82" s="764"/>
      <c r="E82" s="764"/>
      <c r="F82" s="763"/>
      <c r="G82" s="763"/>
      <c r="H82" s="763"/>
      <c r="I82" s="764"/>
      <c r="J82" s="764"/>
      <c r="K82" s="764"/>
      <c r="L82" s="764"/>
      <c r="M82" s="764"/>
      <c r="N82" s="764"/>
      <c r="O82" s="764"/>
      <c r="P82" s="764"/>
      <c r="Q82" s="764"/>
      <c r="R82" s="764"/>
      <c r="S82" s="764"/>
      <c r="T82" s="764"/>
      <c r="U82" s="764"/>
      <c r="V82" s="764"/>
      <c r="W82" s="764"/>
      <c r="X82" s="764"/>
      <c r="Y82" s="764"/>
      <c r="Z82" s="764"/>
    </row>
    <row r="83" ht="9.75" customHeight="1">
      <c r="A83" s="764"/>
      <c r="B83" s="764"/>
      <c r="C83" s="764"/>
      <c r="D83" s="764"/>
      <c r="E83" s="764"/>
      <c r="F83" s="763">
        <f t="shared" ref="F83:G83" si="1">+F79+F55</f>
        <v>167191960</v>
      </c>
      <c r="G83" s="763">
        <f t="shared" si="1"/>
        <v>2913080540</v>
      </c>
      <c r="H83" s="763"/>
      <c r="I83" s="764"/>
      <c r="J83" s="764"/>
      <c r="K83" s="764"/>
      <c r="L83" s="764"/>
      <c r="M83" s="764"/>
      <c r="N83" s="764"/>
      <c r="O83" s="764"/>
      <c r="P83" s="764"/>
      <c r="Q83" s="764"/>
      <c r="R83" s="764"/>
      <c r="S83" s="764"/>
      <c r="T83" s="764"/>
      <c r="U83" s="764"/>
      <c r="V83" s="764"/>
      <c r="W83" s="764"/>
      <c r="X83" s="764"/>
      <c r="Y83" s="764"/>
      <c r="Z83" s="764"/>
    </row>
    <row r="84" ht="9.75" customHeight="1">
      <c r="A84" s="764"/>
      <c r="B84" s="764"/>
      <c r="C84" s="764"/>
      <c r="D84" s="764"/>
      <c r="E84" s="764"/>
      <c r="F84" s="763"/>
      <c r="G84" s="763"/>
      <c r="H84" s="763"/>
      <c r="I84" s="764"/>
      <c r="J84" s="764"/>
      <c r="K84" s="764"/>
      <c r="L84" s="764"/>
      <c r="M84" s="764"/>
      <c r="N84" s="764"/>
      <c r="O84" s="764"/>
      <c r="P84" s="764"/>
      <c r="Q84" s="764"/>
      <c r="R84" s="764"/>
      <c r="S84" s="764"/>
      <c r="T84" s="764"/>
      <c r="U84" s="764"/>
      <c r="V84" s="764"/>
      <c r="W84" s="764"/>
      <c r="X84" s="764"/>
      <c r="Y84" s="764"/>
      <c r="Z84" s="764"/>
    </row>
    <row r="85" ht="9.75" customHeight="1">
      <c r="A85" s="764"/>
      <c r="B85" s="764"/>
      <c r="C85" s="764"/>
      <c r="D85" s="764"/>
      <c r="E85" s="764"/>
      <c r="F85" s="763"/>
      <c r="G85" s="763"/>
      <c r="H85" s="763"/>
      <c r="I85" s="764"/>
      <c r="J85" s="764"/>
      <c r="K85" s="764"/>
      <c r="L85" s="764"/>
      <c r="M85" s="764"/>
      <c r="N85" s="764"/>
      <c r="O85" s="764"/>
      <c r="P85" s="764"/>
      <c r="Q85" s="764"/>
      <c r="R85" s="764"/>
      <c r="S85" s="764"/>
      <c r="T85" s="764"/>
      <c r="U85" s="764"/>
      <c r="V85" s="764"/>
      <c r="W85" s="764"/>
      <c r="X85" s="764"/>
      <c r="Y85" s="764"/>
      <c r="Z85" s="764"/>
    </row>
    <row r="86" ht="9.75" customHeight="1">
      <c r="A86" s="764"/>
      <c r="B86" s="764"/>
      <c r="C86" s="764"/>
      <c r="D86" s="764"/>
      <c r="E86" s="764"/>
      <c r="F86" s="763"/>
      <c r="G86" s="763"/>
      <c r="H86" s="763"/>
      <c r="I86" s="764"/>
      <c r="J86" s="764"/>
      <c r="K86" s="764"/>
      <c r="L86" s="764"/>
      <c r="M86" s="764"/>
      <c r="N86" s="764"/>
      <c r="O86" s="764"/>
      <c r="P86" s="764"/>
      <c r="Q86" s="764"/>
      <c r="R86" s="764"/>
      <c r="S86" s="764"/>
      <c r="T86" s="764"/>
      <c r="U86" s="764"/>
      <c r="V86" s="764"/>
      <c r="W86" s="764"/>
      <c r="X86" s="764"/>
      <c r="Y86" s="764"/>
      <c r="Z86" s="764"/>
    </row>
    <row r="87" ht="9.75" customHeight="1">
      <c r="A87" s="764"/>
      <c r="B87" s="764"/>
      <c r="C87" s="764"/>
      <c r="D87" s="764"/>
      <c r="E87" s="764"/>
      <c r="F87" s="763"/>
      <c r="G87" s="763"/>
      <c r="H87" s="763"/>
      <c r="I87" s="764"/>
      <c r="J87" s="764"/>
      <c r="K87" s="764"/>
      <c r="L87" s="764"/>
      <c r="M87" s="764"/>
      <c r="N87" s="764"/>
      <c r="O87" s="764"/>
      <c r="P87" s="764"/>
      <c r="Q87" s="764"/>
      <c r="R87" s="764"/>
      <c r="S87" s="764"/>
      <c r="T87" s="764"/>
      <c r="U87" s="764"/>
      <c r="V87" s="764"/>
      <c r="W87" s="764"/>
      <c r="X87" s="764"/>
      <c r="Y87" s="764"/>
      <c r="Z87" s="764"/>
    </row>
    <row r="88" ht="9.75" customHeight="1">
      <c r="A88" s="764"/>
      <c r="B88" s="764"/>
      <c r="C88" s="764"/>
      <c r="D88" s="764"/>
      <c r="E88" s="764"/>
      <c r="F88" s="763"/>
      <c r="G88" s="763"/>
      <c r="H88" s="763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64"/>
      <c r="U88" s="764"/>
      <c r="V88" s="764"/>
      <c r="W88" s="764"/>
      <c r="X88" s="764"/>
      <c r="Y88" s="764"/>
      <c r="Z88" s="764"/>
    </row>
    <row r="89" ht="9.75" customHeight="1">
      <c r="A89" s="764"/>
      <c r="B89" s="764"/>
      <c r="C89" s="764"/>
      <c r="D89" s="764"/>
      <c r="E89" s="764"/>
      <c r="F89" s="763"/>
      <c r="G89" s="763"/>
      <c r="H89" s="763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64"/>
      <c r="U89" s="764"/>
      <c r="V89" s="764"/>
      <c r="W89" s="764"/>
      <c r="X89" s="764"/>
      <c r="Y89" s="764"/>
      <c r="Z89" s="764"/>
    </row>
    <row r="90" ht="9.75" customHeight="1">
      <c r="A90" s="764"/>
      <c r="B90" s="764"/>
      <c r="C90" s="764"/>
      <c r="D90" s="764"/>
      <c r="E90" s="764"/>
      <c r="F90" s="763"/>
      <c r="G90" s="763"/>
      <c r="H90" s="763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  <c r="Z90" s="764"/>
    </row>
    <row r="91" ht="9.75" customHeight="1">
      <c r="A91" s="764"/>
      <c r="B91" s="764"/>
      <c r="C91" s="764"/>
      <c r="D91" s="764"/>
      <c r="E91" s="764"/>
      <c r="F91" s="763"/>
      <c r="G91" s="763"/>
      <c r="H91" s="763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764"/>
      <c r="U91" s="764"/>
      <c r="V91" s="764"/>
      <c r="W91" s="764"/>
      <c r="X91" s="764"/>
      <c r="Y91" s="764"/>
      <c r="Z91" s="764"/>
    </row>
    <row r="92" ht="9.75" customHeight="1">
      <c r="A92" s="764"/>
      <c r="B92" s="764"/>
      <c r="C92" s="764"/>
      <c r="D92" s="764"/>
      <c r="E92" s="764"/>
      <c r="F92" s="763"/>
      <c r="G92" s="763"/>
      <c r="H92" s="763"/>
      <c r="I92" s="764"/>
      <c r="J92" s="764"/>
      <c r="K92" s="764"/>
      <c r="L92" s="764"/>
      <c r="M92" s="764"/>
      <c r="N92" s="764"/>
      <c r="O92" s="764"/>
      <c r="P92" s="764"/>
      <c r="Q92" s="764"/>
      <c r="R92" s="764"/>
      <c r="S92" s="764"/>
      <c r="T92" s="764"/>
      <c r="U92" s="764"/>
      <c r="V92" s="764"/>
      <c r="W92" s="764"/>
      <c r="X92" s="764"/>
      <c r="Y92" s="764"/>
      <c r="Z92" s="764"/>
    </row>
    <row r="93" ht="9.75" customHeight="1">
      <c r="A93" s="764"/>
      <c r="B93" s="764"/>
      <c r="C93" s="764"/>
      <c r="D93" s="764"/>
      <c r="E93" s="764"/>
      <c r="F93" s="763"/>
      <c r="G93" s="763"/>
      <c r="H93" s="763"/>
      <c r="I93" s="764"/>
      <c r="J93" s="764"/>
      <c r="K93" s="764"/>
      <c r="L93" s="764"/>
      <c r="M93" s="764"/>
      <c r="N93" s="764"/>
      <c r="O93" s="764"/>
      <c r="P93" s="764"/>
      <c r="Q93" s="764"/>
      <c r="R93" s="764"/>
      <c r="S93" s="764"/>
      <c r="T93" s="764"/>
      <c r="U93" s="764"/>
      <c r="V93" s="764"/>
      <c r="W93" s="764"/>
      <c r="X93" s="764"/>
      <c r="Y93" s="764"/>
      <c r="Z93" s="764"/>
    </row>
    <row r="94" ht="9.75" customHeight="1">
      <c r="A94" s="764"/>
      <c r="B94" s="764"/>
      <c r="C94" s="764"/>
      <c r="D94" s="764"/>
      <c r="E94" s="764"/>
      <c r="F94" s="763"/>
      <c r="G94" s="763"/>
      <c r="H94" s="763"/>
      <c r="I94" s="764"/>
      <c r="J94" s="764"/>
      <c r="K94" s="764"/>
      <c r="L94" s="764"/>
      <c r="M94" s="764"/>
      <c r="N94" s="764"/>
      <c r="O94" s="764"/>
      <c r="P94" s="764"/>
      <c r="Q94" s="764"/>
      <c r="R94" s="764"/>
      <c r="S94" s="764"/>
      <c r="T94" s="764"/>
      <c r="U94" s="764"/>
      <c r="V94" s="764"/>
      <c r="W94" s="764"/>
      <c r="X94" s="764"/>
      <c r="Y94" s="764"/>
      <c r="Z94" s="764"/>
    </row>
    <row r="95" ht="9.75" customHeight="1">
      <c r="A95" s="764"/>
      <c r="B95" s="764"/>
      <c r="C95" s="764"/>
      <c r="D95" s="764"/>
      <c r="E95" s="764"/>
      <c r="F95" s="763"/>
      <c r="G95" s="763"/>
      <c r="H95" s="763"/>
      <c r="I95" s="764"/>
      <c r="J95" s="764"/>
      <c r="K95" s="764"/>
      <c r="L95" s="764"/>
      <c r="M95" s="764"/>
      <c r="N95" s="764"/>
      <c r="O95" s="764"/>
      <c r="P95" s="764"/>
      <c r="Q95" s="764"/>
      <c r="R95" s="764"/>
      <c r="S95" s="764"/>
      <c r="T95" s="764"/>
      <c r="U95" s="764"/>
      <c r="V95" s="764"/>
      <c r="W95" s="764"/>
      <c r="X95" s="764"/>
      <c r="Y95" s="764"/>
      <c r="Z95" s="764"/>
    </row>
    <row r="96" ht="9.75" customHeight="1">
      <c r="A96" s="764"/>
      <c r="B96" s="764"/>
      <c r="C96" s="764"/>
      <c r="D96" s="764"/>
      <c r="E96" s="764"/>
      <c r="F96" s="763"/>
      <c r="G96" s="763"/>
      <c r="H96" s="763"/>
      <c r="I96" s="764"/>
      <c r="J96" s="764"/>
      <c r="K96" s="764"/>
      <c r="L96" s="764"/>
      <c r="M96" s="764"/>
      <c r="N96" s="764"/>
      <c r="O96" s="764"/>
      <c r="P96" s="764"/>
      <c r="Q96" s="764"/>
      <c r="R96" s="764"/>
      <c r="S96" s="764"/>
      <c r="T96" s="764"/>
      <c r="U96" s="764"/>
      <c r="V96" s="764"/>
      <c r="W96" s="764"/>
      <c r="X96" s="764"/>
      <c r="Y96" s="764"/>
      <c r="Z96" s="764"/>
    </row>
    <row r="97" ht="9.75" customHeight="1">
      <c r="A97" s="764"/>
      <c r="B97" s="764"/>
      <c r="C97" s="764"/>
      <c r="D97" s="764"/>
      <c r="E97" s="764"/>
      <c r="F97" s="763"/>
      <c r="G97" s="763"/>
      <c r="H97" s="763"/>
      <c r="I97" s="764"/>
      <c r="J97" s="764"/>
      <c r="K97" s="764"/>
      <c r="L97" s="764"/>
      <c r="M97" s="764"/>
      <c r="N97" s="764"/>
      <c r="O97" s="764"/>
      <c r="P97" s="764"/>
      <c r="Q97" s="764"/>
      <c r="R97" s="764"/>
      <c r="S97" s="764"/>
      <c r="T97" s="764"/>
      <c r="U97" s="764"/>
      <c r="V97" s="764"/>
      <c r="W97" s="764"/>
      <c r="X97" s="764"/>
      <c r="Y97" s="764"/>
      <c r="Z97" s="764"/>
    </row>
    <row r="98" ht="9.75" customHeight="1">
      <c r="A98" s="764"/>
      <c r="B98" s="764"/>
      <c r="C98" s="764"/>
      <c r="D98" s="764"/>
      <c r="E98" s="764"/>
      <c r="F98" s="763"/>
      <c r="G98" s="763"/>
      <c r="H98" s="763"/>
      <c r="I98" s="764"/>
      <c r="J98" s="764"/>
      <c r="K98" s="764"/>
      <c r="L98" s="764"/>
      <c r="M98" s="764"/>
      <c r="N98" s="764"/>
      <c r="O98" s="764"/>
      <c r="P98" s="764"/>
      <c r="Q98" s="764"/>
      <c r="R98" s="764"/>
      <c r="S98" s="764"/>
      <c r="T98" s="764"/>
      <c r="U98" s="764"/>
      <c r="V98" s="764"/>
      <c r="W98" s="764"/>
      <c r="X98" s="764"/>
      <c r="Y98" s="764"/>
      <c r="Z98" s="764"/>
    </row>
    <row r="99" ht="9.75" customHeight="1">
      <c r="A99" s="764"/>
      <c r="B99" s="764"/>
      <c r="C99" s="764"/>
      <c r="D99" s="764"/>
      <c r="E99" s="764"/>
      <c r="F99" s="763"/>
      <c r="G99" s="763"/>
      <c r="H99" s="763"/>
      <c r="I99" s="764"/>
      <c r="J99" s="764"/>
      <c r="K99" s="764"/>
      <c r="L99" s="764"/>
      <c r="M99" s="764"/>
      <c r="N99" s="764"/>
      <c r="O99" s="764"/>
      <c r="P99" s="764"/>
      <c r="Q99" s="764"/>
      <c r="R99" s="764"/>
      <c r="S99" s="764"/>
      <c r="T99" s="764"/>
      <c r="U99" s="764"/>
      <c r="V99" s="764"/>
      <c r="W99" s="764"/>
      <c r="X99" s="764"/>
      <c r="Y99" s="764"/>
      <c r="Z99" s="764"/>
    </row>
    <row r="100" ht="9.75" customHeight="1">
      <c r="A100" s="764"/>
      <c r="B100" s="764"/>
      <c r="C100" s="764"/>
      <c r="D100" s="764"/>
      <c r="E100" s="764"/>
      <c r="F100" s="763"/>
      <c r="G100" s="763"/>
      <c r="H100" s="763"/>
      <c r="I100" s="764"/>
      <c r="J100" s="764"/>
      <c r="K100" s="764"/>
      <c r="L100" s="764"/>
      <c r="M100" s="764"/>
      <c r="N100" s="764"/>
      <c r="O100" s="764"/>
      <c r="P100" s="764"/>
      <c r="Q100" s="764"/>
      <c r="R100" s="764"/>
      <c r="S100" s="764"/>
      <c r="T100" s="764"/>
      <c r="U100" s="764"/>
      <c r="V100" s="764"/>
      <c r="W100" s="764"/>
      <c r="X100" s="764"/>
      <c r="Y100" s="764"/>
      <c r="Z100" s="764"/>
    </row>
    <row r="101" ht="9.75" customHeight="1">
      <c r="A101" s="764"/>
      <c r="B101" s="764"/>
      <c r="C101" s="764"/>
      <c r="D101" s="764"/>
      <c r="E101" s="764"/>
      <c r="F101" s="763"/>
      <c r="G101" s="763"/>
      <c r="H101" s="763"/>
      <c r="I101" s="764"/>
      <c r="J101" s="764"/>
      <c r="K101" s="764"/>
      <c r="L101" s="764"/>
      <c r="M101" s="764"/>
      <c r="N101" s="764"/>
      <c r="O101" s="764"/>
      <c r="P101" s="764"/>
      <c r="Q101" s="764"/>
      <c r="R101" s="764"/>
      <c r="S101" s="764"/>
      <c r="T101" s="764"/>
      <c r="U101" s="764"/>
      <c r="V101" s="764"/>
      <c r="W101" s="764"/>
      <c r="X101" s="764"/>
      <c r="Y101" s="764"/>
      <c r="Z101" s="764"/>
    </row>
    <row r="102" ht="9.75" customHeight="1">
      <c r="A102" s="764"/>
      <c r="B102" s="764"/>
      <c r="C102" s="764"/>
      <c r="D102" s="764"/>
      <c r="E102" s="764"/>
      <c r="F102" s="763"/>
      <c r="G102" s="763"/>
      <c r="H102" s="763"/>
      <c r="I102" s="764"/>
      <c r="J102" s="764"/>
      <c r="K102" s="764"/>
      <c r="L102" s="764"/>
      <c r="M102" s="764"/>
      <c r="N102" s="764"/>
      <c r="O102" s="764"/>
      <c r="P102" s="764"/>
      <c r="Q102" s="764"/>
      <c r="R102" s="764"/>
      <c r="S102" s="764"/>
      <c r="T102" s="764"/>
      <c r="U102" s="764"/>
      <c r="V102" s="764"/>
      <c r="W102" s="764"/>
      <c r="X102" s="764"/>
      <c r="Y102" s="764"/>
      <c r="Z102" s="764"/>
    </row>
    <row r="103" ht="9.75" customHeight="1">
      <c r="A103" s="764"/>
      <c r="B103" s="764"/>
      <c r="C103" s="764"/>
      <c r="D103" s="764"/>
      <c r="E103" s="764"/>
      <c r="F103" s="763"/>
      <c r="G103" s="763"/>
      <c r="H103" s="763"/>
      <c r="I103" s="764"/>
      <c r="J103" s="764"/>
      <c r="K103" s="764"/>
      <c r="L103" s="764"/>
      <c r="M103" s="764"/>
      <c r="N103" s="764"/>
      <c r="O103" s="764"/>
      <c r="P103" s="764"/>
      <c r="Q103" s="764"/>
      <c r="R103" s="764"/>
      <c r="S103" s="764"/>
      <c r="T103" s="764"/>
      <c r="U103" s="764"/>
      <c r="V103" s="764"/>
      <c r="W103" s="764"/>
      <c r="X103" s="764"/>
      <c r="Y103" s="764"/>
      <c r="Z103" s="764"/>
    </row>
    <row r="104" ht="9.75" customHeight="1">
      <c r="A104" s="764"/>
      <c r="B104" s="764"/>
      <c r="C104" s="764"/>
      <c r="D104" s="764"/>
      <c r="E104" s="764"/>
      <c r="F104" s="763"/>
      <c r="G104" s="763"/>
      <c r="H104" s="763"/>
      <c r="I104" s="764"/>
      <c r="J104" s="764"/>
      <c r="K104" s="764"/>
      <c r="L104" s="764"/>
      <c r="M104" s="764"/>
      <c r="N104" s="764"/>
      <c r="O104" s="764"/>
      <c r="P104" s="764"/>
      <c r="Q104" s="764"/>
      <c r="R104" s="764"/>
      <c r="S104" s="764"/>
      <c r="T104" s="764"/>
      <c r="U104" s="764"/>
      <c r="V104" s="764"/>
      <c r="W104" s="764"/>
      <c r="X104" s="764"/>
      <c r="Y104" s="764"/>
      <c r="Z104" s="764"/>
    </row>
    <row r="105" ht="9.75" customHeight="1">
      <c r="A105" s="764"/>
      <c r="B105" s="764"/>
      <c r="C105" s="764"/>
      <c r="D105" s="764"/>
      <c r="E105" s="764"/>
      <c r="F105" s="763"/>
      <c r="G105" s="763"/>
      <c r="H105" s="763"/>
      <c r="I105" s="764"/>
      <c r="J105" s="764"/>
      <c r="K105" s="764"/>
      <c r="L105" s="764"/>
      <c r="M105" s="764"/>
      <c r="N105" s="764"/>
      <c r="O105" s="764"/>
      <c r="P105" s="764"/>
      <c r="Q105" s="764"/>
      <c r="R105" s="764"/>
      <c r="S105" s="764"/>
      <c r="T105" s="764"/>
      <c r="U105" s="764"/>
      <c r="V105" s="764"/>
      <c r="W105" s="764"/>
      <c r="X105" s="764"/>
      <c r="Y105" s="764"/>
      <c r="Z105" s="764"/>
    </row>
    <row r="106" ht="9.75" customHeight="1">
      <c r="A106" s="764"/>
      <c r="B106" s="764"/>
      <c r="C106" s="764"/>
      <c r="D106" s="764"/>
      <c r="E106" s="764"/>
      <c r="F106" s="763"/>
      <c r="G106" s="763"/>
      <c r="H106" s="763"/>
      <c r="I106" s="764"/>
      <c r="J106" s="764"/>
      <c r="K106" s="764"/>
      <c r="L106" s="764"/>
      <c r="M106" s="764"/>
      <c r="N106" s="764"/>
      <c r="O106" s="764"/>
      <c r="P106" s="764"/>
      <c r="Q106" s="764"/>
      <c r="R106" s="764"/>
      <c r="S106" s="764"/>
      <c r="T106" s="764"/>
      <c r="U106" s="764"/>
      <c r="V106" s="764"/>
      <c r="W106" s="764"/>
      <c r="X106" s="764"/>
      <c r="Y106" s="764"/>
      <c r="Z106" s="764"/>
    </row>
    <row r="107" ht="9.75" customHeight="1">
      <c r="A107" s="764"/>
      <c r="B107" s="764"/>
      <c r="C107" s="764"/>
      <c r="D107" s="764"/>
      <c r="E107" s="764"/>
      <c r="F107" s="763"/>
      <c r="G107" s="763"/>
      <c r="H107" s="763"/>
      <c r="I107" s="764"/>
      <c r="J107" s="764"/>
      <c r="K107" s="764"/>
      <c r="L107" s="764"/>
      <c r="M107" s="764"/>
      <c r="N107" s="764"/>
      <c r="O107" s="764"/>
      <c r="P107" s="764"/>
      <c r="Q107" s="764"/>
      <c r="R107" s="764"/>
      <c r="S107" s="764"/>
      <c r="T107" s="764"/>
      <c r="U107" s="764"/>
      <c r="V107" s="764"/>
      <c r="W107" s="764"/>
      <c r="X107" s="764"/>
      <c r="Y107" s="764"/>
      <c r="Z107" s="764"/>
    </row>
    <row r="108" ht="9.75" customHeight="1">
      <c r="A108" s="764"/>
      <c r="B108" s="764"/>
      <c r="C108" s="764"/>
      <c r="D108" s="764"/>
      <c r="E108" s="764"/>
      <c r="F108" s="763"/>
      <c r="G108" s="763"/>
      <c r="H108" s="763"/>
      <c r="I108" s="764"/>
      <c r="J108" s="764"/>
      <c r="K108" s="764"/>
      <c r="L108" s="764"/>
      <c r="M108" s="764"/>
      <c r="N108" s="764"/>
      <c r="O108" s="764"/>
      <c r="P108" s="764"/>
      <c r="Q108" s="764"/>
      <c r="R108" s="764"/>
      <c r="S108" s="764"/>
      <c r="T108" s="764"/>
      <c r="U108" s="764"/>
      <c r="V108" s="764"/>
      <c r="W108" s="764"/>
      <c r="X108" s="764"/>
      <c r="Y108" s="764"/>
      <c r="Z108" s="764"/>
    </row>
    <row r="109" ht="9.75" customHeight="1">
      <c r="A109" s="764"/>
      <c r="B109" s="764"/>
      <c r="C109" s="764"/>
      <c r="D109" s="764"/>
      <c r="E109" s="764"/>
      <c r="F109" s="763"/>
      <c r="G109" s="763"/>
      <c r="H109" s="763"/>
      <c r="I109" s="764"/>
      <c r="J109" s="764"/>
      <c r="K109" s="764"/>
      <c r="L109" s="764"/>
      <c r="M109" s="764"/>
      <c r="N109" s="764"/>
      <c r="O109" s="764"/>
      <c r="P109" s="764"/>
      <c r="Q109" s="764"/>
      <c r="R109" s="764"/>
      <c r="S109" s="764"/>
      <c r="T109" s="764"/>
      <c r="U109" s="764"/>
      <c r="V109" s="764"/>
      <c r="W109" s="764"/>
      <c r="X109" s="764"/>
      <c r="Y109" s="764"/>
      <c r="Z109" s="764"/>
    </row>
    <row r="110" ht="9.75" customHeight="1">
      <c r="A110" s="764"/>
      <c r="B110" s="764"/>
      <c r="C110" s="764"/>
      <c r="D110" s="764"/>
      <c r="E110" s="764"/>
      <c r="F110" s="763"/>
      <c r="G110" s="763"/>
      <c r="H110" s="763"/>
      <c r="I110" s="764"/>
      <c r="J110" s="764"/>
      <c r="K110" s="764"/>
      <c r="L110" s="764"/>
      <c r="M110" s="764"/>
      <c r="N110" s="764"/>
      <c r="O110" s="764"/>
      <c r="P110" s="764"/>
      <c r="Q110" s="764"/>
      <c r="R110" s="764"/>
      <c r="S110" s="764"/>
      <c r="T110" s="764"/>
      <c r="U110" s="764"/>
      <c r="V110" s="764"/>
      <c r="W110" s="764"/>
      <c r="X110" s="764"/>
      <c r="Y110" s="764"/>
      <c r="Z110" s="764"/>
    </row>
    <row r="111" ht="9.75" customHeight="1">
      <c r="A111" s="764"/>
      <c r="B111" s="764"/>
      <c r="C111" s="764"/>
      <c r="D111" s="764"/>
      <c r="E111" s="764"/>
      <c r="F111" s="763"/>
      <c r="G111" s="763"/>
      <c r="H111" s="763"/>
      <c r="I111" s="764"/>
      <c r="J111" s="764"/>
      <c r="K111" s="764"/>
      <c r="L111" s="764"/>
      <c r="M111" s="764"/>
      <c r="N111" s="764"/>
      <c r="O111" s="764"/>
      <c r="P111" s="764"/>
      <c r="Q111" s="764"/>
      <c r="R111" s="764"/>
      <c r="S111" s="764"/>
      <c r="T111" s="764"/>
      <c r="U111" s="764"/>
      <c r="V111" s="764"/>
      <c r="W111" s="764"/>
      <c r="X111" s="764"/>
      <c r="Y111" s="764"/>
      <c r="Z111" s="764"/>
    </row>
    <row r="112" ht="9.75" customHeight="1">
      <c r="A112" s="764"/>
      <c r="B112" s="764"/>
      <c r="C112" s="764"/>
      <c r="D112" s="764"/>
      <c r="E112" s="764"/>
      <c r="F112" s="763"/>
      <c r="G112" s="763"/>
      <c r="H112" s="763"/>
      <c r="I112" s="764"/>
      <c r="J112" s="764"/>
      <c r="K112" s="764"/>
      <c r="L112" s="764"/>
      <c r="M112" s="764"/>
      <c r="N112" s="764"/>
      <c r="O112" s="764"/>
      <c r="P112" s="764"/>
      <c r="Q112" s="764"/>
      <c r="R112" s="764"/>
      <c r="S112" s="764"/>
      <c r="T112" s="764"/>
      <c r="U112" s="764"/>
      <c r="V112" s="764"/>
      <c r="W112" s="764"/>
      <c r="X112" s="764"/>
      <c r="Y112" s="764"/>
      <c r="Z112" s="764"/>
    </row>
    <row r="113" ht="9.75" customHeight="1">
      <c r="A113" s="764"/>
      <c r="B113" s="764"/>
      <c r="C113" s="764"/>
      <c r="D113" s="764"/>
      <c r="E113" s="764"/>
      <c r="F113" s="763"/>
      <c r="G113" s="763"/>
      <c r="H113" s="763"/>
      <c r="I113" s="764"/>
      <c r="J113" s="764"/>
      <c r="K113" s="764"/>
      <c r="L113" s="764"/>
      <c r="M113" s="764"/>
      <c r="N113" s="764"/>
      <c r="O113" s="764"/>
      <c r="P113" s="764"/>
      <c r="Q113" s="764"/>
      <c r="R113" s="764"/>
      <c r="S113" s="764"/>
      <c r="T113" s="764"/>
      <c r="U113" s="764"/>
      <c r="V113" s="764"/>
      <c r="W113" s="764"/>
      <c r="X113" s="764"/>
      <c r="Y113" s="764"/>
      <c r="Z113" s="764"/>
    </row>
    <row r="114" ht="9.75" customHeight="1">
      <c r="A114" s="764"/>
      <c r="B114" s="764"/>
      <c r="C114" s="764"/>
      <c r="D114" s="764"/>
      <c r="E114" s="764"/>
      <c r="F114" s="763"/>
      <c r="G114" s="763"/>
      <c r="H114" s="763"/>
      <c r="I114" s="764"/>
      <c r="J114" s="764"/>
      <c r="K114" s="764"/>
      <c r="L114" s="764"/>
      <c r="M114" s="764"/>
      <c r="N114" s="764"/>
      <c r="O114" s="764"/>
      <c r="P114" s="764"/>
      <c r="Q114" s="764"/>
      <c r="R114" s="764"/>
      <c r="S114" s="764"/>
      <c r="T114" s="764"/>
      <c r="U114" s="764"/>
      <c r="V114" s="764"/>
      <c r="W114" s="764"/>
      <c r="X114" s="764"/>
      <c r="Y114" s="764"/>
      <c r="Z114" s="764"/>
    </row>
    <row r="115" ht="9.75" customHeight="1">
      <c r="A115" s="764"/>
      <c r="B115" s="764"/>
      <c r="C115" s="764"/>
      <c r="D115" s="764"/>
      <c r="E115" s="764"/>
      <c r="F115" s="763"/>
      <c r="G115" s="763"/>
      <c r="H115" s="763"/>
      <c r="I115" s="764"/>
      <c r="J115" s="764"/>
      <c r="K115" s="764"/>
      <c r="L115" s="764"/>
      <c r="M115" s="764"/>
      <c r="N115" s="764"/>
      <c r="O115" s="764"/>
      <c r="P115" s="764"/>
      <c r="Q115" s="764"/>
      <c r="R115" s="764"/>
      <c r="S115" s="764"/>
      <c r="T115" s="764"/>
      <c r="U115" s="764"/>
      <c r="V115" s="764"/>
      <c r="W115" s="764"/>
      <c r="X115" s="764"/>
      <c r="Y115" s="764"/>
      <c r="Z115" s="764"/>
    </row>
    <row r="116" ht="9.75" customHeight="1">
      <c r="A116" s="764"/>
      <c r="B116" s="764"/>
      <c r="C116" s="764"/>
      <c r="D116" s="764"/>
      <c r="E116" s="764"/>
      <c r="F116" s="763"/>
      <c r="G116" s="763"/>
      <c r="H116" s="763"/>
      <c r="I116" s="764"/>
      <c r="J116" s="764"/>
      <c r="K116" s="764"/>
      <c r="L116" s="764"/>
      <c r="M116" s="764"/>
      <c r="N116" s="764"/>
      <c r="O116" s="764"/>
      <c r="P116" s="764"/>
      <c r="Q116" s="764"/>
      <c r="R116" s="764"/>
      <c r="S116" s="764"/>
      <c r="T116" s="764"/>
      <c r="U116" s="764"/>
      <c r="V116" s="764"/>
      <c r="W116" s="764"/>
      <c r="X116" s="764"/>
      <c r="Y116" s="764"/>
      <c r="Z116" s="764"/>
    </row>
    <row r="117" ht="9.75" customHeight="1">
      <c r="A117" s="764"/>
      <c r="B117" s="764"/>
      <c r="C117" s="764"/>
      <c r="D117" s="764"/>
      <c r="E117" s="764"/>
      <c r="F117" s="763"/>
      <c r="G117" s="763"/>
      <c r="H117" s="763"/>
      <c r="I117" s="764"/>
      <c r="J117" s="764"/>
      <c r="K117" s="764"/>
      <c r="L117" s="764"/>
      <c r="M117" s="764"/>
      <c r="N117" s="764"/>
      <c r="O117" s="764"/>
      <c r="P117" s="764"/>
      <c r="Q117" s="764"/>
      <c r="R117" s="764"/>
      <c r="S117" s="764"/>
      <c r="T117" s="764"/>
      <c r="U117" s="764"/>
      <c r="V117" s="764"/>
      <c r="W117" s="764"/>
      <c r="X117" s="764"/>
      <c r="Y117" s="764"/>
      <c r="Z117" s="764"/>
    </row>
    <row r="118" ht="9.75" customHeight="1">
      <c r="A118" s="764"/>
      <c r="B118" s="764"/>
      <c r="C118" s="764"/>
      <c r="D118" s="764"/>
      <c r="E118" s="764"/>
      <c r="F118" s="763"/>
      <c r="G118" s="763"/>
      <c r="H118" s="763"/>
      <c r="I118" s="764"/>
      <c r="J118" s="764"/>
      <c r="K118" s="764"/>
      <c r="L118" s="764"/>
      <c r="M118" s="764"/>
      <c r="N118" s="764"/>
      <c r="O118" s="764"/>
      <c r="P118" s="764"/>
      <c r="Q118" s="764"/>
      <c r="R118" s="764"/>
      <c r="S118" s="764"/>
      <c r="T118" s="764"/>
      <c r="U118" s="764"/>
      <c r="V118" s="764"/>
      <c r="W118" s="764"/>
      <c r="X118" s="764"/>
      <c r="Y118" s="764"/>
      <c r="Z118" s="764"/>
    </row>
    <row r="119" ht="9.75" customHeight="1">
      <c r="A119" s="764"/>
      <c r="B119" s="764"/>
      <c r="C119" s="764"/>
      <c r="D119" s="764"/>
      <c r="E119" s="764"/>
      <c r="F119" s="763"/>
      <c r="G119" s="763"/>
      <c r="H119" s="763"/>
      <c r="I119" s="764"/>
      <c r="J119" s="764"/>
      <c r="K119" s="764"/>
      <c r="L119" s="764"/>
      <c r="M119" s="764"/>
      <c r="N119" s="764"/>
      <c r="O119" s="764"/>
      <c r="P119" s="764"/>
      <c r="Q119" s="764"/>
      <c r="R119" s="764"/>
      <c r="S119" s="764"/>
      <c r="T119" s="764"/>
      <c r="U119" s="764"/>
      <c r="V119" s="764"/>
      <c r="W119" s="764"/>
      <c r="X119" s="764"/>
      <c r="Y119" s="764"/>
      <c r="Z119" s="764"/>
    </row>
    <row r="120" ht="9.75" customHeight="1">
      <c r="A120" s="764"/>
      <c r="B120" s="764"/>
      <c r="C120" s="764"/>
      <c r="D120" s="764"/>
      <c r="E120" s="764"/>
      <c r="F120" s="763"/>
      <c r="G120" s="763"/>
      <c r="H120" s="763"/>
      <c r="I120" s="764"/>
      <c r="J120" s="764"/>
      <c r="K120" s="764"/>
      <c r="L120" s="764"/>
      <c r="M120" s="764"/>
      <c r="N120" s="764"/>
      <c r="O120" s="764"/>
      <c r="P120" s="764"/>
      <c r="Q120" s="764"/>
      <c r="R120" s="764"/>
      <c r="S120" s="764"/>
      <c r="T120" s="764"/>
      <c r="U120" s="764"/>
      <c r="V120" s="764"/>
      <c r="W120" s="764"/>
      <c r="X120" s="764"/>
      <c r="Y120" s="764"/>
      <c r="Z120" s="764"/>
    </row>
    <row r="121" ht="9.75" customHeight="1">
      <c r="A121" s="764"/>
      <c r="B121" s="764"/>
      <c r="C121" s="764"/>
      <c r="D121" s="764"/>
      <c r="E121" s="764"/>
      <c r="F121" s="763"/>
      <c r="G121" s="763"/>
      <c r="H121" s="763"/>
      <c r="I121" s="764"/>
      <c r="J121" s="764"/>
      <c r="K121" s="764"/>
      <c r="L121" s="764"/>
      <c r="M121" s="764"/>
      <c r="N121" s="764"/>
      <c r="O121" s="764"/>
      <c r="P121" s="764"/>
      <c r="Q121" s="764"/>
      <c r="R121" s="764"/>
      <c r="S121" s="764"/>
      <c r="T121" s="764"/>
      <c r="U121" s="764"/>
      <c r="V121" s="764"/>
      <c r="W121" s="764"/>
      <c r="X121" s="764"/>
      <c r="Y121" s="764"/>
      <c r="Z121" s="764"/>
    </row>
    <row r="122" ht="9.75" customHeight="1">
      <c r="A122" s="764"/>
      <c r="B122" s="764"/>
      <c r="C122" s="764"/>
      <c r="D122" s="764"/>
      <c r="E122" s="764"/>
      <c r="F122" s="763"/>
      <c r="G122" s="763"/>
      <c r="H122" s="763"/>
      <c r="I122" s="764"/>
      <c r="J122" s="764"/>
      <c r="K122" s="764"/>
      <c r="L122" s="764"/>
      <c r="M122" s="764"/>
      <c r="N122" s="764"/>
      <c r="O122" s="764"/>
      <c r="P122" s="764"/>
      <c r="Q122" s="764"/>
      <c r="R122" s="764"/>
      <c r="S122" s="764"/>
      <c r="T122" s="764"/>
      <c r="U122" s="764"/>
      <c r="V122" s="764"/>
      <c r="W122" s="764"/>
      <c r="X122" s="764"/>
      <c r="Y122" s="764"/>
      <c r="Z122" s="764"/>
    </row>
    <row r="123" ht="9.75" customHeight="1">
      <c r="A123" s="764"/>
      <c r="B123" s="764"/>
      <c r="C123" s="764"/>
      <c r="D123" s="764"/>
      <c r="E123" s="764"/>
      <c r="F123" s="763"/>
      <c r="G123" s="763"/>
      <c r="H123" s="763"/>
      <c r="I123" s="764"/>
      <c r="J123" s="764"/>
      <c r="K123" s="764"/>
      <c r="L123" s="764"/>
      <c r="M123" s="764"/>
      <c r="N123" s="764"/>
      <c r="O123" s="764"/>
      <c r="P123" s="764"/>
      <c r="Q123" s="764"/>
      <c r="R123" s="764"/>
      <c r="S123" s="764"/>
      <c r="T123" s="764"/>
      <c r="U123" s="764"/>
      <c r="V123" s="764"/>
      <c r="W123" s="764"/>
      <c r="X123" s="764"/>
      <c r="Y123" s="764"/>
      <c r="Z123" s="764"/>
    </row>
    <row r="124" ht="9.75" customHeight="1">
      <c r="A124" s="764"/>
      <c r="B124" s="764"/>
      <c r="C124" s="764"/>
      <c r="D124" s="764"/>
      <c r="E124" s="764"/>
      <c r="F124" s="763"/>
      <c r="G124" s="763"/>
      <c r="H124" s="763"/>
      <c r="I124" s="764"/>
      <c r="J124" s="764"/>
      <c r="K124" s="764"/>
      <c r="L124" s="764"/>
      <c r="M124" s="764"/>
      <c r="N124" s="764"/>
      <c r="O124" s="764"/>
      <c r="P124" s="764"/>
      <c r="Q124" s="764"/>
      <c r="R124" s="764"/>
      <c r="S124" s="764"/>
      <c r="T124" s="764"/>
      <c r="U124" s="764"/>
      <c r="V124" s="764"/>
      <c r="W124" s="764"/>
      <c r="X124" s="764"/>
      <c r="Y124" s="764"/>
      <c r="Z124" s="764"/>
    </row>
    <row r="125" ht="9.75" customHeight="1">
      <c r="A125" s="764"/>
      <c r="B125" s="764"/>
      <c r="C125" s="764"/>
      <c r="D125" s="764"/>
      <c r="E125" s="764"/>
      <c r="F125" s="763"/>
      <c r="G125" s="763"/>
      <c r="H125" s="763"/>
      <c r="I125" s="764"/>
      <c r="J125" s="764"/>
      <c r="K125" s="764"/>
      <c r="L125" s="764"/>
      <c r="M125" s="764"/>
      <c r="N125" s="764"/>
      <c r="O125" s="764"/>
      <c r="P125" s="764"/>
      <c r="Q125" s="764"/>
      <c r="R125" s="764"/>
      <c r="S125" s="764"/>
      <c r="T125" s="764"/>
      <c r="U125" s="764"/>
      <c r="V125" s="764"/>
      <c r="W125" s="764"/>
      <c r="X125" s="764"/>
      <c r="Y125" s="764"/>
      <c r="Z125" s="764"/>
    </row>
    <row r="126" ht="9.75" customHeight="1">
      <c r="A126" s="764"/>
      <c r="B126" s="764"/>
      <c r="C126" s="764"/>
      <c r="D126" s="764"/>
      <c r="E126" s="764"/>
      <c r="F126" s="763"/>
      <c r="G126" s="763"/>
      <c r="H126" s="763"/>
      <c r="I126" s="764"/>
      <c r="J126" s="764"/>
      <c r="K126" s="764"/>
      <c r="L126" s="764"/>
      <c r="M126" s="764"/>
      <c r="N126" s="764"/>
      <c r="O126" s="764"/>
      <c r="P126" s="764"/>
      <c r="Q126" s="764"/>
      <c r="R126" s="764"/>
      <c r="S126" s="764"/>
      <c r="T126" s="764"/>
      <c r="U126" s="764"/>
      <c r="V126" s="764"/>
      <c r="W126" s="764"/>
      <c r="X126" s="764"/>
      <c r="Y126" s="764"/>
      <c r="Z126" s="764"/>
    </row>
    <row r="127" ht="9.75" customHeight="1">
      <c r="A127" s="764"/>
      <c r="B127" s="764"/>
      <c r="C127" s="764"/>
      <c r="D127" s="764"/>
      <c r="E127" s="764"/>
      <c r="F127" s="763"/>
      <c r="G127" s="763"/>
      <c r="H127" s="763"/>
      <c r="I127" s="764"/>
      <c r="J127" s="764"/>
      <c r="K127" s="764"/>
      <c r="L127" s="764"/>
      <c r="M127" s="764"/>
      <c r="N127" s="764"/>
      <c r="O127" s="764"/>
      <c r="P127" s="764"/>
      <c r="Q127" s="764"/>
      <c r="R127" s="764"/>
      <c r="S127" s="764"/>
      <c r="T127" s="764"/>
      <c r="U127" s="764"/>
      <c r="V127" s="764"/>
      <c r="W127" s="764"/>
      <c r="X127" s="764"/>
      <c r="Y127" s="764"/>
      <c r="Z127" s="764"/>
    </row>
    <row r="128" ht="9.75" customHeight="1">
      <c r="A128" s="764"/>
      <c r="B128" s="764"/>
      <c r="C128" s="764"/>
      <c r="D128" s="764"/>
      <c r="E128" s="764"/>
      <c r="F128" s="763"/>
      <c r="G128" s="763"/>
      <c r="H128" s="763"/>
      <c r="I128" s="764"/>
      <c r="J128" s="764"/>
      <c r="K128" s="764"/>
      <c r="L128" s="764"/>
      <c r="M128" s="764"/>
      <c r="N128" s="764"/>
      <c r="O128" s="764"/>
      <c r="P128" s="764"/>
      <c r="Q128" s="764"/>
      <c r="R128" s="764"/>
      <c r="S128" s="764"/>
      <c r="T128" s="764"/>
      <c r="U128" s="764"/>
      <c r="V128" s="764"/>
      <c r="W128" s="764"/>
      <c r="X128" s="764"/>
      <c r="Y128" s="764"/>
      <c r="Z128" s="764"/>
    </row>
    <row r="129" ht="9.75" customHeight="1">
      <c r="A129" s="764"/>
      <c r="B129" s="764"/>
      <c r="C129" s="764"/>
      <c r="D129" s="764"/>
      <c r="E129" s="764"/>
      <c r="F129" s="763"/>
      <c r="G129" s="763"/>
      <c r="H129" s="763"/>
      <c r="I129" s="764"/>
      <c r="J129" s="764"/>
      <c r="K129" s="764"/>
      <c r="L129" s="764"/>
      <c r="M129" s="764"/>
      <c r="N129" s="764"/>
      <c r="O129" s="764"/>
      <c r="P129" s="764"/>
      <c r="Q129" s="764"/>
      <c r="R129" s="764"/>
      <c r="S129" s="764"/>
      <c r="T129" s="764"/>
      <c r="U129" s="764"/>
      <c r="V129" s="764"/>
      <c r="W129" s="764"/>
      <c r="X129" s="764"/>
      <c r="Y129" s="764"/>
      <c r="Z129" s="764"/>
    </row>
    <row r="130" ht="9.75" customHeight="1">
      <c r="A130" s="764"/>
      <c r="B130" s="764"/>
      <c r="C130" s="764"/>
      <c r="D130" s="764"/>
      <c r="E130" s="764"/>
      <c r="F130" s="763"/>
      <c r="G130" s="763"/>
      <c r="H130" s="763"/>
      <c r="I130" s="764"/>
      <c r="J130" s="764"/>
      <c r="K130" s="764"/>
      <c r="L130" s="764"/>
      <c r="M130" s="764"/>
      <c r="N130" s="764"/>
      <c r="O130" s="764"/>
      <c r="P130" s="764"/>
      <c r="Q130" s="764"/>
      <c r="R130" s="764"/>
      <c r="S130" s="764"/>
      <c r="T130" s="764"/>
      <c r="U130" s="764"/>
      <c r="V130" s="764"/>
      <c r="W130" s="764"/>
      <c r="X130" s="764"/>
      <c r="Y130" s="764"/>
      <c r="Z130" s="764"/>
    </row>
    <row r="131" ht="9.75" customHeight="1">
      <c r="A131" s="764"/>
      <c r="B131" s="764"/>
      <c r="C131" s="764"/>
      <c r="D131" s="764"/>
      <c r="E131" s="764"/>
      <c r="F131" s="763"/>
      <c r="G131" s="763"/>
      <c r="H131" s="763"/>
      <c r="I131" s="764"/>
      <c r="J131" s="764"/>
      <c r="K131" s="764"/>
      <c r="L131" s="764"/>
      <c r="M131" s="764"/>
      <c r="N131" s="764"/>
      <c r="O131" s="764"/>
      <c r="P131" s="764"/>
      <c r="Q131" s="764"/>
      <c r="R131" s="764"/>
      <c r="S131" s="764"/>
      <c r="T131" s="764"/>
      <c r="U131" s="764"/>
      <c r="V131" s="764"/>
      <c r="W131" s="764"/>
      <c r="X131" s="764"/>
      <c r="Y131" s="764"/>
      <c r="Z131" s="764"/>
    </row>
    <row r="132" ht="9.75" customHeight="1">
      <c r="A132" s="764"/>
      <c r="B132" s="764"/>
      <c r="C132" s="764"/>
      <c r="D132" s="764"/>
      <c r="E132" s="764"/>
      <c r="F132" s="763"/>
      <c r="G132" s="763"/>
      <c r="H132" s="763"/>
      <c r="I132" s="764"/>
      <c r="J132" s="764"/>
      <c r="K132" s="764"/>
      <c r="L132" s="764"/>
      <c r="M132" s="764"/>
      <c r="N132" s="764"/>
      <c r="O132" s="764"/>
      <c r="P132" s="764"/>
      <c r="Q132" s="764"/>
      <c r="R132" s="764"/>
      <c r="S132" s="764"/>
      <c r="T132" s="764"/>
      <c r="U132" s="764"/>
      <c r="V132" s="764"/>
      <c r="W132" s="764"/>
      <c r="X132" s="764"/>
      <c r="Y132" s="764"/>
      <c r="Z132" s="764"/>
    </row>
    <row r="133" ht="9.75" customHeight="1">
      <c r="A133" s="764"/>
      <c r="B133" s="764"/>
      <c r="C133" s="764"/>
      <c r="D133" s="764"/>
      <c r="E133" s="764"/>
      <c r="F133" s="763"/>
      <c r="G133" s="763"/>
      <c r="H133" s="763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</row>
    <row r="134" ht="9.75" customHeight="1">
      <c r="A134" s="764"/>
      <c r="B134" s="764"/>
      <c r="C134" s="764"/>
      <c r="D134" s="764"/>
      <c r="E134" s="764"/>
      <c r="F134" s="763"/>
      <c r="G134" s="763"/>
      <c r="H134" s="763"/>
      <c r="I134" s="764"/>
      <c r="J134" s="764"/>
      <c r="K134" s="764"/>
      <c r="L134" s="764"/>
      <c r="M134" s="764"/>
      <c r="N134" s="764"/>
      <c r="O134" s="764"/>
      <c r="P134" s="764"/>
      <c r="Q134" s="764"/>
      <c r="R134" s="764"/>
      <c r="S134" s="764"/>
      <c r="T134" s="764"/>
      <c r="U134" s="764"/>
      <c r="V134" s="764"/>
      <c r="W134" s="764"/>
      <c r="X134" s="764"/>
      <c r="Y134" s="764"/>
      <c r="Z134" s="764"/>
    </row>
    <row r="135" ht="9.75" customHeight="1">
      <c r="A135" s="764"/>
      <c r="B135" s="764"/>
      <c r="C135" s="764"/>
      <c r="D135" s="764"/>
      <c r="E135" s="764"/>
      <c r="F135" s="763"/>
      <c r="G135" s="763"/>
      <c r="H135" s="763"/>
      <c r="I135" s="764"/>
      <c r="J135" s="764"/>
      <c r="K135" s="764"/>
      <c r="L135" s="764"/>
      <c r="M135" s="764"/>
      <c r="N135" s="764"/>
      <c r="O135" s="764"/>
      <c r="P135" s="764"/>
      <c r="Q135" s="764"/>
      <c r="R135" s="764"/>
      <c r="S135" s="764"/>
      <c r="T135" s="764"/>
      <c r="U135" s="764"/>
      <c r="V135" s="764"/>
      <c r="W135" s="764"/>
      <c r="X135" s="764"/>
      <c r="Y135" s="764"/>
      <c r="Z135" s="764"/>
    </row>
    <row r="136" ht="9.75" customHeight="1">
      <c r="A136" s="764"/>
      <c r="B136" s="764"/>
      <c r="C136" s="764"/>
      <c r="D136" s="764"/>
      <c r="E136" s="764"/>
      <c r="F136" s="763"/>
      <c r="G136" s="763"/>
      <c r="H136" s="763"/>
      <c r="I136" s="764"/>
      <c r="J136" s="764"/>
      <c r="K136" s="764"/>
      <c r="L136" s="764"/>
      <c r="M136" s="764"/>
      <c r="N136" s="764"/>
      <c r="O136" s="764"/>
      <c r="P136" s="764"/>
      <c r="Q136" s="764"/>
      <c r="R136" s="764"/>
      <c r="S136" s="764"/>
      <c r="T136" s="764"/>
      <c r="U136" s="764"/>
      <c r="V136" s="764"/>
      <c r="W136" s="764"/>
      <c r="X136" s="764"/>
      <c r="Y136" s="764"/>
      <c r="Z136" s="764"/>
    </row>
    <row r="137" ht="9.75" customHeight="1">
      <c r="A137" s="764"/>
      <c r="B137" s="764"/>
      <c r="C137" s="764"/>
      <c r="D137" s="764"/>
      <c r="E137" s="764"/>
      <c r="F137" s="763"/>
      <c r="G137" s="763"/>
      <c r="H137" s="763"/>
      <c r="I137" s="764"/>
      <c r="J137" s="764"/>
      <c r="K137" s="764"/>
      <c r="L137" s="764"/>
      <c r="M137" s="764"/>
      <c r="N137" s="764"/>
      <c r="O137" s="764"/>
      <c r="P137" s="764"/>
      <c r="Q137" s="764"/>
      <c r="R137" s="764"/>
      <c r="S137" s="764"/>
      <c r="T137" s="764"/>
      <c r="U137" s="764"/>
      <c r="V137" s="764"/>
      <c r="W137" s="764"/>
      <c r="X137" s="764"/>
      <c r="Y137" s="764"/>
      <c r="Z137" s="764"/>
    </row>
    <row r="138" ht="9.75" customHeight="1">
      <c r="A138" s="764"/>
      <c r="B138" s="764"/>
      <c r="C138" s="764"/>
      <c r="D138" s="764"/>
      <c r="E138" s="764"/>
      <c r="F138" s="763"/>
      <c r="G138" s="763"/>
      <c r="H138" s="763"/>
      <c r="I138" s="764"/>
      <c r="J138" s="764"/>
      <c r="K138" s="764"/>
      <c r="L138" s="764"/>
      <c r="M138" s="764"/>
      <c r="N138" s="764"/>
      <c r="O138" s="764"/>
      <c r="P138" s="764"/>
      <c r="Q138" s="764"/>
      <c r="R138" s="764"/>
      <c r="S138" s="764"/>
      <c r="T138" s="764"/>
      <c r="U138" s="764"/>
      <c r="V138" s="764"/>
      <c r="W138" s="764"/>
      <c r="X138" s="764"/>
      <c r="Y138" s="764"/>
      <c r="Z138" s="764"/>
    </row>
    <row r="139" ht="9.75" customHeight="1">
      <c r="A139" s="764"/>
      <c r="B139" s="764"/>
      <c r="C139" s="764"/>
      <c r="D139" s="764"/>
      <c r="E139" s="764"/>
      <c r="F139" s="763"/>
      <c r="G139" s="763"/>
      <c r="H139" s="763"/>
      <c r="I139" s="764"/>
      <c r="J139" s="764"/>
      <c r="K139" s="764"/>
      <c r="L139" s="764"/>
      <c r="M139" s="764"/>
      <c r="N139" s="764"/>
      <c r="O139" s="764"/>
      <c r="P139" s="764"/>
      <c r="Q139" s="764"/>
      <c r="R139" s="764"/>
      <c r="S139" s="764"/>
      <c r="T139" s="764"/>
      <c r="U139" s="764"/>
      <c r="V139" s="764"/>
      <c r="W139" s="764"/>
      <c r="X139" s="764"/>
      <c r="Y139" s="764"/>
      <c r="Z139" s="764"/>
    </row>
    <row r="140" ht="9.75" customHeight="1">
      <c r="A140" s="764"/>
      <c r="B140" s="764"/>
      <c r="C140" s="764"/>
      <c r="D140" s="764"/>
      <c r="E140" s="764"/>
      <c r="F140" s="763"/>
      <c r="G140" s="763"/>
      <c r="H140" s="763"/>
      <c r="I140" s="764"/>
      <c r="J140" s="764"/>
      <c r="K140" s="764"/>
      <c r="L140" s="764"/>
      <c r="M140" s="764"/>
      <c r="N140" s="764"/>
      <c r="O140" s="764"/>
      <c r="P140" s="764"/>
      <c r="Q140" s="764"/>
      <c r="R140" s="764"/>
      <c r="S140" s="764"/>
      <c r="T140" s="764"/>
      <c r="U140" s="764"/>
      <c r="V140" s="764"/>
      <c r="W140" s="764"/>
      <c r="X140" s="764"/>
      <c r="Y140" s="764"/>
      <c r="Z140" s="764"/>
    </row>
    <row r="141" ht="9.75" customHeight="1">
      <c r="A141" s="764"/>
      <c r="B141" s="764"/>
      <c r="C141" s="764"/>
      <c r="D141" s="764"/>
      <c r="E141" s="764"/>
      <c r="F141" s="763"/>
      <c r="G141" s="763"/>
      <c r="H141" s="763"/>
      <c r="I141" s="764"/>
      <c r="J141" s="764"/>
      <c r="K141" s="764"/>
      <c r="L141" s="764"/>
      <c r="M141" s="764"/>
      <c r="N141" s="764"/>
      <c r="O141" s="764"/>
      <c r="P141" s="764"/>
      <c r="Q141" s="764"/>
      <c r="R141" s="764"/>
      <c r="S141" s="764"/>
      <c r="T141" s="764"/>
      <c r="U141" s="764"/>
      <c r="V141" s="764"/>
      <c r="W141" s="764"/>
      <c r="X141" s="764"/>
      <c r="Y141" s="764"/>
      <c r="Z141" s="764"/>
    </row>
    <row r="142" ht="9.75" customHeight="1">
      <c r="A142" s="764"/>
      <c r="B142" s="764"/>
      <c r="C142" s="764"/>
      <c r="D142" s="764"/>
      <c r="E142" s="764"/>
      <c r="F142" s="763"/>
      <c r="G142" s="763"/>
      <c r="H142" s="763"/>
      <c r="I142" s="764"/>
      <c r="J142" s="764"/>
      <c r="K142" s="764"/>
      <c r="L142" s="764"/>
      <c r="M142" s="764"/>
      <c r="N142" s="764"/>
      <c r="O142" s="764"/>
      <c r="P142" s="764"/>
      <c r="Q142" s="764"/>
      <c r="R142" s="764"/>
      <c r="S142" s="764"/>
      <c r="T142" s="764"/>
      <c r="U142" s="764"/>
      <c r="V142" s="764"/>
      <c r="W142" s="764"/>
      <c r="X142" s="764"/>
      <c r="Y142" s="764"/>
      <c r="Z142" s="764"/>
    </row>
    <row r="143" ht="9.75" customHeight="1">
      <c r="A143" s="764"/>
      <c r="B143" s="764"/>
      <c r="C143" s="764"/>
      <c r="D143" s="764"/>
      <c r="E143" s="764"/>
      <c r="F143" s="763"/>
      <c r="G143" s="763"/>
      <c r="H143" s="763"/>
      <c r="I143" s="764"/>
      <c r="J143" s="764"/>
      <c r="K143" s="764"/>
      <c r="L143" s="764"/>
      <c r="M143" s="764"/>
      <c r="N143" s="764"/>
      <c r="O143" s="764"/>
      <c r="P143" s="764"/>
      <c r="Q143" s="764"/>
      <c r="R143" s="764"/>
      <c r="S143" s="764"/>
      <c r="T143" s="764"/>
      <c r="U143" s="764"/>
      <c r="V143" s="764"/>
      <c r="W143" s="764"/>
      <c r="X143" s="764"/>
      <c r="Y143" s="764"/>
      <c r="Z143" s="764"/>
    </row>
    <row r="144" ht="9.75" customHeight="1">
      <c r="A144" s="764"/>
      <c r="B144" s="764"/>
      <c r="C144" s="764"/>
      <c r="D144" s="764"/>
      <c r="E144" s="764"/>
      <c r="F144" s="763"/>
      <c r="G144" s="763"/>
      <c r="H144" s="763"/>
      <c r="I144" s="764"/>
      <c r="J144" s="764"/>
      <c r="K144" s="764"/>
      <c r="L144" s="764"/>
      <c r="M144" s="764"/>
      <c r="N144" s="764"/>
      <c r="O144" s="764"/>
      <c r="P144" s="764"/>
      <c r="Q144" s="764"/>
      <c r="R144" s="764"/>
      <c r="S144" s="764"/>
      <c r="T144" s="764"/>
      <c r="U144" s="764"/>
      <c r="V144" s="764"/>
      <c r="W144" s="764"/>
      <c r="X144" s="764"/>
      <c r="Y144" s="764"/>
      <c r="Z144" s="764"/>
    </row>
    <row r="145" ht="9.75" customHeight="1">
      <c r="A145" s="764"/>
      <c r="B145" s="764"/>
      <c r="C145" s="764"/>
      <c r="D145" s="764"/>
      <c r="E145" s="764"/>
      <c r="F145" s="763"/>
      <c r="G145" s="763"/>
      <c r="H145" s="763"/>
      <c r="I145" s="764"/>
      <c r="J145" s="764"/>
      <c r="K145" s="764"/>
      <c r="L145" s="764"/>
      <c r="M145" s="764"/>
      <c r="N145" s="764"/>
      <c r="O145" s="764"/>
      <c r="P145" s="764"/>
      <c r="Q145" s="764"/>
      <c r="R145" s="764"/>
      <c r="S145" s="764"/>
      <c r="T145" s="764"/>
      <c r="U145" s="764"/>
      <c r="V145" s="764"/>
      <c r="W145" s="764"/>
      <c r="X145" s="764"/>
      <c r="Y145" s="764"/>
      <c r="Z145" s="764"/>
    </row>
    <row r="146" ht="9.75" customHeight="1">
      <c r="A146" s="764"/>
      <c r="B146" s="764"/>
      <c r="C146" s="764"/>
      <c r="D146" s="764"/>
      <c r="E146" s="764"/>
      <c r="F146" s="763"/>
      <c r="G146" s="763"/>
      <c r="H146" s="763"/>
      <c r="I146" s="764"/>
      <c r="J146" s="764"/>
      <c r="K146" s="764"/>
      <c r="L146" s="764"/>
      <c r="M146" s="764"/>
      <c r="N146" s="764"/>
      <c r="O146" s="764"/>
      <c r="P146" s="764"/>
      <c r="Q146" s="764"/>
      <c r="R146" s="764"/>
      <c r="S146" s="764"/>
      <c r="T146" s="764"/>
      <c r="U146" s="764"/>
      <c r="V146" s="764"/>
      <c r="W146" s="764"/>
      <c r="X146" s="764"/>
      <c r="Y146" s="764"/>
      <c r="Z146" s="764"/>
    </row>
    <row r="147" ht="9.75" customHeight="1">
      <c r="A147" s="764"/>
      <c r="B147" s="764"/>
      <c r="C147" s="764"/>
      <c r="D147" s="764"/>
      <c r="E147" s="764"/>
      <c r="F147" s="763"/>
      <c r="G147" s="763"/>
      <c r="H147" s="763"/>
      <c r="I147" s="764"/>
      <c r="J147" s="764"/>
      <c r="K147" s="764"/>
      <c r="L147" s="764"/>
      <c r="M147" s="764"/>
      <c r="N147" s="764"/>
      <c r="O147" s="764"/>
      <c r="P147" s="764"/>
      <c r="Q147" s="764"/>
      <c r="R147" s="764"/>
      <c r="S147" s="764"/>
      <c r="T147" s="764"/>
      <c r="U147" s="764"/>
      <c r="V147" s="764"/>
      <c r="W147" s="764"/>
      <c r="X147" s="764"/>
      <c r="Y147" s="764"/>
      <c r="Z147" s="764"/>
    </row>
    <row r="148" ht="9.75" customHeight="1">
      <c r="A148" s="764"/>
      <c r="B148" s="764"/>
      <c r="C148" s="764"/>
      <c r="D148" s="764"/>
      <c r="E148" s="764"/>
      <c r="F148" s="763"/>
      <c r="G148" s="763"/>
      <c r="H148" s="763"/>
      <c r="I148" s="764"/>
      <c r="J148" s="764"/>
      <c r="K148" s="764"/>
      <c r="L148" s="764"/>
      <c r="M148" s="764"/>
      <c r="N148" s="764"/>
      <c r="O148" s="764"/>
      <c r="P148" s="764"/>
      <c r="Q148" s="764"/>
      <c r="R148" s="764"/>
      <c r="S148" s="764"/>
      <c r="T148" s="764"/>
      <c r="U148" s="764"/>
      <c r="V148" s="764"/>
      <c r="W148" s="764"/>
      <c r="X148" s="764"/>
      <c r="Y148" s="764"/>
      <c r="Z148" s="764"/>
    </row>
    <row r="149" ht="9.75" customHeight="1">
      <c r="A149" s="764"/>
      <c r="B149" s="764"/>
      <c r="C149" s="764"/>
      <c r="D149" s="764"/>
      <c r="E149" s="764"/>
      <c r="F149" s="763"/>
      <c r="G149" s="763"/>
      <c r="H149" s="763"/>
      <c r="I149" s="764"/>
      <c r="J149" s="764"/>
      <c r="K149" s="764"/>
      <c r="L149" s="764"/>
      <c r="M149" s="764"/>
      <c r="N149" s="764"/>
      <c r="O149" s="764"/>
      <c r="P149" s="764"/>
      <c r="Q149" s="764"/>
      <c r="R149" s="764"/>
      <c r="S149" s="764"/>
      <c r="T149" s="764"/>
      <c r="U149" s="764"/>
      <c r="V149" s="764"/>
      <c r="W149" s="764"/>
      <c r="X149" s="764"/>
      <c r="Y149" s="764"/>
      <c r="Z149" s="764"/>
    </row>
    <row r="150" ht="9.75" customHeight="1">
      <c r="A150" s="764"/>
      <c r="B150" s="764"/>
      <c r="C150" s="764"/>
      <c r="D150" s="764"/>
      <c r="E150" s="764"/>
      <c r="F150" s="763"/>
      <c r="G150" s="763"/>
      <c r="H150" s="763"/>
      <c r="I150" s="764"/>
      <c r="J150" s="764"/>
      <c r="K150" s="764"/>
      <c r="L150" s="764"/>
      <c r="M150" s="764"/>
      <c r="N150" s="764"/>
      <c r="O150" s="764"/>
      <c r="P150" s="764"/>
      <c r="Q150" s="764"/>
      <c r="R150" s="764"/>
      <c r="S150" s="764"/>
      <c r="T150" s="764"/>
      <c r="U150" s="764"/>
      <c r="V150" s="764"/>
      <c r="W150" s="764"/>
      <c r="X150" s="764"/>
      <c r="Y150" s="764"/>
      <c r="Z150" s="764"/>
    </row>
    <row r="151" ht="9.75" customHeight="1">
      <c r="A151" s="764"/>
      <c r="B151" s="764"/>
      <c r="C151" s="764"/>
      <c r="D151" s="764"/>
      <c r="E151" s="764"/>
      <c r="F151" s="763"/>
      <c r="G151" s="763"/>
      <c r="H151" s="763"/>
      <c r="I151" s="764"/>
      <c r="J151" s="764"/>
      <c r="K151" s="764"/>
      <c r="L151" s="764"/>
      <c r="M151" s="764"/>
      <c r="N151" s="764"/>
      <c r="O151" s="764"/>
      <c r="P151" s="764"/>
      <c r="Q151" s="764"/>
      <c r="R151" s="764"/>
      <c r="S151" s="764"/>
      <c r="T151" s="764"/>
      <c r="U151" s="764"/>
      <c r="V151" s="764"/>
      <c r="W151" s="764"/>
      <c r="X151" s="764"/>
      <c r="Y151" s="764"/>
      <c r="Z151" s="764"/>
    </row>
    <row r="152" ht="9.75" customHeight="1">
      <c r="A152" s="764"/>
      <c r="B152" s="764"/>
      <c r="C152" s="764"/>
      <c r="D152" s="764"/>
      <c r="E152" s="764"/>
      <c r="F152" s="763"/>
      <c r="G152" s="763"/>
      <c r="H152" s="763"/>
      <c r="I152" s="764"/>
      <c r="J152" s="764"/>
      <c r="K152" s="764"/>
      <c r="L152" s="764"/>
      <c r="M152" s="764"/>
      <c r="N152" s="764"/>
      <c r="O152" s="764"/>
      <c r="P152" s="764"/>
      <c r="Q152" s="764"/>
      <c r="R152" s="764"/>
      <c r="S152" s="764"/>
      <c r="T152" s="764"/>
      <c r="U152" s="764"/>
      <c r="V152" s="764"/>
      <c r="W152" s="764"/>
      <c r="X152" s="764"/>
      <c r="Y152" s="764"/>
      <c r="Z152" s="764"/>
    </row>
    <row r="153" ht="9.75" customHeight="1">
      <c r="A153" s="764"/>
      <c r="B153" s="764"/>
      <c r="C153" s="764"/>
      <c r="D153" s="764"/>
      <c r="E153" s="764"/>
      <c r="F153" s="763"/>
      <c r="G153" s="763"/>
      <c r="H153" s="763"/>
      <c r="I153" s="764"/>
      <c r="J153" s="764"/>
      <c r="K153" s="764"/>
      <c r="L153" s="764"/>
      <c r="M153" s="764"/>
      <c r="N153" s="764"/>
      <c r="O153" s="764"/>
      <c r="P153" s="764"/>
      <c r="Q153" s="764"/>
      <c r="R153" s="764"/>
      <c r="S153" s="764"/>
      <c r="T153" s="764"/>
      <c r="U153" s="764"/>
      <c r="V153" s="764"/>
      <c r="W153" s="764"/>
      <c r="X153" s="764"/>
      <c r="Y153" s="764"/>
      <c r="Z153" s="764"/>
    </row>
    <row r="154" ht="9.75" customHeight="1">
      <c r="A154" s="764"/>
      <c r="B154" s="764"/>
      <c r="C154" s="764"/>
      <c r="D154" s="764"/>
      <c r="E154" s="764"/>
      <c r="F154" s="763"/>
      <c r="G154" s="763"/>
      <c r="H154" s="763"/>
      <c r="I154" s="764"/>
      <c r="J154" s="764"/>
      <c r="K154" s="764"/>
      <c r="L154" s="764"/>
      <c r="M154" s="764"/>
      <c r="N154" s="764"/>
      <c r="O154" s="764"/>
      <c r="P154" s="764"/>
      <c r="Q154" s="764"/>
      <c r="R154" s="764"/>
      <c r="S154" s="764"/>
      <c r="T154" s="764"/>
      <c r="U154" s="764"/>
      <c r="V154" s="764"/>
      <c r="W154" s="764"/>
      <c r="X154" s="764"/>
      <c r="Y154" s="764"/>
      <c r="Z154" s="764"/>
    </row>
    <row r="155" ht="9.75" customHeight="1">
      <c r="A155" s="764"/>
      <c r="B155" s="764"/>
      <c r="C155" s="764"/>
      <c r="D155" s="764"/>
      <c r="E155" s="764"/>
      <c r="F155" s="763"/>
      <c r="G155" s="763"/>
      <c r="H155" s="763"/>
      <c r="I155" s="764"/>
      <c r="J155" s="764"/>
      <c r="K155" s="764"/>
      <c r="L155" s="764"/>
      <c r="M155" s="764"/>
      <c r="N155" s="764"/>
      <c r="O155" s="764"/>
      <c r="P155" s="764"/>
      <c r="Q155" s="764"/>
      <c r="R155" s="764"/>
      <c r="S155" s="764"/>
      <c r="T155" s="764"/>
      <c r="U155" s="764"/>
      <c r="V155" s="764"/>
      <c r="W155" s="764"/>
      <c r="X155" s="764"/>
      <c r="Y155" s="764"/>
      <c r="Z155" s="764"/>
    </row>
    <row r="156" ht="9.75" customHeight="1">
      <c r="A156" s="764"/>
      <c r="B156" s="764"/>
      <c r="C156" s="764"/>
      <c r="D156" s="764"/>
      <c r="E156" s="764"/>
      <c r="F156" s="763"/>
      <c r="G156" s="763"/>
      <c r="H156" s="763"/>
      <c r="I156" s="764"/>
      <c r="J156" s="764"/>
      <c r="K156" s="764"/>
      <c r="L156" s="764"/>
      <c r="M156" s="764"/>
      <c r="N156" s="764"/>
      <c r="O156" s="764"/>
      <c r="P156" s="764"/>
      <c r="Q156" s="764"/>
      <c r="R156" s="764"/>
      <c r="S156" s="764"/>
      <c r="T156" s="764"/>
      <c r="U156" s="764"/>
      <c r="V156" s="764"/>
      <c r="W156" s="764"/>
      <c r="X156" s="764"/>
      <c r="Y156" s="764"/>
      <c r="Z156" s="764"/>
    </row>
    <row r="157" ht="9.75" customHeight="1">
      <c r="A157" s="764"/>
      <c r="B157" s="764"/>
      <c r="C157" s="764"/>
      <c r="D157" s="764"/>
      <c r="E157" s="764"/>
      <c r="F157" s="763"/>
      <c r="G157" s="763"/>
      <c r="H157" s="763"/>
      <c r="I157" s="764"/>
      <c r="J157" s="764"/>
      <c r="K157" s="764"/>
      <c r="L157" s="764"/>
      <c r="M157" s="764"/>
      <c r="N157" s="764"/>
      <c r="O157" s="764"/>
      <c r="P157" s="764"/>
      <c r="Q157" s="764"/>
      <c r="R157" s="764"/>
      <c r="S157" s="764"/>
      <c r="T157" s="764"/>
      <c r="U157" s="764"/>
      <c r="V157" s="764"/>
      <c r="W157" s="764"/>
      <c r="X157" s="764"/>
      <c r="Y157" s="764"/>
      <c r="Z157" s="764"/>
    </row>
    <row r="158" ht="9.75" customHeight="1">
      <c r="A158" s="764"/>
      <c r="B158" s="764"/>
      <c r="C158" s="764"/>
      <c r="D158" s="764"/>
      <c r="E158" s="764"/>
      <c r="F158" s="763"/>
      <c r="G158" s="763"/>
      <c r="H158" s="763"/>
      <c r="I158" s="764"/>
      <c r="J158" s="764"/>
      <c r="K158" s="764"/>
      <c r="L158" s="764"/>
      <c r="M158" s="764"/>
      <c r="N158" s="764"/>
      <c r="O158" s="764"/>
      <c r="P158" s="764"/>
      <c r="Q158" s="764"/>
      <c r="R158" s="764"/>
      <c r="S158" s="764"/>
      <c r="T158" s="764"/>
      <c r="U158" s="764"/>
      <c r="V158" s="764"/>
      <c r="W158" s="764"/>
      <c r="X158" s="764"/>
      <c r="Y158" s="764"/>
      <c r="Z158" s="764"/>
    </row>
    <row r="159" ht="9.75" customHeight="1">
      <c r="A159" s="764"/>
      <c r="B159" s="764"/>
      <c r="C159" s="764"/>
      <c r="D159" s="764"/>
      <c r="E159" s="764"/>
      <c r="F159" s="763"/>
      <c r="G159" s="763"/>
      <c r="H159" s="763"/>
      <c r="I159" s="764"/>
      <c r="J159" s="764"/>
      <c r="K159" s="764"/>
      <c r="L159" s="764"/>
      <c r="M159" s="764"/>
      <c r="N159" s="764"/>
      <c r="O159" s="764"/>
      <c r="P159" s="764"/>
      <c r="Q159" s="764"/>
      <c r="R159" s="764"/>
      <c r="S159" s="764"/>
      <c r="T159" s="764"/>
      <c r="U159" s="764"/>
      <c r="V159" s="764"/>
      <c r="W159" s="764"/>
      <c r="X159" s="764"/>
      <c r="Y159" s="764"/>
      <c r="Z159" s="764"/>
    </row>
    <row r="160" ht="9.75" customHeight="1">
      <c r="A160" s="764"/>
      <c r="B160" s="764"/>
      <c r="C160" s="764"/>
      <c r="D160" s="764"/>
      <c r="E160" s="764"/>
      <c r="F160" s="763"/>
      <c r="G160" s="763"/>
      <c r="H160" s="763"/>
      <c r="I160" s="764"/>
      <c r="J160" s="764"/>
      <c r="K160" s="764"/>
      <c r="L160" s="764"/>
      <c r="M160" s="764"/>
      <c r="N160" s="764"/>
      <c r="O160" s="764"/>
      <c r="P160" s="764"/>
      <c r="Q160" s="764"/>
      <c r="R160" s="764"/>
      <c r="S160" s="764"/>
      <c r="T160" s="764"/>
      <c r="U160" s="764"/>
      <c r="V160" s="764"/>
      <c r="W160" s="764"/>
      <c r="X160" s="764"/>
      <c r="Y160" s="764"/>
      <c r="Z160" s="764"/>
    </row>
    <row r="161" ht="9.75" customHeight="1">
      <c r="A161" s="764"/>
      <c r="B161" s="764"/>
      <c r="C161" s="764"/>
      <c r="D161" s="764"/>
      <c r="E161" s="764"/>
      <c r="F161" s="763"/>
      <c r="G161" s="763"/>
      <c r="H161" s="763"/>
      <c r="I161" s="764"/>
      <c r="J161" s="764"/>
      <c r="K161" s="764"/>
      <c r="L161" s="764"/>
      <c r="M161" s="764"/>
      <c r="N161" s="764"/>
      <c r="O161" s="764"/>
      <c r="P161" s="764"/>
      <c r="Q161" s="764"/>
      <c r="R161" s="764"/>
      <c r="S161" s="764"/>
      <c r="T161" s="764"/>
      <c r="U161" s="764"/>
      <c r="V161" s="764"/>
      <c r="W161" s="764"/>
      <c r="X161" s="764"/>
      <c r="Y161" s="764"/>
      <c r="Z161" s="764"/>
    </row>
    <row r="162" ht="9.75" customHeight="1">
      <c r="A162" s="764"/>
      <c r="B162" s="764"/>
      <c r="C162" s="764"/>
      <c r="D162" s="764"/>
      <c r="E162" s="764"/>
      <c r="F162" s="763"/>
      <c r="G162" s="763"/>
      <c r="H162" s="763"/>
      <c r="I162" s="764"/>
      <c r="J162" s="764"/>
      <c r="K162" s="764"/>
      <c r="L162" s="764"/>
      <c r="M162" s="764"/>
      <c r="N162" s="764"/>
      <c r="O162" s="764"/>
      <c r="P162" s="764"/>
      <c r="Q162" s="764"/>
      <c r="R162" s="764"/>
      <c r="S162" s="764"/>
      <c r="T162" s="764"/>
      <c r="U162" s="764"/>
      <c r="V162" s="764"/>
      <c r="W162" s="764"/>
      <c r="X162" s="764"/>
      <c r="Y162" s="764"/>
      <c r="Z162" s="764"/>
    </row>
    <row r="163" ht="9.75" customHeight="1">
      <c r="A163" s="764"/>
      <c r="B163" s="764"/>
      <c r="C163" s="764"/>
      <c r="D163" s="764"/>
      <c r="E163" s="764"/>
      <c r="F163" s="763"/>
      <c r="G163" s="763"/>
      <c r="H163" s="763"/>
      <c r="I163" s="764"/>
      <c r="J163" s="764"/>
      <c r="K163" s="764"/>
      <c r="L163" s="764"/>
      <c r="M163" s="764"/>
      <c r="N163" s="764"/>
      <c r="O163" s="764"/>
      <c r="P163" s="764"/>
      <c r="Q163" s="764"/>
      <c r="R163" s="764"/>
      <c r="S163" s="764"/>
      <c r="T163" s="764"/>
      <c r="U163" s="764"/>
      <c r="V163" s="764"/>
      <c r="W163" s="764"/>
      <c r="X163" s="764"/>
      <c r="Y163" s="764"/>
      <c r="Z163" s="764"/>
    </row>
    <row r="164" ht="9.75" customHeight="1">
      <c r="A164" s="764"/>
      <c r="B164" s="764"/>
      <c r="C164" s="764"/>
      <c r="D164" s="764"/>
      <c r="E164" s="764"/>
      <c r="F164" s="763"/>
      <c r="G164" s="763"/>
      <c r="H164" s="763"/>
      <c r="I164" s="764"/>
      <c r="J164" s="764"/>
      <c r="K164" s="764"/>
      <c r="L164" s="764"/>
      <c r="M164" s="764"/>
      <c r="N164" s="764"/>
      <c r="O164" s="764"/>
      <c r="P164" s="764"/>
      <c r="Q164" s="764"/>
      <c r="R164" s="764"/>
      <c r="S164" s="764"/>
      <c r="T164" s="764"/>
      <c r="U164" s="764"/>
      <c r="V164" s="764"/>
      <c r="W164" s="764"/>
      <c r="X164" s="764"/>
      <c r="Y164" s="764"/>
      <c r="Z164" s="764"/>
    </row>
    <row r="165" ht="9.75" customHeight="1">
      <c r="A165" s="764"/>
      <c r="B165" s="764"/>
      <c r="C165" s="764"/>
      <c r="D165" s="764"/>
      <c r="E165" s="764"/>
      <c r="F165" s="763"/>
      <c r="G165" s="763"/>
      <c r="H165" s="763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</row>
    <row r="166" ht="9.75" customHeight="1">
      <c r="A166" s="764"/>
      <c r="B166" s="764"/>
      <c r="C166" s="764"/>
      <c r="D166" s="764"/>
      <c r="E166" s="764"/>
      <c r="F166" s="763"/>
      <c r="G166" s="763"/>
      <c r="H166" s="763"/>
      <c r="I166" s="764"/>
      <c r="J166" s="764"/>
      <c r="K166" s="764"/>
      <c r="L166" s="764"/>
      <c r="M166" s="764"/>
      <c r="N166" s="764"/>
      <c r="O166" s="764"/>
      <c r="P166" s="764"/>
      <c r="Q166" s="764"/>
      <c r="R166" s="764"/>
      <c r="S166" s="764"/>
      <c r="T166" s="764"/>
      <c r="U166" s="764"/>
      <c r="V166" s="764"/>
      <c r="W166" s="764"/>
      <c r="X166" s="764"/>
      <c r="Y166" s="764"/>
      <c r="Z166" s="764"/>
    </row>
    <row r="167" ht="9.75" customHeight="1">
      <c r="A167" s="764"/>
      <c r="B167" s="764"/>
      <c r="C167" s="764"/>
      <c r="D167" s="764"/>
      <c r="E167" s="764"/>
      <c r="F167" s="763"/>
      <c r="G167" s="763"/>
      <c r="H167" s="763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4"/>
      <c r="U167" s="764"/>
      <c r="V167" s="764"/>
      <c r="W167" s="764"/>
      <c r="X167" s="764"/>
      <c r="Y167" s="764"/>
      <c r="Z167" s="764"/>
    </row>
    <row r="168" ht="9.75" customHeight="1">
      <c r="A168" s="764"/>
      <c r="B168" s="764"/>
      <c r="C168" s="764"/>
      <c r="D168" s="764"/>
      <c r="E168" s="764"/>
      <c r="F168" s="763"/>
      <c r="G168" s="763"/>
      <c r="H168" s="763"/>
      <c r="I168" s="764"/>
      <c r="J168" s="764"/>
      <c r="K168" s="764"/>
      <c r="L168" s="764"/>
      <c r="M168" s="764"/>
      <c r="N168" s="764"/>
      <c r="O168" s="764"/>
      <c r="P168" s="764"/>
      <c r="Q168" s="764"/>
      <c r="R168" s="764"/>
      <c r="S168" s="764"/>
      <c r="T168" s="764"/>
      <c r="U168" s="764"/>
      <c r="V168" s="764"/>
      <c r="W168" s="764"/>
      <c r="X168" s="764"/>
      <c r="Y168" s="764"/>
      <c r="Z168" s="764"/>
    </row>
    <row r="169" ht="9.75" customHeight="1">
      <c r="A169" s="764"/>
      <c r="B169" s="764"/>
      <c r="C169" s="764"/>
      <c r="D169" s="764"/>
      <c r="E169" s="764"/>
      <c r="F169" s="763"/>
      <c r="G169" s="763"/>
      <c r="H169" s="763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764"/>
      <c r="T169" s="764"/>
      <c r="U169" s="764"/>
      <c r="V169" s="764"/>
      <c r="W169" s="764"/>
      <c r="X169" s="764"/>
      <c r="Y169" s="764"/>
      <c r="Z169" s="764"/>
    </row>
    <row r="170" ht="9.75" customHeight="1">
      <c r="A170" s="764"/>
      <c r="B170" s="764"/>
      <c r="C170" s="764"/>
      <c r="D170" s="764"/>
      <c r="E170" s="764"/>
      <c r="F170" s="763"/>
      <c r="G170" s="763"/>
      <c r="H170" s="763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</row>
    <row r="171" ht="9.75" customHeight="1">
      <c r="A171" s="764"/>
      <c r="B171" s="764"/>
      <c r="C171" s="764"/>
      <c r="D171" s="764"/>
      <c r="E171" s="764"/>
      <c r="F171" s="763"/>
      <c r="G171" s="763"/>
      <c r="H171" s="763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</row>
    <row r="172" ht="9.75" customHeight="1">
      <c r="A172" s="764"/>
      <c r="B172" s="764"/>
      <c r="C172" s="764"/>
      <c r="D172" s="764"/>
      <c r="E172" s="764"/>
      <c r="F172" s="763"/>
      <c r="G172" s="763"/>
      <c r="H172" s="763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</row>
    <row r="173" ht="9.75" customHeight="1">
      <c r="A173" s="764"/>
      <c r="B173" s="764"/>
      <c r="C173" s="764"/>
      <c r="D173" s="764"/>
      <c r="E173" s="764"/>
      <c r="F173" s="763"/>
      <c r="G173" s="763"/>
      <c r="H173" s="763"/>
      <c r="I173" s="764"/>
      <c r="J173" s="764"/>
      <c r="K173" s="764"/>
      <c r="L173" s="764"/>
      <c r="M173" s="764"/>
      <c r="N173" s="764"/>
      <c r="O173" s="764"/>
      <c r="P173" s="764"/>
      <c r="Q173" s="764"/>
      <c r="R173" s="764"/>
      <c r="S173" s="764"/>
      <c r="T173" s="764"/>
      <c r="U173" s="764"/>
      <c r="V173" s="764"/>
      <c r="W173" s="764"/>
      <c r="X173" s="764"/>
      <c r="Y173" s="764"/>
      <c r="Z173" s="764"/>
    </row>
    <row r="174" ht="9.75" customHeight="1">
      <c r="A174" s="764"/>
      <c r="B174" s="764"/>
      <c r="C174" s="764"/>
      <c r="D174" s="764"/>
      <c r="E174" s="764"/>
      <c r="F174" s="763"/>
      <c r="G174" s="763"/>
      <c r="H174" s="763"/>
      <c r="I174" s="764"/>
      <c r="J174" s="764"/>
      <c r="K174" s="764"/>
      <c r="L174" s="764"/>
      <c r="M174" s="764"/>
      <c r="N174" s="764"/>
      <c r="O174" s="764"/>
      <c r="P174" s="764"/>
      <c r="Q174" s="764"/>
      <c r="R174" s="764"/>
      <c r="S174" s="764"/>
      <c r="T174" s="764"/>
      <c r="U174" s="764"/>
      <c r="V174" s="764"/>
      <c r="W174" s="764"/>
      <c r="X174" s="764"/>
      <c r="Y174" s="764"/>
      <c r="Z174" s="764"/>
    </row>
    <row r="175" ht="9.75" customHeight="1">
      <c r="A175" s="764"/>
      <c r="B175" s="764"/>
      <c r="C175" s="764"/>
      <c r="D175" s="764"/>
      <c r="E175" s="764"/>
      <c r="F175" s="763"/>
      <c r="G175" s="763"/>
      <c r="H175" s="763"/>
      <c r="I175" s="764"/>
      <c r="J175" s="764"/>
      <c r="K175" s="764"/>
      <c r="L175" s="764"/>
      <c r="M175" s="764"/>
      <c r="N175" s="764"/>
      <c r="O175" s="764"/>
      <c r="P175" s="764"/>
      <c r="Q175" s="764"/>
      <c r="R175" s="764"/>
      <c r="S175" s="764"/>
      <c r="T175" s="764"/>
      <c r="U175" s="764"/>
      <c r="V175" s="764"/>
      <c r="W175" s="764"/>
      <c r="X175" s="764"/>
      <c r="Y175" s="764"/>
      <c r="Z175" s="764"/>
    </row>
    <row r="176" ht="9.75" customHeight="1">
      <c r="A176" s="764"/>
      <c r="B176" s="764"/>
      <c r="C176" s="764"/>
      <c r="D176" s="764"/>
      <c r="E176" s="764"/>
      <c r="F176" s="763"/>
      <c r="G176" s="763"/>
      <c r="H176" s="763"/>
      <c r="I176" s="764"/>
      <c r="J176" s="764"/>
      <c r="K176" s="764"/>
      <c r="L176" s="764"/>
      <c r="M176" s="764"/>
      <c r="N176" s="764"/>
      <c r="O176" s="764"/>
      <c r="P176" s="764"/>
      <c r="Q176" s="764"/>
      <c r="R176" s="764"/>
      <c r="S176" s="764"/>
      <c r="T176" s="764"/>
      <c r="U176" s="764"/>
      <c r="V176" s="764"/>
      <c r="W176" s="764"/>
      <c r="X176" s="764"/>
      <c r="Y176" s="764"/>
      <c r="Z176" s="764"/>
    </row>
    <row r="177" ht="9.75" customHeight="1">
      <c r="A177" s="764"/>
      <c r="B177" s="764"/>
      <c r="C177" s="764"/>
      <c r="D177" s="764"/>
      <c r="E177" s="764"/>
      <c r="F177" s="763"/>
      <c r="G177" s="763"/>
      <c r="H177" s="763"/>
      <c r="I177" s="764"/>
      <c r="J177" s="764"/>
      <c r="K177" s="764"/>
      <c r="L177" s="764"/>
      <c r="M177" s="764"/>
      <c r="N177" s="764"/>
      <c r="O177" s="764"/>
      <c r="P177" s="764"/>
      <c r="Q177" s="764"/>
      <c r="R177" s="764"/>
      <c r="S177" s="764"/>
      <c r="T177" s="764"/>
      <c r="U177" s="764"/>
      <c r="V177" s="764"/>
      <c r="W177" s="764"/>
      <c r="X177" s="764"/>
      <c r="Y177" s="764"/>
      <c r="Z177" s="764"/>
    </row>
    <row r="178" ht="9.75" customHeight="1">
      <c r="A178" s="764"/>
      <c r="B178" s="764"/>
      <c r="C178" s="764"/>
      <c r="D178" s="764"/>
      <c r="E178" s="764"/>
      <c r="F178" s="763"/>
      <c r="G178" s="763"/>
      <c r="H178" s="763"/>
      <c r="I178" s="764"/>
      <c r="J178" s="764"/>
      <c r="K178" s="764"/>
      <c r="L178" s="764"/>
      <c r="M178" s="764"/>
      <c r="N178" s="764"/>
      <c r="O178" s="764"/>
      <c r="P178" s="764"/>
      <c r="Q178" s="764"/>
      <c r="R178" s="764"/>
      <c r="S178" s="764"/>
      <c r="T178" s="764"/>
      <c r="U178" s="764"/>
      <c r="V178" s="764"/>
      <c r="W178" s="764"/>
      <c r="X178" s="764"/>
      <c r="Y178" s="764"/>
      <c r="Z178" s="764"/>
    </row>
    <row r="179" ht="9.75" customHeight="1">
      <c r="A179" s="764"/>
      <c r="B179" s="764"/>
      <c r="C179" s="764"/>
      <c r="D179" s="764"/>
      <c r="E179" s="764"/>
      <c r="F179" s="763"/>
      <c r="G179" s="763"/>
      <c r="H179" s="763"/>
      <c r="I179" s="764"/>
      <c r="J179" s="764"/>
      <c r="K179" s="764"/>
      <c r="L179" s="764"/>
      <c r="M179" s="764"/>
      <c r="N179" s="764"/>
      <c r="O179" s="764"/>
      <c r="P179" s="764"/>
      <c r="Q179" s="764"/>
      <c r="R179" s="764"/>
      <c r="S179" s="764"/>
      <c r="T179" s="764"/>
      <c r="U179" s="764"/>
      <c r="V179" s="764"/>
      <c r="W179" s="764"/>
      <c r="X179" s="764"/>
      <c r="Y179" s="764"/>
      <c r="Z179" s="764"/>
    </row>
    <row r="180" ht="9.75" customHeight="1">
      <c r="A180" s="764"/>
      <c r="B180" s="764"/>
      <c r="C180" s="764"/>
      <c r="D180" s="764"/>
      <c r="E180" s="764"/>
      <c r="F180" s="763"/>
      <c r="G180" s="763"/>
      <c r="H180" s="763"/>
      <c r="I180" s="764"/>
      <c r="J180" s="764"/>
      <c r="K180" s="764"/>
      <c r="L180" s="764"/>
      <c r="M180" s="764"/>
      <c r="N180" s="764"/>
      <c r="O180" s="764"/>
      <c r="P180" s="764"/>
      <c r="Q180" s="764"/>
      <c r="R180" s="764"/>
      <c r="S180" s="764"/>
      <c r="T180" s="764"/>
      <c r="U180" s="764"/>
      <c r="V180" s="764"/>
      <c r="W180" s="764"/>
      <c r="X180" s="764"/>
      <c r="Y180" s="764"/>
      <c r="Z180" s="764"/>
    </row>
    <row r="181" ht="9.75" customHeight="1">
      <c r="A181" s="764"/>
      <c r="B181" s="764"/>
      <c r="C181" s="764"/>
      <c r="D181" s="764"/>
      <c r="E181" s="764"/>
      <c r="F181" s="763"/>
      <c r="G181" s="763"/>
      <c r="H181" s="763"/>
      <c r="I181" s="764"/>
      <c r="J181" s="764"/>
      <c r="K181" s="764"/>
      <c r="L181" s="764"/>
      <c r="M181" s="764"/>
      <c r="N181" s="764"/>
      <c r="O181" s="764"/>
      <c r="P181" s="764"/>
      <c r="Q181" s="764"/>
      <c r="R181" s="764"/>
      <c r="S181" s="764"/>
      <c r="T181" s="764"/>
      <c r="U181" s="764"/>
      <c r="V181" s="764"/>
      <c r="W181" s="764"/>
      <c r="X181" s="764"/>
      <c r="Y181" s="764"/>
      <c r="Z181" s="764"/>
    </row>
    <row r="182" ht="9.75" customHeight="1">
      <c r="A182" s="764"/>
      <c r="B182" s="764"/>
      <c r="C182" s="764"/>
      <c r="D182" s="764"/>
      <c r="E182" s="764"/>
      <c r="F182" s="763"/>
      <c r="G182" s="763"/>
      <c r="H182" s="763"/>
      <c r="I182" s="764"/>
      <c r="J182" s="764"/>
      <c r="K182" s="764"/>
      <c r="L182" s="764"/>
      <c r="M182" s="764"/>
      <c r="N182" s="764"/>
      <c r="O182" s="764"/>
      <c r="P182" s="764"/>
      <c r="Q182" s="764"/>
      <c r="R182" s="764"/>
      <c r="S182" s="764"/>
      <c r="T182" s="764"/>
      <c r="U182" s="764"/>
      <c r="V182" s="764"/>
      <c r="W182" s="764"/>
      <c r="X182" s="764"/>
      <c r="Y182" s="764"/>
      <c r="Z182" s="764"/>
    </row>
    <row r="183" ht="9.75" customHeight="1">
      <c r="A183" s="764"/>
      <c r="B183" s="764"/>
      <c r="C183" s="764"/>
      <c r="D183" s="764"/>
      <c r="E183" s="764"/>
      <c r="F183" s="763"/>
      <c r="G183" s="763"/>
      <c r="H183" s="763"/>
      <c r="I183" s="764"/>
      <c r="J183" s="764"/>
      <c r="K183" s="764"/>
      <c r="L183" s="764"/>
      <c r="M183" s="764"/>
      <c r="N183" s="764"/>
      <c r="O183" s="764"/>
      <c r="P183" s="764"/>
      <c r="Q183" s="764"/>
      <c r="R183" s="764"/>
      <c r="S183" s="764"/>
      <c r="T183" s="764"/>
      <c r="U183" s="764"/>
      <c r="V183" s="764"/>
      <c r="W183" s="764"/>
      <c r="X183" s="764"/>
      <c r="Y183" s="764"/>
      <c r="Z183" s="764"/>
    </row>
    <row r="184" ht="9.75" customHeight="1">
      <c r="A184" s="764"/>
      <c r="B184" s="764"/>
      <c r="C184" s="764"/>
      <c r="D184" s="764"/>
      <c r="E184" s="764"/>
      <c r="F184" s="763"/>
      <c r="G184" s="763"/>
      <c r="H184" s="763"/>
      <c r="I184" s="764"/>
      <c r="J184" s="764"/>
      <c r="K184" s="764"/>
      <c r="L184" s="764"/>
      <c r="M184" s="764"/>
      <c r="N184" s="764"/>
      <c r="O184" s="764"/>
      <c r="P184" s="764"/>
      <c r="Q184" s="764"/>
      <c r="R184" s="764"/>
      <c r="S184" s="764"/>
      <c r="T184" s="764"/>
      <c r="U184" s="764"/>
      <c r="V184" s="764"/>
      <c r="W184" s="764"/>
      <c r="X184" s="764"/>
      <c r="Y184" s="764"/>
      <c r="Z184" s="764"/>
    </row>
    <row r="185" ht="9.75" customHeight="1">
      <c r="A185" s="764"/>
      <c r="B185" s="764"/>
      <c r="C185" s="764"/>
      <c r="D185" s="764"/>
      <c r="E185" s="764"/>
      <c r="F185" s="763"/>
      <c r="G185" s="763"/>
      <c r="H185" s="763"/>
      <c r="I185" s="764"/>
      <c r="J185" s="764"/>
      <c r="K185" s="764"/>
      <c r="L185" s="764"/>
      <c r="M185" s="764"/>
      <c r="N185" s="764"/>
      <c r="O185" s="764"/>
      <c r="P185" s="764"/>
      <c r="Q185" s="764"/>
      <c r="R185" s="764"/>
      <c r="S185" s="764"/>
      <c r="T185" s="764"/>
      <c r="U185" s="764"/>
      <c r="V185" s="764"/>
      <c r="W185" s="764"/>
      <c r="X185" s="764"/>
      <c r="Y185" s="764"/>
      <c r="Z185" s="764"/>
    </row>
    <row r="186" ht="9.75" customHeight="1">
      <c r="A186" s="764"/>
      <c r="B186" s="764"/>
      <c r="C186" s="764"/>
      <c r="D186" s="764"/>
      <c r="E186" s="764"/>
      <c r="F186" s="763"/>
      <c r="G186" s="763"/>
      <c r="H186" s="763"/>
      <c r="I186" s="764"/>
      <c r="J186" s="764"/>
      <c r="K186" s="764"/>
      <c r="L186" s="764"/>
      <c r="M186" s="764"/>
      <c r="N186" s="764"/>
      <c r="O186" s="764"/>
      <c r="P186" s="764"/>
      <c r="Q186" s="764"/>
      <c r="R186" s="764"/>
      <c r="S186" s="764"/>
      <c r="T186" s="764"/>
      <c r="U186" s="764"/>
      <c r="V186" s="764"/>
      <c r="W186" s="764"/>
      <c r="X186" s="764"/>
      <c r="Y186" s="764"/>
      <c r="Z186" s="764"/>
    </row>
    <row r="187" ht="9.75" customHeight="1">
      <c r="A187" s="764"/>
      <c r="B187" s="764"/>
      <c r="C187" s="764"/>
      <c r="D187" s="764"/>
      <c r="E187" s="764"/>
      <c r="F187" s="763"/>
      <c r="G187" s="763"/>
      <c r="H187" s="763"/>
      <c r="I187" s="764"/>
      <c r="J187" s="764"/>
      <c r="K187" s="764"/>
      <c r="L187" s="764"/>
      <c r="M187" s="764"/>
      <c r="N187" s="764"/>
      <c r="O187" s="764"/>
      <c r="P187" s="764"/>
      <c r="Q187" s="764"/>
      <c r="R187" s="764"/>
      <c r="S187" s="764"/>
      <c r="T187" s="764"/>
      <c r="U187" s="764"/>
      <c r="V187" s="764"/>
      <c r="W187" s="764"/>
      <c r="X187" s="764"/>
      <c r="Y187" s="764"/>
      <c r="Z187" s="764"/>
    </row>
    <row r="188" ht="9.75" customHeight="1">
      <c r="A188" s="764"/>
      <c r="B188" s="764"/>
      <c r="C188" s="764"/>
      <c r="D188" s="764"/>
      <c r="E188" s="764"/>
      <c r="F188" s="763"/>
      <c r="G188" s="763"/>
      <c r="H188" s="763"/>
      <c r="I188" s="764"/>
      <c r="J188" s="764"/>
      <c r="K188" s="764"/>
      <c r="L188" s="764"/>
      <c r="M188" s="764"/>
      <c r="N188" s="764"/>
      <c r="O188" s="764"/>
      <c r="P188" s="764"/>
      <c r="Q188" s="764"/>
      <c r="R188" s="764"/>
      <c r="S188" s="764"/>
      <c r="T188" s="764"/>
      <c r="U188" s="764"/>
      <c r="V188" s="764"/>
      <c r="W188" s="764"/>
      <c r="X188" s="764"/>
      <c r="Y188" s="764"/>
      <c r="Z188" s="764"/>
    </row>
    <row r="189" ht="9.75" customHeight="1">
      <c r="A189" s="764"/>
      <c r="B189" s="764"/>
      <c r="C189" s="764"/>
      <c r="D189" s="764"/>
      <c r="E189" s="764"/>
      <c r="F189" s="763"/>
      <c r="G189" s="763"/>
      <c r="H189" s="763"/>
      <c r="I189" s="764"/>
      <c r="J189" s="764"/>
      <c r="K189" s="764"/>
      <c r="L189" s="764"/>
      <c r="M189" s="764"/>
      <c r="N189" s="764"/>
      <c r="O189" s="764"/>
      <c r="P189" s="764"/>
      <c r="Q189" s="764"/>
      <c r="R189" s="764"/>
      <c r="S189" s="764"/>
      <c r="T189" s="764"/>
      <c r="U189" s="764"/>
      <c r="V189" s="764"/>
      <c r="W189" s="764"/>
      <c r="X189" s="764"/>
      <c r="Y189" s="764"/>
      <c r="Z189" s="764"/>
    </row>
    <row r="190" ht="9.75" customHeight="1">
      <c r="A190" s="764"/>
      <c r="B190" s="764"/>
      <c r="C190" s="764"/>
      <c r="D190" s="764"/>
      <c r="E190" s="764"/>
      <c r="F190" s="763"/>
      <c r="G190" s="763"/>
      <c r="H190" s="763"/>
      <c r="I190" s="764"/>
      <c r="J190" s="764"/>
      <c r="K190" s="764"/>
      <c r="L190" s="764"/>
      <c r="M190" s="764"/>
      <c r="N190" s="764"/>
      <c r="O190" s="764"/>
      <c r="P190" s="764"/>
      <c r="Q190" s="764"/>
      <c r="R190" s="764"/>
      <c r="S190" s="764"/>
      <c r="T190" s="764"/>
      <c r="U190" s="764"/>
      <c r="V190" s="764"/>
      <c r="W190" s="764"/>
      <c r="X190" s="764"/>
      <c r="Y190" s="764"/>
      <c r="Z190" s="764"/>
    </row>
    <row r="191" ht="9.75" customHeight="1">
      <c r="A191" s="764"/>
      <c r="B191" s="764"/>
      <c r="C191" s="764"/>
      <c r="D191" s="764"/>
      <c r="E191" s="764"/>
      <c r="F191" s="763"/>
      <c r="G191" s="763"/>
      <c r="H191" s="763"/>
      <c r="I191" s="764"/>
      <c r="J191" s="764"/>
      <c r="K191" s="764"/>
      <c r="L191" s="764"/>
      <c r="M191" s="764"/>
      <c r="N191" s="764"/>
      <c r="O191" s="764"/>
      <c r="P191" s="764"/>
      <c r="Q191" s="764"/>
      <c r="R191" s="764"/>
      <c r="S191" s="764"/>
      <c r="T191" s="764"/>
      <c r="U191" s="764"/>
      <c r="V191" s="764"/>
      <c r="W191" s="764"/>
      <c r="X191" s="764"/>
      <c r="Y191" s="764"/>
      <c r="Z191" s="764"/>
    </row>
    <row r="192" ht="9.75" customHeight="1">
      <c r="A192" s="764"/>
      <c r="B192" s="764"/>
      <c r="C192" s="764"/>
      <c r="D192" s="764"/>
      <c r="E192" s="764"/>
      <c r="F192" s="763"/>
      <c r="G192" s="763"/>
      <c r="H192" s="763"/>
      <c r="I192" s="764"/>
      <c r="J192" s="764"/>
      <c r="K192" s="764"/>
      <c r="L192" s="764"/>
      <c r="M192" s="764"/>
      <c r="N192" s="764"/>
      <c r="O192" s="764"/>
      <c r="P192" s="764"/>
      <c r="Q192" s="764"/>
      <c r="R192" s="764"/>
      <c r="S192" s="764"/>
      <c r="T192" s="764"/>
      <c r="U192" s="764"/>
      <c r="V192" s="764"/>
      <c r="W192" s="764"/>
      <c r="X192" s="764"/>
      <c r="Y192" s="764"/>
      <c r="Z192" s="764"/>
    </row>
    <row r="193" ht="9.75" customHeight="1">
      <c r="A193" s="764"/>
      <c r="B193" s="764"/>
      <c r="C193" s="764"/>
      <c r="D193" s="764"/>
      <c r="E193" s="764"/>
      <c r="F193" s="763"/>
      <c r="G193" s="763"/>
      <c r="H193" s="763"/>
      <c r="I193" s="764"/>
      <c r="J193" s="764"/>
      <c r="K193" s="764"/>
      <c r="L193" s="764"/>
      <c r="M193" s="764"/>
      <c r="N193" s="764"/>
      <c r="O193" s="764"/>
      <c r="P193" s="764"/>
      <c r="Q193" s="764"/>
      <c r="R193" s="764"/>
      <c r="S193" s="764"/>
      <c r="T193" s="764"/>
      <c r="U193" s="764"/>
      <c r="V193" s="764"/>
      <c r="W193" s="764"/>
      <c r="X193" s="764"/>
      <c r="Y193" s="764"/>
      <c r="Z193" s="764"/>
    </row>
    <row r="194" ht="9.75" customHeight="1">
      <c r="A194" s="764"/>
      <c r="B194" s="764"/>
      <c r="C194" s="764"/>
      <c r="D194" s="764"/>
      <c r="E194" s="764"/>
      <c r="F194" s="763"/>
      <c r="G194" s="763"/>
      <c r="H194" s="763"/>
      <c r="I194" s="764"/>
      <c r="J194" s="764"/>
      <c r="K194" s="764"/>
      <c r="L194" s="764"/>
      <c r="M194" s="764"/>
      <c r="N194" s="764"/>
      <c r="O194" s="764"/>
      <c r="P194" s="764"/>
      <c r="Q194" s="764"/>
      <c r="R194" s="764"/>
      <c r="S194" s="764"/>
      <c r="T194" s="764"/>
      <c r="U194" s="764"/>
      <c r="V194" s="764"/>
      <c r="W194" s="764"/>
      <c r="X194" s="764"/>
      <c r="Y194" s="764"/>
      <c r="Z194" s="764"/>
    </row>
    <row r="195" ht="9.75" customHeight="1">
      <c r="A195" s="764"/>
      <c r="B195" s="764"/>
      <c r="C195" s="764"/>
      <c r="D195" s="764"/>
      <c r="E195" s="764"/>
      <c r="F195" s="763"/>
      <c r="G195" s="763"/>
      <c r="H195" s="763"/>
      <c r="I195" s="764"/>
      <c r="J195" s="764"/>
      <c r="K195" s="764"/>
      <c r="L195" s="764"/>
      <c r="M195" s="764"/>
      <c r="N195" s="764"/>
      <c r="O195" s="764"/>
      <c r="P195" s="764"/>
      <c r="Q195" s="764"/>
      <c r="R195" s="764"/>
      <c r="S195" s="764"/>
      <c r="T195" s="764"/>
      <c r="U195" s="764"/>
      <c r="V195" s="764"/>
      <c r="W195" s="764"/>
      <c r="X195" s="764"/>
      <c r="Y195" s="764"/>
      <c r="Z195" s="764"/>
    </row>
    <row r="196" ht="9.75" customHeight="1">
      <c r="A196" s="764"/>
      <c r="B196" s="764"/>
      <c r="C196" s="764"/>
      <c r="D196" s="764"/>
      <c r="E196" s="764"/>
      <c r="F196" s="763"/>
      <c r="G196" s="763"/>
      <c r="H196" s="763"/>
      <c r="I196" s="764"/>
      <c r="J196" s="764"/>
      <c r="K196" s="764"/>
      <c r="L196" s="764"/>
      <c r="M196" s="764"/>
      <c r="N196" s="764"/>
      <c r="O196" s="764"/>
      <c r="P196" s="764"/>
      <c r="Q196" s="764"/>
      <c r="R196" s="764"/>
      <c r="S196" s="764"/>
      <c r="T196" s="764"/>
      <c r="U196" s="764"/>
      <c r="V196" s="764"/>
      <c r="W196" s="764"/>
      <c r="X196" s="764"/>
      <c r="Y196" s="764"/>
      <c r="Z196" s="764"/>
    </row>
    <row r="197" ht="9.75" customHeight="1">
      <c r="A197" s="764"/>
      <c r="B197" s="764"/>
      <c r="C197" s="764"/>
      <c r="D197" s="764"/>
      <c r="E197" s="764"/>
      <c r="F197" s="763"/>
      <c r="G197" s="763"/>
      <c r="H197" s="763"/>
      <c r="I197" s="764"/>
      <c r="J197" s="764"/>
      <c r="K197" s="764"/>
      <c r="L197" s="764"/>
      <c r="M197" s="764"/>
      <c r="N197" s="764"/>
      <c r="O197" s="764"/>
      <c r="P197" s="764"/>
      <c r="Q197" s="764"/>
      <c r="R197" s="764"/>
      <c r="S197" s="764"/>
      <c r="T197" s="764"/>
      <c r="U197" s="764"/>
      <c r="V197" s="764"/>
      <c r="W197" s="764"/>
      <c r="X197" s="764"/>
      <c r="Y197" s="764"/>
      <c r="Z197" s="764"/>
    </row>
    <row r="198" ht="9.75" customHeight="1">
      <c r="A198" s="764"/>
      <c r="B198" s="764"/>
      <c r="C198" s="764"/>
      <c r="D198" s="764"/>
      <c r="E198" s="764"/>
      <c r="F198" s="763"/>
      <c r="G198" s="763"/>
      <c r="H198" s="763"/>
      <c r="I198" s="764"/>
      <c r="J198" s="764"/>
      <c r="K198" s="764"/>
      <c r="L198" s="764"/>
      <c r="M198" s="764"/>
      <c r="N198" s="764"/>
      <c r="O198" s="764"/>
      <c r="P198" s="764"/>
      <c r="Q198" s="764"/>
      <c r="R198" s="764"/>
      <c r="S198" s="764"/>
      <c r="T198" s="764"/>
      <c r="U198" s="764"/>
      <c r="V198" s="764"/>
      <c r="W198" s="764"/>
      <c r="X198" s="764"/>
      <c r="Y198" s="764"/>
      <c r="Z198" s="764"/>
    </row>
    <row r="199" ht="9.75" customHeight="1">
      <c r="A199" s="764"/>
      <c r="B199" s="764"/>
      <c r="C199" s="764"/>
      <c r="D199" s="764"/>
      <c r="E199" s="764"/>
      <c r="F199" s="763"/>
      <c r="G199" s="763"/>
      <c r="H199" s="763"/>
      <c r="I199" s="764"/>
      <c r="J199" s="764"/>
      <c r="K199" s="764"/>
      <c r="L199" s="764"/>
      <c r="M199" s="764"/>
      <c r="N199" s="764"/>
      <c r="O199" s="764"/>
      <c r="P199" s="764"/>
      <c r="Q199" s="764"/>
      <c r="R199" s="764"/>
      <c r="S199" s="764"/>
      <c r="T199" s="764"/>
      <c r="U199" s="764"/>
      <c r="V199" s="764"/>
      <c r="W199" s="764"/>
      <c r="X199" s="764"/>
      <c r="Y199" s="764"/>
      <c r="Z199" s="764"/>
    </row>
    <row r="200" ht="9.75" customHeight="1">
      <c r="A200" s="764"/>
      <c r="B200" s="764"/>
      <c r="C200" s="764"/>
      <c r="D200" s="764"/>
      <c r="E200" s="764"/>
      <c r="F200" s="763"/>
      <c r="G200" s="763"/>
      <c r="H200" s="763"/>
      <c r="I200" s="764"/>
      <c r="J200" s="764"/>
      <c r="K200" s="764"/>
      <c r="L200" s="764"/>
      <c r="M200" s="764"/>
      <c r="N200" s="764"/>
      <c r="O200" s="764"/>
      <c r="P200" s="764"/>
      <c r="Q200" s="764"/>
      <c r="R200" s="764"/>
      <c r="S200" s="764"/>
      <c r="T200" s="764"/>
      <c r="U200" s="764"/>
      <c r="V200" s="764"/>
      <c r="W200" s="764"/>
      <c r="X200" s="764"/>
      <c r="Y200" s="764"/>
      <c r="Z200" s="764"/>
    </row>
    <row r="201" ht="9.75" customHeight="1">
      <c r="A201" s="764"/>
      <c r="B201" s="764"/>
      <c r="C201" s="764"/>
      <c r="D201" s="764"/>
      <c r="E201" s="764"/>
      <c r="F201" s="763"/>
      <c r="G201" s="763"/>
      <c r="H201" s="763"/>
      <c r="I201" s="764"/>
      <c r="J201" s="764"/>
      <c r="K201" s="764"/>
      <c r="L201" s="764"/>
      <c r="M201" s="764"/>
      <c r="N201" s="764"/>
      <c r="O201" s="764"/>
      <c r="P201" s="764"/>
      <c r="Q201" s="764"/>
      <c r="R201" s="764"/>
      <c r="S201" s="764"/>
      <c r="T201" s="764"/>
      <c r="U201" s="764"/>
      <c r="V201" s="764"/>
      <c r="W201" s="764"/>
      <c r="X201" s="764"/>
      <c r="Y201" s="764"/>
      <c r="Z201" s="764"/>
    </row>
    <row r="202" ht="9.75" customHeight="1">
      <c r="A202" s="764"/>
      <c r="B202" s="764"/>
      <c r="C202" s="764"/>
      <c r="D202" s="764"/>
      <c r="E202" s="764"/>
      <c r="F202" s="763"/>
      <c r="G202" s="763"/>
      <c r="H202" s="763"/>
      <c r="I202" s="764"/>
      <c r="J202" s="764"/>
      <c r="K202" s="764"/>
      <c r="L202" s="764"/>
      <c r="M202" s="764"/>
      <c r="N202" s="764"/>
      <c r="O202" s="764"/>
      <c r="P202" s="764"/>
      <c r="Q202" s="764"/>
      <c r="R202" s="764"/>
      <c r="S202" s="764"/>
      <c r="T202" s="764"/>
      <c r="U202" s="764"/>
      <c r="V202" s="764"/>
      <c r="W202" s="764"/>
      <c r="X202" s="764"/>
      <c r="Y202" s="764"/>
      <c r="Z202" s="764"/>
    </row>
    <row r="203" ht="9.75" customHeight="1">
      <c r="A203" s="764"/>
      <c r="B203" s="764"/>
      <c r="C203" s="764"/>
      <c r="D203" s="764"/>
      <c r="E203" s="764"/>
      <c r="F203" s="763"/>
      <c r="G203" s="763"/>
      <c r="H203" s="763"/>
      <c r="I203" s="764"/>
      <c r="J203" s="764"/>
      <c r="K203" s="764"/>
      <c r="L203" s="764"/>
      <c r="M203" s="764"/>
      <c r="N203" s="764"/>
      <c r="O203" s="764"/>
      <c r="P203" s="764"/>
      <c r="Q203" s="764"/>
      <c r="R203" s="764"/>
      <c r="S203" s="764"/>
      <c r="T203" s="764"/>
      <c r="U203" s="764"/>
      <c r="V203" s="764"/>
      <c r="W203" s="764"/>
      <c r="X203" s="764"/>
      <c r="Y203" s="764"/>
      <c r="Z203" s="764"/>
    </row>
    <row r="204" ht="9.75" customHeight="1">
      <c r="A204" s="764"/>
      <c r="B204" s="764"/>
      <c r="C204" s="764"/>
      <c r="D204" s="764"/>
      <c r="E204" s="764"/>
      <c r="F204" s="763"/>
      <c r="G204" s="763"/>
      <c r="H204" s="763"/>
      <c r="I204" s="764"/>
      <c r="J204" s="764"/>
      <c r="K204" s="764"/>
      <c r="L204" s="764"/>
      <c r="M204" s="764"/>
      <c r="N204" s="764"/>
      <c r="O204" s="764"/>
      <c r="P204" s="764"/>
      <c r="Q204" s="764"/>
      <c r="R204" s="764"/>
      <c r="S204" s="764"/>
      <c r="T204" s="764"/>
      <c r="U204" s="764"/>
      <c r="V204" s="764"/>
      <c r="W204" s="764"/>
      <c r="X204" s="764"/>
      <c r="Y204" s="764"/>
      <c r="Z204" s="764"/>
    </row>
    <row r="205" ht="9.75" customHeight="1">
      <c r="A205" s="764"/>
      <c r="B205" s="764"/>
      <c r="C205" s="764"/>
      <c r="D205" s="764"/>
      <c r="E205" s="764"/>
      <c r="F205" s="763"/>
      <c r="G205" s="763"/>
      <c r="H205" s="763"/>
      <c r="I205" s="764"/>
      <c r="J205" s="764"/>
      <c r="K205" s="764"/>
      <c r="L205" s="764"/>
      <c r="M205" s="764"/>
      <c r="N205" s="764"/>
      <c r="O205" s="764"/>
      <c r="P205" s="764"/>
      <c r="Q205" s="764"/>
      <c r="R205" s="764"/>
      <c r="S205" s="764"/>
      <c r="T205" s="764"/>
      <c r="U205" s="764"/>
      <c r="V205" s="764"/>
      <c r="W205" s="764"/>
      <c r="X205" s="764"/>
      <c r="Y205" s="764"/>
      <c r="Z205" s="764"/>
    </row>
    <row r="206" ht="9.75" customHeight="1">
      <c r="A206" s="764"/>
      <c r="B206" s="764"/>
      <c r="C206" s="764"/>
      <c r="D206" s="764"/>
      <c r="E206" s="764"/>
      <c r="F206" s="763"/>
      <c r="G206" s="763"/>
      <c r="H206" s="763"/>
      <c r="I206" s="764"/>
      <c r="J206" s="764"/>
      <c r="K206" s="764"/>
      <c r="L206" s="764"/>
      <c r="M206" s="764"/>
      <c r="N206" s="764"/>
      <c r="O206" s="764"/>
      <c r="P206" s="764"/>
      <c r="Q206" s="764"/>
      <c r="R206" s="764"/>
      <c r="S206" s="764"/>
      <c r="T206" s="764"/>
      <c r="U206" s="764"/>
      <c r="V206" s="764"/>
      <c r="W206" s="764"/>
      <c r="X206" s="764"/>
      <c r="Y206" s="764"/>
      <c r="Z206" s="764"/>
    </row>
    <row r="207" ht="9.75" customHeight="1">
      <c r="A207" s="764"/>
      <c r="B207" s="764"/>
      <c r="C207" s="764"/>
      <c r="D207" s="764"/>
      <c r="E207" s="764"/>
      <c r="F207" s="763"/>
      <c r="G207" s="763"/>
      <c r="H207" s="763"/>
      <c r="I207" s="764"/>
      <c r="J207" s="764"/>
      <c r="K207" s="764"/>
      <c r="L207" s="764"/>
      <c r="M207" s="764"/>
      <c r="N207" s="764"/>
      <c r="O207" s="764"/>
      <c r="P207" s="764"/>
      <c r="Q207" s="764"/>
      <c r="R207" s="764"/>
      <c r="S207" s="764"/>
      <c r="T207" s="764"/>
      <c r="U207" s="764"/>
      <c r="V207" s="764"/>
      <c r="W207" s="764"/>
      <c r="X207" s="764"/>
      <c r="Y207" s="764"/>
      <c r="Z207" s="764"/>
    </row>
    <row r="208" ht="9.75" customHeight="1">
      <c r="A208" s="764"/>
      <c r="B208" s="764"/>
      <c r="C208" s="764"/>
      <c r="D208" s="764"/>
      <c r="E208" s="764"/>
      <c r="F208" s="763"/>
      <c r="G208" s="763"/>
      <c r="H208" s="763"/>
      <c r="I208" s="764"/>
      <c r="J208" s="764"/>
      <c r="K208" s="764"/>
      <c r="L208" s="764"/>
      <c r="M208" s="764"/>
      <c r="N208" s="764"/>
      <c r="O208" s="764"/>
      <c r="P208" s="764"/>
      <c r="Q208" s="764"/>
      <c r="R208" s="764"/>
      <c r="S208" s="764"/>
      <c r="T208" s="764"/>
      <c r="U208" s="764"/>
      <c r="V208" s="764"/>
      <c r="W208" s="764"/>
      <c r="X208" s="764"/>
      <c r="Y208" s="764"/>
      <c r="Z208" s="764"/>
    </row>
    <row r="209" ht="9.75" customHeight="1">
      <c r="A209" s="764"/>
      <c r="B209" s="764"/>
      <c r="C209" s="764"/>
      <c r="D209" s="764"/>
      <c r="E209" s="764"/>
      <c r="F209" s="763"/>
      <c r="G209" s="763"/>
      <c r="H209" s="763"/>
      <c r="I209" s="764"/>
      <c r="J209" s="764"/>
      <c r="K209" s="764"/>
      <c r="L209" s="764"/>
      <c r="M209" s="764"/>
      <c r="N209" s="764"/>
      <c r="O209" s="764"/>
      <c r="P209" s="764"/>
      <c r="Q209" s="764"/>
      <c r="R209" s="764"/>
      <c r="S209" s="764"/>
      <c r="T209" s="764"/>
      <c r="U209" s="764"/>
      <c r="V209" s="764"/>
      <c r="W209" s="764"/>
      <c r="X209" s="764"/>
      <c r="Y209" s="764"/>
      <c r="Z209" s="764"/>
    </row>
    <row r="210" ht="9.75" customHeight="1">
      <c r="A210" s="764"/>
      <c r="B210" s="764"/>
      <c r="C210" s="764"/>
      <c r="D210" s="764"/>
      <c r="E210" s="764"/>
      <c r="F210" s="763"/>
      <c r="G210" s="763"/>
      <c r="H210" s="763"/>
      <c r="I210" s="764"/>
      <c r="J210" s="764"/>
      <c r="K210" s="764"/>
      <c r="L210" s="764"/>
      <c r="M210" s="764"/>
      <c r="N210" s="764"/>
      <c r="O210" s="764"/>
      <c r="P210" s="764"/>
      <c r="Q210" s="764"/>
      <c r="R210" s="764"/>
      <c r="S210" s="764"/>
      <c r="T210" s="764"/>
      <c r="U210" s="764"/>
      <c r="V210" s="764"/>
      <c r="W210" s="764"/>
      <c r="X210" s="764"/>
      <c r="Y210" s="764"/>
      <c r="Z210" s="764"/>
    </row>
    <row r="211" ht="9.75" customHeight="1">
      <c r="A211" s="764"/>
      <c r="B211" s="764"/>
      <c r="C211" s="764"/>
      <c r="D211" s="764"/>
      <c r="E211" s="764"/>
      <c r="F211" s="763"/>
      <c r="G211" s="763"/>
      <c r="H211" s="763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</row>
    <row r="212" ht="9.75" customHeight="1">
      <c r="A212" s="764"/>
      <c r="B212" s="764"/>
      <c r="C212" s="764"/>
      <c r="D212" s="764"/>
      <c r="E212" s="764"/>
      <c r="F212" s="763"/>
      <c r="G212" s="763"/>
      <c r="H212" s="763"/>
      <c r="I212" s="764"/>
      <c r="J212" s="764"/>
      <c r="K212" s="764"/>
      <c r="L212" s="764"/>
      <c r="M212" s="764"/>
      <c r="N212" s="764"/>
      <c r="O212" s="764"/>
      <c r="P212" s="764"/>
      <c r="Q212" s="764"/>
      <c r="R212" s="764"/>
      <c r="S212" s="764"/>
      <c r="T212" s="764"/>
      <c r="U212" s="764"/>
      <c r="V212" s="764"/>
      <c r="W212" s="764"/>
      <c r="X212" s="764"/>
      <c r="Y212" s="764"/>
      <c r="Z212" s="764"/>
    </row>
    <row r="213" ht="9.75" customHeight="1">
      <c r="A213" s="764"/>
      <c r="B213" s="764"/>
      <c r="C213" s="764"/>
      <c r="D213" s="764"/>
      <c r="E213" s="764"/>
      <c r="F213" s="763"/>
      <c r="G213" s="763"/>
      <c r="H213" s="763"/>
      <c r="I213" s="764"/>
      <c r="J213" s="764"/>
      <c r="K213" s="764"/>
      <c r="L213" s="764"/>
      <c r="M213" s="764"/>
      <c r="N213" s="764"/>
      <c r="O213" s="764"/>
      <c r="P213" s="764"/>
      <c r="Q213" s="764"/>
      <c r="R213" s="764"/>
      <c r="S213" s="764"/>
      <c r="T213" s="764"/>
      <c r="U213" s="764"/>
      <c r="V213" s="764"/>
      <c r="W213" s="764"/>
      <c r="X213" s="764"/>
      <c r="Y213" s="764"/>
      <c r="Z213" s="764"/>
    </row>
    <row r="214" ht="9.75" customHeight="1">
      <c r="A214" s="764"/>
      <c r="B214" s="764"/>
      <c r="C214" s="764"/>
      <c r="D214" s="764"/>
      <c r="E214" s="764"/>
      <c r="F214" s="763"/>
      <c r="G214" s="763"/>
      <c r="H214" s="763"/>
      <c r="I214" s="764"/>
      <c r="J214" s="764"/>
      <c r="K214" s="764"/>
      <c r="L214" s="764"/>
      <c r="M214" s="764"/>
      <c r="N214" s="764"/>
      <c r="O214" s="764"/>
      <c r="P214" s="764"/>
      <c r="Q214" s="764"/>
      <c r="R214" s="764"/>
      <c r="S214" s="764"/>
      <c r="T214" s="764"/>
      <c r="U214" s="764"/>
      <c r="V214" s="764"/>
      <c r="W214" s="764"/>
      <c r="X214" s="764"/>
      <c r="Y214" s="764"/>
      <c r="Z214" s="764"/>
    </row>
    <row r="215" ht="9.75" customHeight="1">
      <c r="A215" s="764"/>
      <c r="B215" s="764"/>
      <c r="C215" s="764"/>
      <c r="D215" s="764"/>
      <c r="E215" s="764"/>
      <c r="F215" s="763"/>
      <c r="G215" s="763"/>
      <c r="H215" s="763"/>
      <c r="I215" s="764"/>
      <c r="J215" s="764"/>
      <c r="K215" s="764"/>
      <c r="L215" s="764"/>
      <c r="M215" s="764"/>
      <c r="N215" s="764"/>
      <c r="O215" s="764"/>
      <c r="P215" s="764"/>
      <c r="Q215" s="764"/>
      <c r="R215" s="764"/>
      <c r="S215" s="764"/>
      <c r="T215" s="764"/>
      <c r="U215" s="764"/>
      <c r="V215" s="764"/>
      <c r="W215" s="764"/>
      <c r="X215" s="764"/>
      <c r="Y215" s="764"/>
      <c r="Z215" s="764"/>
    </row>
    <row r="216" ht="9.75" customHeight="1">
      <c r="A216" s="764"/>
      <c r="B216" s="764"/>
      <c r="C216" s="764"/>
      <c r="D216" s="764"/>
      <c r="E216" s="764"/>
      <c r="F216" s="763"/>
      <c r="G216" s="763"/>
      <c r="H216" s="763"/>
      <c r="I216" s="764"/>
      <c r="J216" s="764"/>
      <c r="K216" s="764"/>
      <c r="L216" s="764"/>
      <c r="M216" s="764"/>
      <c r="N216" s="764"/>
      <c r="O216" s="764"/>
      <c r="P216" s="764"/>
      <c r="Q216" s="764"/>
      <c r="R216" s="764"/>
      <c r="S216" s="764"/>
      <c r="T216" s="764"/>
      <c r="U216" s="764"/>
      <c r="V216" s="764"/>
      <c r="W216" s="764"/>
      <c r="X216" s="764"/>
      <c r="Y216" s="764"/>
      <c r="Z216" s="764"/>
    </row>
    <row r="217" ht="9.75" customHeight="1">
      <c r="A217" s="764"/>
      <c r="B217" s="764"/>
      <c r="C217" s="764"/>
      <c r="D217" s="764"/>
      <c r="E217" s="764"/>
      <c r="F217" s="763"/>
      <c r="G217" s="763"/>
      <c r="H217" s="763"/>
      <c r="I217" s="764"/>
      <c r="J217" s="764"/>
      <c r="K217" s="764"/>
      <c r="L217" s="764"/>
      <c r="M217" s="764"/>
      <c r="N217" s="764"/>
      <c r="O217" s="764"/>
      <c r="P217" s="764"/>
      <c r="Q217" s="764"/>
      <c r="R217" s="764"/>
      <c r="S217" s="764"/>
      <c r="T217" s="764"/>
      <c r="U217" s="764"/>
      <c r="V217" s="764"/>
      <c r="W217" s="764"/>
      <c r="X217" s="764"/>
      <c r="Y217" s="764"/>
      <c r="Z217" s="764"/>
    </row>
    <row r="218" ht="9.75" customHeight="1">
      <c r="A218" s="764"/>
      <c r="B218" s="764"/>
      <c r="C218" s="764"/>
      <c r="D218" s="764"/>
      <c r="E218" s="764"/>
      <c r="F218" s="763"/>
      <c r="G218" s="763"/>
      <c r="H218" s="763"/>
      <c r="I218" s="764"/>
      <c r="J218" s="764"/>
      <c r="K218" s="764"/>
      <c r="L218" s="764"/>
      <c r="M218" s="764"/>
      <c r="N218" s="764"/>
      <c r="O218" s="764"/>
      <c r="P218" s="764"/>
      <c r="Q218" s="764"/>
      <c r="R218" s="764"/>
      <c r="S218" s="764"/>
      <c r="T218" s="764"/>
      <c r="U218" s="764"/>
      <c r="V218" s="764"/>
      <c r="W218" s="764"/>
      <c r="X218" s="764"/>
      <c r="Y218" s="764"/>
      <c r="Z218" s="764"/>
    </row>
    <row r="219" ht="9.75" customHeight="1">
      <c r="A219" s="764"/>
      <c r="B219" s="764"/>
      <c r="C219" s="764"/>
      <c r="D219" s="764"/>
      <c r="E219" s="764"/>
      <c r="F219" s="763"/>
      <c r="G219" s="763"/>
      <c r="H219" s="763"/>
      <c r="I219" s="764"/>
      <c r="J219" s="764"/>
      <c r="K219" s="764"/>
      <c r="L219" s="764"/>
      <c r="M219" s="764"/>
      <c r="N219" s="764"/>
      <c r="O219" s="764"/>
      <c r="P219" s="764"/>
      <c r="Q219" s="764"/>
      <c r="R219" s="764"/>
      <c r="S219" s="764"/>
      <c r="T219" s="764"/>
      <c r="U219" s="764"/>
      <c r="V219" s="764"/>
      <c r="W219" s="764"/>
      <c r="X219" s="764"/>
      <c r="Y219" s="764"/>
      <c r="Z219" s="764"/>
    </row>
    <row r="220" ht="9.75" customHeight="1">
      <c r="A220" s="764"/>
      <c r="B220" s="764"/>
      <c r="C220" s="764"/>
      <c r="D220" s="764"/>
      <c r="E220" s="764"/>
      <c r="F220" s="763"/>
      <c r="G220" s="763"/>
      <c r="H220" s="763"/>
      <c r="I220" s="764"/>
      <c r="J220" s="764"/>
      <c r="K220" s="764"/>
      <c r="L220" s="764"/>
      <c r="M220" s="764"/>
      <c r="N220" s="764"/>
      <c r="O220" s="764"/>
      <c r="P220" s="764"/>
      <c r="Q220" s="764"/>
      <c r="R220" s="764"/>
      <c r="S220" s="764"/>
      <c r="T220" s="764"/>
      <c r="U220" s="764"/>
      <c r="V220" s="764"/>
      <c r="W220" s="764"/>
      <c r="X220" s="764"/>
      <c r="Y220" s="764"/>
      <c r="Z220" s="764"/>
    </row>
    <row r="221" ht="9.75" customHeight="1">
      <c r="A221" s="764"/>
      <c r="B221" s="764"/>
      <c r="C221" s="764"/>
      <c r="D221" s="764"/>
      <c r="E221" s="764"/>
      <c r="F221" s="763"/>
      <c r="G221" s="763"/>
      <c r="H221" s="763"/>
      <c r="I221" s="764"/>
      <c r="J221" s="764"/>
      <c r="K221" s="764"/>
      <c r="L221" s="764"/>
      <c r="M221" s="764"/>
      <c r="N221" s="764"/>
      <c r="O221" s="764"/>
      <c r="P221" s="764"/>
      <c r="Q221" s="764"/>
      <c r="R221" s="764"/>
      <c r="S221" s="764"/>
      <c r="T221" s="764"/>
      <c r="U221" s="764"/>
      <c r="V221" s="764"/>
      <c r="W221" s="764"/>
      <c r="X221" s="764"/>
      <c r="Y221" s="764"/>
      <c r="Z221" s="764"/>
    </row>
    <row r="222" ht="9.75" customHeight="1">
      <c r="A222" s="764"/>
      <c r="B222" s="764"/>
      <c r="C222" s="764"/>
      <c r="D222" s="764"/>
      <c r="E222" s="764"/>
      <c r="F222" s="763"/>
      <c r="G222" s="763"/>
      <c r="H222" s="763"/>
      <c r="I222" s="764"/>
      <c r="J222" s="764"/>
      <c r="K222" s="764"/>
      <c r="L222" s="764"/>
      <c r="M222" s="764"/>
      <c r="N222" s="764"/>
      <c r="O222" s="764"/>
      <c r="P222" s="764"/>
      <c r="Q222" s="764"/>
      <c r="R222" s="764"/>
      <c r="S222" s="764"/>
      <c r="T222" s="764"/>
      <c r="U222" s="764"/>
      <c r="V222" s="764"/>
      <c r="W222" s="764"/>
      <c r="X222" s="764"/>
      <c r="Y222" s="764"/>
      <c r="Z222" s="764"/>
    </row>
    <row r="223" ht="9.75" customHeight="1">
      <c r="A223" s="764"/>
      <c r="B223" s="764"/>
      <c r="C223" s="764"/>
      <c r="D223" s="764"/>
      <c r="E223" s="764"/>
      <c r="F223" s="763"/>
      <c r="G223" s="763"/>
      <c r="H223" s="763"/>
      <c r="I223" s="764"/>
      <c r="J223" s="764"/>
      <c r="K223" s="764"/>
      <c r="L223" s="764"/>
      <c r="M223" s="764"/>
      <c r="N223" s="764"/>
      <c r="O223" s="764"/>
      <c r="P223" s="764"/>
      <c r="Q223" s="764"/>
      <c r="R223" s="764"/>
      <c r="S223" s="764"/>
      <c r="T223" s="764"/>
      <c r="U223" s="764"/>
      <c r="V223" s="764"/>
      <c r="W223" s="764"/>
      <c r="X223" s="764"/>
      <c r="Y223" s="764"/>
      <c r="Z223" s="764"/>
    </row>
    <row r="224" ht="9.75" customHeight="1">
      <c r="A224" s="764"/>
      <c r="B224" s="764"/>
      <c r="C224" s="764"/>
      <c r="D224" s="764"/>
      <c r="E224" s="764"/>
      <c r="F224" s="763"/>
      <c r="G224" s="763"/>
      <c r="H224" s="763"/>
      <c r="I224" s="764"/>
      <c r="J224" s="764"/>
      <c r="K224" s="764"/>
      <c r="L224" s="764"/>
      <c r="M224" s="764"/>
      <c r="N224" s="764"/>
      <c r="O224" s="764"/>
      <c r="P224" s="764"/>
      <c r="Q224" s="764"/>
      <c r="R224" s="764"/>
      <c r="S224" s="764"/>
      <c r="T224" s="764"/>
      <c r="U224" s="764"/>
      <c r="V224" s="764"/>
      <c r="W224" s="764"/>
      <c r="X224" s="764"/>
      <c r="Y224" s="764"/>
      <c r="Z224" s="764"/>
    </row>
    <row r="225" ht="9.75" customHeight="1">
      <c r="A225" s="764"/>
      <c r="B225" s="764"/>
      <c r="C225" s="764"/>
      <c r="D225" s="764"/>
      <c r="E225" s="764"/>
      <c r="F225" s="763"/>
      <c r="G225" s="763"/>
      <c r="H225" s="763"/>
      <c r="I225" s="764"/>
      <c r="J225" s="764"/>
      <c r="K225" s="764"/>
      <c r="L225" s="764"/>
      <c r="M225" s="764"/>
      <c r="N225" s="764"/>
      <c r="O225" s="764"/>
      <c r="P225" s="764"/>
      <c r="Q225" s="764"/>
      <c r="R225" s="764"/>
      <c r="S225" s="764"/>
      <c r="T225" s="764"/>
      <c r="U225" s="764"/>
      <c r="V225" s="764"/>
      <c r="W225" s="764"/>
      <c r="X225" s="764"/>
      <c r="Y225" s="764"/>
      <c r="Z225" s="764"/>
    </row>
    <row r="226" ht="9.75" customHeight="1">
      <c r="A226" s="764"/>
      <c r="B226" s="764"/>
      <c r="C226" s="764"/>
      <c r="D226" s="764"/>
      <c r="E226" s="764"/>
      <c r="F226" s="763"/>
      <c r="G226" s="763"/>
      <c r="H226" s="763"/>
      <c r="I226" s="764"/>
      <c r="J226" s="764"/>
      <c r="K226" s="764"/>
      <c r="L226" s="764"/>
      <c r="M226" s="764"/>
      <c r="N226" s="764"/>
      <c r="O226" s="764"/>
      <c r="P226" s="764"/>
      <c r="Q226" s="764"/>
      <c r="R226" s="764"/>
      <c r="S226" s="764"/>
      <c r="T226" s="764"/>
      <c r="U226" s="764"/>
      <c r="V226" s="764"/>
      <c r="W226" s="764"/>
      <c r="X226" s="764"/>
      <c r="Y226" s="764"/>
      <c r="Z226" s="764"/>
    </row>
    <row r="227" ht="9.75" customHeight="1">
      <c r="A227" s="764"/>
      <c r="B227" s="764"/>
      <c r="C227" s="764"/>
      <c r="D227" s="764"/>
      <c r="E227" s="764"/>
      <c r="F227" s="763"/>
      <c r="G227" s="763"/>
      <c r="H227" s="763"/>
      <c r="I227" s="764"/>
      <c r="J227" s="764"/>
      <c r="K227" s="764"/>
      <c r="L227" s="764"/>
      <c r="M227" s="764"/>
      <c r="N227" s="764"/>
      <c r="O227" s="764"/>
      <c r="P227" s="764"/>
      <c r="Q227" s="764"/>
      <c r="R227" s="764"/>
      <c r="S227" s="764"/>
      <c r="T227" s="764"/>
      <c r="U227" s="764"/>
      <c r="V227" s="764"/>
      <c r="W227" s="764"/>
      <c r="X227" s="764"/>
      <c r="Y227" s="764"/>
      <c r="Z227" s="764"/>
    </row>
    <row r="228" ht="9.75" customHeight="1">
      <c r="A228" s="764"/>
      <c r="B228" s="764"/>
      <c r="C228" s="764"/>
      <c r="D228" s="764"/>
      <c r="E228" s="764"/>
      <c r="F228" s="763"/>
      <c r="G228" s="763"/>
      <c r="H228" s="763"/>
      <c r="I228" s="764"/>
      <c r="J228" s="764"/>
      <c r="K228" s="764"/>
      <c r="L228" s="764"/>
      <c r="M228" s="764"/>
      <c r="N228" s="764"/>
      <c r="O228" s="764"/>
      <c r="P228" s="764"/>
      <c r="Q228" s="764"/>
      <c r="R228" s="764"/>
      <c r="S228" s="764"/>
      <c r="T228" s="764"/>
      <c r="U228" s="764"/>
      <c r="V228" s="764"/>
      <c r="W228" s="764"/>
      <c r="X228" s="764"/>
      <c r="Y228" s="764"/>
      <c r="Z228" s="764"/>
    </row>
    <row r="229" ht="9.75" customHeight="1">
      <c r="A229" s="764"/>
      <c r="B229" s="764"/>
      <c r="C229" s="764"/>
      <c r="D229" s="764"/>
      <c r="E229" s="764"/>
      <c r="F229" s="763"/>
      <c r="G229" s="763"/>
      <c r="H229" s="763"/>
      <c r="I229" s="764"/>
      <c r="J229" s="764"/>
      <c r="K229" s="764"/>
      <c r="L229" s="764"/>
      <c r="M229" s="764"/>
      <c r="N229" s="764"/>
      <c r="O229" s="764"/>
      <c r="P229" s="764"/>
      <c r="Q229" s="764"/>
      <c r="R229" s="764"/>
      <c r="S229" s="764"/>
      <c r="T229" s="764"/>
      <c r="U229" s="764"/>
      <c r="V229" s="764"/>
      <c r="W229" s="764"/>
      <c r="X229" s="764"/>
      <c r="Y229" s="764"/>
      <c r="Z229" s="764"/>
    </row>
    <row r="230" ht="9.75" customHeight="1">
      <c r="A230" s="764"/>
      <c r="B230" s="764"/>
      <c r="C230" s="764"/>
      <c r="D230" s="764"/>
      <c r="E230" s="764"/>
      <c r="F230" s="763"/>
      <c r="G230" s="763"/>
      <c r="H230" s="763"/>
      <c r="I230" s="764"/>
      <c r="J230" s="764"/>
      <c r="K230" s="764"/>
      <c r="L230" s="764"/>
      <c r="M230" s="764"/>
      <c r="N230" s="764"/>
      <c r="O230" s="764"/>
      <c r="P230" s="764"/>
      <c r="Q230" s="764"/>
      <c r="R230" s="764"/>
      <c r="S230" s="764"/>
      <c r="T230" s="764"/>
      <c r="U230" s="764"/>
      <c r="V230" s="764"/>
      <c r="W230" s="764"/>
      <c r="X230" s="764"/>
      <c r="Y230" s="764"/>
      <c r="Z230" s="764"/>
    </row>
    <row r="231" ht="9.75" customHeight="1">
      <c r="A231" s="764"/>
      <c r="B231" s="764"/>
      <c r="C231" s="764"/>
      <c r="D231" s="764"/>
      <c r="E231" s="764"/>
      <c r="F231" s="763"/>
      <c r="G231" s="763"/>
      <c r="H231" s="763"/>
      <c r="I231" s="764"/>
      <c r="J231" s="764"/>
      <c r="K231" s="764"/>
      <c r="L231" s="764"/>
      <c r="M231" s="764"/>
      <c r="N231" s="764"/>
      <c r="O231" s="764"/>
      <c r="P231" s="764"/>
      <c r="Q231" s="764"/>
      <c r="R231" s="764"/>
      <c r="S231" s="764"/>
      <c r="T231" s="764"/>
      <c r="U231" s="764"/>
      <c r="V231" s="764"/>
      <c r="W231" s="764"/>
      <c r="X231" s="764"/>
      <c r="Y231" s="764"/>
      <c r="Z231" s="764"/>
    </row>
    <row r="232" ht="9.75" customHeight="1">
      <c r="A232" s="764"/>
      <c r="B232" s="764"/>
      <c r="C232" s="764"/>
      <c r="D232" s="764"/>
      <c r="E232" s="764"/>
      <c r="F232" s="763"/>
      <c r="G232" s="763"/>
      <c r="H232" s="763"/>
      <c r="I232" s="764"/>
      <c r="J232" s="764"/>
      <c r="K232" s="764"/>
      <c r="L232" s="764"/>
      <c r="M232" s="764"/>
      <c r="N232" s="764"/>
      <c r="O232" s="764"/>
      <c r="P232" s="764"/>
      <c r="Q232" s="764"/>
      <c r="R232" s="764"/>
      <c r="S232" s="764"/>
      <c r="T232" s="764"/>
      <c r="U232" s="764"/>
      <c r="V232" s="764"/>
      <c r="W232" s="764"/>
      <c r="X232" s="764"/>
      <c r="Y232" s="764"/>
      <c r="Z232" s="764"/>
    </row>
    <row r="233" ht="9.75" customHeight="1">
      <c r="A233" s="764"/>
      <c r="B233" s="764"/>
      <c r="C233" s="764"/>
      <c r="D233" s="764"/>
      <c r="E233" s="764"/>
      <c r="F233" s="763"/>
      <c r="G233" s="763"/>
      <c r="H233" s="763"/>
      <c r="I233" s="764"/>
      <c r="J233" s="764"/>
      <c r="K233" s="764"/>
      <c r="L233" s="764"/>
      <c r="M233" s="764"/>
      <c r="N233" s="764"/>
      <c r="O233" s="764"/>
      <c r="P233" s="764"/>
      <c r="Q233" s="764"/>
      <c r="R233" s="764"/>
      <c r="S233" s="764"/>
      <c r="T233" s="764"/>
      <c r="U233" s="764"/>
      <c r="V233" s="764"/>
      <c r="W233" s="764"/>
      <c r="X233" s="764"/>
      <c r="Y233" s="764"/>
      <c r="Z233" s="764"/>
    </row>
    <row r="234" ht="9.75" customHeight="1">
      <c r="A234" s="764"/>
      <c r="B234" s="764"/>
      <c r="C234" s="764"/>
      <c r="D234" s="764"/>
      <c r="E234" s="764"/>
      <c r="F234" s="763"/>
      <c r="G234" s="763"/>
      <c r="H234" s="763"/>
      <c r="I234" s="764"/>
      <c r="J234" s="764"/>
      <c r="K234" s="764"/>
      <c r="L234" s="764"/>
      <c r="M234" s="764"/>
      <c r="N234" s="764"/>
      <c r="O234" s="764"/>
      <c r="P234" s="764"/>
      <c r="Q234" s="764"/>
      <c r="R234" s="764"/>
      <c r="S234" s="764"/>
      <c r="T234" s="764"/>
      <c r="U234" s="764"/>
      <c r="V234" s="764"/>
      <c r="W234" s="764"/>
      <c r="X234" s="764"/>
      <c r="Y234" s="764"/>
      <c r="Z234" s="764"/>
    </row>
    <row r="235" ht="9.75" customHeight="1">
      <c r="A235" s="764"/>
      <c r="B235" s="764"/>
      <c r="C235" s="764"/>
      <c r="D235" s="764"/>
      <c r="E235" s="764"/>
      <c r="F235" s="763"/>
      <c r="G235" s="763"/>
      <c r="H235" s="763"/>
      <c r="I235" s="764"/>
      <c r="J235" s="764"/>
      <c r="K235" s="764"/>
      <c r="L235" s="764"/>
      <c r="M235" s="764"/>
      <c r="N235" s="764"/>
      <c r="O235" s="764"/>
      <c r="P235" s="764"/>
      <c r="Q235" s="764"/>
      <c r="R235" s="764"/>
      <c r="S235" s="764"/>
      <c r="T235" s="764"/>
      <c r="U235" s="764"/>
      <c r="V235" s="764"/>
      <c r="W235" s="764"/>
      <c r="X235" s="764"/>
      <c r="Y235" s="764"/>
      <c r="Z235" s="764"/>
    </row>
    <row r="236" ht="9.75" customHeight="1">
      <c r="A236" s="764"/>
      <c r="B236" s="764"/>
      <c r="C236" s="764"/>
      <c r="D236" s="764"/>
      <c r="E236" s="764"/>
      <c r="F236" s="763"/>
      <c r="G236" s="763"/>
      <c r="H236" s="763"/>
      <c r="I236" s="764"/>
      <c r="J236" s="764"/>
      <c r="K236" s="764"/>
      <c r="L236" s="764"/>
      <c r="M236" s="764"/>
      <c r="N236" s="764"/>
      <c r="O236" s="764"/>
      <c r="P236" s="764"/>
      <c r="Q236" s="764"/>
      <c r="R236" s="764"/>
      <c r="S236" s="764"/>
      <c r="T236" s="764"/>
      <c r="U236" s="764"/>
      <c r="V236" s="764"/>
      <c r="W236" s="764"/>
      <c r="X236" s="764"/>
      <c r="Y236" s="764"/>
      <c r="Z236" s="764"/>
    </row>
    <row r="237" ht="9.75" customHeight="1">
      <c r="A237" s="764"/>
      <c r="B237" s="764"/>
      <c r="C237" s="764"/>
      <c r="D237" s="764"/>
      <c r="E237" s="764"/>
      <c r="F237" s="763"/>
      <c r="G237" s="763"/>
      <c r="H237" s="763"/>
      <c r="I237" s="764"/>
      <c r="J237" s="764"/>
      <c r="K237" s="764"/>
      <c r="L237" s="764"/>
      <c r="M237" s="764"/>
      <c r="N237" s="764"/>
      <c r="O237" s="764"/>
      <c r="P237" s="764"/>
      <c r="Q237" s="764"/>
      <c r="R237" s="764"/>
      <c r="S237" s="764"/>
      <c r="T237" s="764"/>
      <c r="U237" s="764"/>
      <c r="V237" s="764"/>
      <c r="W237" s="764"/>
      <c r="X237" s="764"/>
      <c r="Y237" s="764"/>
      <c r="Z237" s="764"/>
    </row>
    <row r="238" ht="9.75" customHeight="1">
      <c r="A238" s="764"/>
      <c r="B238" s="764"/>
      <c r="C238" s="764"/>
      <c r="D238" s="764"/>
      <c r="E238" s="764"/>
      <c r="F238" s="763"/>
      <c r="G238" s="763"/>
      <c r="H238" s="763"/>
      <c r="I238" s="764"/>
      <c r="J238" s="764"/>
      <c r="K238" s="764"/>
      <c r="L238" s="764"/>
      <c r="M238" s="764"/>
      <c r="N238" s="764"/>
      <c r="O238" s="764"/>
      <c r="P238" s="764"/>
      <c r="Q238" s="764"/>
      <c r="R238" s="764"/>
      <c r="S238" s="764"/>
      <c r="T238" s="764"/>
      <c r="U238" s="764"/>
      <c r="V238" s="764"/>
      <c r="W238" s="764"/>
      <c r="X238" s="764"/>
      <c r="Y238" s="764"/>
      <c r="Z238" s="764"/>
    </row>
    <row r="239" ht="9.75" customHeight="1">
      <c r="A239" s="764"/>
      <c r="B239" s="764"/>
      <c r="C239" s="764"/>
      <c r="D239" s="764"/>
      <c r="E239" s="764"/>
      <c r="F239" s="763"/>
      <c r="G239" s="763"/>
      <c r="H239" s="763"/>
      <c r="I239" s="764"/>
      <c r="J239" s="764"/>
      <c r="K239" s="764"/>
      <c r="L239" s="764"/>
      <c r="M239" s="764"/>
      <c r="N239" s="764"/>
      <c r="O239" s="764"/>
      <c r="P239" s="764"/>
      <c r="Q239" s="764"/>
      <c r="R239" s="764"/>
      <c r="S239" s="764"/>
      <c r="T239" s="764"/>
      <c r="U239" s="764"/>
      <c r="V239" s="764"/>
      <c r="W239" s="764"/>
      <c r="X239" s="764"/>
      <c r="Y239" s="764"/>
      <c r="Z239" s="764"/>
    </row>
    <row r="240" ht="9.75" customHeight="1">
      <c r="A240" s="764"/>
      <c r="B240" s="764"/>
      <c r="C240" s="764"/>
      <c r="D240" s="764"/>
      <c r="E240" s="764"/>
      <c r="F240" s="763"/>
      <c r="G240" s="763"/>
      <c r="H240" s="763"/>
      <c r="I240" s="764"/>
      <c r="J240" s="764"/>
      <c r="K240" s="764"/>
      <c r="L240" s="764"/>
      <c r="M240" s="764"/>
      <c r="N240" s="764"/>
      <c r="O240" s="764"/>
      <c r="P240" s="764"/>
      <c r="Q240" s="764"/>
      <c r="R240" s="764"/>
      <c r="S240" s="764"/>
      <c r="T240" s="764"/>
      <c r="U240" s="764"/>
      <c r="V240" s="764"/>
      <c r="W240" s="764"/>
      <c r="X240" s="764"/>
      <c r="Y240" s="764"/>
      <c r="Z240" s="764"/>
    </row>
    <row r="241" ht="9.75" customHeight="1">
      <c r="A241" s="764"/>
      <c r="B241" s="764"/>
      <c r="C241" s="764"/>
      <c r="D241" s="764"/>
      <c r="E241" s="764"/>
      <c r="F241" s="763"/>
      <c r="G241" s="763"/>
      <c r="H241" s="763"/>
      <c r="I241" s="764"/>
      <c r="J241" s="764"/>
      <c r="K241" s="764"/>
      <c r="L241" s="764"/>
      <c r="M241" s="764"/>
      <c r="N241" s="764"/>
      <c r="O241" s="764"/>
      <c r="P241" s="764"/>
      <c r="Q241" s="764"/>
      <c r="R241" s="764"/>
      <c r="S241" s="764"/>
      <c r="T241" s="764"/>
      <c r="U241" s="764"/>
      <c r="V241" s="764"/>
      <c r="W241" s="764"/>
      <c r="X241" s="764"/>
      <c r="Y241" s="764"/>
      <c r="Z241" s="764"/>
    </row>
    <row r="242" ht="9.75" customHeight="1">
      <c r="A242" s="764"/>
      <c r="B242" s="764"/>
      <c r="C242" s="764"/>
      <c r="D242" s="764"/>
      <c r="E242" s="764"/>
      <c r="F242" s="763"/>
      <c r="G242" s="763"/>
      <c r="H242" s="763"/>
      <c r="I242" s="764"/>
      <c r="J242" s="764"/>
      <c r="K242" s="764"/>
      <c r="L242" s="764"/>
      <c r="M242" s="764"/>
      <c r="N242" s="764"/>
      <c r="O242" s="764"/>
      <c r="P242" s="764"/>
      <c r="Q242" s="764"/>
      <c r="R242" s="764"/>
      <c r="S242" s="764"/>
      <c r="T242" s="764"/>
      <c r="U242" s="764"/>
      <c r="V242" s="764"/>
      <c r="W242" s="764"/>
      <c r="X242" s="764"/>
      <c r="Y242" s="764"/>
      <c r="Z242" s="764"/>
    </row>
    <row r="243" ht="9.75" customHeight="1">
      <c r="A243" s="764"/>
      <c r="B243" s="764"/>
      <c r="C243" s="764"/>
      <c r="D243" s="764"/>
      <c r="E243" s="764"/>
      <c r="F243" s="763"/>
      <c r="G243" s="763"/>
      <c r="H243" s="763"/>
      <c r="I243" s="764"/>
      <c r="J243" s="764"/>
      <c r="K243" s="764"/>
      <c r="L243" s="764"/>
      <c r="M243" s="764"/>
      <c r="N243" s="764"/>
      <c r="O243" s="764"/>
      <c r="P243" s="764"/>
      <c r="Q243" s="764"/>
      <c r="R243" s="764"/>
      <c r="S243" s="764"/>
      <c r="T243" s="764"/>
      <c r="U243" s="764"/>
      <c r="V243" s="764"/>
      <c r="W243" s="764"/>
      <c r="X243" s="764"/>
      <c r="Y243" s="764"/>
      <c r="Z243" s="764"/>
    </row>
    <row r="244" ht="9.75" customHeight="1">
      <c r="A244" s="764"/>
      <c r="B244" s="764"/>
      <c r="C244" s="764"/>
      <c r="D244" s="764"/>
      <c r="E244" s="764"/>
      <c r="F244" s="763"/>
      <c r="G244" s="763"/>
      <c r="H244" s="763"/>
      <c r="I244" s="764"/>
      <c r="J244" s="764"/>
      <c r="K244" s="764"/>
      <c r="L244" s="764"/>
      <c r="M244" s="764"/>
      <c r="N244" s="764"/>
      <c r="O244" s="764"/>
      <c r="P244" s="764"/>
      <c r="Q244" s="764"/>
      <c r="R244" s="764"/>
      <c r="S244" s="764"/>
      <c r="T244" s="764"/>
      <c r="U244" s="764"/>
      <c r="V244" s="764"/>
      <c r="W244" s="764"/>
      <c r="X244" s="764"/>
      <c r="Y244" s="764"/>
      <c r="Z244" s="764"/>
    </row>
    <row r="245" ht="9.75" customHeight="1">
      <c r="A245" s="764"/>
      <c r="B245" s="764"/>
      <c r="C245" s="764"/>
      <c r="D245" s="764"/>
      <c r="E245" s="764"/>
      <c r="F245" s="763"/>
      <c r="G245" s="763"/>
      <c r="H245" s="763"/>
      <c r="I245" s="764"/>
      <c r="J245" s="764"/>
      <c r="K245" s="764"/>
      <c r="L245" s="764"/>
      <c r="M245" s="764"/>
      <c r="N245" s="764"/>
      <c r="O245" s="764"/>
      <c r="P245" s="764"/>
      <c r="Q245" s="764"/>
      <c r="R245" s="764"/>
      <c r="S245" s="764"/>
      <c r="T245" s="764"/>
      <c r="U245" s="764"/>
      <c r="V245" s="764"/>
      <c r="W245" s="764"/>
      <c r="X245" s="764"/>
      <c r="Y245" s="764"/>
      <c r="Z245" s="764"/>
    </row>
    <row r="246" ht="9.75" customHeight="1">
      <c r="A246" s="764"/>
      <c r="B246" s="764"/>
      <c r="C246" s="764"/>
      <c r="D246" s="764"/>
      <c r="E246" s="764"/>
      <c r="F246" s="763"/>
      <c r="G246" s="763"/>
      <c r="H246" s="763"/>
      <c r="I246" s="764"/>
      <c r="J246" s="764"/>
      <c r="K246" s="764"/>
      <c r="L246" s="764"/>
      <c r="M246" s="764"/>
      <c r="N246" s="764"/>
      <c r="O246" s="764"/>
      <c r="P246" s="764"/>
      <c r="Q246" s="764"/>
      <c r="R246" s="764"/>
      <c r="S246" s="764"/>
      <c r="T246" s="764"/>
      <c r="U246" s="764"/>
      <c r="V246" s="764"/>
      <c r="W246" s="764"/>
      <c r="X246" s="764"/>
      <c r="Y246" s="764"/>
      <c r="Z246" s="764"/>
    </row>
    <row r="247" ht="9.75" customHeight="1">
      <c r="A247" s="764"/>
      <c r="B247" s="764"/>
      <c r="C247" s="764"/>
      <c r="D247" s="764"/>
      <c r="E247" s="764"/>
      <c r="F247" s="763"/>
      <c r="G247" s="763"/>
      <c r="H247" s="763"/>
      <c r="I247" s="764"/>
      <c r="J247" s="764"/>
      <c r="K247" s="764"/>
      <c r="L247" s="764"/>
      <c r="M247" s="764"/>
      <c r="N247" s="764"/>
      <c r="O247" s="764"/>
      <c r="P247" s="764"/>
      <c r="Q247" s="764"/>
      <c r="R247" s="764"/>
      <c r="S247" s="764"/>
      <c r="T247" s="764"/>
      <c r="U247" s="764"/>
      <c r="V247" s="764"/>
      <c r="W247" s="764"/>
      <c r="X247" s="764"/>
      <c r="Y247" s="764"/>
      <c r="Z247" s="764"/>
    </row>
    <row r="248" ht="9.75" customHeight="1">
      <c r="A248" s="764"/>
      <c r="B248" s="764"/>
      <c r="C248" s="764"/>
      <c r="D248" s="764"/>
      <c r="E248" s="764"/>
      <c r="F248" s="763"/>
      <c r="G248" s="763"/>
      <c r="H248" s="763"/>
      <c r="I248" s="764"/>
      <c r="J248" s="764"/>
      <c r="K248" s="764"/>
      <c r="L248" s="764"/>
      <c r="M248" s="764"/>
      <c r="N248" s="764"/>
      <c r="O248" s="764"/>
      <c r="P248" s="764"/>
      <c r="Q248" s="764"/>
      <c r="R248" s="764"/>
      <c r="S248" s="764"/>
      <c r="T248" s="764"/>
      <c r="U248" s="764"/>
      <c r="V248" s="764"/>
      <c r="W248" s="764"/>
      <c r="X248" s="764"/>
      <c r="Y248" s="764"/>
      <c r="Z248" s="764"/>
    </row>
    <row r="249" ht="9.75" customHeight="1">
      <c r="A249" s="764"/>
      <c r="B249" s="764"/>
      <c r="C249" s="764"/>
      <c r="D249" s="764"/>
      <c r="E249" s="764"/>
      <c r="F249" s="763"/>
      <c r="G249" s="763"/>
      <c r="H249" s="763"/>
      <c r="I249" s="764"/>
      <c r="J249" s="764"/>
      <c r="K249" s="764"/>
      <c r="L249" s="764"/>
      <c r="M249" s="764"/>
      <c r="N249" s="764"/>
      <c r="O249" s="764"/>
      <c r="P249" s="764"/>
      <c r="Q249" s="764"/>
      <c r="R249" s="764"/>
      <c r="S249" s="764"/>
      <c r="T249" s="764"/>
      <c r="U249" s="764"/>
      <c r="V249" s="764"/>
      <c r="W249" s="764"/>
      <c r="X249" s="764"/>
      <c r="Y249" s="764"/>
      <c r="Z249" s="764"/>
    </row>
    <row r="250" ht="9.75" customHeight="1">
      <c r="A250" s="764"/>
      <c r="B250" s="764"/>
      <c r="C250" s="764"/>
      <c r="D250" s="764"/>
      <c r="E250" s="764"/>
      <c r="F250" s="763"/>
      <c r="G250" s="763"/>
      <c r="H250" s="763"/>
      <c r="I250" s="764"/>
      <c r="J250" s="764"/>
      <c r="K250" s="764"/>
      <c r="L250" s="764"/>
      <c r="M250" s="764"/>
      <c r="N250" s="764"/>
      <c r="O250" s="764"/>
      <c r="P250" s="764"/>
      <c r="Q250" s="764"/>
      <c r="R250" s="764"/>
      <c r="S250" s="764"/>
      <c r="T250" s="764"/>
      <c r="U250" s="764"/>
      <c r="V250" s="764"/>
      <c r="W250" s="764"/>
      <c r="X250" s="764"/>
      <c r="Y250" s="764"/>
      <c r="Z250" s="764"/>
    </row>
    <row r="251" ht="9.75" customHeight="1">
      <c r="A251" s="764"/>
      <c r="B251" s="764"/>
      <c r="C251" s="764"/>
      <c r="D251" s="764"/>
      <c r="E251" s="764"/>
      <c r="F251" s="763"/>
      <c r="G251" s="763"/>
      <c r="H251" s="763"/>
      <c r="I251" s="764"/>
      <c r="J251" s="764"/>
      <c r="K251" s="764"/>
      <c r="L251" s="764"/>
      <c r="M251" s="764"/>
      <c r="N251" s="764"/>
      <c r="O251" s="764"/>
      <c r="P251" s="764"/>
      <c r="Q251" s="764"/>
      <c r="R251" s="764"/>
      <c r="S251" s="764"/>
      <c r="T251" s="764"/>
      <c r="U251" s="764"/>
      <c r="V251" s="764"/>
      <c r="W251" s="764"/>
      <c r="X251" s="764"/>
      <c r="Y251" s="764"/>
      <c r="Z251" s="764"/>
    </row>
    <row r="252" ht="9.75" customHeight="1">
      <c r="A252" s="764"/>
      <c r="B252" s="764"/>
      <c r="C252" s="764"/>
      <c r="D252" s="764"/>
      <c r="E252" s="764"/>
      <c r="F252" s="763"/>
      <c r="G252" s="763"/>
      <c r="H252" s="763"/>
      <c r="I252" s="764"/>
      <c r="J252" s="764"/>
      <c r="K252" s="764"/>
      <c r="L252" s="764"/>
      <c r="M252" s="764"/>
      <c r="N252" s="764"/>
      <c r="O252" s="764"/>
      <c r="P252" s="764"/>
      <c r="Q252" s="764"/>
      <c r="R252" s="764"/>
      <c r="S252" s="764"/>
      <c r="T252" s="764"/>
      <c r="U252" s="764"/>
      <c r="V252" s="764"/>
      <c r="W252" s="764"/>
      <c r="X252" s="764"/>
      <c r="Y252" s="764"/>
      <c r="Z252" s="764"/>
    </row>
    <row r="253" ht="9.75" customHeight="1">
      <c r="A253" s="764"/>
      <c r="B253" s="764"/>
      <c r="C253" s="764"/>
      <c r="D253" s="764"/>
      <c r="E253" s="764"/>
      <c r="F253" s="763"/>
      <c r="G253" s="763"/>
      <c r="H253" s="763"/>
      <c r="I253" s="764"/>
      <c r="J253" s="764"/>
      <c r="K253" s="764"/>
      <c r="L253" s="764"/>
      <c r="M253" s="764"/>
      <c r="N253" s="764"/>
      <c r="O253" s="764"/>
      <c r="P253" s="764"/>
      <c r="Q253" s="764"/>
      <c r="R253" s="764"/>
      <c r="S253" s="764"/>
      <c r="T253" s="764"/>
      <c r="U253" s="764"/>
      <c r="V253" s="764"/>
      <c r="W253" s="764"/>
      <c r="X253" s="764"/>
      <c r="Y253" s="764"/>
      <c r="Z253" s="764"/>
    </row>
    <row r="254" ht="9.75" customHeight="1">
      <c r="A254" s="764"/>
      <c r="B254" s="764"/>
      <c r="C254" s="764"/>
      <c r="D254" s="764"/>
      <c r="E254" s="764"/>
      <c r="F254" s="763"/>
      <c r="G254" s="763"/>
      <c r="H254" s="763"/>
      <c r="I254" s="764"/>
      <c r="J254" s="764"/>
      <c r="K254" s="764"/>
      <c r="L254" s="764"/>
      <c r="M254" s="764"/>
      <c r="N254" s="764"/>
      <c r="O254" s="764"/>
      <c r="P254" s="764"/>
      <c r="Q254" s="764"/>
      <c r="R254" s="764"/>
      <c r="S254" s="764"/>
      <c r="T254" s="764"/>
      <c r="U254" s="764"/>
      <c r="V254" s="764"/>
      <c r="W254" s="764"/>
      <c r="X254" s="764"/>
      <c r="Y254" s="764"/>
      <c r="Z254" s="764"/>
    </row>
    <row r="255" ht="9.75" customHeight="1">
      <c r="A255" s="764"/>
      <c r="B255" s="764"/>
      <c r="C255" s="764"/>
      <c r="D255" s="764"/>
      <c r="E255" s="764"/>
      <c r="F255" s="763"/>
      <c r="G255" s="763"/>
      <c r="H255" s="763"/>
      <c r="I255" s="764"/>
      <c r="J255" s="764"/>
      <c r="K255" s="764"/>
      <c r="L255" s="764"/>
      <c r="M255" s="764"/>
      <c r="N255" s="764"/>
      <c r="O255" s="764"/>
      <c r="P255" s="764"/>
      <c r="Q255" s="764"/>
      <c r="R255" s="764"/>
      <c r="S255" s="764"/>
      <c r="T255" s="764"/>
      <c r="U255" s="764"/>
      <c r="V255" s="764"/>
      <c r="W255" s="764"/>
      <c r="X255" s="764"/>
      <c r="Y255" s="764"/>
      <c r="Z255" s="764"/>
    </row>
    <row r="256" ht="9.75" customHeight="1">
      <c r="A256" s="764"/>
      <c r="B256" s="764"/>
      <c r="C256" s="764"/>
      <c r="D256" s="764"/>
      <c r="E256" s="764"/>
      <c r="F256" s="763"/>
      <c r="G256" s="763"/>
      <c r="H256" s="763"/>
      <c r="I256" s="764"/>
      <c r="J256" s="764"/>
      <c r="K256" s="764"/>
      <c r="L256" s="764"/>
      <c r="M256" s="764"/>
      <c r="N256" s="764"/>
      <c r="O256" s="764"/>
      <c r="P256" s="764"/>
      <c r="Q256" s="764"/>
      <c r="R256" s="764"/>
      <c r="S256" s="764"/>
      <c r="T256" s="764"/>
      <c r="U256" s="764"/>
      <c r="V256" s="764"/>
      <c r="W256" s="764"/>
      <c r="X256" s="764"/>
      <c r="Y256" s="764"/>
      <c r="Z256" s="764"/>
    </row>
    <row r="257" ht="9.75" customHeight="1">
      <c r="A257" s="764"/>
      <c r="B257" s="764"/>
      <c r="C257" s="764"/>
      <c r="D257" s="764"/>
      <c r="E257" s="764"/>
      <c r="F257" s="763"/>
      <c r="G257" s="763"/>
      <c r="H257" s="763"/>
      <c r="I257" s="764"/>
      <c r="J257" s="764"/>
      <c r="K257" s="764"/>
      <c r="L257" s="764"/>
      <c r="M257" s="764"/>
      <c r="N257" s="764"/>
      <c r="O257" s="764"/>
      <c r="P257" s="764"/>
      <c r="Q257" s="764"/>
      <c r="R257" s="764"/>
      <c r="S257" s="764"/>
      <c r="T257" s="764"/>
      <c r="U257" s="764"/>
      <c r="V257" s="764"/>
      <c r="W257" s="764"/>
      <c r="X257" s="764"/>
      <c r="Y257" s="764"/>
      <c r="Z257" s="764"/>
    </row>
    <row r="258" ht="9.75" customHeight="1">
      <c r="A258" s="764"/>
      <c r="B258" s="764"/>
      <c r="C258" s="764"/>
      <c r="D258" s="764"/>
      <c r="E258" s="764"/>
      <c r="F258" s="763"/>
      <c r="G258" s="763"/>
      <c r="H258" s="763"/>
      <c r="I258" s="764"/>
      <c r="J258" s="764"/>
      <c r="K258" s="764"/>
      <c r="L258" s="764"/>
      <c r="M258" s="764"/>
      <c r="N258" s="764"/>
      <c r="O258" s="764"/>
      <c r="P258" s="764"/>
      <c r="Q258" s="764"/>
      <c r="R258" s="764"/>
      <c r="S258" s="764"/>
      <c r="T258" s="764"/>
      <c r="U258" s="764"/>
      <c r="V258" s="764"/>
      <c r="W258" s="764"/>
      <c r="X258" s="764"/>
      <c r="Y258" s="764"/>
      <c r="Z258" s="764"/>
    </row>
    <row r="259" ht="9.75" customHeight="1">
      <c r="A259" s="764"/>
      <c r="B259" s="764"/>
      <c r="C259" s="764"/>
      <c r="D259" s="764"/>
      <c r="E259" s="764"/>
      <c r="F259" s="763"/>
      <c r="G259" s="763"/>
      <c r="H259" s="763"/>
      <c r="I259" s="764"/>
      <c r="J259" s="764"/>
      <c r="K259" s="764"/>
      <c r="L259" s="764"/>
      <c r="M259" s="764"/>
      <c r="N259" s="764"/>
      <c r="O259" s="764"/>
      <c r="P259" s="764"/>
      <c r="Q259" s="764"/>
      <c r="R259" s="764"/>
      <c r="S259" s="764"/>
      <c r="T259" s="764"/>
      <c r="U259" s="764"/>
      <c r="V259" s="764"/>
      <c r="W259" s="764"/>
      <c r="X259" s="764"/>
      <c r="Y259" s="764"/>
      <c r="Z259" s="764"/>
    </row>
    <row r="260" ht="9.75" customHeight="1">
      <c r="A260" s="764"/>
      <c r="B260" s="764"/>
      <c r="C260" s="764"/>
      <c r="D260" s="764"/>
      <c r="E260" s="764"/>
      <c r="F260" s="763"/>
      <c r="G260" s="763"/>
      <c r="H260" s="763"/>
      <c r="I260" s="764"/>
      <c r="J260" s="764"/>
      <c r="K260" s="764"/>
      <c r="L260" s="764"/>
      <c r="M260" s="764"/>
      <c r="N260" s="764"/>
      <c r="O260" s="764"/>
      <c r="P260" s="764"/>
      <c r="Q260" s="764"/>
      <c r="R260" s="764"/>
      <c r="S260" s="764"/>
      <c r="T260" s="764"/>
      <c r="U260" s="764"/>
      <c r="V260" s="764"/>
      <c r="W260" s="764"/>
      <c r="X260" s="764"/>
      <c r="Y260" s="764"/>
      <c r="Z260" s="764"/>
    </row>
    <row r="261" ht="9.75" customHeight="1">
      <c r="A261" s="764"/>
      <c r="B261" s="764"/>
      <c r="C261" s="764"/>
      <c r="D261" s="764"/>
      <c r="E261" s="764"/>
      <c r="F261" s="763"/>
      <c r="G261" s="763"/>
      <c r="H261" s="763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  <c r="V261" s="764"/>
      <c r="W261" s="764"/>
      <c r="X261" s="764"/>
      <c r="Y261" s="764"/>
      <c r="Z261" s="764"/>
    </row>
    <row r="262" ht="9.75" customHeight="1">
      <c r="A262" s="764"/>
      <c r="B262" s="764"/>
      <c r="C262" s="764"/>
      <c r="D262" s="764"/>
      <c r="E262" s="764"/>
      <c r="F262" s="763"/>
      <c r="G262" s="763"/>
      <c r="H262" s="763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  <c r="V262" s="764"/>
      <c r="W262" s="764"/>
      <c r="X262" s="764"/>
      <c r="Y262" s="764"/>
      <c r="Z262" s="764"/>
    </row>
    <row r="263" ht="9.75" customHeight="1">
      <c r="A263" s="764"/>
      <c r="B263" s="764"/>
      <c r="C263" s="764"/>
      <c r="D263" s="764"/>
      <c r="E263" s="764"/>
      <c r="F263" s="763"/>
      <c r="G263" s="763"/>
      <c r="H263" s="763"/>
      <c r="I263" s="764"/>
      <c r="J263" s="764"/>
      <c r="K263" s="764"/>
      <c r="L263" s="764"/>
      <c r="M263" s="764"/>
      <c r="N263" s="764"/>
      <c r="O263" s="764"/>
      <c r="P263" s="764"/>
      <c r="Q263" s="764"/>
      <c r="R263" s="764"/>
      <c r="S263" s="764"/>
      <c r="T263" s="764"/>
      <c r="U263" s="764"/>
      <c r="V263" s="764"/>
      <c r="W263" s="764"/>
      <c r="X263" s="764"/>
      <c r="Y263" s="764"/>
      <c r="Z263" s="764"/>
    </row>
    <row r="264" ht="9.75" customHeight="1">
      <c r="A264" s="764"/>
      <c r="B264" s="764"/>
      <c r="C264" s="764"/>
      <c r="D264" s="764"/>
      <c r="E264" s="764"/>
      <c r="F264" s="763"/>
      <c r="G264" s="763"/>
      <c r="H264" s="763"/>
      <c r="I264" s="764"/>
      <c r="J264" s="764"/>
      <c r="K264" s="764"/>
      <c r="L264" s="764"/>
      <c r="M264" s="764"/>
      <c r="N264" s="764"/>
      <c r="O264" s="764"/>
      <c r="P264" s="764"/>
      <c r="Q264" s="764"/>
      <c r="R264" s="764"/>
      <c r="S264" s="764"/>
      <c r="T264" s="764"/>
      <c r="U264" s="764"/>
      <c r="V264" s="764"/>
      <c r="W264" s="764"/>
      <c r="X264" s="764"/>
      <c r="Y264" s="764"/>
      <c r="Z264" s="764"/>
    </row>
    <row r="265" ht="9.75" customHeight="1">
      <c r="A265" s="764"/>
      <c r="B265" s="764"/>
      <c r="C265" s="764"/>
      <c r="D265" s="764"/>
      <c r="E265" s="764"/>
      <c r="F265" s="763"/>
      <c r="G265" s="763"/>
      <c r="H265" s="763"/>
      <c r="I265" s="764"/>
      <c r="J265" s="764"/>
      <c r="K265" s="764"/>
      <c r="L265" s="764"/>
      <c r="M265" s="764"/>
      <c r="N265" s="764"/>
      <c r="O265" s="764"/>
      <c r="P265" s="764"/>
      <c r="Q265" s="764"/>
      <c r="R265" s="764"/>
      <c r="S265" s="764"/>
      <c r="T265" s="764"/>
      <c r="U265" s="764"/>
      <c r="V265" s="764"/>
      <c r="W265" s="764"/>
      <c r="X265" s="764"/>
      <c r="Y265" s="764"/>
      <c r="Z265" s="764"/>
    </row>
    <row r="266" ht="9.75" customHeight="1">
      <c r="A266" s="764"/>
      <c r="B266" s="764"/>
      <c r="C266" s="764"/>
      <c r="D266" s="764"/>
      <c r="E266" s="764"/>
      <c r="F266" s="763"/>
      <c r="G266" s="763"/>
      <c r="H266" s="763"/>
      <c r="I266" s="764"/>
      <c r="J266" s="764"/>
      <c r="K266" s="764"/>
      <c r="L266" s="764"/>
      <c r="M266" s="764"/>
      <c r="N266" s="764"/>
      <c r="O266" s="764"/>
      <c r="P266" s="764"/>
      <c r="Q266" s="764"/>
      <c r="R266" s="764"/>
      <c r="S266" s="764"/>
      <c r="T266" s="764"/>
      <c r="U266" s="764"/>
      <c r="V266" s="764"/>
      <c r="W266" s="764"/>
      <c r="X266" s="764"/>
      <c r="Y266" s="764"/>
      <c r="Z266" s="764"/>
    </row>
    <row r="267" ht="9.75" customHeight="1">
      <c r="A267" s="764"/>
      <c r="B267" s="764"/>
      <c r="C267" s="764"/>
      <c r="D267" s="764"/>
      <c r="E267" s="764"/>
      <c r="F267" s="763"/>
      <c r="G267" s="763"/>
      <c r="H267" s="763"/>
      <c r="I267" s="764"/>
      <c r="J267" s="764"/>
      <c r="K267" s="764"/>
      <c r="L267" s="764"/>
      <c r="M267" s="764"/>
      <c r="N267" s="764"/>
      <c r="O267" s="764"/>
      <c r="P267" s="764"/>
      <c r="Q267" s="764"/>
      <c r="R267" s="764"/>
      <c r="S267" s="764"/>
      <c r="T267" s="764"/>
      <c r="U267" s="764"/>
      <c r="V267" s="764"/>
      <c r="W267" s="764"/>
      <c r="X267" s="764"/>
      <c r="Y267" s="764"/>
      <c r="Z267" s="764"/>
    </row>
    <row r="268" ht="9.75" customHeight="1">
      <c r="A268" s="764"/>
      <c r="B268" s="764"/>
      <c r="C268" s="764"/>
      <c r="D268" s="764"/>
      <c r="E268" s="764"/>
      <c r="F268" s="763"/>
      <c r="G268" s="763"/>
      <c r="H268" s="763"/>
      <c r="I268" s="764"/>
      <c r="J268" s="764"/>
      <c r="K268" s="764"/>
      <c r="L268" s="764"/>
      <c r="M268" s="764"/>
      <c r="N268" s="764"/>
      <c r="O268" s="764"/>
      <c r="P268" s="764"/>
      <c r="Q268" s="764"/>
      <c r="R268" s="764"/>
      <c r="S268" s="764"/>
      <c r="T268" s="764"/>
      <c r="U268" s="764"/>
      <c r="V268" s="764"/>
      <c r="W268" s="764"/>
      <c r="X268" s="764"/>
      <c r="Y268" s="764"/>
      <c r="Z268" s="764"/>
    </row>
    <row r="269" ht="9.75" customHeight="1">
      <c r="A269" s="764"/>
      <c r="B269" s="764"/>
      <c r="C269" s="764"/>
      <c r="D269" s="764"/>
      <c r="E269" s="764"/>
      <c r="F269" s="763"/>
      <c r="G269" s="763"/>
      <c r="H269" s="763"/>
      <c r="I269" s="764"/>
      <c r="J269" s="764"/>
      <c r="K269" s="764"/>
      <c r="L269" s="764"/>
      <c r="M269" s="764"/>
      <c r="N269" s="764"/>
      <c r="O269" s="764"/>
      <c r="P269" s="764"/>
      <c r="Q269" s="764"/>
      <c r="R269" s="764"/>
      <c r="S269" s="764"/>
      <c r="T269" s="764"/>
      <c r="U269" s="764"/>
      <c r="V269" s="764"/>
      <c r="W269" s="764"/>
      <c r="X269" s="764"/>
      <c r="Y269" s="764"/>
      <c r="Z269" s="764"/>
    </row>
    <row r="270" ht="9.75" customHeight="1">
      <c r="A270" s="764"/>
      <c r="B270" s="764"/>
      <c r="C270" s="764"/>
      <c r="D270" s="764"/>
      <c r="E270" s="764"/>
      <c r="F270" s="763"/>
      <c r="G270" s="763"/>
      <c r="H270" s="763"/>
      <c r="I270" s="764"/>
      <c r="J270" s="764"/>
      <c r="K270" s="764"/>
      <c r="L270" s="764"/>
      <c r="M270" s="764"/>
      <c r="N270" s="764"/>
      <c r="O270" s="764"/>
      <c r="P270" s="764"/>
      <c r="Q270" s="764"/>
      <c r="R270" s="764"/>
      <c r="S270" s="764"/>
      <c r="T270" s="764"/>
      <c r="U270" s="764"/>
      <c r="V270" s="764"/>
      <c r="W270" s="764"/>
      <c r="X270" s="764"/>
      <c r="Y270" s="764"/>
      <c r="Z270" s="764"/>
    </row>
    <row r="271" ht="9.75" customHeight="1">
      <c r="A271" s="764"/>
      <c r="B271" s="764"/>
      <c r="C271" s="764"/>
      <c r="D271" s="764"/>
      <c r="E271" s="764"/>
      <c r="F271" s="763"/>
      <c r="G271" s="763"/>
      <c r="H271" s="763"/>
      <c r="I271" s="764"/>
      <c r="J271" s="764"/>
      <c r="K271" s="764"/>
      <c r="L271" s="764"/>
      <c r="M271" s="764"/>
      <c r="N271" s="764"/>
      <c r="O271" s="764"/>
      <c r="P271" s="764"/>
      <c r="Q271" s="764"/>
      <c r="R271" s="764"/>
      <c r="S271" s="764"/>
      <c r="T271" s="764"/>
      <c r="U271" s="764"/>
      <c r="V271" s="764"/>
      <c r="W271" s="764"/>
      <c r="X271" s="764"/>
      <c r="Y271" s="764"/>
      <c r="Z271" s="764"/>
    </row>
    <row r="272" ht="9.75" customHeight="1">
      <c r="A272" s="764"/>
      <c r="B272" s="764"/>
      <c r="C272" s="764"/>
      <c r="D272" s="764"/>
      <c r="E272" s="764"/>
      <c r="F272" s="763"/>
      <c r="G272" s="763"/>
      <c r="H272" s="763"/>
      <c r="I272" s="764"/>
      <c r="J272" s="764"/>
      <c r="K272" s="764"/>
      <c r="L272" s="764"/>
      <c r="M272" s="764"/>
      <c r="N272" s="764"/>
      <c r="O272" s="764"/>
      <c r="P272" s="764"/>
      <c r="Q272" s="764"/>
      <c r="R272" s="764"/>
      <c r="S272" s="764"/>
      <c r="T272" s="764"/>
      <c r="U272" s="764"/>
      <c r="V272" s="764"/>
      <c r="W272" s="764"/>
      <c r="X272" s="764"/>
      <c r="Y272" s="764"/>
      <c r="Z272" s="764"/>
    </row>
    <row r="273" ht="9.75" customHeight="1">
      <c r="A273" s="764"/>
      <c r="B273" s="764"/>
      <c r="C273" s="764"/>
      <c r="D273" s="764"/>
      <c r="E273" s="764"/>
      <c r="F273" s="763"/>
      <c r="G273" s="763"/>
      <c r="H273" s="763"/>
      <c r="I273" s="764"/>
      <c r="J273" s="764"/>
      <c r="K273" s="764"/>
      <c r="L273" s="764"/>
      <c r="M273" s="764"/>
      <c r="N273" s="764"/>
      <c r="O273" s="764"/>
      <c r="P273" s="764"/>
      <c r="Q273" s="764"/>
      <c r="R273" s="764"/>
      <c r="S273" s="764"/>
      <c r="T273" s="764"/>
      <c r="U273" s="764"/>
      <c r="V273" s="764"/>
      <c r="W273" s="764"/>
      <c r="X273" s="764"/>
      <c r="Y273" s="764"/>
      <c r="Z273" s="764"/>
    </row>
    <row r="274" ht="9.75" customHeight="1">
      <c r="A274" s="764"/>
      <c r="B274" s="764"/>
      <c r="C274" s="764"/>
      <c r="D274" s="764"/>
      <c r="E274" s="764"/>
      <c r="F274" s="763"/>
      <c r="G274" s="763"/>
      <c r="H274" s="763"/>
      <c r="I274" s="764"/>
      <c r="J274" s="764"/>
      <c r="K274" s="764"/>
      <c r="L274" s="764"/>
      <c r="M274" s="764"/>
      <c r="N274" s="764"/>
      <c r="O274" s="764"/>
      <c r="P274" s="764"/>
      <c r="Q274" s="764"/>
      <c r="R274" s="764"/>
      <c r="S274" s="764"/>
      <c r="T274" s="764"/>
      <c r="U274" s="764"/>
      <c r="V274" s="764"/>
      <c r="W274" s="764"/>
      <c r="X274" s="764"/>
      <c r="Y274" s="764"/>
      <c r="Z274" s="764"/>
    </row>
    <row r="275" ht="9.75" customHeight="1">
      <c r="A275" s="764"/>
      <c r="B275" s="764"/>
      <c r="C275" s="764"/>
      <c r="D275" s="764"/>
      <c r="E275" s="764"/>
      <c r="F275" s="763"/>
      <c r="G275" s="763"/>
      <c r="H275" s="763"/>
      <c r="I275" s="764"/>
      <c r="J275" s="764"/>
      <c r="K275" s="764"/>
      <c r="L275" s="764"/>
      <c r="M275" s="764"/>
      <c r="N275" s="764"/>
      <c r="O275" s="764"/>
      <c r="P275" s="764"/>
      <c r="Q275" s="764"/>
      <c r="R275" s="764"/>
      <c r="S275" s="764"/>
      <c r="T275" s="764"/>
      <c r="U275" s="764"/>
      <c r="V275" s="764"/>
      <c r="W275" s="764"/>
      <c r="X275" s="764"/>
      <c r="Y275" s="764"/>
      <c r="Z275" s="764"/>
    </row>
    <row r="276" ht="9.75" customHeight="1">
      <c r="A276" s="764"/>
      <c r="B276" s="764"/>
      <c r="C276" s="764"/>
      <c r="D276" s="764"/>
      <c r="E276" s="764"/>
      <c r="F276" s="763"/>
      <c r="G276" s="763"/>
      <c r="H276" s="763"/>
      <c r="I276" s="764"/>
      <c r="J276" s="764"/>
      <c r="K276" s="764"/>
      <c r="L276" s="764"/>
      <c r="M276" s="764"/>
      <c r="N276" s="764"/>
      <c r="O276" s="764"/>
      <c r="P276" s="764"/>
      <c r="Q276" s="764"/>
      <c r="R276" s="764"/>
      <c r="S276" s="764"/>
      <c r="T276" s="764"/>
      <c r="U276" s="764"/>
      <c r="V276" s="764"/>
      <c r="W276" s="764"/>
      <c r="X276" s="764"/>
      <c r="Y276" s="764"/>
      <c r="Z276" s="764"/>
    </row>
    <row r="277" ht="9.75" customHeight="1">
      <c r="A277" s="764"/>
      <c r="B277" s="764"/>
      <c r="C277" s="764"/>
      <c r="D277" s="764"/>
      <c r="E277" s="764"/>
      <c r="F277" s="763"/>
      <c r="G277" s="763"/>
      <c r="H277" s="763"/>
      <c r="I277" s="764"/>
      <c r="J277" s="764"/>
      <c r="K277" s="764"/>
      <c r="L277" s="764"/>
      <c r="M277" s="764"/>
      <c r="N277" s="764"/>
      <c r="O277" s="764"/>
      <c r="P277" s="764"/>
      <c r="Q277" s="764"/>
      <c r="R277" s="764"/>
      <c r="S277" s="764"/>
      <c r="T277" s="764"/>
      <c r="U277" s="764"/>
      <c r="V277" s="764"/>
      <c r="W277" s="764"/>
      <c r="X277" s="764"/>
      <c r="Y277" s="764"/>
      <c r="Z277" s="764"/>
    </row>
    <row r="278" ht="9.75" customHeight="1">
      <c r="A278" s="764"/>
      <c r="B278" s="764"/>
      <c r="C278" s="764"/>
      <c r="D278" s="764"/>
      <c r="E278" s="764"/>
      <c r="F278" s="763"/>
      <c r="G278" s="763"/>
      <c r="H278" s="763"/>
      <c r="I278" s="764"/>
      <c r="J278" s="764"/>
      <c r="K278" s="764"/>
      <c r="L278" s="764"/>
      <c r="M278" s="764"/>
      <c r="N278" s="764"/>
      <c r="O278" s="764"/>
      <c r="P278" s="764"/>
      <c r="Q278" s="764"/>
      <c r="R278" s="764"/>
      <c r="S278" s="764"/>
      <c r="T278" s="764"/>
      <c r="U278" s="764"/>
      <c r="V278" s="764"/>
      <c r="W278" s="764"/>
      <c r="X278" s="764"/>
      <c r="Y278" s="764"/>
      <c r="Z278" s="764"/>
    </row>
    <row r="279" ht="9.75" customHeight="1">
      <c r="A279" s="764"/>
      <c r="B279" s="764"/>
      <c r="C279" s="764"/>
      <c r="D279" s="764"/>
      <c r="E279" s="764"/>
      <c r="F279" s="763"/>
      <c r="G279" s="763"/>
      <c r="H279" s="763"/>
      <c r="I279" s="764"/>
      <c r="J279" s="764"/>
      <c r="K279" s="764"/>
      <c r="L279" s="764"/>
      <c r="M279" s="764"/>
      <c r="N279" s="764"/>
      <c r="O279" s="764"/>
      <c r="P279" s="764"/>
      <c r="Q279" s="764"/>
      <c r="R279" s="764"/>
      <c r="S279" s="764"/>
      <c r="T279" s="764"/>
      <c r="U279" s="764"/>
      <c r="V279" s="764"/>
      <c r="W279" s="764"/>
      <c r="X279" s="764"/>
      <c r="Y279" s="764"/>
      <c r="Z279" s="764"/>
    </row>
    <row r="280" ht="9.75" customHeight="1">
      <c r="A280" s="764"/>
      <c r="B280" s="764"/>
      <c r="C280" s="764"/>
      <c r="D280" s="764"/>
      <c r="E280" s="764"/>
      <c r="F280" s="763"/>
      <c r="G280" s="763"/>
      <c r="H280" s="763"/>
      <c r="I280" s="764"/>
      <c r="J280" s="764"/>
      <c r="K280" s="764"/>
      <c r="L280" s="764"/>
      <c r="M280" s="764"/>
      <c r="N280" s="764"/>
      <c r="O280" s="764"/>
      <c r="P280" s="764"/>
      <c r="Q280" s="764"/>
      <c r="R280" s="764"/>
      <c r="S280" s="764"/>
      <c r="T280" s="764"/>
      <c r="U280" s="764"/>
      <c r="V280" s="764"/>
      <c r="W280" s="764"/>
      <c r="X280" s="764"/>
      <c r="Y280" s="764"/>
      <c r="Z280" s="764"/>
    </row>
    <row r="281" ht="9.75" customHeight="1">
      <c r="A281" s="764"/>
      <c r="B281" s="764"/>
      <c r="C281" s="764"/>
      <c r="D281" s="764"/>
      <c r="E281" s="764"/>
      <c r="F281" s="763"/>
      <c r="G281" s="763"/>
      <c r="H281" s="763"/>
      <c r="I281" s="764"/>
      <c r="J281" s="764"/>
      <c r="K281" s="764"/>
      <c r="L281" s="764"/>
      <c r="M281" s="764"/>
      <c r="N281" s="764"/>
      <c r="O281" s="764"/>
      <c r="P281" s="764"/>
      <c r="Q281" s="764"/>
      <c r="R281" s="764"/>
      <c r="S281" s="764"/>
      <c r="T281" s="764"/>
      <c r="U281" s="764"/>
      <c r="V281" s="764"/>
      <c r="W281" s="764"/>
      <c r="X281" s="764"/>
      <c r="Y281" s="764"/>
      <c r="Z281" s="764"/>
    </row>
    <row r="282" ht="9.75" customHeight="1">
      <c r="A282" s="764"/>
      <c r="B282" s="764"/>
      <c r="C282" s="764"/>
      <c r="D282" s="764"/>
      <c r="E282" s="764"/>
      <c r="F282" s="763"/>
      <c r="G282" s="763"/>
      <c r="H282" s="763"/>
      <c r="I282" s="764"/>
      <c r="J282" s="764"/>
      <c r="K282" s="764"/>
      <c r="L282" s="764"/>
      <c r="M282" s="764"/>
      <c r="N282" s="764"/>
      <c r="O282" s="764"/>
      <c r="P282" s="764"/>
      <c r="Q282" s="764"/>
      <c r="R282" s="764"/>
      <c r="S282" s="764"/>
      <c r="T282" s="764"/>
      <c r="U282" s="764"/>
      <c r="V282" s="764"/>
      <c r="W282" s="764"/>
      <c r="X282" s="764"/>
      <c r="Y282" s="764"/>
      <c r="Z282" s="764"/>
    </row>
    <row r="283" ht="9.75" customHeight="1">
      <c r="A283" s="764"/>
      <c r="B283" s="764"/>
      <c r="C283" s="764"/>
      <c r="D283" s="764"/>
      <c r="E283" s="764"/>
      <c r="F283" s="763"/>
      <c r="G283" s="763"/>
      <c r="H283" s="763"/>
      <c r="I283" s="764"/>
      <c r="J283" s="764"/>
      <c r="K283" s="764"/>
      <c r="L283" s="764"/>
      <c r="M283" s="764"/>
      <c r="N283" s="764"/>
      <c r="O283" s="764"/>
      <c r="P283" s="764"/>
      <c r="Q283" s="764"/>
      <c r="R283" s="764"/>
      <c r="S283" s="764"/>
      <c r="T283" s="764"/>
      <c r="U283" s="764"/>
      <c r="V283" s="764"/>
      <c r="W283" s="764"/>
      <c r="X283" s="764"/>
      <c r="Y283" s="764"/>
      <c r="Z283" s="764"/>
    </row>
    <row r="284" ht="9.75" customHeight="1">
      <c r="A284" s="764"/>
      <c r="B284" s="764"/>
      <c r="C284" s="764"/>
      <c r="D284" s="764"/>
      <c r="E284" s="764"/>
      <c r="F284" s="763"/>
      <c r="G284" s="763"/>
      <c r="H284" s="763"/>
      <c r="I284" s="764"/>
      <c r="J284" s="764"/>
      <c r="K284" s="764"/>
      <c r="L284" s="764"/>
      <c r="M284" s="764"/>
      <c r="N284" s="764"/>
      <c r="O284" s="764"/>
      <c r="P284" s="764"/>
      <c r="Q284" s="764"/>
      <c r="R284" s="764"/>
      <c r="S284" s="764"/>
      <c r="T284" s="764"/>
      <c r="U284" s="764"/>
      <c r="V284" s="764"/>
      <c r="W284" s="764"/>
      <c r="X284" s="764"/>
      <c r="Y284" s="764"/>
      <c r="Z284" s="764"/>
    </row>
    <row r="285" ht="9.75" customHeight="1">
      <c r="A285" s="764"/>
      <c r="B285" s="764"/>
      <c r="C285" s="764"/>
      <c r="D285" s="764"/>
      <c r="E285" s="764"/>
      <c r="F285" s="763"/>
      <c r="G285" s="763"/>
      <c r="H285" s="763"/>
      <c r="I285" s="764"/>
      <c r="J285" s="764"/>
      <c r="K285" s="764"/>
      <c r="L285" s="764"/>
      <c r="M285" s="764"/>
      <c r="N285" s="764"/>
      <c r="O285" s="764"/>
      <c r="P285" s="764"/>
      <c r="Q285" s="764"/>
      <c r="R285" s="764"/>
      <c r="S285" s="764"/>
      <c r="T285" s="764"/>
      <c r="U285" s="764"/>
      <c r="V285" s="764"/>
      <c r="W285" s="764"/>
      <c r="X285" s="764"/>
      <c r="Y285" s="764"/>
      <c r="Z285" s="764"/>
    </row>
    <row r="286" ht="9.75" customHeight="1">
      <c r="A286" s="764"/>
      <c r="B286" s="764"/>
      <c r="C286" s="764"/>
      <c r="D286" s="764"/>
      <c r="E286" s="764"/>
      <c r="F286" s="763"/>
      <c r="G286" s="763"/>
      <c r="H286" s="763"/>
      <c r="I286" s="764"/>
      <c r="J286" s="764"/>
      <c r="K286" s="764"/>
      <c r="L286" s="764"/>
      <c r="M286" s="764"/>
      <c r="N286" s="764"/>
      <c r="O286" s="764"/>
      <c r="P286" s="764"/>
      <c r="Q286" s="764"/>
      <c r="R286" s="764"/>
      <c r="S286" s="764"/>
      <c r="T286" s="764"/>
      <c r="U286" s="764"/>
      <c r="V286" s="764"/>
      <c r="W286" s="764"/>
      <c r="X286" s="764"/>
      <c r="Y286" s="764"/>
      <c r="Z286" s="764"/>
    </row>
    <row r="287" ht="9.75" customHeight="1">
      <c r="A287" s="764"/>
      <c r="B287" s="764"/>
      <c r="C287" s="764"/>
      <c r="D287" s="764"/>
      <c r="E287" s="764"/>
      <c r="F287" s="763"/>
      <c r="G287" s="763"/>
      <c r="H287" s="763"/>
      <c r="I287" s="764"/>
      <c r="J287" s="764"/>
      <c r="K287" s="764"/>
      <c r="L287" s="764"/>
      <c r="M287" s="764"/>
      <c r="N287" s="764"/>
      <c r="O287" s="764"/>
      <c r="P287" s="764"/>
      <c r="Q287" s="764"/>
      <c r="R287" s="764"/>
      <c r="S287" s="764"/>
      <c r="T287" s="764"/>
      <c r="U287" s="764"/>
      <c r="V287" s="764"/>
      <c r="W287" s="764"/>
      <c r="X287" s="764"/>
      <c r="Y287" s="764"/>
      <c r="Z287" s="764"/>
    </row>
    <row r="288" ht="9.75" customHeight="1">
      <c r="A288" s="764"/>
      <c r="B288" s="764"/>
      <c r="C288" s="764"/>
      <c r="D288" s="764"/>
      <c r="E288" s="764"/>
      <c r="F288" s="763"/>
      <c r="G288" s="763"/>
      <c r="H288" s="763"/>
      <c r="I288" s="764"/>
      <c r="J288" s="764"/>
      <c r="K288" s="764"/>
      <c r="L288" s="764"/>
      <c r="M288" s="764"/>
      <c r="N288" s="764"/>
      <c r="O288" s="764"/>
      <c r="P288" s="764"/>
      <c r="Q288" s="764"/>
      <c r="R288" s="764"/>
      <c r="S288" s="764"/>
      <c r="T288" s="764"/>
      <c r="U288" s="764"/>
      <c r="V288" s="764"/>
      <c r="W288" s="764"/>
      <c r="X288" s="764"/>
      <c r="Y288" s="764"/>
      <c r="Z288" s="764"/>
    </row>
    <row r="289" ht="9.75" customHeight="1">
      <c r="A289" s="764"/>
      <c r="B289" s="764"/>
      <c r="C289" s="764"/>
      <c r="D289" s="764"/>
      <c r="E289" s="764"/>
      <c r="F289" s="763"/>
      <c r="G289" s="763"/>
      <c r="H289" s="763"/>
      <c r="I289" s="764"/>
      <c r="J289" s="764"/>
      <c r="K289" s="764"/>
      <c r="L289" s="764"/>
      <c r="M289" s="764"/>
      <c r="N289" s="764"/>
      <c r="O289" s="764"/>
      <c r="P289" s="764"/>
      <c r="Q289" s="764"/>
      <c r="R289" s="764"/>
      <c r="S289" s="764"/>
      <c r="T289" s="764"/>
      <c r="U289" s="764"/>
      <c r="V289" s="764"/>
      <c r="W289" s="764"/>
      <c r="X289" s="764"/>
      <c r="Y289" s="764"/>
      <c r="Z289" s="764"/>
    </row>
    <row r="290" ht="9.75" customHeight="1">
      <c r="A290" s="764"/>
      <c r="B290" s="764"/>
      <c r="C290" s="764"/>
      <c r="D290" s="764"/>
      <c r="E290" s="764"/>
      <c r="F290" s="763"/>
      <c r="G290" s="763"/>
      <c r="H290" s="763"/>
      <c r="I290" s="764"/>
      <c r="J290" s="764"/>
      <c r="K290" s="764"/>
      <c r="L290" s="764"/>
      <c r="M290" s="764"/>
      <c r="N290" s="764"/>
      <c r="O290" s="764"/>
      <c r="P290" s="764"/>
      <c r="Q290" s="764"/>
      <c r="R290" s="764"/>
      <c r="S290" s="764"/>
      <c r="T290" s="764"/>
      <c r="U290" s="764"/>
      <c r="V290" s="764"/>
      <c r="W290" s="764"/>
      <c r="X290" s="764"/>
      <c r="Y290" s="764"/>
      <c r="Z290" s="764"/>
    </row>
    <row r="291" ht="9.75" customHeight="1">
      <c r="A291" s="764"/>
      <c r="B291" s="764"/>
      <c r="C291" s="764"/>
      <c r="D291" s="764"/>
      <c r="E291" s="764"/>
      <c r="F291" s="763"/>
      <c r="G291" s="763"/>
      <c r="H291" s="763"/>
      <c r="I291" s="764"/>
      <c r="J291" s="764"/>
      <c r="K291" s="764"/>
      <c r="L291" s="764"/>
      <c r="M291" s="764"/>
      <c r="N291" s="764"/>
      <c r="O291" s="764"/>
      <c r="P291" s="764"/>
      <c r="Q291" s="764"/>
      <c r="R291" s="764"/>
      <c r="S291" s="764"/>
      <c r="T291" s="764"/>
      <c r="U291" s="764"/>
      <c r="V291" s="764"/>
      <c r="W291" s="764"/>
      <c r="X291" s="764"/>
      <c r="Y291" s="764"/>
      <c r="Z291" s="764"/>
    </row>
    <row r="292" ht="9.75" customHeight="1">
      <c r="A292" s="764"/>
      <c r="B292" s="764"/>
      <c r="C292" s="764"/>
      <c r="D292" s="764"/>
      <c r="E292" s="764"/>
      <c r="F292" s="763"/>
      <c r="G292" s="763"/>
      <c r="H292" s="763"/>
      <c r="I292" s="764"/>
      <c r="J292" s="764"/>
      <c r="K292" s="764"/>
      <c r="L292" s="764"/>
      <c r="M292" s="764"/>
      <c r="N292" s="764"/>
      <c r="O292" s="764"/>
      <c r="P292" s="764"/>
      <c r="Q292" s="764"/>
      <c r="R292" s="764"/>
      <c r="S292" s="764"/>
      <c r="T292" s="764"/>
      <c r="U292" s="764"/>
      <c r="V292" s="764"/>
      <c r="W292" s="764"/>
      <c r="X292" s="764"/>
      <c r="Y292" s="764"/>
      <c r="Z292" s="764"/>
    </row>
    <row r="293" ht="9.75" customHeight="1">
      <c r="A293" s="764"/>
      <c r="B293" s="764"/>
      <c r="C293" s="764"/>
      <c r="D293" s="764"/>
      <c r="E293" s="764"/>
      <c r="F293" s="763"/>
      <c r="G293" s="763"/>
      <c r="H293" s="763"/>
      <c r="I293" s="764"/>
      <c r="J293" s="764"/>
      <c r="K293" s="764"/>
      <c r="L293" s="764"/>
      <c r="M293" s="764"/>
      <c r="N293" s="764"/>
      <c r="O293" s="764"/>
      <c r="P293" s="764"/>
      <c r="Q293" s="764"/>
      <c r="R293" s="764"/>
      <c r="S293" s="764"/>
      <c r="T293" s="764"/>
      <c r="U293" s="764"/>
      <c r="V293" s="764"/>
      <c r="W293" s="764"/>
      <c r="X293" s="764"/>
      <c r="Y293" s="764"/>
      <c r="Z293" s="764"/>
    </row>
    <row r="294" ht="9.75" customHeight="1">
      <c r="A294" s="764"/>
      <c r="B294" s="764"/>
      <c r="C294" s="764"/>
      <c r="D294" s="764"/>
      <c r="E294" s="764"/>
      <c r="F294" s="763"/>
      <c r="G294" s="763"/>
      <c r="H294" s="763"/>
      <c r="I294" s="764"/>
      <c r="J294" s="764"/>
      <c r="K294" s="764"/>
      <c r="L294" s="764"/>
      <c r="M294" s="764"/>
      <c r="N294" s="764"/>
      <c r="O294" s="764"/>
      <c r="P294" s="764"/>
      <c r="Q294" s="764"/>
      <c r="R294" s="764"/>
      <c r="S294" s="764"/>
      <c r="T294" s="764"/>
      <c r="U294" s="764"/>
      <c r="V294" s="764"/>
      <c r="W294" s="764"/>
      <c r="X294" s="764"/>
      <c r="Y294" s="764"/>
      <c r="Z294" s="764"/>
    </row>
    <row r="295" ht="9.75" customHeight="1">
      <c r="A295" s="764"/>
      <c r="B295" s="764"/>
      <c r="C295" s="764"/>
      <c r="D295" s="764"/>
      <c r="E295" s="764"/>
      <c r="F295" s="763"/>
      <c r="G295" s="763"/>
      <c r="H295" s="763"/>
      <c r="I295" s="764"/>
      <c r="J295" s="764"/>
      <c r="K295" s="764"/>
      <c r="L295" s="764"/>
      <c r="M295" s="764"/>
      <c r="N295" s="764"/>
      <c r="O295" s="764"/>
      <c r="P295" s="764"/>
      <c r="Q295" s="764"/>
      <c r="R295" s="764"/>
      <c r="S295" s="764"/>
      <c r="T295" s="764"/>
      <c r="U295" s="764"/>
      <c r="V295" s="764"/>
      <c r="W295" s="764"/>
      <c r="X295" s="764"/>
      <c r="Y295" s="764"/>
      <c r="Z295" s="764"/>
    </row>
    <row r="296" ht="9.75" customHeight="1">
      <c r="A296" s="764"/>
      <c r="B296" s="764"/>
      <c r="C296" s="764"/>
      <c r="D296" s="764"/>
      <c r="E296" s="764"/>
      <c r="F296" s="763"/>
      <c r="G296" s="763"/>
      <c r="H296" s="763"/>
      <c r="I296" s="764"/>
      <c r="J296" s="764"/>
      <c r="K296" s="764"/>
      <c r="L296" s="764"/>
      <c r="M296" s="764"/>
      <c r="N296" s="764"/>
      <c r="O296" s="764"/>
      <c r="P296" s="764"/>
      <c r="Q296" s="764"/>
      <c r="R296" s="764"/>
      <c r="S296" s="764"/>
      <c r="T296" s="764"/>
      <c r="U296" s="764"/>
      <c r="V296" s="764"/>
      <c r="W296" s="764"/>
      <c r="X296" s="764"/>
      <c r="Y296" s="764"/>
      <c r="Z296" s="764"/>
    </row>
    <row r="297" ht="9.75" customHeight="1">
      <c r="A297" s="764"/>
      <c r="B297" s="764"/>
      <c r="C297" s="764"/>
      <c r="D297" s="764"/>
      <c r="E297" s="764"/>
      <c r="F297" s="763"/>
      <c r="G297" s="763"/>
      <c r="H297" s="763"/>
      <c r="I297" s="764"/>
      <c r="J297" s="764"/>
      <c r="K297" s="764"/>
      <c r="L297" s="764"/>
      <c r="M297" s="764"/>
      <c r="N297" s="764"/>
      <c r="O297" s="764"/>
      <c r="P297" s="764"/>
      <c r="Q297" s="764"/>
      <c r="R297" s="764"/>
      <c r="S297" s="764"/>
      <c r="T297" s="764"/>
      <c r="U297" s="764"/>
      <c r="V297" s="764"/>
      <c r="W297" s="764"/>
      <c r="X297" s="764"/>
      <c r="Y297" s="764"/>
      <c r="Z297" s="764"/>
    </row>
    <row r="298" ht="9.75" customHeight="1">
      <c r="A298" s="764"/>
      <c r="B298" s="764"/>
      <c r="C298" s="764"/>
      <c r="D298" s="764"/>
      <c r="E298" s="764"/>
      <c r="F298" s="763"/>
      <c r="G298" s="763"/>
      <c r="H298" s="763"/>
      <c r="I298" s="764"/>
      <c r="J298" s="764"/>
      <c r="K298" s="764"/>
      <c r="L298" s="764"/>
      <c r="M298" s="764"/>
      <c r="N298" s="764"/>
      <c r="O298" s="764"/>
      <c r="P298" s="764"/>
      <c r="Q298" s="764"/>
      <c r="R298" s="764"/>
      <c r="S298" s="764"/>
      <c r="T298" s="764"/>
      <c r="U298" s="764"/>
      <c r="V298" s="764"/>
      <c r="W298" s="764"/>
      <c r="X298" s="764"/>
      <c r="Y298" s="764"/>
      <c r="Z298" s="764"/>
    </row>
    <row r="299" ht="9.75" customHeight="1">
      <c r="A299" s="764"/>
      <c r="B299" s="764"/>
      <c r="C299" s="764"/>
      <c r="D299" s="764"/>
      <c r="E299" s="764"/>
      <c r="F299" s="763"/>
      <c r="G299" s="763"/>
      <c r="H299" s="763"/>
      <c r="I299" s="764"/>
      <c r="J299" s="764"/>
      <c r="K299" s="764"/>
      <c r="L299" s="764"/>
      <c r="M299" s="764"/>
      <c r="N299" s="764"/>
      <c r="O299" s="764"/>
      <c r="P299" s="764"/>
      <c r="Q299" s="764"/>
      <c r="R299" s="764"/>
      <c r="S299" s="764"/>
      <c r="T299" s="764"/>
      <c r="U299" s="764"/>
      <c r="V299" s="764"/>
      <c r="W299" s="764"/>
      <c r="X299" s="764"/>
      <c r="Y299" s="764"/>
      <c r="Z299" s="764"/>
    </row>
    <row r="300" ht="9.75" customHeight="1">
      <c r="A300" s="764"/>
      <c r="B300" s="764"/>
      <c r="C300" s="764"/>
      <c r="D300" s="764"/>
      <c r="E300" s="764"/>
      <c r="F300" s="763"/>
      <c r="G300" s="763"/>
      <c r="H300" s="763"/>
      <c r="I300" s="764"/>
      <c r="J300" s="764"/>
      <c r="K300" s="764"/>
      <c r="L300" s="764"/>
      <c r="M300" s="764"/>
      <c r="N300" s="764"/>
      <c r="O300" s="764"/>
      <c r="P300" s="764"/>
      <c r="Q300" s="764"/>
      <c r="R300" s="764"/>
      <c r="S300" s="764"/>
      <c r="T300" s="764"/>
      <c r="U300" s="764"/>
      <c r="V300" s="764"/>
      <c r="W300" s="764"/>
      <c r="X300" s="764"/>
      <c r="Y300" s="764"/>
      <c r="Z300" s="764"/>
    </row>
    <row r="301" ht="9.75" customHeight="1">
      <c r="A301" s="764"/>
      <c r="B301" s="764"/>
      <c r="C301" s="764"/>
      <c r="D301" s="764"/>
      <c r="E301" s="764"/>
      <c r="F301" s="763"/>
      <c r="G301" s="763"/>
      <c r="H301" s="763"/>
      <c r="I301" s="764"/>
      <c r="J301" s="764"/>
      <c r="K301" s="764"/>
      <c r="L301" s="764"/>
      <c r="M301" s="764"/>
      <c r="N301" s="764"/>
      <c r="O301" s="764"/>
      <c r="P301" s="764"/>
      <c r="Q301" s="764"/>
      <c r="R301" s="764"/>
      <c r="S301" s="764"/>
      <c r="T301" s="764"/>
      <c r="U301" s="764"/>
      <c r="V301" s="764"/>
      <c r="W301" s="764"/>
      <c r="X301" s="764"/>
      <c r="Y301" s="764"/>
      <c r="Z301" s="764"/>
    </row>
    <row r="302" ht="9.75" customHeight="1">
      <c r="A302" s="764"/>
      <c r="B302" s="764"/>
      <c r="C302" s="764"/>
      <c r="D302" s="764"/>
      <c r="E302" s="764"/>
      <c r="F302" s="763"/>
      <c r="G302" s="763"/>
      <c r="H302" s="763"/>
      <c r="I302" s="764"/>
      <c r="J302" s="764"/>
      <c r="K302" s="764"/>
      <c r="L302" s="764"/>
      <c r="M302" s="764"/>
      <c r="N302" s="764"/>
      <c r="O302" s="764"/>
      <c r="P302" s="764"/>
      <c r="Q302" s="764"/>
      <c r="R302" s="764"/>
      <c r="S302" s="764"/>
      <c r="T302" s="764"/>
      <c r="U302" s="764"/>
      <c r="V302" s="764"/>
      <c r="W302" s="764"/>
      <c r="X302" s="764"/>
      <c r="Y302" s="764"/>
      <c r="Z302" s="764"/>
    </row>
    <row r="303" ht="9.75" customHeight="1">
      <c r="A303" s="764"/>
      <c r="B303" s="764"/>
      <c r="C303" s="764"/>
      <c r="D303" s="764"/>
      <c r="E303" s="764"/>
      <c r="F303" s="763"/>
      <c r="G303" s="763"/>
      <c r="H303" s="763"/>
      <c r="I303" s="764"/>
      <c r="J303" s="764"/>
      <c r="K303" s="764"/>
      <c r="L303" s="764"/>
      <c r="M303" s="764"/>
      <c r="N303" s="764"/>
      <c r="O303" s="764"/>
      <c r="P303" s="764"/>
      <c r="Q303" s="764"/>
      <c r="R303" s="764"/>
      <c r="S303" s="764"/>
      <c r="T303" s="764"/>
      <c r="U303" s="764"/>
      <c r="V303" s="764"/>
      <c r="W303" s="764"/>
      <c r="X303" s="764"/>
      <c r="Y303" s="764"/>
      <c r="Z303" s="764"/>
    </row>
    <row r="304" ht="9.75" customHeight="1">
      <c r="A304" s="764"/>
      <c r="B304" s="764"/>
      <c r="C304" s="764"/>
      <c r="D304" s="764"/>
      <c r="E304" s="764"/>
      <c r="F304" s="763"/>
      <c r="G304" s="763"/>
      <c r="H304" s="763"/>
      <c r="I304" s="764"/>
      <c r="J304" s="764"/>
      <c r="K304" s="764"/>
      <c r="L304" s="764"/>
      <c r="M304" s="764"/>
      <c r="N304" s="764"/>
      <c r="O304" s="764"/>
      <c r="P304" s="764"/>
      <c r="Q304" s="764"/>
      <c r="R304" s="764"/>
      <c r="S304" s="764"/>
      <c r="T304" s="764"/>
      <c r="U304" s="764"/>
      <c r="V304" s="764"/>
      <c r="W304" s="764"/>
      <c r="X304" s="764"/>
      <c r="Y304" s="764"/>
      <c r="Z304" s="764"/>
    </row>
    <row r="305" ht="9.75" customHeight="1">
      <c r="A305" s="764"/>
      <c r="B305" s="764"/>
      <c r="C305" s="764"/>
      <c r="D305" s="764"/>
      <c r="E305" s="764"/>
      <c r="F305" s="763"/>
      <c r="G305" s="763"/>
      <c r="H305" s="763"/>
      <c r="I305" s="764"/>
      <c r="J305" s="764"/>
      <c r="K305" s="764"/>
      <c r="L305" s="764"/>
      <c r="M305" s="764"/>
      <c r="N305" s="764"/>
      <c r="O305" s="764"/>
      <c r="P305" s="764"/>
      <c r="Q305" s="764"/>
      <c r="R305" s="764"/>
      <c r="S305" s="764"/>
      <c r="T305" s="764"/>
      <c r="U305" s="764"/>
      <c r="V305" s="764"/>
      <c r="W305" s="764"/>
      <c r="X305" s="764"/>
      <c r="Y305" s="764"/>
      <c r="Z305" s="764"/>
    </row>
    <row r="306" ht="9.75" customHeight="1">
      <c r="A306" s="764"/>
      <c r="B306" s="764"/>
      <c r="C306" s="764"/>
      <c r="D306" s="764"/>
      <c r="E306" s="764"/>
      <c r="F306" s="763"/>
      <c r="G306" s="763"/>
      <c r="H306" s="763"/>
      <c r="I306" s="764"/>
      <c r="J306" s="764"/>
      <c r="K306" s="764"/>
      <c r="L306" s="764"/>
      <c r="M306" s="764"/>
      <c r="N306" s="764"/>
      <c r="O306" s="764"/>
      <c r="P306" s="764"/>
      <c r="Q306" s="764"/>
      <c r="R306" s="764"/>
      <c r="S306" s="764"/>
      <c r="T306" s="764"/>
      <c r="U306" s="764"/>
      <c r="V306" s="764"/>
      <c r="W306" s="764"/>
      <c r="X306" s="764"/>
      <c r="Y306" s="764"/>
      <c r="Z306" s="764"/>
    </row>
    <row r="307" ht="9.75" customHeight="1">
      <c r="A307" s="764"/>
      <c r="B307" s="764"/>
      <c r="C307" s="764"/>
      <c r="D307" s="764"/>
      <c r="E307" s="764"/>
      <c r="F307" s="763"/>
      <c r="G307" s="763"/>
      <c r="H307" s="763"/>
      <c r="I307" s="764"/>
      <c r="J307" s="764"/>
      <c r="K307" s="764"/>
      <c r="L307" s="764"/>
      <c r="M307" s="764"/>
      <c r="N307" s="764"/>
      <c r="O307" s="764"/>
      <c r="P307" s="764"/>
      <c r="Q307" s="764"/>
      <c r="R307" s="764"/>
      <c r="S307" s="764"/>
      <c r="T307" s="764"/>
      <c r="U307" s="764"/>
      <c r="V307" s="764"/>
      <c r="W307" s="764"/>
      <c r="X307" s="764"/>
      <c r="Y307" s="764"/>
      <c r="Z307" s="764"/>
    </row>
    <row r="308" ht="9.75" customHeight="1">
      <c r="A308" s="764"/>
      <c r="B308" s="764"/>
      <c r="C308" s="764"/>
      <c r="D308" s="764"/>
      <c r="E308" s="764"/>
      <c r="F308" s="763"/>
      <c r="G308" s="763"/>
      <c r="H308" s="763"/>
      <c r="I308" s="764"/>
      <c r="J308" s="764"/>
      <c r="K308" s="764"/>
      <c r="L308" s="764"/>
      <c r="M308" s="764"/>
      <c r="N308" s="764"/>
      <c r="O308" s="764"/>
      <c r="P308" s="764"/>
      <c r="Q308" s="764"/>
      <c r="R308" s="764"/>
      <c r="S308" s="764"/>
      <c r="T308" s="764"/>
      <c r="U308" s="764"/>
      <c r="V308" s="764"/>
      <c r="W308" s="764"/>
      <c r="X308" s="764"/>
      <c r="Y308" s="764"/>
      <c r="Z308" s="764"/>
    </row>
    <row r="309" ht="9.75" customHeight="1">
      <c r="A309" s="764"/>
      <c r="B309" s="764"/>
      <c r="C309" s="764"/>
      <c r="D309" s="764"/>
      <c r="E309" s="764"/>
      <c r="F309" s="763"/>
      <c r="G309" s="763"/>
      <c r="H309" s="763"/>
      <c r="I309" s="764"/>
      <c r="J309" s="764"/>
      <c r="K309" s="764"/>
      <c r="L309" s="764"/>
      <c r="M309" s="764"/>
      <c r="N309" s="764"/>
      <c r="O309" s="764"/>
      <c r="P309" s="764"/>
      <c r="Q309" s="764"/>
      <c r="R309" s="764"/>
      <c r="S309" s="764"/>
      <c r="T309" s="764"/>
      <c r="U309" s="764"/>
      <c r="V309" s="764"/>
      <c r="W309" s="764"/>
      <c r="X309" s="764"/>
      <c r="Y309" s="764"/>
      <c r="Z309" s="764"/>
    </row>
    <row r="310" ht="9.75" customHeight="1">
      <c r="A310" s="764"/>
      <c r="B310" s="764"/>
      <c r="C310" s="764"/>
      <c r="D310" s="764"/>
      <c r="E310" s="764"/>
      <c r="F310" s="763"/>
      <c r="G310" s="763"/>
      <c r="H310" s="763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</row>
    <row r="311" ht="9.75" customHeight="1">
      <c r="A311" s="764"/>
      <c r="B311" s="764"/>
      <c r="C311" s="764"/>
      <c r="D311" s="764"/>
      <c r="E311" s="764"/>
      <c r="F311" s="763"/>
      <c r="G311" s="763"/>
      <c r="H311" s="763"/>
      <c r="I311" s="764"/>
      <c r="J311" s="764"/>
      <c r="K311" s="764"/>
      <c r="L311" s="764"/>
      <c r="M311" s="764"/>
      <c r="N311" s="764"/>
      <c r="O311" s="764"/>
      <c r="P311" s="764"/>
      <c r="Q311" s="764"/>
      <c r="R311" s="764"/>
      <c r="S311" s="764"/>
      <c r="T311" s="764"/>
      <c r="U311" s="764"/>
      <c r="V311" s="764"/>
      <c r="W311" s="764"/>
      <c r="X311" s="764"/>
      <c r="Y311" s="764"/>
      <c r="Z311" s="764"/>
    </row>
    <row r="312" ht="9.75" customHeight="1">
      <c r="A312" s="764"/>
      <c r="B312" s="764"/>
      <c r="C312" s="764"/>
      <c r="D312" s="764"/>
      <c r="E312" s="764"/>
      <c r="F312" s="763"/>
      <c r="G312" s="763"/>
      <c r="H312" s="763"/>
      <c r="I312" s="764"/>
      <c r="J312" s="764"/>
      <c r="K312" s="764"/>
      <c r="L312" s="764"/>
      <c r="M312" s="764"/>
      <c r="N312" s="764"/>
      <c r="O312" s="764"/>
      <c r="P312" s="764"/>
      <c r="Q312" s="764"/>
      <c r="R312" s="764"/>
      <c r="S312" s="764"/>
      <c r="T312" s="764"/>
      <c r="U312" s="764"/>
      <c r="V312" s="764"/>
      <c r="W312" s="764"/>
      <c r="X312" s="764"/>
      <c r="Y312" s="764"/>
      <c r="Z312" s="764"/>
    </row>
    <row r="313" ht="9.75" customHeight="1">
      <c r="A313" s="764"/>
      <c r="B313" s="764"/>
      <c r="C313" s="764"/>
      <c r="D313" s="764"/>
      <c r="E313" s="764"/>
      <c r="F313" s="763"/>
      <c r="G313" s="763"/>
      <c r="H313" s="763"/>
      <c r="I313" s="764"/>
      <c r="J313" s="764"/>
      <c r="K313" s="764"/>
      <c r="L313" s="764"/>
      <c r="M313" s="764"/>
      <c r="N313" s="764"/>
      <c r="O313" s="764"/>
      <c r="P313" s="764"/>
      <c r="Q313" s="764"/>
      <c r="R313" s="764"/>
      <c r="S313" s="764"/>
      <c r="T313" s="764"/>
      <c r="U313" s="764"/>
      <c r="V313" s="764"/>
      <c r="W313" s="764"/>
      <c r="X313" s="764"/>
      <c r="Y313" s="764"/>
      <c r="Z313" s="764"/>
    </row>
    <row r="314" ht="9.75" customHeight="1">
      <c r="A314" s="764"/>
      <c r="B314" s="764"/>
      <c r="C314" s="764"/>
      <c r="D314" s="764"/>
      <c r="E314" s="764"/>
      <c r="F314" s="763"/>
      <c r="G314" s="763"/>
      <c r="H314" s="763"/>
      <c r="I314" s="764"/>
      <c r="J314" s="764"/>
      <c r="K314" s="764"/>
      <c r="L314" s="764"/>
      <c r="M314" s="764"/>
      <c r="N314" s="764"/>
      <c r="O314" s="764"/>
      <c r="P314" s="764"/>
      <c r="Q314" s="764"/>
      <c r="R314" s="764"/>
      <c r="S314" s="764"/>
      <c r="T314" s="764"/>
      <c r="U314" s="764"/>
      <c r="V314" s="764"/>
      <c r="W314" s="764"/>
      <c r="X314" s="764"/>
      <c r="Y314" s="764"/>
      <c r="Z314" s="764"/>
    </row>
    <row r="315" ht="9.75" customHeight="1">
      <c r="A315" s="764"/>
      <c r="B315" s="764"/>
      <c r="C315" s="764"/>
      <c r="D315" s="764"/>
      <c r="E315" s="764"/>
      <c r="F315" s="763"/>
      <c r="G315" s="763"/>
      <c r="H315" s="763"/>
      <c r="I315" s="764"/>
      <c r="J315" s="764"/>
      <c r="K315" s="764"/>
      <c r="L315" s="764"/>
      <c r="M315" s="764"/>
      <c r="N315" s="764"/>
      <c r="O315" s="764"/>
      <c r="P315" s="764"/>
      <c r="Q315" s="764"/>
      <c r="R315" s="764"/>
      <c r="S315" s="764"/>
      <c r="T315" s="764"/>
      <c r="U315" s="764"/>
      <c r="V315" s="764"/>
      <c r="W315" s="764"/>
      <c r="X315" s="764"/>
      <c r="Y315" s="764"/>
      <c r="Z315" s="764"/>
    </row>
    <row r="316" ht="9.75" customHeight="1">
      <c r="A316" s="764"/>
      <c r="B316" s="764"/>
      <c r="C316" s="764"/>
      <c r="D316" s="764"/>
      <c r="E316" s="764"/>
      <c r="F316" s="763"/>
      <c r="G316" s="763"/>
      <c r="H316" s="763"/>
      <c r="I316" s="764"/>
      <c r="J316" s="764"/>
      <c r="K316" s="764"/>
      <c r="L316" s="764"/>
      <c r="M316" s="764"/>
      <c r="N316" s="764"/>
      <c r="O316" s="764"/>
      <c r="P316" s="764"/>
      <c r="Q316" s="764"/>
      <c r="R316" s="764"/>
      <c r="S316" s="764"/>
      <c r="T316" s="764"/>
      <c r="U316" s="764"/>
      <c r="V316" s="764"/>
      <c r="W316" s="764"/>
      <c r="X316" s="764"/>
      <c r="Y316" s="764"/>
      <c r="Z316" s="764"/>
    </row>
    <row r="317" ht="9.75" customHeight="1">
      <c r="A317" s="764"/>
      <c r="B317" s="764"/>
      <c r="C317" s="764"/>
      <c r="D317" s="764"/>
      <c r="E317" s="764"/>
      <c r="F317" s="763"/>
      <c r="G317" s="763"/>
      <c r="H317" s="763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</row>
    <row r="318" ht="9.75" customHeight="1">
      <c r="A318" s="764"/>
      <c r="B318" s="764"/>
      <c r="C318" s="764"/>
      <c r="D318" s="764"/>
      <c r="E318" s="764"/>
      <c r="F318" s="763"/>
      <c r="G318" s="763"/>
      <c r="H318" s="763"/>
      <c r="I318" s="764"/>
      <c r="J318" s="764"/>
      <c r="K318" s="764"/>
      <c r="L318" s="764"/>
      <c r="M318" s="764"/>
      <c r="N318" s="764"/>
      <c r="O318" s="764"/>
      <c r="P318" s="764"/>
      <c r="Q318" s="764"/>
      <c r="R318" s="764"/>
      <c r="S318" s="764"/>
      <c r="T318" s="764"/>
      <c r="U318" s="764"/>
      <c r="V318" s="764"/>
      <c r="W318" s="764"/>
      <c r="X318" s="764"/>
      <c r="Y318" s="764"/>
      <c r="Z318" s="764"/>
    </row>
    <row r="319" ht="9.75" customHeight="1">
      <c r="A319" s="764"/>
      <c r="B319" s="764"/>
      <c r="C319" s="764"/>
      <c r="D319" s="764"/>
      <c r="E319" s="764"/>
      <c r="F319" s="763"/>
      <c r="G319" s="763"/>
      <c r="H319" s="763"/>
      <c r="I319" s="764"/>
      <c r="J319" s="764"/>
      <c r="K319" s="764"/>
      <c r="L319" s="764"/>
      <c r="M319" s="764"/>
      <c r="N319" s="764"/>
      <c r="O319" s="764"/>
      <c r="P319" s="764"/>
      <c r="Q319" s="764"/>
      <c r="R319" s="764"/>
      <c r="S319" s="764"/>
      <c r="T319" s="764"/>
      <c r="U319" s="764"/>
      <c r="V319" s="764"/>
      <c r="W319" s="764"/>
      <c r="X319" s="764"/>
      <c r="Y319" s="764"/>
      <c r="Z319" s="764"/>
    </row>
    <row r="320" ht="9.75" customHeight="1">
      <c r="A320" s="764"/>
      <c r="B320" s="764"/>
      <c r="C320" s="764"/>
      <c r="D320" s="764"/>
      <c r="E320" s="764"/>
      <c r="F320" s="763"/>
      <c r="G320" s="763"/>
      <c r="H320" s="763"/>
      <c r="I320" s="764"/>
      <c r="J320" s="764"/>
      <c r="K320" s="764"/>
      <c r="L320" s="764"/>
      <c r="M320" s="764"/>
      <c r="N320" s="764"/>
      <c r="O320" s="764"/>
      <c r="P320" s="764"/>
      <c r="Q320" s="764"/>
      <c r="R320" s="764"/>
      <c r="S320" s="764"/>
      <c r="T320" s="764"/>
      <c r="U320" s="764"/>
      <c r="V320" s="764"/>
      <c r="W320" s="764"/>
      <c r="X320" s="764"/>
      <c r="Y320" s="764"/>
      <c r="Z320" s="764"/>
    </row>
    <row r="321" ht="9.75" customHeight="1">
      <c r="A321" s="764"/>
      <c r="B321" s="764"/>
      <c r="C321" s="764"/>
      <c r="D321" s="764"/>
      <c r="E321" s="764"/>
      <c r="F321" s="763"/>
      <c r="G321" s="763"/>
      <c r="H321" s="763"/>
      <c r="I321" s="764"/>
      <c r="J321" s="764"/>
      <c r="K321" s="764"/>
      <c r="L321" s="764"/>
      <c r="M321" s="764"/>
      <c r="N321" s="764"/>
      <c r="O321" s="764"/>
      <c r="P321" s="764"/>
      <c r="Q321" s="764"/>
      <c r="R321" s="764"/>
      <c r="S321" s="764"/>
      <c r="T321" s="764"/>
      <c r="U321" s="764"/>
      <c r="V321" s="764"/>
      <c r="W321" s="764"/>
      <c r="X321" s="764"/>
      <c r="Y321" s="764"/>
      <c r="Z321" s="764"/>
    </row>
    <row r="322" ht="9.75" customHeight="1">
      <c r="A322" s="764"/>
      <c r="B322" s="764"/>
      <c r="C322" s="764"/>
      <c r="D322" s="764"/>
      <c r="E322" s="764"/>
      <c r="F322" s="763"/>
      <c r="G322" s="763"/>
      <c r="H322" s="763"/>
      <c r="I322" s="764"/>
      <c r="J322" s="764"/>
      <c r="K322" s="764"/>
      <c r="L322" s="764"/>
      <c r="M322" s="764"/>
      <c r="N322" s="764"/>
      <c r="O322" s="764"/>
      <c r="P322" s="764"/>
      <c r="Q322" s="764"/>
      <c r="R322" s="764"/>
      <c r="S322" s="764"/>
      <c r="T322" s="764"/>
      <c r="U322" s="764"/>
      <c r="V322" s="764"/>
      <c r="W322" s="764"/>
      <c r="X322" s="764"/>
      <c r="Y322" s="764"/>
      <c r="Z322" s="764"/>
    </row>
    <row r="323" ht="9.75" customHeight="1">
      <c r="A323" s="764"/>
      <c r="B323" s="764"/>
      <c r="C323" s="764"/>
      <c r="D323" s="764"/>
      <c r="E323" s="764"/>
      <c r="F323" s="763"/>
      <c r="G323" s="763"/>
      <c r="H323" s="763"/>
      <c r="I323" s="764"/>
      <c r="J323" s="764"/>
      <c r="K323" s="764"/>
      <c r="L323" s="764"/>
      <c r="M323" s="764"/>
      <c r="N323" s="764"/>
      <c r="O323" s="764"/>
      <c r="P323" s="764"/>
      <c r="Q323" s="764"/>
      <c r="R323" s="764"/>
      <c r="S323" s="764"/>
      <c r="T323" s="764"/>
      <c r="U323" s="764"/>
      <c r="V323" s="764"/>
      <c r="W323" s="764"/>
      <c r="X323" s="764"/>
      <c r="Y323" s="764"/>
      <c r="Z323" s="764"/>
    </row>
    <row r="324" ht="9.75" customHeight="1">
      <c r="A324" s="764"/>
      <c r="B324" s="764"/>
      <c r="C324" s="764"/>
      <c r="D324" s="764"/>
      <c r="E324" s="764"/>
      <c r="F324" s="763"/>
      <c r="G324" s="763"/>
      <c r="H324" s="763"/>
      <c r="I324" s="764"/>
      <c r="J324" s="764"/>
      <c r="K324" s="764"/>
      <c r="L324" s="764"/>
      <c r="M324" s="764"/>
      <c r="N324" s="764"/>
      <c r="O324" s="764"/>
      <c r="P324" s="764"/>
      <c r="Q324" s="764"/>
      <c r="R324" s="764"/>
      <c r="S324" s="764"/>
      <c r="T324" s="764"/>
      <c r="U324" s="764"/>
      <c r="V324" s="764"/>
      <c r="W324" s="764"/>
      <c r="X324" s="764"/>
      <c r="Y324" s="764"/>
      <c r="Z324" s="764"/>
    </row>
    <row r="325" ht="9.75" customHeight="1">
      <c r="A325" s="764"/>
      <c r="B325" s="764"/>
      <c r="C325" s="764"/>
      <c r="D325" s="764"/>
      <c r="E325" s="764"/>
      <c r="F325" s="763"/>
      <c r="G325" s="763"/>
      <c r="H325" s="763"/>
      <c r="I325" s="764"/>
      <c r="J325" s="764"/>
      <c r="K325" s="764"/>
      <c r="L325" s="764"/>
      <c r="M325" s="764"/>
      <c r="N325" s="764"/>
      <c r="O325" s="764"/>
      <c r="P325" s="764"/>
      <c r="Q325" s="764"/>
      <c r="R325" s="764"/>
      <c r="S325" s="764"/>
      <c r="T325" s="764"/>
      <c r="U325" s="764"/>
      <c r="V325" s="764"/>
      <c r="W325" s="764"/>
      <c r="X325" s="764"/>
      <c r="Y325" s="764"/>
      <c r="Z325" s="764"/>
    </row>
    <row r="326" ht="9.75" customHeight="1">
      <c r="A326" s="764"/>
      <c r="B326" s="764"/>
      <c r="C326" s="764"/>
      <c r="D326" s="764"/>
      <c r="E326" s="764"/>
      <c r="F326" s="763"/>
      <c r="G326" s="763"/>
      <c r="H326" s="763"/>
      <c r="I326" s="764"/>
      <c r="J326" s="764"/>
      <c r="K326" s="764"/>
      <c r="L326" s="764"/>
      <c r="M326" s="764"/>
      <c r="N326" s="764"/>
      <c r="O326" s="764"/>
      <c r="P326" s="764"/>
      <c r="Q326" s="764"/>
      <c r="R326" s="764"/>
      <c r="S326" s="764"/>
      <c r="T326" s="764"/>
      <c r="U326" s="764"/>
      <c r="V326" s="764"/>
      <c r="W326" s="764"/>
      <c r="X326" s="764"/>
      <c r="Y326" s="764"/>
      <c r="Z326" s="764"/>
    </row>
    <row r="327" ht="9.75" customHeight="1">
      <c r="A327" s="764"/>
      <c r="B327" s="764"/>
      <c r="C327" s="764"/>
      <c r="D327" s="764"/>
      <c r="E327" s="764"/>
      <c r="F327" s="763"/>
      <c r="G327" s="763"/>
      <c r="H327" s="763"/>
      <c r="I327" s="764"/>
      <c r="J327" s="764"/>
      <c r="K327" s="764"/>
      <c r="L327" s="764"/>
      <c r="M327" s="764"/>
      <c r="N327" s="764"/>
      <c r="O327" s="764"/>
      <c r="P327" s="764"/>
      <c r="Q327" s="764"/>
      <c r="R327" s="764"/>
      <c r="S327" s="764"/>
      <c r="T327" s="764"/>
      <c r="U327" s="764"/>
      <c r="V327" s="764"/>
      <c r="W327" s="764"/>
      <c r="X327" s="764"/>
      <c r="Y327" s="764"/>
      <c r="Z327" s="764"/>
    </row>
    <row r="328" ht="9.75" customHeight="1">
      <c r="A328" s="764"/>
      <c r="B328" s="764"/>
      <c r="C328" s="764"/>
      <c r="D328" s="764"/>
      <c r="E328" s="764"/>
      <c r="F328" s="763"/>
      <c r="G328" s="763"/>
      <c r="H328" s="763"/>
      <c r="I328" s="764"/>
      <c r="J328" s="764"/>
      <c r="K328" s="764"/>
      <c r="L328" s="764"/>
      <c r="M328" s="764"/>
      <c r="N328" s="764"/>
      <c r="O328" s="764"/>
      <c r="P328" s="764"/>
      <c r="Q328" s="764"/>
      <c r="R328" s="764"/>
      <c r="S328" s="764"/>
      <c r="T328" s="764"/>
      <c r="U328" s="764"/>
      <c r="V328" s="764"/>
      <c r="W328" s="764"/>
      <c r="X328" s="764"/>
      <c r="Y328" s="764"/>
      <c r="Z328" s="764"/>
    </row>
    <row r="329" ht="9.75" customHeight="1">
      <c r="A329" s="764"/>
      <c r="B329" s="764"/>
      <c r="C329" s="764"/>
      <c r="D329" s="764"/>
      <c r="E329" s="764"/>
      <c r="F329" s="763"/>
      <c r="G329" s="763"/>
      <c r="H329" s="763"/>
      <c r="I329" s="764"/>
      <c r="J329" s="764"/>
      <c r="K329" s="764"/>
      <c r="L329" s="764"/>
      <c r="M329" s="764"/>
      <c r="N329" s="764"/>
      <c r="O329" s="764"/>
      <c r="P329" s="764"/>
      <c r="Q329" s="764"/>
      <c r="R329" s="764"/>
      <c r="S329" s="764"/>
      <c r="T329" s="764"/>
      <c r="U329" s="764"/>
      <c r="V329" s="764"/>
      <c r="W329" s="764"/>
      <c r="X329" s="764"/>
      <c r="Y329" s="764"/>
      <c r="Z329" s="764"/>
    </row>
    <row r="330" ht="9.75" customHeight="1">
      <c r="A330" s="764"/>
      <c r="B330" s="764"/>
      <c r="C330" s="764"/>
      <c r="D330" s="764"/>
      <c r="E330" s="764"/>
      <c r="F330" s="763"/>
      <c r="G330" s="763"/>
      <c r="H330" s="763"/>
      <c r="I330" s="764"/>
      <c r="J330" s="764"/>
      <c r="K330" s="764"/>
      <c r="L330" s="764"/>
      <c r="M330" s="764"/>
      <c r="N330" s="764"/>
      <c r="O330" s="764"/>
      <c r="P330" s="764"/>
      <c r="Q330" s="764"/>
      <c r="R330" s="764"/>
      <c r="S330" s="764"/>
      <c r="T330" s="764"/>
      <c r="U330" s="764"/>
      <c r="V330" s="764"/>
      <c r="W330" s="764"/>
      <c r="X330" s="764"/>
      <c r="Y330" s="764"/>
      <c r="Z330" s="764"/>
    </row>
    <row r="331" ht="9.75" customHeight="1">
      <c r="A331" s="764"/>
      <c r="B331" s="764"/>
      <c r="C331" s="764"/>
      <c r="D331" s="764"/>
      <c r="E331" s="764"/>
      <c r="F331" s="763"/>
      <c r="G331" s="763"/>
      <c r="H331" s="763"/>
      <c r="I331" s="764"/>
      <c r="J331" s="764"/>
      <c r="K331" s="764"/>
      <c r="L331" s="764"/>
      <c r="M331" s="764"/>
      <c r="N331" s="764"/>
      <c r="O331" s="764"/>
      <c r="P331" s="764"/>
      <c r="Q331" s="764"/>
      <c r="R331" s="764"/>
      <c r="S331" s="764"/>
      <c r="T331" s="764"/>
      <c r="U331" s="764"/>
      <c r="V331" s="764"/>
      <c r="W331" s="764"/>
      <c r="X331" s="764"/>
      <c r="Y331" s="764"/>
      <c r="Z331" s="764"/>
    </row>
    <row r="332" ht="9.75" customHeight="1">
      <c r="A332" s="764"/>
      <c r="B332" s="764"/>
      <c r="C332" s="764"/>
      <c r="D332" s="764"/>
      <c r="E332" s="764"/>
      <c r="F332" s="763"/>
      <c r="G332" s="763"/>
      <c r="H332" s="763"/>
      <c r="I332" s="764"/>
      <c r="J332" s="764"/>
      <c r="K332" s="764"/>
      <c r="L332" s="764"/>
      <c r="M332" s="764"/>
      <c r="N332" s="764"/>
      <c r="O332" s="764"/>
      <c r="P332" s="764"/>
      <c r="Q332" s="764"/>
      <c r="R332" s="764"/>
      <c r="S332" s="764"/>
      <c r="T332" s="764"/>
      <c r="U332" s="764"/>
      <c r="V332" s="764"/>
      <c r="W332" s="764"/>
      <c r="X332" s="764"/>
      <c r="Y332" s="764"/>
      <c r="Z332" s="764"/>
    </row>
    <row r="333" ht="9.75" customHeight="1">
      <c r="A333" s="764"/>
      <c r="B333" s="764"/>
      <c r="C333" s="764"/>
      <c r="D333" s="764"/>
      <c r="E333" s="764"/>
      <c r="F333" s="763"/>
      <c r="G333" s="763"/>
      <c r="H333" s="763"/>
      <c r="I333" s="764"/>
      <c r="J333" s="764"/>
      <c r="K333" s="764"/>
      <c r="L333" s="764"/>
      <c r="M333" s="764"/>
      <c r="N333" s="764"/>
      <c r="O333" s="764"/>
      <c r="P333" s="764"/>
      <c r="Q333" s="764"/>
      <c r="R333" s="764"/>
      <c r="S333" s="764"/>
      <c r="T333" s="764"/>
      <c r="U333" s="764"/>
      <c r="V333" s="764"/>
      <c r="W333" s="764"/>
      <c r="X333" s="764"/>
      <c r="Y333" s="764"/>
      <c r="Z333" s="764"/>
    </row>
    <row r="334" ht="9.75" customHeight="1">
      <c r="A334" s="764"/>
      <c r="B334" s="764"/>
      <c r="C334" s="764"/>
      <c r="D334" s="764"/>
      <c r="E334" s="764"/>
      <c r="F334" s="763"/>
      <c r="G334" s="763"/>
      <c r="H334" s="763"/>
      <c r="I334" s="764"/>
      <c r="J334" s="764"/>
      <c r="K334" s="764"/>
      <c r="L334" s="764"/>
      <c r="M334" s="764"/>
      <c r="N334" s="764"/>
      <c r="O334" s="764"/>
      <c r="P334" s="764"/>
      <c r="Q334" s="764"/>
      <c r="R334" s="764"/>
      <c r="S334" s="764"/>
      <c r="T334" s="764"/>
      <c r="U334" s="764"/>
      <c r="V334" s="764"/>
      <c r="W334" s="764"/>
      <c r="X334" s="764"/>
      <c r="Y334" s="764"/>
      <c r="Z334" s="764"/>
    </row>
    <row r="335" ht="9.75" customHeight="1">
      <c r="A335" s="764"/>
      <c r="B335" s="764"/>
      <c r="C335" s="764"/>
      <c r="D335" s="764"/>
      <c r="E335" s="764"/>
      <c r="F335" s="763"/>
      <c r="G335" s="763"/>
      <c r="H335" s="763"/>
      <c r="I335" s="764"/>
      <c r="J335" s="764"/>
      <c r="K335" s="764"/>
      <c r="L335" s="764"/>
      <c r="M335" s="764"/>
      <c r="N335" s="764"/>
      <c r="O335" s="764"/>
      <c r="P335" s="764"/>
      <c r="Q335" s="764"/>
      <c r="R335" s="764"/>
      <c r="S335" s="764"/>
      <c r="T335" s="764"/>
      <c r="U335" s="764"/>
      <c r="V335" s="764"/>
      <c r="W335" s="764"/>
      <c r="X335" s="764"/>
      <c r="Y335" s="764"/>
      <c r="Z335" s="764"/>
    </row>
    <row r="336" ht="9.75" customHeight="1">
      <c r="A336" s="764"/>
      <c r="B336" s="764"/>
      <c r="C336" s="764"/>
      <c r="D336" s="764"/>
      <c r="E336" s="764"/>
      <c r="F336" s="763"/>
      <c r="G336" s="763"/>
      <c r="H336" s="763"/>
      <c r="I336" s="764"/>
      <c r="J336" s="764"/>
      <c r="K336" s="764"/>
      <c r="L336" s="764"/>
      <c r="M336" s="764"/>
      <c r="N336" s="764"/>
      <c r="O336" s="764"/>
      <c r="P336" s="764"/>
      <c r="Q336" s="764"/>
      <c r="R336" s="764"/>
      <c r="S336" s="764"/>
      <c r="T336" s="764"/>
      <c r="U336" s="764"/>
      <c r="V336" s="764"/>
      <c r="W336" s="764"/>
      <c r="X336" s="764"/>
      <c r="Y336" s="764"/>
      <c r="Z336" s="764"/>
    </row>
    <row r="337" ht="9.75" customHeight="1">
      <c r="A337" s="764"/>
      <c r="B337" s="764"/>
      <c r="C337" s="764"/>
      <c r="D337" s="764"/>
      <c r="E337" s="764"/>
      <c r="F337" s="763"/>
      <c r="G337" s="763"/>
      <c r="H337" s="763"/>
      <c r="I337" s="764"/>
      <c r="J337" s="764"/>
      <c r="K337" s="764"/>
      <c r="L337" s="764"/>
      <c r="M337" s="764"/>
      <c r="N337" s="764"/>
      <c r="O337" s="764"/>
      <c r="P337" s="764"/>
      <c r="Q337" s="764"/>
      <c r="R337" s="764"/>
      <c r="S337" s="764"/>
      <c r="T337" s="764"/>
      <c r="U337" s="764"/>
      <c r="V337" s="764"/>
      <c r="W337" s="764"/>
      <c r="X337" s="764"/>
      <c r="Y337" s="764"/>
      <c r="Z337" s="764"/>
    </row>
    <row r="338" ht="9.75" customHeight="1">
      <c r="A338" s="764"/>
      <c r="B338" s="764"/>
      <c r="C338" s="764"/>
      <c r="D338" s="764"/>
      <c r="E338" s="764"/>
      <c r="F338" s="763"/>
      <c r="G338" s="763"/>
      <c r="H338" s="763"/>
      <c r="I338" s="764"/>
      <c r="J338" s="764"/>
      <c r="K338" s="764"/>
      <c r="L338" s="764"/>
      <c r="M338" s="764"/>
      <c r="N338" s="764"/>
      <c r="O338" s="764"/>
      <c r="P338" s="764"/>
      <c r="Q338" s="764"/>
      <c r="R338" s="764"/>
      <c r="S338" s="764"/>
      <c r="T338" s="764"/>
      <c r="U338" s="764"/>
      <c r="V338" s="764"/>
      <c r="W338" s="764"/>
      <c r="X338" s="764"/>
      <c r="Y338" s="764"/>
      <c r="Z338" s="764"/>
    </row>
    <row r="339" ht="9.75" customHeight="1">
      <c r="A339" s="764"/>
      <c r="B339" s="764"/>
      <c r="C339" s="764"/>
      <c r="D339" s="764"/>
      <c r="E339" s="764"/>
      <c r="F339" s="763"/>
      <c r="G339" s="763"/>
      <c r="H339" s="763"/>
      <c r="I339" s="764"/>
      <c r="J339" s="764"/>
      <c r="K339" s="764"/>
      <c r="L339" s="764"/>
      <c r="M339" s="764"/>
      <c r="N339" s="764"/>
      <c r="O339" s="764"/>
      <c r="P339" s="764"/>
      <c r="Q339" s="764"/>
      <c r="R339" s="764"/>
      <c r="S339" s="764"/>
      <c r="T339" s="764"/>
      <c r="U339" s="764"/>
      <c r="V339" s="764"/>
      <c r="W339" s="764"/>
      <c r="X339" s="764"/>
      <c r="Y339" s="764"/>
      <c r="Z339" s="764"/>
    </row>
    <row r="340" ht="9.75" customHeight="1">
      <c r="A340" s="764"/>
      <c r="B340" s="764"/>
      <c r="C340" s="764"/>
      <c r="D340" s="764"/>
      <c r="E340" s="764"/>
      <c r="F340" s="763"/>
      <c r="G340" s="763"/>
      <c r="H340" s="763"/>
      <c r="I340" s="764"/>
      <c r="J340" s="764"/>
      <c r="K340" s="764"/>
      <c r="L340" s="764"/>
      <c r="M340" s="764"/>
      <c r="N340" s="764"/>
      <c r="O340" s="764"/>
      <c r="P340" s="764"/>
      <c r="Q340" s="764"/>
      <c r="R340" s="764"/>
      <c r="S340" s="764"/>
      <c r="T340" s="764"/>
      <c r="U340" s="764"/>
      <c r="V340" s="764"/>
      <c r="W340" s="764"/>
      <c r="X340" s="764"/>
      <c r="Y340" s="764"/>
      <c r="Z340" s="764"/>
    </row>
    <row r="341" ht="9.75" customHeight="1">
      <c r="A341" s="764"/>
      <c r="B341" s="764"/>
      <c r="C341" s="764"/>
      <c r="D341" s="764"/>
      <c r="E341" s="764"/>
      <c r="F341" s="763"/>
      <c r="G341" s="763"/>
      <c r="H341" s="763"/>
      <c r="I341" s="764"/>
      <c r="J341" s="764"/>
      <c r="K341" s="764"/>
      <c r="L341" s="764"/>
      <c r="M341" s="764"/>
      <c r="N341" s="764"/>
      <c r="O341" s="764"/>
      <c r="P341" s="764"/>
      <c r="Q341" s="764"/>
      <c r="R341" s="764"/>
      <c r="S341" s="764"/>
      <c r="T341" s="764"/>
      <c r="U341" s="764"/>
      <c r="V341" s="764"/>
      <c r="W341" s="764"/>
      <c r="X341" s="764"/>
      <c r="Y341" s="764"/>
      <c r="Z341" s="764"/>
    </row>
    <row r="342" ht="9.75" customHeight="1">
      <c r="A342" s="764"/>
      <c r="B342" s="764"/>
      <c r="C342" s="764"/>
      <c r="D342" s="764"/>
      <c r="E342" s="764"/>
      <c r="F342" s="763"/>
      <c r="G342" s="763"/>
      <c r="H342" s="763"/>
      <c r="I342" s="764"/>
      <c r="J342" s="764"/>
      <c r="K342" s="764"/>
      <c r="L342" s="764"/>
      <c r="M342" s="764"/>
      <c r="N342" s="764"/>
      <c r="O342" s="764"/>
      <c r="P342" s="764"/>
      <c r="Q342" s="764"/>
      <c r="R342" s="764"/>
      <c r="S342" s="764"/>
      <c r="T342" s="764"/>
      <c r="U342" s="764"/>
      <c r="V342" s="764"/>
      <c r="W342" s="764"/>
      <c r="X342" s="764"/>
      <c r="Y342" s="764"/>
      <c r="Z342" s="764"/>
    </row>
    <row r="343" ht="9.75" customHeight="1">
      <c r="A343" s="764"/>
      <c r="B343" s="764"/>
      <c r="C343" s="764"/>
      <c r="D343" s="764"/>
      <c r="E343" s="764"/>
      <c r="F343" s="763"/>
      <c r="G343" s="763"/>
      <c r="H343" s="763"/>
      <c r="I343" s="764"/>
      <c r="J343" s="764"/>
      <c r="K343" s="764"/>
      <c r="L343" s="764"/>
      <c r="M343" s="764"/>
      <c r="N343" s="764"/>
      <c r="O343" s="764"/>
      <c r="P343" s="764"/>
      <c r="Q343" s="764"/>
      <c r="R343" s="764"/>
      <c r="S343" s="764"/>
      <c r="T343" s="764"/>
      <c r="U343" s="764"/>
      <c r="V343" s="764"/>
      <c r="W343" s="764"/>
      <c r="X343" s="764"/>
      <c r="Y343" s="764"/>
      <c r="Z343" s="764"/>
    </row>
    <row r="344" ht="9.75" customHeight="1">
      <c r="A344" s="764"/>
      <c r="B344" s="764"/>
      <c r="C344" s="764"/>
      <c r="D344" s="764"/>
      <c r="E344" s="764"/>
      <c r="F344" s="763"/>
      <c r="G344" s="763"/>
      <c r="H344" s="763"/>
      <c r="I344" s="764"/>
      <c r="J344" s="764"/>
      <c r="K344" s="764"/>
      <c r="L344" s="764"/>
      <c r="M344" s="764"/>
      <c r="N344" s="764"/>
      <c r="O344" s="764"/>
      <c r="P344" s="764"/>
      <c r="Q344" s="764"/>
      <c r="R344" s="764"/>
      <c r="S344" s="764"/>
      <c r="T344" s="764"/>
      <c r="U344" s="764"/>
      <c r="V344" s="764"/>
      <c r="W344" s="764"/>
      <c r="X344" s="764"/>
      <c r="Y344" s="764"/>
      <c r="Z344" s="764"/>
    </row>
    <row r="345" ht="9.75" customHeight="1">
      <c r="A345" s="764"/>
      <c r="B345" s="764"/>
      <c r="C345" s="764"/>
      <c r="D345" s="764"/>
      <c r="E345" s="764"/>
      <c r="F345" s="763"/>
      <c r="G345" s="763"/>
      <c r="H345" s="763"/>
      <c r="I345" s="764"/>
      <c r="J345" s="764"/>
      <c r="K345" s="764"/>
      <c r="L345" s="764"/>
      <c r="M345" s="764"/>
      <c r="N345" s="764"/>
      <c r="O345" s="764"/>
      <c r="P345" s="764"/>
      <c r="Q345" s="764"/>
      <c r="R345" s="764"/>
      <c r="S345" s="764"/>
      <c r="T345" s="764"/>
      <c r="U345" s="764"/>
      <c r="V345" s="764"/>
      <c r="W345" s="764"/>
      <c r="X345" s="764"/>
      <c r="Y345" s="764"/>
      <c r="Z345" s="764"/>
    </row>
    <row r="346" ht="9.75" customHeight="1">
      <c r="A346" s="764"/>
      <c r="B346" s="764"/>
      <c r="C346" s="764"/>
      <c r="D346" s="764"/>
      <c r="E346" s="764"/>
      <c r="F346" s="763"/>
      <c r="G346" s="763"/>
      <c r="H346" s="763"/>
      <c r="I346" s="764"/>
      <c r="J346" s="764"/>
      <c r="K346" s="764"/>
      <c r="L346" s="764"/>
      <c r="M346" s="764"/>
      <c r="N346" s="764"/>
      <c r="O346" s="764"/>
      <c r="P346" s="764"/>
      <c r="Q346" s="764"/>
      <c r="R346" s="764"/>
      <c r="S346" s="764"/>
      <c r="T346" s="764"/>
      <c r="U346" s="764"/>
      <c r="V346" s="764"/>
      <c r="W346" s="764"/>
      <c r="X346" s="764"/>
      <c r="Y346" s="764"/>
      <c r="Z346" s="764"/>
    </row>
    <row r="347" ht="9.75" customHeight="1">
      <c r="A347" s="764"/>
      <c r="B347" s="764"/>
      <c r="C347" s="764"/>
      <c r="D347" s="764"/>
      <c r="E347" s="764"/>
      <c r="F347" s="763"/>
      <c r="G347" s="763"/>
      <c r="H347" s="763"/>
      <c r="I347" s="764"/>
      <c r="J347" s="764"/>
      <c r="K347" s="764"/>
      <c r="L347" s="764"/>
      <c r="M347" s="764"/>
      <c r="N347" s="764"/>
      <c r="O347" s="764"/>
      <c r="P347" s="764"/>
      <c r="Q347" s="764"/>
      <c r="R347" s="764"/>
      <c r="S347" s="764"/>
      <c r="T347" s="764"/>
      <c r="U347" s="764"/>
      <c r="V347" s="764"/>
      <c r="W347" s="764"/>
      <c r="X347" s="764"/>
      <c r="Y347" s="764"/>
      <c r="Z347" s="764"/>
    </row>
    <row r="348" ht="9.75" customHeight="1">
      <c r="A348" s="764"/>
      <c r="B348" s="764"/>
      <c r="C348" s="764"/>
      <c r="D348" s="764"/>
      <c r="E348" s="764"/>
      <c r="F348" s="763"/>
      <c r="G348" s="763"/>
      <c r="H348" s="763"/>
      <c r="I348" s="764"/>
      <c r="J348" s="764"/>
      <c r="K348" s="764"/>
      <c r="L348" s="764"/>
      <c r="M348" s="764"/>
      <c r="N348" s="764"/>
      <c r="O348" s="764"/>
      <c r="P348" s="764"/>
      <c r="Q348" s="764"/>
      <c r="R348" s="764"/>
      <c r="S348" s="764"/>
      <c r="T348" s="764"/>
      <c r="U348" s="764"/>
      <c r="V348" s="764"/>
      <c r="W348" s="764"/>
      <c r="X348" s="764"/>
      <c r="Y348" s="764"/>
      <c r="Z348" s="764"/>
    </row>
    <row r="349" ht="9.75" customHeight="1">
      <c r="A349" s="764"/>
      <c r="B349" s="764"/>
      <c r="C349" s="764"/>
      <c r="D349" s="764"/>
      <c r="E349" s="764"/>
      <c r="F349" s="763"/>
      <c r="G349" s="763"/>
      <c r="H349" s="763"/>
      <c r="I349" s="764"/>
      <c r="J349" s="764"/>
      <c r="K349" s="764"/>
      <c r="L349" s="764"/>
      <c r="M349" s="764"/>
      <c r="N349" s="764"/>
      <c r="O349" s="764"/>
      <c r="P349" s="764"/>
      <c r="Q349" s="764"/>
      <c r="R349" s="764"/>
      <c r="S349" s="764"/>
      <c r="T349" s="764"/>
      <c r="U349" s="764"/>
      <c r="V349" s="764"/>
      <c r="W349" s="764"/>
      <c r="X349" s="764"/>
      <c r="Y349" s="764"/>
      <c r="Z349" s="764"/>
    </row>
    <row r="350" ht="9.75" customHeight="1">
      <c r="A350" s="764"/>
      <c r="B350" s="764"/>
      <c r="C350" s="764"/>
      <c r="D350" s="764"/>
      <c r="E350" s="764"/>
      <c r="F350" s="763"/>
      <c r="G350" s="763"/>
      <c r="H350" s="763"/>
      <c r="I350" s="764"/>
      <c r="J350" s="764"/>
      <c r="K350" s="764"/>
      <c r="L350" s="764"/>
      <c r="M350" s="764"/>
      <c r="N350" s="764"/>
      <c r="O350" s="764"/>
      <c r="P350" s="764"/>
      <c r="Q350" s="764"/>
      <c r="R350" s="764"/>
      <c r="S350" s="764"/>
      <c r="T350" s="764"/>
      <c r="U350" s="764"/>
      <c r="V350" s="764"/>
      <c r="W350" s="764"/>
      <c r="X350" s="764"/>
      <c r="Y350" s="764"/>
      <c r="Z350" s="764"/>
    </row>
    <row r="351" ht="9.75" customHeight="1">
      <c r="A351" s="764"/>
      <c r="B351" s="764"/>
      <c r="C351" s="764"/>
      <c r="D351" s="764"/>
      <c r="E351" s="764"/>
      <c r="F351" s="763"/>
      <c r="G351" s="763"/>
      <c r="H351" s="763"/>
      <c r="I351" s="764"/>
      <c r="J351" s="764"/>
      <c r="K351" s="764"/>
      <c r="L351" s="764"/>
      <c r="M351" s="764"/>
      <c r="N351" s="764"/>
      <c r="O351" s="764"/>
      <c r="P351" s="764"/>
      <c r="Q351" s="764"/>
      <c r="R351" s="764"/>
      <c r="S351" s="764"/>
      <c r="T351" s="764"/>
      <c r="U351" s="764"/>
      <c r="V351" s="764"/>
      <c r="W351" s="764"/>
      <c r="X351" s="764"/>
      <c r="Y351" s="764"/>
      <c r="Z351" s="764"/>
    </row>
    <row r="352" ht="9.75" customHeight="1">
      <c r="A352" s="764"/>
      <c r="B352" s="764"/>
      <c r="C352" s="764"/>
      <c r="D352" s="764"/>
      <c r="E352" s="764"/>
      <c r="F352" s="763"/>
      <c r="G352" s="763"/>
      <c r="H352" s="763"/>
      <c r="I352" s="764"/>
      <c r="J352" s="764"/>
      <c r="K352" s="764"/>
      <c r="L352" s="764"/>
      <c r="M352" s="764"/>
      <c r="N352" s="764"/>
      <c r="O352" s="764"/>
      <c r="P352" s="764"/>
      <c r="Q352" s="764"/>
      <c r="R352" s="764"/>
      <c r="S352" s="764"/>
      <c r="T352" s="764"/>
      <c r="U352" s="764"/>
      <c r="V352" s="764"/>
      <c r="W352" s="764"/>
      <c r="X352" s="764"/>
      <c r="Y352" s="764"/>
      <c r="Z352" s="764"/>
    </row>
    <row r="353" ht="9.75" customHeight="1">
      <c r="A353" s="764"/>
      <c r="B353" s="764"/>
      <c r="C353" s="764"/>
      <c r="D353" s="764"/>
      <c r="E353" s="764"/>
      <c r="F353" s="763"/>
      <c r="G353" s="763"/>
      <c r="H353" s="763"/>
      <c r="I353" s="764"/>
      <c r="J353" s="764"/>
      <c r="K353" s="764"/>
      <c r="L353" s="764"/>
      <c r="M353" s="764"/>
      <c r="N353" s="764"/>
      <c r="O353" s="764"/>
      <c r="P353" s="764"/>
      <c r="Q353" s="764"/>
      <c r="R353" s="764"/>
      <c r="S353" s="764"/>
      <c r="T353" s="764"/>
      <c r="U353" s="764"/>
      <c r="V353" s="764"/>
      <c r="W353" s="764"/>
      <c r="X353" s="764"/>
      <c r="Y353" s="764"/>
      <c r="Z353" s="764"/>
    </row>
    <row r="354" ht="9.75" customHeight="1">
      <c r="A354" s="764"/>
      <c r="B354" s="764"/>
      <c r="C354" s="764"/>
      <c r="D354" s="764"/>
      <c r="E354" s="764"/>
      <c r="F354" s="763"/>
      <c r="G354" s="763"/>
      <c r="H354" s="763"/>
      <c r="I354" s="764"/>
      <c r="J354" s="764"/>
      <c r="K354" s="764"/>
      <c r="L354" s="764"/>
      <c r="M354" s="764"/>
      <c r="N354" s="764"/>
      <c r="O354" s="764"/>
      <c r="P354" s="764"/>
      <c r="Q354" s="764"/>
      <c r="R354" s="764"/>
      <c r="S354" s="764"/>
      <c r="T354" s="764"/>
      <c r="U354" s="764"/>
      <c r="V354" s="764"/>
      <c r="W354" s="764"/>
      <c r="X354" s="764"/>
      <c r="Y354" s="764"/>
      <c r="Z354" s="764"/>
    </row>
    <row r="355" ht="9.75" customHeight="1">
      <c r="A355" s="764"/>
      <c r="B355" s="764"/>
      <c r="C355" s="764"/>
      <c r="D355" s="764"/>
      <c r="E355" s="764"/>
      <c r="F355" s="763"/>
      <c r="G355" s="763"/>
      <c r="H355" s="763"/>
      <c r="I355" s="764"/>
      <c r="J355" s="764"/>
      <c r="K355" s="764"/>
      <c r="L355" s="764"/>
      <c r="M355" s="764"/>
      <c r="N355" s="764"/>
      <c r="O355" s="764"/>
      <c r="P355" s="764"/>
      <c r="Q355" s="764"/>
      <c r="R355" s="764"/>
      <c r="S355" s="764"/>
      <c r="T355" s="764"/>
      <c r="U355" s="764"/>
      <c r="V355" s="764"/>
      <c r="W355" s="764"/>
      <c r="X355" s="764"/>
      <c r="Y355" s="764"/>
      <c r="Z355" s="764"/>
    </row>
    <row r="356" ht="9.75" customHeight="1">
      <c r="A356" s="764"/>
      <c r="B356" s="764"/>
      <c r="C356" s="764"/>
      <c r="D356" s="764"/>
      <c r="E356" s="764"/>
      <c r="F356" s="763"/>
      <c r="G356" s="763"/>
      <c r="H356" s="763"/>
      <c r="I356" s="764"/>
      <c r="J356" s="764"/>
      <c r="K356" s="764"/>
      <c r="L356" s="764"/>
      <c r="M356" s="764"/>
      <c r="N356" s="764"/>
      <c r="O356" s="764"/>
      <c r="P356" s="764"/>
      <c r="Q356" s="764"/>
      <c r="R356" s="764"/>
      <c r="S356" s="764"/>
      <c r="T356" s="764"/>
      <c r="U356" s="764"/>
      <c r="V356" s="764"/>
      <c r="W356" s="764"/>
      <c r="X356" s="764"/>
      <c r="Y356" s="764"/>
      <c r="Z356" s="764"/>
    </row>
    <row r="357" ht="9.75" customHeight="1">
      <c r="A357" s="764"/>
      <c r="B357" s="764"/>
      <c r="C357" s="764"/>
      <c r="D357" s="764"/>
      <c r="E357" s="764"/>
      <c r="F357" s="763"/>
      <c r="G357" s="763"/>
      <c r="H357" s="763"/>
      <c r="I357" s="764"/>
      <c r="J357" s="764"/>
      <c r="K357" s="764"/>
      <c r="L357" s="764"/>
      <c r="M357" s="764"/>
      <c r="N357" s="764"/>
      <c r="O357" s="764"/>
      <c r="P357" s="764"/>
      <c r="Q357" s="764"/>
      <c r="R357" s="764"/>
      <c r="S357" s="764"/>
      <c r="T357" s="764"/>
      <c r="U357" s="764"/>
      <c r="V357" s="764"/>
      <c r="W357" s="764"/>
      <c r="X357" s="764"/>
      <c r="Y357" s="764"/>
      <c r="Z357" s="764"/>
    </row>
    <row r="358" ht="9.75" customHeight="1">
      <c r="A358" s="764"/>
      <c r="B358" s="764"/>
      <c r="C358" s="764"/>
      <c r="D358" s="764"/>
      <c r="E358" s="764"/>
      <c r="F358" s="763"/>
      <c r="G358" s="763"/>
      <c r="H358" s="763"/>
      <c r="I358" s="764"/>
      <c r="J358" s="764"/>
      <c r="K358" s="764"/>
      <c r="L358" s="764"/>
      <c r="M358" s="764"/>
      <c r="N358" s="764"/>
      <c r="O358" s="764"/>
      <c r="P358" s="764"/>
      <c r="Q358" s="764"/>
      <c r="R358" s="764"/>
      <c r="S358" s="764"/>
      <c r="T358" s="764"/>
      <c r="U358" s="764"/>
      <c r="V358" s="764"/>
      <c r="W358" s="764"/>
      <c r="X358" s="764"/>
      <c r="Y358" s="764"/>
      <c r="Z358" s="764"/>
    </row>
    <row r="359" ht="9.75" customHeight="1">
      <c r="A359" s="764"/>
      <c r="B359" s="764"/>
      <c r="C359" s="764"/>
      <c r="D359" s="764"/>
      <c r="E359" s="764"/>
      <c r="F359" s="763"/>
      <c r="G359" s="763"/>
      <c r="H359" s="763"/>
      <c r="I359" s="764"/>
      <c r="J359" s="764"/>
      <c r="K359" s="764"/>
      <c r="L359" s="764"/>
      <c r="M359" s="764"/>
      <c r="N359" s="764"/>
      <c r="O359" s="764"/>
      <c r="P359" s="764"/>
      <c r="Q359" s="764"/>
      <c r="R359" s="764"/>
      <c r="S359" s="764"/>
      <c r="T359" s="764"/>
      <c r="U359" s="764"/>
      <c r="V359" s="764"/>
      <c r="W359" s="764"/>
      <c r="X359" s="764"/>
      <c r="Y359" s="764"/>
      <c r="Z359" s="764"/>
    </row>
    <row r="360" ht="9.75" customHeight="1">
      <c r="A360" s="764"/>
      <c r="B360" s="764"/>
      <c r="C360" s="764"/>
      <c r="D360" s="764"/>
      <c r="E360" s="764"/>
      <c r="F360" s="763"/>
      <c r="G360" s="763"/>
      <c r="H360" s="763"/>
      <c r="I360" s="764"/>
      <c r="J360" s="764"/>
      <c r="K360" s="764"/>
      <c r="L360" s="764"/>
      <c r="M360" s="764"/>
      <c r="N360" s="764"/>
      <c r="O360" s="764"/>
      <c r="P360" s="764"/>
      <c r="Q360" s="764"/>
      <c r="R360" s="764"/>
      <c r="S360" s="764"/>
      <c r="T360" s="764"/>
      <c r="U360" s="764"/>
      <c r="V360" s="764"/>
      <c r="W360" s="764"/>
      <c r="X360" s="764"/>
      <c r="Y360" s="764"/>
      <c r="Z360" s="764"/>
    </row>
    <row r="361" ht="9.75" customHeight="1">
      <c r="A361" s="764"/>
      <c r="B361" s="764"/>
      <c r="C361" s="764"/>
      <c r="D361" s="764"/>
      <c r="E361" s="764"/>
      <c r="F361" s="763"/>
      <c r="G361" s="763"/>
      <c r="H361" s="763"/>
      <c r="I361" s="764"/>
      <c r="J361" s="764"/>
      <c r="K361" s="764"/>
      <c r="L361" s="764"/>
      <c r="M361" s="764"/>
      <c r="N361" s="764"/>
      <c r="O361" s="764"/>
      <c r="P361" s="764"/>
      <c r="Q361" s="764"/>
      <c r="R361" s="764"/>
      <c r="S361" s="764"/>
      <c r="T361" s="764"/>
      <c r="U361" s="764"/>
      <c r="V361" s="764"/>
      <c r="W361" s="764"/>
      <c r="X361" s="764"/>
      <c r="Y361" s="764"/>
      <c r="Z361" s="764"/>
    </row>
    <row r="362" ht="9.75" customHeight="1">
      <c r="A362" s="764"/>
      <c r="B362" s="764"/>
      <c r="C362" s="764"/>
      <c r="D362" s="764"/>
      <c r="E362" s="764"/>
      <c r="F362" s="763"/>
      <c r="G362" s="763"/>
      <c r="H362" s="763"/>
      <c r="I362" s="764"/>
      <c r="J362" s="764"/>
      <c r="K362" s="764"/>
      <c r="L362" s="764"/>
      <c r="M362" s="764"/>
      <c r="N362" s="764"/>
      <c r="O362" s="764"/>
      <c r="P362" s="764"/>
      <c r="Q362" s="764"/>
      <c r="R362" s="764"/>
      <c r="S362" s="764"/>
      <c r="T362" s="764"/>
      <c r="U362" s="764"/>
      <c r="V362" s="764"/>
      <c r="W362" s="764"/>
      <c r="X362" s="764"/>
      <c r="Y362" s="764"/>
      <c r="Z362" s="764"/>
    </row>
    <row r="363" ht="9.75" customHeight="1">
      <c r="A363" s="764"/>
      <c r="B363" s="764"/>
      <c r="C363" s="764"/>
      <c r="D363" s="764"/>
      <c r="E363" s="764"/>
      <c r="F363" s="763"/>
      <c r="G363" s="763"/>
      <c r="H363" s="763"/>
      <c r="I363" s="764"/>
      <c r="J363" s="764"/>
      <c r="K363" s="764"/>
      <c r="L363" s="764"/>
      <c r="M363" s="764"/>
      <c r="N363" s="764"/>
      <c r="O363" s="764"/>
      <c r="P363" s="764"/>
      <c r="Q363" s="764"/>
      <c r="R363" s="764"/>
      <c r="S363" s="764"/>
      <c r="T363" s="764"/>
      <c r="U363" s="764"/>
      <c r="V363" s="764"/>
      <c r="W363" s="764"/>
      <c r="X363" s="764"/>
      <c r="Y363" s="764"/>
      <c r="Z363" s="764"/>
    </row>
    <row r="364" ht="9.75" customHeight="1">
      <c r="A364" s="764"/>
      <c r="B364" s="764"/>
      <c r="C364" s="764"/>
      <c r="D364" s="764"/>
      <c r="E364" s="764"/>
      <c r="F364" s="763"/>
      <c r="G364" s="763"/>
      <c r="H364" s="763"/>
      <c r="I364" s="764"/>
      <c r="J364" s="764"/>
      <c r="K364" s="764"/>
      <c r="L364" s="764"/>
      <c r="M364" s="764"/>
      <c r="N364" s="764"/>
      <c r="O364" s="764"/>
      <c r="P364" s="764"/>
      <c r="Q364" s="764"/>
      <c r="R364" s="764"/>
      <c r="S364" s="764"/>
      <c r="T364" s="764"/>
      <c r="U364" s="764"/>
      <c r="V364" s="764"/>
      <c r="W364" s="764"/>
      <c r="X364" s="764"/>
      <c r="Y364" s="764"/>
      <c r="Z364" s="764"/>
    </row>
    <row r="365" ht="9.75" customHeight="1">
      <c r="A365" s="764"/>
      <c r="B365" s="764"/>
      <c r="C365" s="764"/>
      <c r="D365" s="764"/>
      <c r="E365" s="764"/>
      <c r="F365" s="763"/>
      <c r="G365" s="763"/>
      <c r="H365" s="763"/>
      <c r="I365" s="764"/>
      <c r="J365" s="764"/>
      <c r="K365" s="764"/>
      <c r="L365" s="764"/>
      <c r="M365" s="764"/>
      <c r="N365" s="764"/>
      <c r="O365" s="764"/>
      <c r="P365" s="764"/>
      <c r="Q365" s="764"/>
      <c r="R365" s="764"/>
      <c r="S365" s="764"/>
      <c r="T365" s="764"/>
      <c r="U365" s="764"/>
      <c r="V365" s="764"/>
      <c r="W365" s="764"/>
      <c r="X365" s="764"/>
      <c r="Y365" s="764"/>
      <c r="Z365" s="764"/>
    </row>
    <row r="366" ht="9.75" customHeight="1">
      <c r="A366" s="764"/>
      <c r="B366" s="764"/>
      <c r="C366" s="764"/>
      <c r="D366" s="764"/>
      <c r="E366" s="764"/>
      <c r="F366" s="763"/>
      <c r="G366" s="763"/>
      <c r="H366" s="763"/>
      <c r="I366" s="764"/>
      <c r="J366" s="764"/>
      <c r="K366" s="764"/>
      <c r="L366" s="764"/>
      <c r="M366" s="764"/>
      <c r="N366" s="764"/>
      <c r="O366" s="764"/>
      <c r="P366" s="764"/>
      <c r="Q366" s="764"/>
      <c r="R366" s="764"/>
      <c r="S366" s="764"/>
      <c r="T366" s="764"/>
      <c r="U366" s="764"/>
      <c r="V366" s="764"/>
      <c r="W366" s="764"/>
      <c r="X366" s="764"/>
      <c r="Y366" s="764"/>
      <c r="Z366" s="764"/>
    </row>
    <row r="367" ht="9.75" customHeight="1">
      <c r="A367" s="764"/>
      <c r="B367" s="764"/>
      <c r="C367" s="764"/>
      <c r="D367" s="764"/>
      <c r="E367" s="764"/>
      <c r="F367" s="763"/>
      <c r="G367" s="763"/>
      <c r="H367" s="763"/>
      <c r="I367" s="764"/>
      <c r="J367" s="764"/>
      <c r="K367" s="764"/>
      <c r="L367" s="764"/>
      <c r="M367" s="764"/>
      <c r="N367" s="764"/>
      <c r="O367" s="764"/>
      <c r="P367" s="764"/>
      <c r="Q367" s="764"/>
      <c r="R367" s="764"/>
      <c r="S367" s="764"/>
      <c r="T367" s="764"/>
      <c r="U367" s="764"/>
      <c r="V367" s="764"/>
      <c r="W367" s="764"/>
      <c r="X367" s="764"/>
      <c r="Y367" s="764"/>
      <c r="Z367" s="764"/>
    </row>
    <row r="368" ht="9.75" customHeight="1">
      <c r="A368" s="764"/>
      <c r="B368" s="764"/>
      <c r="C368" s="764"/>
      <c r="D368" s="764"/>
      <c r="E368" s="764"/>
      <c r="F368" s="763"/>
      <c r="G368" s="763"/>
      <c r="H368" s="763"/>
      <c r="I368" s="764"/>
      <c r="J368" s="764"/>
      <c r="K368" s="764"/>
      <c r="L368" s="764"/>
      <c r="M368" s="764"/>
      <c r="N368" s="764"/>
      <c r="O368" s="764"/>
      <c r="P368" s="764"/>
      <c r="Q368" s="764"/>
      <c r="R368" s="764"/>
      <c r="S368" s="764"/>
      <c r="T368" s="764"/>
      <c r="U368" s="764"/>
      <c r="V368" s="764"/>
      <c r="W368" s="764"/>
      <c r="X368" s="764"/>
      <c r="Y368" s="764"/>
      <c r="Z368" s="764"/>
    </row>
    <row r="369" ht="9.75" customHeight="1">
      <c r="A369" s="764"/>
      <c r="B369" s="764"/>
      <c r="C369" s="764"/>
      <c r="D369" s="764"/>
      <c r="E369" s="764"/>
      <c r="F369" s="763"/>
      <c r="G369" s="763"/>
      <c r="H369" s="763"/>
      <c r="I369" s="764"/>
      <c r="J369" s="764"/>
      <c r="K369" s="764"/>
      <c r="L369" s="764"/>
      <c r="M369" s="764"/>
      <c r="N369" s="764"/>
      <c r="O369" s="764"/>
      <c r="P369" s="764"/>
      <c r="Q369" s="764"/>
      <c r="R369" s="764"/>
      <c r="S369" s="764"/>
      <c r="T369" s="764"/>
      <c r="U369" s="764"/>
      <c r="V369" s="764"/>
      <c r="W369" s="764"/>
      <c r="X369" s="764"/>
      <c r="Y369" s="764"/>
      <c r="Z369" s="764"/>
    </row>
    <row r="370" ht="9.75" customHeight="1">
      <c r="A370" s="764"/>
      <c r="B370" s="764"/>
      <c r="C370" s="764"/>
      <c r="D370" s="764"/>
      <c r="E370" s="764"/>
      <c r="F370" s="763"/>
      <c r="G370" s="763"/>
      <c r="H370" s="763"/>
      <c r="I370" s="764"/>
      <c r="J370" s="764"/>
      <c r="K370" s="764"/>
      <c r="L370" s="764"/>
      <c r="M370" s="764"/>
      <c r="N370" s="764"/>
      <c r="O370" s="764"/>
      <c r="P370" s="764"/>
      <c r="Q370" s="764"/>
      <c r="R370" s="764"/>
      <c r="S370" s="764"/>
      <c r="T370" s="764"/>
      <c r="U370" s="764"/>
      <c r="V370" s="764"/>
      <c r="W370" s="764"/>
      <c r="X370" s="764"/>
      <c r="Y370" s="764"/>
      <c r="Z370" s="764"/>
    </row>
    <row r="371" ht="9.75" customHeight="1">
      <c r="A371" s="764"/>
      <c r="B371" s="764"/>
      <c r="C371" s="764"/>
      <c r="D371" s="764"/>
      <c r="E371" s="764"/>
      <c r="F371" s="763"/>
      <c r="G371" s="763"/>
      <c r="H371" s="763"/>
      <c r="I371" s="764"/>
      <c r="J371" s="764"/>
      <c r="K371" s="764"/>
      <c r="L371" s="764"/>
      <c r="M371" s="764"/>
      <c r="N371" s="764"/>
      <c r="O371" s="764"/>
      <c r="P371" s="764"/>
      <c r="Q371" s="764"/>
      <c r="R371" s="764"/>
      <c r="S371" s="764"/>
      <c r="T371" s="764"/>
      <c r="U371" s="764"/>
      <c r="V371" s="764"/>
      <c r="W371" s="764"/>
      <c r="X371" s="764"/>
      <c r="Y371" s="764"/>
      <c r="Z371" s="764"/>
    </row>
    <row r="372" ht="9.75" customHeight="1">
      <c r="A372" s="764"/>
      <c r="B372" s="764"/>
      <c r="C372" s="764"/>
      <c r="D372" s="764"/>
      <c r="E372" s="764"/>
      <c r="F372" s="763"/>
      <c r="G372" s="763"/>
      <c r="H372" s="763"/>
      <c r="I372" s="764"/>
      <c r="J372" s="764"/>
      <c r="K372" s="764"/>
      <c r="L372" s="764"/>
      <c r="M372" s="764"/>
      <c r="N372" s="764"/>
      <c r="O372" s="764"/>
      <c r="P372" s="764"/>
      <c r="Q372" s="764"/>
      <c r="R372" s="764"/>
      <c r="S372" s="764"/>
      <c r="T372" s="764"/>
      <c r="U372" s="764"/>
      <c r="V372" s="764"/>
      <c r="W372" s="764"/>
      <c r="X372" s="764"/>
      <c r="Y372" s="764"/>
      <c r="Z372" s="764"/>
    </row>
    <row r="373" ht="9.75" customHeight="1">
      <c r="A373" s="764"/>
      <c r="B373" s="764"/>
      <c r="C373" s="764"/>
      <c r="D373" s="764"/>
      <c r="E373" s="764"/>
      <c r="F373" s="763"/>
      <c r="G373" s="763"/>
      <c r="H373" s="763"/>
      <c r="I373" s="764"/>
      <c r="J373" s="764"/>
      <c r="K373" s="764"/>
      <c r="L373" s="764"/>
      <c r="M373" s="764"/>
      <c r="N373" s="764"/>
      <c r="O373" s="764"/>
      <c r="P373" s="764"/>
      <c r="Q373" s="764"/>
      <c r="R373" s="764"/>
      <c r="S373" s="764"/>
      <c r="T373" s="764"/>
      <c r="U373" s="764"/>
      <c r="V373" s="764"/>
      <c r="W373" s="764"/>
      <c r="X373" s="764"/>
      <c r="Y373" s="764"/>
      <c r="Z373" s="764"/>
    </row>
    <row r="374" ht="9.75" customHeight="1">
      <c r="A374" s="764"/>
      <c r="B374" s="764"/>
      <c r="C374" s="764"/>
      <c r="D374" s="764"/>
      <c r="E374" s="764"/>
      <c r="F374" s="763"/>
      <c r="G374" s="763"/>
      <c r="H374" s="763"/>
      <c r="I374" s="764"/>
      <c r="J374" s="764"/>
      <c r="K374" s="764"/>
      <c r="L374" s="764"/>
      <c r="M374" s="764"/>
      <c r="N374" s="764"/>
      <c r="O374" s="764"/>
      <c r="P374" s="764"/>
      <c r="Q374" s="764"/>
      <c r="R374" s="764"/>
      <c r="S374" s="764"/>
      <c r="T374" s="764"/>
      <c r="U374" s="764"/>
      <c r="V374" s="764"/>
      <c r="W374" s="764"/>
      <c r="X374" s="764"/>
      <c r="Y374" s="764"/>
      <c r="Z374" s="764"/>
    </row>
    <row r="375" ht="9.75" customHeight="1">
      <c r="A375" s="764"/>
      <c r="B375" s="764"/>
      <c r="C375" s="764"/>
      <c r="D375" s="764"/>
      <c r="E375" s="764"/>
      <c r="F375" s="763"/>
      <c r="G375" s="763"/>
      <c r="H375" s="763"/>
      <c r="I375" s="764"/>
      <c r="J375" s="764"/>
      <c r="K375" s="764"/>
      <c r="L375" s="764"/>
      <c r="M375" s="764"/>
      <c r="N375" s="764"/>
      <c r="O375" s="764"/>
      <c r="P375" s="764"/>
      <c r="Q375" s="764"/>
      <c r="R375" s="764"/>
      <c r="S375" s="764"/>
      <c r="T375" s="764"/>
      <c r="U375" s="764"/>
      <c r="V375" s="764"/>
      <c r="W375" s="764"/>
      <c r="X375" s="764"/>
      <c r="Y375" s="764"/>
      <c r="Z375" s="764"/>
    </row>
    <row r="376" ht="9.75" customHeight="1">
      <c r="A376" s="764"/>
      <c r="B376" s="764"/>
      <c r="C376" s="764"/>
      <c r="D376" s="764"/>
      <c r="E376" s="764"/>
      <c r="F376" s="763"/>
      <c r="G376" s="763"/>
      <c r="H376" s="763"/>
      <c r="I376" s="764"/>
      <c r="J376" s="764"/>
      <c r="K376" s="764"/>
      <c r="L376" s="764"/>
      <c r="M376" s="764"/>
      <c r="N376" s="764"/>
      <c r="O376" s="764"/>
      <c r="P376" s="764"/>
      <c r="Q376" s="764"/>
      <c r="R376" s="764"/>
      <c r="S376" s="764"/>
      <c r="T376" s="764"/>
      <c r="U376" s="764"/>
      <c r="V376" s="764"/>
      <c r="W376" s="764"/>
      <c r="X376" s="764"/>
      <c r="Y376" s="764"/>
      <c r="Z376" s="764"/>
    </row>
    <row r="377" ht="9.75" customHeight="1">
      <c r="A377" s="764"/>
      <c r="B377" s="764"/>
      <c r="C377" s="764"/>
      <c r="D377" s="764"/>
      <c r="E377" s="764"/>
      <c r="F377" s="763"/>
      <c r="G377" s="763"/>
      <c r="H377" s="763"/>
      <c r="I377" s="764"/>
      <c r="J377" s="764"/>
      <c r="K377" s="764"/>
      <c r="L377" s="764"/>
      <c r="M377" s="764"/>
      <c r="N377" s="764"/>
      <c r="O377" s="764"/>
      <c r="P377" s="764"/>
      <c r="Q377" s="764"/>
      <c r="R377" s="764"/>
      <c r="S377" s="764"/>
      <c r="T377" s="764"/>
      <c r="U377" s="764"/>
      <c r="V377" s="764"/>
      <c r="W377" s="764"/>
      <c r="X377" s="764"/>
      <c r="Y377" s="764"/>
      <c r="Z377" s="764"/>
    </row>
    <row r="378" ht="9.75" customHeight="1">
      <c r="A378" s="764"/>
      <c r="B378" s="764"/>
      <c r="C378" s="764"/>
      <c r="D378" s="764"/>
      <c r="E378" s="764"/>
      <c r="F378" s="763"/>
      <c r="G378" s="763"/>
      <c r="H378" s="763"/>
      <c r="I378" s="764"/>
      <c r="J378" s="764"/>
      <c r="K378" s="764"/>
      <c r="L378" s="764"/>
      <c r="M378" s="764"/>
      <c r="N378" s="764"/>
      <c r="O378" s="764"/>
      <c r="P378" s="764"/>
      <c r="Q378" s="764"/>
      <c r="R378" s="764"/>
      <c r="S378" s="764"/>
      <c r="T378" s="764"/>
      <c r="U378" s="764"/>
      <c r="V378" s="764"/>
      <c r="W378" s="764"/>
      <c r="X378" s="764"/>
      <c r="Y378" s="764"/>
      <c r="Z378" s="764"/>
    </row>
    <row r="379" ht="9.75" customHeight="1">
      <c r="A379" s="764"/>
      <c r="B379" s="764"/>
      <c r="C379" s="764"/>
      <c r="D379" s="764"/>
      <c r="E379" s="764"/>
      <c r="F379" s="763"/>
      <c r="G379" s="763"/>
      <c r="H379" s="763"/>
      <c r="I379" s="764"/>
      <c r="J379" s="764"/>
      <c r="K379" s="764"/>
      <c r="L379" s="764"/>
      <c r="M379" s="764"/>
      <c r="N379" s="764"/>
      <c r="O379" s="764"/>
      <c r="P379" s="764"/>
      <c r="Q379" s="764"/>
      <c r="R379" s="764"/>
      <c r="S379" s="764"/>
      <c r="T379" s="764"/>
      <c r="U379" s="764"/>
      <c r="V379" s="764"/>
      <c r="W379" s="764"/>
      <c r="X379" s="764"/>
      <c r="Y379" s="764"/>
      <c r="Z379" s="764"/>
    </row>
    <row r="380" ht="9.75" customHeight="1">
      <c r="A380" s="764"/>
      <c r="B380" s="764"/>
      <c r="C380" s="764"/>
      <c r="D380" s="764"/>
      <c r="E380" s="764"/>
      <c r="F380" s="763"/>
      <c r="G380" s="763"/>
      <c r="H380" s="763"/>
      <c r="I380" s="764"/>
      <c r="J380" s="764"/>
      <c r="K380" s="764"/>
      <c r="L380" s="764"/>
      <c r="M380" s="764"/>
      <c r="N380" s="764"/>
      <c r="O380" s="764"/>
      <c r="P380" s="764"/>
      <c r="Q380" s="764"/>
      <c r="R380" s="764"/>
      <c r="S380" s="764"/>
      <c r="T380" s="764"/>
      <c r="U380" s="764"/>
      <c r="V380" s="764"/>
      <c r="W380" s="764"/>
      <c r="X380" s="764"/>
      <c r="Y380" s="764"/>
      <c r="Z380" s="764"/>
    </row>
    <row r="381" ht="9.75" customHeight="1">
      <c r="A381" s="764"/>
      <c r="B381" s="764"/>
      <c r="C381" s="764"/>
      <c r="D381" s="764"/>
      <c r="E381" s="764"/>
      <c r="F381" s="763"/>
      <c r="G381" s="763"/>
      <c r="H381" s="763"/>
      <c r="I381" s="764"/>
      <c r="J381" s="764"/>
      <c r="K381" s="764"/>
      <c r="L381" s="764"/>
      <c r="M381" s="764"/>
      <c r="N381" s="764"/>
      <c r="O381" s="764"/>
      <c r="P381" s="764"/>
      <c r="Q381" s="764"/>
      <c r="R381" s="764"/>
      <c r="S381" s="764"/>
      <c r="T381" s="764"/>
      <c r="U381" s="764"/>
      <c r="V381" s="764"/>
      <c r="W381" s="764"/>
      <c r="X381" s="764"/>
      <c r="Y381" s="764"/>
      <c r="Z381" s="764"/>
    </row>
    <row r="382" ht="9.75" customHeight="1">
      <c r="A382" s="764"/>
      <c r="B382" s="764"/>
      <c r="C382" s="764"/>
      <c r="D382" s="764"/>
      <c r="E382" s="764"/>
      <c r="F382" s="763"/>
      <c r="G382" s="763"/>
      <c r="H382" s="763"/>
      <c r="I382" s="764"/>
      <c r="J382" s="764"/>
      <c r="K382" s="764"/>
      <c r="L382" s="764"/>
      <c r="M382" s="764"/>
      <c r="N382" s="764"/>
      <c r="O382" s="764"/>
      <c r="P382" s="764"/>
      <c r="Q382" s="764"/>
      <c r="R382" s="764"/>
      <c r="S382" s="764"/>
      <c r="T382" s="764"/>
      <c r="U382" s="764"/>
      <c r="V382" s="764"/>
      <c r="W382" s="764"/>
      <c r="X382" s="764"/>
      <c r="Y382" s="764"/>
      <c r="Z382" s="764"/>
    </row>
    <row r="383" ht="9.75" customHeight="1">
      <c r="A383" s="764"/>
      <c r="B383" s="764"/>
      <c r="C383" s="764"/>
      <c r="D383" s="764"/>
      <c r="E383" s="764"/>
      <c r="F383" s="763"/>
      <c r="G383" s="763"/>
      <c r="H383" s="763"/>
      <c r="I383" s="764"/>
      <c r="J383" s="764"/>
      <c r="K383" s="764"/>
      <c r="L383" s="764"/>
      <c r="M383" s="764"/>
      <c r="N383" s="764"/>
      <c r="O383" s="764"/>
      <c r="P383" s="764"/>
      <c r="Q383" s="764"/>
      <c r="R383" s="764"/>
      <c r="S383" s="764"/>
      <c r="T383" s="764"/>
      <c r="U383" s="764"/>
      <c r="V383" s="764"/>
      <c r="W383" s="764"/>
      <c r="X383" s="764"/>
      <c r="Y383" s="764"/>
      <c r="Z383" s="764"/>
    </row>
    <row r="384" ht="9.75" customHeight="1">
      <c r="A384" s="764"/>
      <c r="B384" s="764"/>
      <c r="C384" s="764"/>
      <c r="D384" s="764"/>
      <c r="E384" s="764"/>
      <c r="F384" s="763"/>
      <c r="G384" s="763"/>
      <c r="H384" s="763"/>
      <c r="I384" s="764"/>
      <c r="J384" s="764"/>
      <c r="K384" s="764"/>
      <c r="L384" s="764"/>
      <c r="M384" s="764"/>
      <c r="N384" s="764"/>
      <c r="O384" s="764"/>
      <c r="P384" s="764"/>
      <c r="Q384" s="764"/>
      <c r="R384" s="764"/>
      <c r="S384" s="764"/>
      <c r="T384" s="764"/>
      <c r="U384" s="764"/>
      <c r="V384" s="764"/>
      <c r="W384" s="764"/>
      <c r="X384" s="764"/>
      <c r="Y384" s="764"/>
      <c r="Z384" s="764"/>
    </row>
    <row r="385" ht="9.75" customHeight="1">
      <c r="A385" s="764"/>
      <c r="B385" s="764"/>
      <c r="C385" s="764"/>
      <c r="D385" s="764"/>
      <c r="E385" s="764"/>
      <c r="F385" s="763"/>
      <c r="G385" s="763"/>
      <c r="H385" s="763"/>
      <c r="I385" s="764"/>
      <c r="J385" s="764"/>
      <c r="K385" s="764"/>
      <c r="L385" s="764"/>
      <c r="M385" s="764"/>
      <c r="N385" s="764"/>
      <c r="O385" s="764"/>
      <c r="P385" s="764"/>
      <c r="Q385" s="764"/>
      <c r="R385" s="764"/>
      <c r="S385" s="764"/>
      <c r="T385" s="764"/>
      <c r="U385" s="764"/>
      <c r="V385" s="764"/>
      <c r="W385" s="764"/>
      <c r="X385" s="764"/>
      <c r="Y385" s="764"/>
      <c r="Z385" s="764"/>
    </row>
    <row r="386" ht="9.75" customHeight="1">
      <c r="A386" s="764"/>
      <c r="B386" s="764"/>
      <c r="C386" s="764"/>
      <c r="D386" s="764"/>
      <c r="E386" s="764"/>
      <c r="F386" s="763"/>
      <c r="G386" s="763"/>
      <c r="H386" s="763"/>
      <c r="I386" s="764"/>
      <c r="J386" s="764"/>
      <c r="K386" s="764"/>
      <c r="L386" s="764"/>
      <c r="M386" s="764"/>
      <c r="N386" s="764"/>
      <c r="O386" s="764"/>
      <c r="P386" s="764"/>
      <c r="Q386" s="764"/>
      <c r="R386" s="764"/>
      <c r="S386" s="764"/>
      <c r="T386" s="764"/>
      <c r="U386" s="764"/>
      <c r="V386" s="764"/>
      <c r="W386" s="764"/>
      <c r="X386" s="764"/>
      <c r="Y386" s="764"/>
      <c r="Z386" s="764"/>
    </row>
    <row r="387" ht="9.75" customHeight="1">
      <c r="A387" s="764"/>
      <c r="B387" s="764"/>
      <c r="C387" s="764"/>
      <c r="D387" s="764"/>
      <c r="E387" s="764"/>
      <c r="F387" s="763"/>
      <c r="G387" s="763"/>
      <c r="H387" s="763"/>
      <c r="I387" s="764"/>
      <c r="J387" s="764"/>
      <c r="K387" s="764"/>
      <c r="L387" s="764"/>
      <c r="M387" s="764"/>
      <c r="N387" s="764"/>
      <c r="O387" s="764"/>
      <c r="P387" s="764"/>
      <c r="Q387" s="764"/>
      <c r="R387" s="764"/>
      <c r="S387" s="764"/>
      <c r="T387" s="764"/>
      <c r="U387" s="764"/>
      <c r="V387" s="764"/>
      <c r="W387" s="764"/>
      <c r="X387" s="764"/>
      <c r="Y387" s="764"/>
      <c r="Z387" s="764"/>
    </row>
    <row r="388" ht="9.75" customHeight="1">
      <c r="A388" s="764"/>
      <c r="B388" s="764"/>
      <c r="C388" s="764"/>
      <c r="D388" s="764"/>
      <c r="E388" s="764"/>
      <c r="F388" s="763"/>
      <c r="G388" s="763"/>
      <c r="H388" s="763"/>
      <c r="I388" s="764"/>
      <c r="J388" s="764"/>
      <c r="K388" s="764"/>
      <c r="L388" s="764"/>
      <c r="M388" s="764"/>
      <c r="N388" s="764"/>
      <c r="O388" s="764"/>
      <c r="P388" s="764"/>
      <c r="Q388" s="764"/>
      <c r="R388" s="764"/>
      <c r="S388" s="764"/>
      <c r="T388" s="764"/>
      <c r="U388" s="764"/>
      <c r="V388" s="764"/>
      <c r="W388" s="764"/>
      <c r="X388" s="764"/>
      <c r="Y388" s="764"/>
      <c r="Z388" s="764"/>
    </row>
    <row r="389" ht="9.75" customHeight="1">
      <c r="A389" s="764"/>
      <c r="B389" s="764"/>
      <c r="C389" s="764"/>
      <c r="D389" s="764"/>
      <c r="E389" s="764"/>
      <c r="F389" s="763"/>
      <c r="G389" s="763"/>
      <c r="H389" s="763"/>
      <c r="I389" s="764"/>
      <c r="J389" s="764"/>
      <c r="K389" s="764"/>
      <c r="L389" s="764"/>
      <c r="M389" s="764"/>
      <c r="N389" s="764"/>
      <c r="O389" s="764"/>
      <c r="P389" s="764"/>
      <c r="Q389" s="764"/>
      <c r="R389" s="764"/>
      <c r="S389" s="764"/>
      <c r="T389" s="764"/>
      <c r="U389" s="764"/>
      <c r="V389" s="764"/>
      <c r="W389" s="764"/>
      <c r="X389" s="764"/>
      <c r="Y389" s="764"/>
      <c r="Z389" s="764"/>
    </row>
    <row r="390" ht="9.75" customHeight="1">
      <c r="A390" s="764"/>
      <c r="B390" s="764"/>
      <c r="C390" s="764"/>
      <c r="D390" s="764"/>
      <c r="E390" s="764"/>
      <c r="F390" s="763"/>
      <c r="G390" s="763"/>
      <c r="H390" s="763"/>
      <c r="I390" s="764"/>
      <c r="J390" s="764"/>
      <c r="K390" s="764"/>
      <c r="L390" s="764"/>
      <c r="M390" s="764"/>
      <c r="N390" s="764"/>
      <c r="O390" s="764"/>
      <c r="P390" s="764"/>
      <c r="Q390" s="764"/>
      <c r="R390" s="764"/>
      <c r="S390" s="764"/>
      <c r="T390" s="764"/>
      <c r="U390" s="764"/>
      <c r="V390" s="764"/>
      <c r="W390" s="764"/>
      <c r="X390" s="764"/>
      <c r="Y390" s="764"/>
      <c r="Z390" s="764"/>
    </row>
    <row r="391" ht="9.75" customHeight="1">
      <c r="A391" s="764"/>
      <c r="B391" s="764"/>
      <c r="C391" s="764"/>
      <c r="D391" s="764"/>
      <c r="E391" s="764"/>
      <c r="F391" s="763"/>
      <c r="G391" s="763"/>
      <c r="H391" s="763"/>
      <c r="I391" s="764"/>
      <c r="J391" s="764"/>
      <c r="K391" s="764"/>
      <c r="L391" s="764"/>
      <c r="M391" s="764"/>
      <c r="N391" s="764"/>
      <c r="O391" s="764"/>
      <c r="P391" s="764"/>
      <c r="Q391" s="764"/>
      <c r="R391" s="764"/>
      <c r="S391" s="764"/>
      <c r="T391" s="764"/>
      <c r="U391" s="764"/>
      <c r="V391" s="764"/>
      <c r="W391" s="764"/>
      <c r="X391" s="764"/>
      <c r="Y391" s="764"/>
      <c r="Z391" s="764"/>
    </row>
    <row r="392" ht="9.75" customHeight="1">
      <c r="A392" s="764"/>
      <c r="B392" s="764"/>
      <c r="C392" s="764"/>
      <c r="D392" s="764"/>
      <c r="E392" s="764"/>
      <c r="F392" s="763"/>
      <c r="G392" s="763"/>
      <c r="H392" s="763"/>
      <c r="I392" s="764"/>
      <c r="J392" s="764"/>
      <c r="K392" s="764"/>
      <c r="L392" s="764"/>
      <c r="M392" s="764"/>
      <c r="N392" s="764"/>
      <c r="O392" s="764"/>
      <c r="P392" s="764"/>
      <c r="Q392" s="764"/>
      <c r="R392" s="764"/>
      <c r="S392" s="764"/>
      <c r="T392" s="764"/>
      <c r="U392" s="764"/>
      <c r="V392" s="764"/>
      <c r="W392" s="764"/>
      <c r="X392" s="764"/>
      <c r="Y392" s="764"/>
      <c r="Z392" s="764"/>
    </row>
    <row r="393" ht="9.75" customHeight="1">
      <c r="A393" s="764"/>
      <c r="B393" s="764"/>
      <c r="C393" s="764"/>
      <c r="D393" s="764"/>
      <c r="E393" s="764"/>
      <c r="F393" s="763"/>
      <c r="G393" s="763"/>
      <c r="H393" s="763"/>
      <c r="I393" s="764"/>
      <c r="J393" s="764"/>
      <c r="K393" s="764"/>
      <c r="L393" s="764"/>
      <c r="M393" s="764"/>
      <c r="N393" s="764"/>
      <c r="O393" s="764"/>
      <c r="P393" s="764"/>
      <c r="Q393" s="764"/>
      <c r="R393" s="764"/>
      <c r="S393" s="764"/>
      <c r="T393" s="764"/>
      <c r="U393" s="764"/>
      <c r="V393" s="764"/>
      <c r="W393" s="764"/>
      <c r="X393" s="764"/>
      <c r="Y393" s="764"/>
      <c r="Z393" s="764"/>
    </row>
    <row r="394" ht="9.75" customHeight="1">
      <c r="A394" s="764"/>
      <c r="B394" s="764"/>
      <c r="C394" s="764"/>
      <c r="D394" s="764"/>
      <c r="E394" s="764"/>
      <c r="F394" s="763"/>
      <c r="G394" s="763"/>
      <c r="H394" s="763"/>
      <c r="I394" s="764"/>
      <c r="J394" s="764"/>
      <c r="K394" s="764"/>
      <c r="L394" s="764"/>
      <c r="M394" s="764"/>
      <c r="N394" s="764"/>
      <c r="O394" s="764"/>
      <c r="P394" s="764"/>
      <c r="Q394" s="764"/>
      <c r="R394" s="764"/>
      <c r="S394" s="764"/>
      <c r="T394" s="764"/>
      <c r="U394" s="764"/>
      <c r="V394" s="764"/>
      <c r="W394" s="764"/>
      <c r="X394" s="764"/>
      <c r="Y394" s="764"/>
      <c r="Z394" s="764"/>
    </row>
    <row r="395" ht="9.75" customHeight="1">
      <c r="A395" s="764"/>
      <c r="B395" s="764"/>
      <c r="C395" s="764"/>
      <c r="D395" s="764"/>
      <c r="E395" s="764"/>
      <c r="F395" s="763"/>
      <c r="G395" s="763"/>
      <c r="H395" s="763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</row>
    <row r="396" ht="9.75" customHeight="1">
      <c r="A396" s="764"/>
      <c r="B396" s="764"/>
      <c r="C396" s="764"/>
      <c r="D396" s="764"/>
      <c r="E396" s="764"/>
      <c r="F396" s="763"/>
      <c r="G396" s="763"/>
      <c r="H396" s="763"/>
      <c r="I396" s="764"/>
      <c r="J396" s="764"/>
      <c r="K396" s="764"/>
      <c r="L396" s="764"/>
      <c r="M396" s="764"/>
      <c r="N396" s="764"/>
      <c r="O396" s="764"/>
      <c r="P396" s="764"/>
      <c r="Q396" s="764"/>
      <c r="R396" s="764"/>
      <c r="S396" s="764"/>
      <c r="T396" s="764"/>
      <c r="U396" s="764"/>
      <c r="V396" s="764"/>
      <c r="W396" s="764"/>
      <c r="X396" s="764"/>
      <c r="Y396" s="764"/>
      <c r="Z396" s="764"/>
    </row>
    <row r="397" ht="9.75" customHeight="1">
      <c r="A397" s="764"/>
      <c r="B397" s="764"/>
      <c r="C397" s="764"/>
      <c r="D397" s="764"/>
      <c r="E397" s="764"/>
      <c r="F397" s="763"/>
      <c r="G397" s="763"/>
      <c r="H397" s="763"/>
      <c r="I397" s="764"/>
      <c r="J397" s="764"/>
      <c r="K397" s="764"/>
      <c r="L397" s="764"/>
      <c r="M397" s="764"/>
      <c r="N397" s="764"/>
      <c r="O397" s="764"/>
      <c r="P397" s="764"/>
      <c r="Q397" s="764"/>
      <c r="R397" s="764"/>
      <c r="S397" s="764"/>
      <c r="T397" s="764"/>
      <c r="U397" s="764"/>
      <c r="V397" s="764"/>
      <c r="W397" s="764"/>
      <c r="X397" s="764"/>
      <c r="Y397" s="764"/>
      <c r="Z397" s="764"/>
    </row>
    <row r="398" ht="9.75" customHeight="1">
      <c r="A398" s="764"/>
      <c r="B398" s="764"/>
      <c r="C398" s="764"/>
      <c r="D398" s="764"/>
      <c r="E398" s="764"/>
      <c r="F398" s="763"/>
      <c r="G398" s="763"/>
      <c r="H398" s="763"/>
      <c r="I398" s="764"/>
      <c r="J398" s="764"/>
      <c r="K398" s="764"/>
      <c r="L398" s="764"/>
      <c r="M398" s="764"/>
      <c r="N398" s="764"/>
      <c r="O398" s="764"/>
      <c r="P398" s="764"/>
      <c r="Q398" s="764"/>
      <c r="R398" s="764"/>
      <c r="S398" s="764"/>
      <c r="T398" s="764"/>
      <c r="U398" s="764"/>
      <c r="V398" s="764"/>
      <c r="W398" s="764"/>
      <c r="X398" s="764"/>
      <c r="Y398" s="764"/>
      <c r="Z398" s="764"/>
    </row>
    <row r="399" ht="9.75" customHeight="1">
      <c r="A399" s="764"/>
      <c r="B399" s="764"/>
      <c r="C399" s="764"/>
      <c r="D399" s="764"/>
      <c r="E399" s="764"/>
      <c r="F399" s="763"/>
      <c r="G399" s="763"/>
      <c r="H399" s="763"/>
      <c r="I399" s="764"/>
      <c r="J399" s="764"/>
      <c r="K399" s="764"/>
      <c r="L399" s="764"/>
      <c r="M399" s="764"/>
      <c r="N399" s="764"/>
      <c r="O399" s="764"/>
      <c r="P399" s="764"/>
      <c r="Q399" s="764"/>
      <c r="R399" s="764"/>
      <c r="S399" s="764"/>
      <c r="T399" s="764"/>
      <c r="U399" s="764"/>
      <c r="V399" s="764"/>
      <c r="W399" s="764"/>
      <c r="X399" s="764"/>
      <c r="Y399" s="764"/>
      <c r="Z399" s="764"/>
    </row>
    <row r="400" ht="9.75" customHeight="1">
      <c r="A400" s="764"/>
      <c r="B400" s="764"/>
      <c r="C400" s="764"/>
      <c r="D400" s="764"/>
      <c r="E400" s="764"/>
      <c r="F400" s="763"/>
      <c r="G400" s="763"/>
      <c r="H400" s="763"/>
      <c r="I400" s="764"/>
      <c r="J400" s="764"/>
      <c r="K400" s="764"/>
      <c r="L400" s="764"/>
      <c r="M400" s="764"/>
      <c r="N400" s="764"/>
      <c r="O400" s="764"/>
      <c r="P400" s="764"/>
      <c r="Q400" s="764"/>
      <c r="R400" s="764"/>
      <c r="S400" s="764"/>
      <c r="T400" s="764"/>
      <c r="U400" s="764"/>
      <c r="V400" s="764"/>
      <c r="W400" s="764"/>
      <c r="X400" s="764"/>
      <c r="Y400" s="764"/>
      <c r="Z400" s="764"/>
    </row>
    <row r="401" ht="9.75" customHeight="1">
      <c r="A401" s="764"/>
      <c r="B401" s="764"/>
      <c r="C401" s="764"/>
      <c r="D401" s="764"/>
      <c r="E401" s="764"/>
      <c r="F401" s="763"/>
      <c r="G401" s="763"/>
      <c r="H401" s="763"/>
      <c r="I401" s="764"/>
      <c r="J401" s="764"/>
      <c r="K401" s="764"/>
      <c r="L401" s="764"/>
      <c r="M401" s="764"/>
      <c r="N401" s="764"/>
      <c r="O401" s="764"/>
      <c r="P401" s="764"/>
      <c r="Q401" s="764"/>
      <c r="R401" s="764"/>
      <c r="S401" s="764"/>
      <c r="T401" s="764"/>
      <c r="U401" s="764"/>
      <c r="V401" s="764"/>
      <c r="W401" s="764"/>
      <c r="X401" s="764"/>
      <c r="Y401" s="764"/>
      <c r="Z401" s="764"/>
    </row>
    <row r="402" ht="9.75" customHeight="1">
      <c r="A402" s="764"/>
      <c r="B402" s="764"/>
      <c r="C402" s="764"/>
      <c r="D402" s="764"/>
      <c r="E402" s="764"/>
      <c r="F402" s="763"/>
      <c r="G402" s="763"/>
      <c r="H402" s="763"/>
      <c r="I402" s="764"/>
      <c r="J402" s="764"/>
      <c r="K402" s="764"/>
      <c r="L402" s="764"/>
      <c r="M402" s="764"/>
      <c r="N402" s="764"/>
      <c r="O402" s="764"/>
      <c r="P402" s="764"/>
      <c r="Q402" s="764"/>
      <c r="R402" s="764"/>
      <c r="S402" s="764"/>
      <c r="T402" s="764"/>
      <c r="U402" s="764"/>
      <c r="V402" s="764"/>
      <c r="W402" s="764"/>
      <c r="X402" s="764"/>
      <c r="Y402" s="764"/>
      <c r="Z402" s="764"/>
    </row>
    <row r="403" ht="9.75" customHeight="1">
      <c r="A403" s="764"/>
      <c r="B403" s="764"/>
      <c r="C403" s="764"/>
      <c r="D403" s="764"/>
      <c r="E403" s="764"/>
      <c r="F403" s="763"/>
      <c r="G403" s="763"/>
      <c r="H403" s="763"/>
      <c r="I403" s="764"/>
      <c r="J403" s="764"/>
      <c r="K403" s="764"/>
      <c r="L403" s="764"/>
      <c r="M403" s="764"/>
      <c r="N403" s="764"/>
      <c r="O403" s="764"/>
      <c r="P403" s="764"/>
      <c r="Q403" s="764"/>
      <c r="R403" s="764"/>
      <c r="S403" s="764"/>
      <c r="T403" s="764"/>
      <c r="U403" s="764"/>
      <c r="V403" s="764"/>
      <c r="W403" s="764"/>
      <c r="X403" s="764"/>
      <c r="Y403" s="764"/>
      <c r="Z403" s="764"/>
    </row>
    <row r="404" ht="9.75" customHeight="1">
      <c r="A404" s="764"/>
      <c r="B404" s="764"/>
      <c r="C404" s="764"/>
      <c r="D404" s="764"/>
      <c r="E404" s="764"/>
      <c r="F404" s="763"/>
      <c r="G404" s="763"/>
      <c r="H404" s="763"/>
      <c r="I404" s="764"/>
      <c r="J404" s="764"/>
      <c r="K404" s="764"/>
      <c r="L404" s="764"/>
      <c r="M404" s="764"/>
      <c r="N404" s="764"/>
      <c r="O404" s="764"/>
      <c r="P404" s="764"/>
      <c r="Q404" s="764"/>
      <c r="R404" s="764"/>
      <c r="S404" s="764"/>
      <c r="T404" s="764"/>
      <c r="U404" s="764"/>
      <c r="V404" s="764"/>
      <c r="W404" s="764"/>
      <c r="X404" s="764"/>
      <c r="Y404" s="764"/>
      <c r="Z404" s="764"/>
    </row>
    <row r="405" ht="9.75" customHeight="1">
      <c r="A405" s="764"/>
      <c r="B405" s="764"/>
      <c r="C405" s="764"/>
      <c r="D405" s="764"/>
      <c r="E405" s="764"/>
      <c r="F405" s="763"/>
      <c r="G405" s="763"/>
      <c r="H405" s="763"/>
      <c r="I405" s="764"/>
      <c r="J405" s="764"/>
      <c r="K405" s="764"/>
      <c r="L405" s="764"/>
      <c r="M405" s="764"/>
      <c r="N405" s="764"/>
      <c r="O405" s="764"/>
      <c r="P405" s="764"/>
      <c r="Q405" s="764"/>
      <c r="R405" s="764"/>
      <c r="S405" s="764"/>
      <c r="T405" s="764"/>
      <c r="U405" s="764"/>
      <c r="V405" s="764"/>
      <c r="W405" s="764"/>
      <c r="X405" s="764"/>
      <c r="Y405" s="764"/>
      <c r="Z405" s="764"/>
    </row>
    <row r="406" ht="9.75" customHeight="1">
      <c r="A406" s="764"/>
      <c r="B406" s="764"/>
      <c r="C406" s="764"/>
      <c r="D406" s="764"/>
      <c r="E406" s="764"/>
      <c r="F406" s="763"/>
      <c r="G406" s="763"/>
      <c r="H406" s="763"/>
      <c r="I406" s="764"/>
      <c r="J406" s="764"/>
      <c r="K406" s="764"/>
      <c r="L406" s="764"/>
      <c r="M406" s="764"/>
      <c r="N406" s="764"/>
      <c r="O406" s="764"/>
      <c r="P406" s="764"/>
      <c r="Q406" s="764"/>
      <c r="R406" s="764"/>
      <c r="S406" s="764"/>
      <c r="T406" s="764"/>
      <c r="U406" s="764"/>
      <c r="V406" s="764"/>
      <c r="W406" s="764"/>
      <c r="X406" s="764"/>
      <c r="Y406" s="764"/>
      <c r="Z406" s="764"/>
    </row>
    <row r="407" ht="9.75" customHeight="1">
      <c r="A407" s="764"/>
      <c r="B407" s="764"/>
      <c r="C407" s="764"/>
      <c r="D407" s="764"/>
      <c r="E407" s="764"/>
      <c r="F407" s="763"/>
      <c r="G407" s="763"/>
      <c r="H407" s="763"/>
      <c r="I407" s="764"/>
      <c r="J407" s="764"/>
      <c r="K407" s="764"/>
      <c r="L407" s="764"/>
      <c r="M407" s="764"/>
      <c r="N407" s="764"/>
      <c r="O407" s="764"/>
      <c r="P407" s="764"/>
      <c r="Q407" s="764"/>
      <c r="R407" s="764"/>
      <c r="S407" s="764"/>
      <c r="T407" s="764"/>
      <c r="U407" s="764"/>
      <c r="V407" s="764"/>
      <c r="W407" s="764"/>
      <c r="X407" s="764"/>
      <c r="Y407" s="764"/>
      <c r="Z407" s="764"/>
    </row>
    <row r="408" ht="9.75" customHeight="1">
      <c r="A408" s="764"/>
      <c r="B408" s="764"/>
      <c r="C408" s="764"/>
      <c r="D408" s="764"/>
      <c r="E408" s="764"/>
      <c r="F408" s="763"/>
      <c r="G408" s="763"/>
      <c r="H408" s="763"/>
      <c r="I408" s="764"/>
      <c r="J408" s="764"/>
      <c r="K408" s="764"/>
      <c r="L408" s="764"/>
      <c r="M408" s="764"/>
      <c r="N408" s="764"/>
      <c r="O408" s="764"/>
      <c r="P408" s="764"/>
      <c r="Q408" s="764"/>
      <c r="R408" s="764"/>
      <c r="S408" s="764"/>
      <c r="T408" s="764"/>
      <c r="U408" s="764"/>
      <c r="V408" s="764"/>
      <c r="W408" s="764"/>
      <c r="X408" s="764"/>
      <c r="Y408" s="764"/>
      <c r="Z408" s="764"/>
    </row>
    <row r="409" ht="9.75" customHeight="1">
      <c r="A409" s="764"/>
      <c r="B409" s="764"/>
      <c r="C409" s="764"/>
      <c r="D409" s="764"/>
      <c r="E409" s="764"/>
      <c r="F409" s="763"/>
      <c r="G409" s="763"/>
      <c r="H409" s="763"/>
      <c r="I409" s="764"/>
      <c r="J409" s="764"/>
      <c r="K409" s="764"/>
      <c r="L409" s="764"/>
      <c r="M409" s="764"/>
      <c r="N409" s="764"/>
      <c r="O409" s="764"/>
      <c r="P409" s="764"/>
      <c r="Q409" s="764"/>
      <c r="R409" s="764"/>
      <c r="S409" s="764"/>
      <c r="T409" s="764"/>
      <c r="U409" s="764"/>
      <c r="V409" s="764"/>
      <c r="W409" s="764"/>
      <c r="X409" s="764"/>
      <c r="Y409" s="764"/>
      <c r="Z409" s="764"/>
    </row>
    <row r="410" ht="9.75" customHeight="1">
      <c r="A410" s="764"/>
      <c r="B410" s="764"/>
      <c r="C410" s="764"/>
      <c r="D410" s="764"/>
      <c r="E410" s="764"/>
      <c r="F410" s="763"/>
      <c r="G410" s="763"/>
      <c r="H410" s="763"/>
      <c r="I410" s="764"/>
      <c r="J410" s="764"/>
      <c r="K410" s="764"/>
      <c r="L410" s="764"/>
      <c r="M410" s="764"/>
      <c r="N410" s="764"/>
      <c r="O410" s="764"/>
      <c r="P410" s="764"/>
      <c r="Q410" s="764"/>
      <c r="R410" s="764"/>
      <c r="S410" s="764"/>
      <c r="T410" s="764"/>
      <c r="U410" s="764"/>
      <c r="V410" s="764"/>
      <c r="W410" s="764"/>
      <c r="X410" s="764"/>
      <c r="Y410" s="764"/>
      <c r="Z410" s="764"/>
    </row>
    <row r="411" ht="9.75" customHeight="1">
      <c r="A411" s="764"/>
      <c r="B411" s="764"/>
      <c r="C411" s="764"/>
      <c r="D411" s="764"/>
      <c r="E411" s="764"/>
      <c r="F411" s="763"/>
      <c r="G411" s="763"/>
      <c r="H411" s="763"/>
      <c r="I411" s="764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</row>
    <row r="412" ht="9.75" customHeight="1">
      <c r="A412" s="764"/>
      <c r="B412" s="764"/>
      <c r="C412" s="764"/>
      <c r="D412" s="764"/>
      <c r="E412" s="764"/>
      <c r="F412" s="763"/>
      <c r="G412" s="763"/>
      <c r="H412" s="763"/>
      <c r="I412" s="764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</row>
    <row r="413" ht="9.75" customHeight="1">
      <c r="A413" s="764"/>
      <c r="B413" s="764"/>
      <c r="C413" s="764"/>
      <c r="D413" s="764"/>
      <c r="E413" s="764"/>
      <c r="F413" s="763"/>
      <c r="G413" s="763"/>
      <c r="H413" s="763"/>
      <c r="I413" s="764"/>
      <c r="J413" s="764"/>
      <c r="K413" s="764"/>
      <c r="L413" s="764"/>
      <c r="M413" s="764"/>
      <c r="N413" s="764"/>
      <c r="O413" s="764"/>
      <c r="P413" s="764"/>
      <c r="Q413" s="764"/>
      <c r="R413" s="764"/>
      <c r="S413" s="764"/>
      <c r="T413" s="764"/>
      <c r="U413" s="764"/>
      <c r="V413" s="764"/>
      <c r="W413" s="764"/>
      <c r="X413" s="764"/>
      <c r="Y413" s="764"/>
      <c r="Z413" s="764"/>
    </row>
    <row r="414" ht="9.75" customHeight="1">
      <c r="A414" s="764"/>
      <c r="B414" s="764"/>
      <c r="C414" s="764"/>
      <c r="D414" s="764"/>
      <c r="E414" s="764"/>
      <c r="F414" s="763"/>
      <c r="G414" s="763"/>
      <c r="H414" s="763"/>
      <c r="I414" s="764"/>
      <c r="J414" s="764"/>
      <c r="K414" s="764"/>
      <c r="L414" s="764"/>
      <c r="M414" s="764"/>
      <c r="N414" s="764"/>
      <c r="O414" s="764"/>
      <c r="P414" s="764"/>
      <c r="Q414" s="764"/>
      <c r="R414" s="764"/>
      <c r="S414" s="764"/>
      <c r="T414" s="764"/>
      <c r="U414" s="764"/>
      <c r="V414" s="764"/>
      <c r="W414" s="764"/>
      <c r="X414" s="764"/>
      <c r="Y414" s="764"/>
      <c r="Z414" s="764"/>
    </row>
    <row r="415" ht="9.75" customHeight="1">
      <c r="A415" s="764"/>
      <c r="B415" s="764"/>
      <c r="C415" s="764"/>
      <c r="D415" s="764"/>
      <c r="E415" s="764"/>
      <c r="F415" s="763"/>
      <c r="G415" s="763"/>
      <c r="H415" s="763"/>
      <c r="I415" s="764"/>
      <c r="J415" s="764"/>
      <c r="K415" s="764"/>
      <c r="L415" s="764"/>
      <c r="M415" s="764"/>
      <c r="N415" s="764"/>
      <c r="O415" s="764"/>
      <c r="P415" s="764"/>
      <c r="Q415" s="764"/>
      <c r="R415" s="764"/>
      <c r="S415" s="764"/>
      <c r="T415" s="764"/>
      <c r="U415" s="764"/>
      <c r="V415" s="764"/>
      <c r="W415" s="764"/>
      <c r="X415" s="764"/>
      <c r="Y415" s="764"/>
      <c r="Z415" s="764"/>
    </row>
    <row r="416" ht="9.75" customHeight="1">
      <c r="A416" s="764"/>
      <c r="B416" s="764"/>
      <c r="C416" s="764"/>
      <c r="D416" s="764"/>
      <c r="E416" s="764"/>
      <c r="F416" s="763"/>
      <c r="G416" s="763"/>
      <c r="H416" s="763"/>
      <c r="I416" s="764"/>
      <c r="J416" s="764"/>
      <c r="K416" s="764"/>
      <c r="L416" s="764"/>
      <c r="M416" s="764"/>
      <c r="N416" s="764"/>
      <c r="O416" s="764"/>
      <c r="P416" s="764"/>
      <c r="Q416" s="764"/>
      <c r="R416" s="764"/>
      <c r="S416" s="764"/>
      <c r="T416" s="764"/>
      <c r="U416" s="764"/>
      <c r="V416" s="764"/>
      <c r="W416" s="764"/>
      <c r="X416" s="764"/>
      <c r="Y416" s="764"/>
      <c r="Z416" s="764"/>
    </row>
    <row r="417" ht="9.75" customHeight="1">
      <c r="A417" s="764"/>
      <c r="B417" s="764"/>
      <c r="C417" s="764"/>
      <c r="D417" s="764"/>
      <c r="E417" s="764"/>
      <c r="F417" s="763"/>
      <c r="G417" s="763"/>
      <c r="H417" s="763"/>
      <c r="I417" s="764"/>
      <c r="J417" s="764"/>
      <c r="K417" s="764"/>
      <c r="L417" s="764"/>
      <c r="M417" s="764"/>
      <c r="N417" s="764"/>
      <c r="O417" s="764"/>
      <c r="P417" s="764"/>
      <c r="Q417" s="764"/>
      <c r="R417" s="764"/>
      <c r="S417" s="764"/>
      <c r="T417" s="764"/>
      <c r="U417" s="764"/>
      <c r="V417" s="764"/>
      <c r="W417" s="764"/>
      <c r="X417" s="764"/>
      <c r="Y417" s="764"/>
      <c r="Z417" s="764"/>
    </row>
    <row r="418" ht="9.75" customHeight="1">
      <c r="A418" s="764"/>
      <c r="B418" s="764"/>
      <c r="C418" s="764"/>
      <c r="D418" s="764"/>
      <c r="E418" s="764"/>
      <c r="F418" s="763"/>
      <c r="G418" s="763"/>
      <c r="H418" s="763"/>
      <c r="I418" s="764"/>
      <c r="J418" s="764"/>
      <c r="K418" s="764"/>
      <c r="L418" s="764"/>
      <c r="M418" s="764"/>
      <c r="N418" s="764"/>
      <c r="O418" s="764"/>
      <c r="P418" s="764"/>
      <c r="Q418" s="764"/>
      <c r="R418" s="764"/>
      <c r="S418" s="764"/>
      <c r="T418" s="764"/>
      <c r="U418" s="764"/>
      <c r="V418" s="764"/>
      <c r="W418" s="764"/>
      <c r="X418" s="764"/>
      <c r="Y418" s="764"/>
      <c r="Z418" s="764"/>
    </row>
    <row r="419" ht="9.75" customHeight="1">
      <c r="A419" s="764"/>
      <c r="B419" s="764"/>
      <c r="C419" s="764"/>
      <c r="D419" s="764"/>
      <c r="E419" s="764"/>
      <c r="F419" s="763"/>
      <c r="G419" s="763"/>
      <c r="H419" s="763"/>
      <c r="I419" s="764"/>
      <c r="J419" s="764"/>
      <c r="K419" s="764"/>
      <c r="L419" s="764"/>
      <c r="M419" s="764"/>
      <c r="N419" s="764"/>
      <c r="O419" s="764"/>
      <c r="P419" s="764"/>
      <c r="Q419" s="764"/>
      <c r="R419" s="764"/>
      <c r="S419" s="764"/>
      <c r="T419" s="764"/>
      <c r="U419" s="764"/>
      <c r="V419" s="764"/>
      <c r="W419" s="764"/>
      <c r="X419" s="764"/>
      <c r="Y419" s="764"/>
      <c r="Z419" s="764"/>
    </row>
    <row r="420" ht="9.75" customHeight="1">
      <c r="A420" s="764"/>
      <c r="B420" s="764"/>
      <c r="C420" s="764"/>
      <c r="D420" s="764"/>
      <c r="E420" s="764"/>
      <c r="F420" s="763"/>
      <c r="G420" s="763"/>
      <c r="H420" s="763"/>
      <c r="I420" s="764"/>
      <c r="J420" s="764"/>
      <c r="K420" s="764"/>
      <c r="L420" s="764"/>
      <c r="M420" s="764"/>
      <c r="N420" s="764"/>
      <c r="O420" s="764"/>
      <c r="P420" s="764"/>
      <c r="Q420" s="764"/>
      <c r="R420" s="764"/>
      <c r="S420" s="764"/>
      <c r="T420" s="764"/>
      <c r="U420" s="764"/>
      <c r="V420" s="764"/>
      <c r="W420" s="764"/>
      <c r="X420" s="764"/>
      <c r="Y420" s="764"/>
      <c r="Z420" s="764"/>
    </row>
    <row r="421" ht="9.75" customHeight="1">
      <c r="A421" s="764"/>
      <c r="B421" s="764"/>
      <c r="C421" s="764"/>
      <c r="D421" s="764"/>
      <c r="E421" s="764"/>
      <c r="F421" s="763"/>
      <c r="G421" s="763"/>
      <c r="H421" s="763"/>
      <c r="I421" s="764"/>
      <c r="J421" s="764"/>
      <c r="K421" s="764"/>
      <c r="L421" s="764"/>
      <c r="M421" s="764"/>
      <c r="N421" s="764"/>
      <c r="O421" s="764"/>
      <c r="P421" s="764"/>
      <c r="Q421" s="764"/>
      <c r="R421" s="764"/>
      <c r="S421" s="764"/>
      <c r="T421" s="764"/>
      <c r="U421" s="764"/>
      <c r="V421" s="764"/>
      <c r="W421" s="764"/>
      <c r="X421" s="764"/>
      <c r="Y421" s="764"/>
      <c r="Z421" s="764"/>
    </row>
    <row r="422" ht="9.75" customHeight="1">
      <c r="A422" s="764"/>
      <c r="B422" s="764"/>
      <c r="C422" s="764"/>
      <c r="D422" s="764"/>
      <c r="E422" s="764"/>
      <c r="F422" s="763"/>
      <c r="G422" s="763"/>
      <c r="H422" s="763"/>
      <c r="I422" s="764"/>
      <c r="J422" s="764"/>
      <c r="K422" s="764"/>
      <c r="L422" s="764"/>
      <c r="M422" s="764"/>
      <c r="N422" s="764"/>
      <c r="O422" s="764"/>
      <c r="P422" s="764"/>
      <c r="Q422" s="764"/>
      <c r="R422" s="764"/>
      <c r="S422" s="764"/>
      <c r="T422" s="764"/>
      <c r="U422" s="764"/>
      <c r="V422" s="764"/>
      <c r="W422" s="764"/>
      <c r="X422" s="764"/>
      <c r="Y422" s="764"/>
      <c r="Z422" s="764"/>
    </row>
    <row r="423" ht="9.75" customHeight="1">
      <c r="A423" s="764"/>
      <c r="B423" s="764"/>
      <c r="C423" s="764"/>
      <c r="D423" s="764"/>
      <c r="E423" s="764"/>
      <c r="F423" s="763"/>
      <c r="G423" s="763"/>
      <c r="H423" s="763"/>
      <c r="I423" s="764"/>
      <c r="J423" s="764"/>
      <c r="K423" s="764"/>
      <c r="L423" s="764"/>
      <c r="M423" s="764"/>
      <c r="N423" s="764"/>
      <c r="O423" s="764"/>
      <c r="P423" s="764"/>
      <c r="Q423" s="764"/>
      <c r="R423" s="764"/>
      <c r="S423" s="764"/>
      <c r="T423" s="764"/>
      <c r="U423" s="764"/>
      <c r="V423" s="764"/>
      <c r="W423" s="764"/>
      <c r="X423" s="764"/>
      <c r="Y423" s="764"/>
      <c r="Z423" s="764"/>
    </row>
    <row r="424" ht="9.75" customHeight="1">
      <c r="A424" s="764"/>
      <c r="B424" s="764"/>
      <c r="C424" s="764"/>
      <c r="D424" s="764"/>
      <c r="E424" s="764"/>
      <c r="F424" s="763"/>
      <c r="G424" s="763"/>
      <c r="H424" s="763"/>
      <c r="I424" s="764"/>
      <c r="J424" s="764"/>
      <c r="K424" s="764"/>
      <c r="L424" s="764"/>
      <c r="M424" s="764"/>
      <c r="N424" s="764"/>
      <c r="O424" s="764"/>
      <c r="P424" s="764"/>
      <c r="Q424" s="764"/>
      <c r="R424" s="764"/>
      <c r="S424" s="764"/>
      <c r="T424" s="764"/>
      <c r="U424" s="764"/>
      <c r="V424" s="764"/>
      <c r="W424" s="764"/>
      <c r="X424" s="764"/>
      <c r="Y424" s="764"/>
      <c r="Z424" s="764"/>
    </row>
    <row r="425" ht="9.75" customHeight="1">
      <c r="A425" s="764"/>
      <c r="B425" s="764"/>
      <c r="C425" s="764"/>
      <c r="D425" s="764"/>
      <c r="E425" s="764"/>
      <c r="F425" s="763"/>
      <c r="G425" s="763"/>
      <c r="H425" s="763"/>
      <c r="I425" s="764"/>
      <c r="J425" s="764"/>
      <c r="K425" s="764"/>
      <c r="L425" s="764"/>
      <c r="M425" s="764"/>
      <c r="N425" s="764"/>
      <c r="O425" s="764"/>
      <c r="P425" s="764"/>
      <c r="Q425" s="764"/>
      <c r="R425" s="764"/>
      <c r="S425" s="764"/>
      <c r="T425" s="764"/>
      <c r="U425" s="764"/>
      <c r="V425" s="764"/>
      <c r="W425" s="764"/>
      <c r="X425" s="764"/>
      <c r="Y425" s="764"/>
      <c r="Z425" s="764"/>
    </row>
    <row r="426" ht="9.75" customHeight="1">
      <c r="A426" s="764"/>
      <c r="B426" s="764"/>
      <c r="C426" s="764"/>
      <c r="D426" s="764"/>
      <c r="E426" s="764"/>
      <c r="F426" s="763"/>
      <c r="G426" s="763"/>
      <c r="H426" s="763"/>
      <c r="I426" s="764"/>
      <c r="J426" s="764"/>
      <c r="K426" s="764"/>
      <c r="L426" s="764"/>
      <c r="M426" s="764"/>
      <c r="N426" s="764"/>
      <c r="O426" s="764"/>
      <c r="P426" s="764"/>
      <c r="Q426" s="764"/>
      <c r="R426" s="764"/>
      <c r="S426" s="764"/>
      <c r="T426" s="764"/>
      <c r="U426" s="764"/>
      <c r="V426" s="764"/>
      <c r="W426" s="764"/>
      <c r="X426" s="764"/>
      <c r="Y426" s="764"/>
      <c r="Z426" s="764"/>
    </row>
    <row r="427" ht="9.75" customHeight="1">
      <c r="A427" s="764"/>
      <c r="B427" s="764"/>
      <c r="C427" s="764"/>
      <c r="D427" s="764"/>
      <c r="E427" s="764"/>
      <c r="F427" s="763"/>
      <c r="G427" s="763"/>
      <c r="H427" s="763"/>
      <c r="I427" s="764"/>
      <c r="J427" s="764"/>
      <c r="K427" s="764"/>
      <c r="L427" s="764"/>
      <c r="M427" s="764"/>
      <c r="N427" s="764"/>
      <c r="O427" s="764"/>
      <c r="P427" s="764"/>
      <c r="Q427" s="764"/>
      <c r="R427" s="764"/>
      <c r="S427" s="764"/>
      <c r="T427" s="764"/>
      <c r="U427" s="764"/>
      <c r="V427" s="764"/>
      <c r="W427" s="764"/>
      <c r="X427" s="764"/>
      <c r="Y427" s="764"/>
      <c r="Z427" s="764"/>
    </row>
    <row r="428" ht="9.75" customHeight="1">
      <c r="A428" s="764"/>
      <c r="B428" s="764"/>
      <c r="C428" s="764"/>
      <c r="D428" s="764"/>
      <c r="E428" s="764"/>
      <c r="F428" s="763"/>
      <c r="G428" s="763"/>
      <c r="H428" s="763"/>
      <c r="I428" s="764"/>
      <c r="J428" s="764"/>
      <c r="K428" s="764"/>
      <c r="L428" s="764"/>
      <c r="M428" s="764"/>
      <c r="N428" s="764"/>
      <c r="O428" s="764"/>
      <c r="P428" s="764"/>
      <c r="Q428" s="764"/>
      <c r="R428" s="764"/>
      <c r="S428" s="764"/>
      <c r="T428" s="764"/>
      <c r="U428" s="764"/>
      <c r="V428" s="764"/>
      <c r="W428" s="764"/>
      <c r="X428" s="764"/>
      <c r="Y428" s="764"/>
      <c r="Z428" s="764"/>
    </row>
    <row r="429" ht="9.75" customHeight="1">
      <c r="A429" s="764"/>
      <c r="B429" s="764"/>
      <c r="C429" s="764"/>
      <c r="D429" s="764"/>
      <c r="E429" s="764"/>
      <c r="F429" s="763"/>
      <c r="G429" s="763"/>
      <c r="H429" s="763"/>
      <c r="I429" s="764"/>
      <c r="J429" s="764"/>
      <c r="K429" s="764"/>
      <c r="L429" s="764"/>
      <c r="M429" s="764"/>
      <c r="N429" s="764"/>
      <c r="O429" s="764"/>
      <c r="P429" s="764"/>
      <c r="Q429" s="764"/>
      <c r="R429" s="764"/>
      <c r="S429" s="764"/>
      <c r="T429" s="764"/>
      <c r="U429" s="764"/>
      <c r="V429" s="764"/>
      <c r="W429" s="764"/>
      <c r="X429" s="764"/>
      <c r="Y429" s="764"/>
      <c r="Z429" s="764"/>
    </row>
    <row r="430" ht="9.75" customHeight="1">
      <c r="A430" s="764"/>
      <c r="B430" s="764"/>
      <c r="C430" s="764"/>
      <c r="D430" s="764"/>
      <c r="E430" s="764"/>
      <c r="F430" s="763"/>
      <c r="G430" s="763"/>
      <c r="H430" s="763"/>
      <c r="I430" s="764"/>
      <c r="J430" s="764"/>
      <c r="K430" s="764"/>
      <c r="L430" s="764"/>
      <c r="M430" s="764"/>
      <c r="N430" s="764"/>
      <c r="O430" s="764"/>
      <c r="P430" s="764"/>
      <c r="Q430" s="764"/>
      <c r="R430" s="764"/>
      <c r="S430" s="764"/>
      <c r="T430" s="764"/>
      <c r="U430" s="764"/>
      <c r="V430" s="764"/>
      <c r="W430" s="764"/>
      <c r="X430" s="764"/>
      <c r="Y430" s="764"/>
      <c r="Z430" s="764"/>
    </row>
    <row r="431" ht="9.75" customHeight="1">
      <c r="A431" s="764"/>
      <c r="B431" s="764"/>
      <c r="C431" s="764"/>
      <c r="D431" s="764"/>
      <c r="E431" s="764"/>
      <c r="F431" s="763"/>
      <c r="G431" s="763"/>
      <c r="H431" s="763"/>
      <c r="I431" s="764"/>
      <c r="J431" s="764"/>
      <c r="K431" s="764"/>
      <c r="L431" s="764"/>
      <c r="M431" s="764"/>
      <c r="N431" s="764"/>
      <c r="O431" s="764"/>
      <c r="P431" s="764"/>
      <c r="Q431" s="764"/>
      <c r="R431" s="764"/>
      <c r="S431" s="764"/>
      <c r="T431" s="764"/>
      <c r="U431" s="764"/>
      <c r="V431" s="764"/>
      <c r="W431" s="764"/>
      <c r="X431" s="764"/>
      <c r="Y431" s="764"/>
      <c r="Z431" s="764"/>
    </row>
    <row r="432" ht="9.75" customHeight="1">
      <c r="A432" s="764"/>
      <c r="B432" s="764"/>
      <c r="C432" s="764"/>
      <c r="D432" s="764"/>
      <c r="E432" s="764"/>
      <c r="F432" s="763"/>
      <c r="G432" s="763"/>
      <c r="H432" s="763"/>
      <c r="I432" s="764"/>
      <c r="J432" s="764"/>
      <c r="K432" s="764"/>
      <c r="L432" s="764"/>
      <c r="M432" s="764"/>
      <c r="N432" s="764"/>
      <c r="O432" s="764"/>
      <c r="P432" s="764"/>
      <c r="Q432" s="764"/>
      <c r="R432" s="764"/>
      <c r="S432" s="764"/>
      <c r="T432" s="764"/>
      <c r="U432" s="764"/>
      <c r="V432" s="764"/>
      <c r="W432" s="764"/>
      <c r="X432" s="764"/>
      <c r="Y432" s="764"/>
      <c r="Z432" s="764"/>
    </row>
    <row r="433" ht="9.75" customHeight="1">
      <c r="A433" s="764"/>
      <c r="B433" s="764"/>
      <c r="C433" s="764"/>
      <c r="D433" s="764"/>
      <c r="E433" s="764"/>
      <c r="F433" s="763"/>
      <c r="G433" s="763"/>
      <c r="H433" s="763"/>
      <c r="I433" s="764"/>
      <c r="J433" s="764"/>
      <c r="K433" s="764"/>
      <c r="L433" s="764"/>
      <c r="M433" s="764"/>
      <c r="N433" s="764"/>
      <c r="O433" s="764"/>
      <c r="P433" s="764"/>
      <c r="Q433" s="764"/>
      <c r="R433" s="764"/>
      <c r="S433" s="764"/>
      <c r="T433" s="764"/>
      <c r="U433" s="764"/>
      <c r="V433" s="764"/>
      <c r="W433" s="764"/>
      <c r="X433" s="764"/>
      <c r="Y433" s="764"/>
      <c r="Z433" s="764"/>
    </row>
    <row r="434" ht="9.75" customHeight="1">
      <c r="A434" s="764"/>
      <c r="B434" s="764"/>
      <c r="C434" s="764"/>
      <c r="D434" s="764"/>
      <c r="E434" s="764"/>
      <c r="F434" s="763"/>
      <c r="G434" s="763"/>
      <c r="H434" s="763"/>
      <c r="I434" s="764"/>
      <c r="J434" s="764"/>
      <c r="K434" s="764"/>
      <c r="L434" s="764"/>
      <c r="M434" s="764"/>
      <c r="N434" s="764"/>
      <c r="O434" s="764"/>
      <c r="P434" s="764"/>
      <c r="Q434" s="764"/>
      <c r="R434" s="764"/>
      <c r="S434" s="764"/>
      <c r="T434" s="764"/>
      <c r="U434" s="764"/>
      <c r="V434" s="764"/>
      <c r="W434" s="764"/>
      <c r="X434" s="764"/>
      <c r="Y434" s="764"/>
      <c r="Z434" s="764"/>
    </row>
    <row r="435" ht="9.75" customHeight="1">
      <c r="A435" s="764"/>
      <c r="B435" s="764"/>
      <c r="C435" s="764"/>
      <c r="D435" s="764"/>
      <c r="E435" s="764"/>
      <c r="F435" s="763"/>
      <c r="G435" s="763"/>
      <c r="H435" s="763"/>
      <c r="I435" s="764"/>
      <c r="J435" s="764"/>
      <c r="K435" s="764"/>
      <c r="L435" s="764"/>
      <c r="M435" s="764"/>
      <c r="N435" s="764"/>
      <c r="O435" s="764"/>
      <c r="P435" s="764"/>
      <c r="Q435" s="764"/>
      <c r="R435" s="764"/>
      <c r="S435" s="764"/>
      <c r="T435" s="764"/>
      <c r="U435" s="764"/>
      <c r="V435" s="764"/>
      <c r="W435" s="764"/>
      <c r="X435" s="764"/>
      <c r="Y435" s="764"/>
      <c r="Z435" s="764"/>
    </row>
    <row r="436" ht="9.75" customHeight="1">
      <c r="A436" s="764"/>
      <c r="B436" s="764"/>
      <c r="C436" s="764"/>
      <c r="D436" s="764"/>
      <c r="E436" s="764"/>
      <c r="F436" s="763"/>
      <c r="G436" s="763"/>
      <c r="H436" s="763"/>
      <c r="I436" s="764"/>
      <c r="J436" s="764"/>
      <c r="K436" s="764"/>
      <c r="L436" s="764"/>
      <c r="M436" s="764"/>
      <c r="N436" s="764"/>
      <c r="O436" s="764"/>
      <c r="P436" s="764"/>
      <c r="Q436" s="764"/>
      <c r="R436" s="764"/>
      <c r="S436" s="764"/>
      <c r="T436" s="764"/>
      <c r="U436" s="764"/>
      <c r="V436" s="764"/>
      <c r="W436" s="764"/>
      <c r="X436" s="764"/>
      <c r="Y436" s="764"/>
      <c r="Z436" s="764"/>
    </row>
    <row r="437" ht="9.75" customHeight="1">
      <c r="A437" s="764"/>
      <c r="B437" s="764"/>
      <c r="C437" s="764"/>
      <c r="D437" s="764"/>
      <c r="E437" s="764"/>
      <c r="F437" s="763"/>
      <c r="G437" s="763"/>
      <c r="H437" s="763"/>
      <c r="I437" s="764"/>
      <c r="J437" s="764"/>
      <c r="K437" s="764"/>
      <c r="L437" s="764"/>
      <c r="M437" s="764"/>
      <c r="N437" s="764"/>
      <c r="O437" s="764"/>
      <c r="P437" s="764"/>
      <c r="Q437" s="764"/>
      <c r="R437" s="764"/>
      <c r="S437" s="764"/>
      <c r="T437" s="764"/>
      <c r="U437" s="764"/>
      <c r="V437" s="764"/>
      <c r="W437" s="764"/>
      <c r="X437" s="764"/>
      <c r="Y437" s="764"/>
      <c r="Z437" s="764"/>
    </row>
    <row r="438" ht="9.75" customHeight="1">
      <c r="A438" s="764"/>
      <c r="B438" s="764"/>
      <c r="C438" s="764"/>
      <c r="D438" s="764"/>
      <c r="E438" s="764"/>
      <c r="F438" s="763"/>
      <c r="G438" s="763"/>
      <c r="H438" s="763"/>
      <c r="I438" s="764"/>
      <c r="J438" s="764"/>
      <c r="K438" s="764"/>
      <c r="L438" s="764"/>
      <c r="M438" s="764"/>
      <c r="N438" s="764"/>
      <c r="O438" s="764"/>
      <c r="P438" s="764"/>
      <c r="Q438" s="764"/>
      <c r="R438" s="764"/>
      <c r="S438" s="764"/>
      <c r="T438" s="764"/>
      <c r="U438" s="764"/>
      <c r="V438" s="764"/>
      <c r="W438" s="764"/>
      <c r="X438" s="764"/>
      <c r="Y438" s="764"/>
      <c r="Z438" s="764"/>
    </row>
    <row r="439" ht="9.75" customHeight="1">
      <c r="A439" s="764"/>
      <c r="B439" s="764"/>
      <c r="C439" s="764"/>
      <c r="D439" s="764"/>
      <c r="E439" s="764"/>
      <c r="F439" s="763"/>
      <c r="G439" s="763"/>
      <c r="H439" s="763"/>
      <c r="I439" s="764"/>
      <c r="J439" s="764"/>
      <c r="K439" s="764"/>
      <c r="L439" s="764"/>
      <c r="M439" s="764"/>
      <c r="N439" s="764"/>
      <c r="O439" s="764"/>
      <c r="P439" s="764"/>
      <c r="Q439" s="764"/>
      <c r="R439" s="764"/>
      <c r="S439" s="764"/>
      <c r="T439" s="764"/>
      <c r="U439" s="764"/>
      <c r="V439" s="764"/>
      <c r="W439" s="764"/>
      <c r="X439" s="764"/>
      <c r="Y439" s="764"/>
      <c r="Z439" s="764"/>
    </row>
    <row r="440" ht="9.75" customHeight="1">
      <c r="A440" s="764"/>
      <c r="B440" s="764"/>
      <c r="C440" s="764"/>
      <c r="D440" s="764"/>
      <c r="E440" s="764"/>
      <c r="F440" s="763"/>
      <c r="G440" s="763"/>
      <c r="H440" s="763"/>
      <c r="I440" s="764"/>
      <c r="J440" s="764"/>
      <c r="K440" s="764"/>
      <c r="L440" s="764"/>
      <c r="M440" s="764"/>
      <c r="N440" s="764"/>
      <c r="O440" s="764"/>
      <c r="P440" s="764"/>
      <c r="Q440" s="764"/>
      <c r="R440" s="764"/>
      <c r="S440" s="764"/>
      <c r="T440" s="764"/>
      <c r="U440" s="764"/>
      <c r="V440" s="764"/>
      <c r="W440" s="764"/>
      <c r="X440" s="764"/>
      <c r="Y440" s="764"/>
      <c r="Z440" s="764"/>
    </row>
    <row r="441" ht="9.75" customHeight="1">
      <c r="A441" s="764"/>
      <c r="B441" s="764"/>
      <c r="C441" s="764"/>
      <c r="D441" s="764"/>
      <c r="E441" s="764"/>
      <c r="F441" s="763"/>
      <c r="G441" s="763"/>
      <c r="H441" s="763"/>
      <c r="I441" s="764"/>
      <c r="J441" s="764"/>
      <c r="K441" s="764"/>
      <c r="L441" s="764"/>
      <c r="M441" s="764"/>
      <c r="N441" s="764"/>
      <c r="O441" s="764"/>
      <c r="P441" s="764"/>
      <c r="Q441" s="764"/>
      <c r="R441" s="764"/>
      <c r="S441" s="764"/>
      <c r="T441" s="764"/>
      <c r="U441" s="764"/>
      <c r="V441" s="764"/>
      <c r="W441" s="764"/>
      <c r="X441" s="764"/>
      <c r="Y441" s="764"/>
      <c r="Z441" s="764"/>
    </row>
    <row r="442" ht="9.75" customHeight="1">
      <c r="A442" s="764"/>
      <c r="B442" s="764"/>
      <c r="C442" s="764"/>
      <c r="D442" s="764"/>
      <c r="E442" s="764"/>
      <c r="F442" s="763"/>
      <c r="G442" s="763"/>
      <c r="H442" s="763"/>
      <c r="I442" s="764"/>
      <c r="J442" s="764"/>
      <c r="K442" s="764"/>
      <c r="L442" s="764"/>
      <c r="M442" s="764"/>
      <c r="N442" s="764"/>
      <c r="O442" s="764"/>
      <c r="P442" s="764"/>
      <c r="Q442" s="764"/>
      <c r="R442" s="764"/>
      <c r="S442" s="764"/>
      <c r="T442" s="764"/>
      <c r="U442" s="764"/>
      <c r="V442" s="764"/>
      <c r="W442" s="764"/>
      <c r="X442" s="764"/>
      <c r="Y442" s="764"/>
      <c r="Z442" s="764"/>
    </row>
    <row r="443" ht="9.75" customHeight="1">
      <c r="A443" s="764"/>
      <c r="B443" s="764"/>
      <c r="C443" s="764"/>
      <c r="D443" s="764"/>
      <c r="E443" s="764"/>
      <c r="F443" s="763"/>
      <c r="G443" s="763"/>
      <c r="H443" s="763"/>
      <c r="I443" s="764"/>
      <c r="J443" s="764"/>
      <c r="K443" s="764"/>
      <c r="L443" s="764"/>
      <c r="M443" s="764"/>
      <c r="N443" s="764"/>
      <c r="O443" s="764"/>
      <c r="P443" s="764"/>
      <c r="Q443" s="764"/>
      <c r="R443" s="764"/>
      <c r="S443" s="764"/>
      <c r="T443" s="764"/>
      <c r="U443" s="764"/>
      <c r="V443" s="764"/>
      <c r="W443" s="764"/>
      <c r="X443" s="764"/>
      <c r="Y443" s="764"/>
      <c r="Z443" s="764"/>
    </row>
    <row r="444" ht="9.75" customHeight="1">
      <c r="A444" s="764"/>
      <c r="B444" s="764"/>
      <c r="C444" s="764"/>
      <c r="D444" s="764"/>
      <c r="E444" s="764"/>
      <c r="F444" s="763"/>
      <c r="G444" s="763"/>
      <c r="H444" s="763"/>
      <c r="I444" s="764"/>
      <c r="J444" s="764"/>
      <c r="K444" s="764"/>
      <c r="L444" s="764"/>
      <c r="M444" s="764"/>
      <c r="N444" s="764"/>
      <c r="O444" s="764"/>
      <c r="P444" s="764"/>
      <c r="Q444" s="764"/>
      <c r="R444" s="764"/>
      <c r="S444" s="764"/>
      <c r="T444" s="764"/>
      <c r="U444" s="764"/>
      <c r="V444" s="764"/>
      <c r="W444" s="764"/>
      <c r="X444" s="764"/>
      <c r="Y444" s="764"/>
      <c r="Z444" s="764"/>
    </row>
    <row r="445" ht="9.75" customHeight="1">
      <c r="A445" s="764"/>
      <c r="B445" s="764"/>
      <c r="C445" s="764"/>
      <c r="D445" s="764"/>
      <c r="E445" s="764"/>
      <c r="F445" s="763"/>
      <c r="G445" s="763"/>
      <c r="H445" s="763"/>
      <c r="I445" s="764"/>
      <c r="J445" s="764"/>
      <c r="K445" s="764"/>
      <c r="L445" s="764"/>
      <c r="M445" s="764"/>
      <c r="N445" s="764"/>
      <c r="O445" s="764"/>
      <c r="P445" s="764"/>
      <c r="Q445" s="764"/>
      <c r="R445" s="764"/>
      <c r="S445" s="764"/>
      <c r="T445" s="764"/>
      <c r="U445" s="764"/>
      <c r="V445" s="764"/>
      <c r="W445" s="764"/>
      <c r="X445" s="764"/>
      <c r="Y445" s="764"/>
      <c r="Z445" s="764"/>
    </row>
    <row r="446" ht="9.75" customHeight="1">
      <c r="A446" s="764"/>
      <c r="B446" s="764"/>
      <c r="C446" s="764"/>
      <c r="D446" s="764"/>
      <c r="E446" s="764"/>
      <c r="F446" s="763"/>
      <c r="G446" s="763"/>
      <c r="H446" s="763"/>
      <c r="I446" s="764"/>
      <c r="J446" s="764"/>
      <c r="K446" s="764"/>
      <c r="L446" s="764"/>
      <c r="M446" s="764"/>
      <c r="N446" s="764"/>
      <c r="O446" s="764"/>
      <c r="P446" s="764"/>
      <c r="Q446" s="764"/>
      <c r="R446" s="764"/>
      <c r="S446" s="764"/>
      <c r="T446" s="764"/>
      <c r="U446" s="764"/>
      <c r="V446" s="764"/>
      <c r="W446" s="764"/>
      <c r="X446" s="764"/>
      <c r="Y446" s="764"/>
      <c r="Z446" s="764"/>
    </row>
    <row r="447" ht="9.75" customHeight="1">
      <c r="A447" s="764"/>
      <c r="B447" s="764"/>
      <c r="C447" s="764"/>
      <c r="D447" s="764"/>
      <c r="E447" s="764"/>
      <c r="F447" s="763"/>
      <c r="G447" s="763"/>
      <c r="H447" s="763"/>
      <c r="I447" s="764"/>
      <c r="J447" s="764"/>
      <c r="K447" s="764"/>
      <c r="L447" s="764"/>
      <c r="M447" s="764"/>
      <c r="N447" s="764"/>
      <c r="O447" s="764"/>
      <c r="P447" s="764"/>
      <c r="Q447" s="764"/>
      <c r="R447" s="764"/>
      <c r="S447" s="764"/>
      <c r="T447" s="764"/>
      <c r="U447" s="764"/>
      <c r="V447" s="764"/>
      <c r="W447" s="764"/>
      <c r="X447" s="764"/>
      <c r="Y447" s="764"/>
      <c r="Z447" s="764"/>
    </row>
    <row r="448" ht="9.75" customHeight="1">
      <c r="A448" s="764"/>
      <c r="B448" s="764"/>
      <c r="C448" s="764"/>
      <c r="D448" s="764"/>
      <c r="E448" s="764"/>
      <c r="F448" s="763"/>
      <c r="G448" s="763"/>
      <c r="H448" s="763"/>
      <c r="I448" s="764"/>
      <c r="J448" s="764"/>
      <c r="K448" s="764"/>
      <c r="L448" s="764"/>
      <c r="M448" s="764"/>
      <c r="N448" s="764"/>
      <c r="O448" s="764"/>
      <c r="P448" s="764"/>
      <c r="Q448" s="764"/>
      <c r="R448" s="764"/>
      <c r="S448" s="764"/>
      <c r="T448" s="764"/>
      <c r="U448" s="764"/>
      <c r="V448" s="764"/>
      <c r="W448" s="764"/>
      <c r="X448" s="764"/>
      <c r="Y448" s="764"/>
      <c r="Z448" s="764"/>
    </row>
    <row r="449" ht="9.75" customHeight="1">
      <c r="A449" s="764"/>
      <c r="B449" s="764"/>
      <c r="C449" s="764"/>
      <c r="D449" s="764"/>
      <c r="E449" s="764"/>
      <c r="F449" s="763"/>
      <c r="G449" s="763"/>
      <c r="H449" s="763"/>
      <c r="I449" s="764"/>
      <c r="J449" s="764"/>
      <c r="K449" s="764"/>
      <c r="L449" s="764"/>
      <c r="M449" s="764"/>
      <c r="N449" s="764"/>
      <c r="O449" s="764"/>
      <c r="P449" s="764"/>
      <c r="Q449" s="764"/>
      <c r="R449" s="764"/>
      <c r="S449" s="764"/>
      <c r="T449" s="764"/>
      <c r="U449" s="764"/>
      <c r="V449" s="764"/>
      <c r="W449" s="764"/>
      <c r="X449" s="764"/>
      <c r="Y449" s="764"/>
      <c r="Z449" s="764"/>
    </row>
    <row r="450" ht="9.75" customHeight="1">
      <c r="A450" s="764"/>
      <c r="B450" s="764"/>
      <c r="C450" s="764"/>
      <c r="D450" s="764"/>
      <c r="E450" s="764"/>
      <c r="F450" s="763"/>
      <c r="G450" s="763"/>
      <c r="H450" s="763"/>
      <c r="I450" s="764"/>
      <c r="J450" s="764"/>
      <c r="K450" s="764"/>
      <c r="L450" s="764"/>
      <c r="M450" s="764"/>
      <c r="N450" s="764"/>
      <c r="O450" s="764"/>
      <c r="P450" s="764"/>
      <c r="Q450" s="764"/>
      <c r="R450" s="764"/>
      <c r="S450" s="764"/>
      <c r="T450" s="764"/>
      <c r="U450" s="764"/>
      <c r="V450" s="764"/>
      <c r="W450" s="764"/>
      <c r="X450" s="764"/>
      <c r="Y450" s="764"/>
      <c r="Z450" s="764"/>
    </row>
    <row r="451" ht="9.75" customHeight="1">
      <c r="A451" s="764"/>
      <c r="B451" s="764"/>
      <c r="C451" s="764"/>
      <c r="D451" s="764"/>
      <c r="E451" s="764"/>
      <c r="F451" s="763"/>
      <c r="G451" s="763"/>
      <c r="H451" s="763"/>
      <c r="I451" s="764"/>
      <c r="J451" s="764"/>
      <c r="K451" s="764"/>
      <c r="L451" s="764"/>
      <c r="M451" s="764"/>
      <c r="N451" s="764"/>
      <c r="O451" s="764"/>
      <c r="P451" s="764"/>
      <c r="Q451" s="764"/>
      <c r="R451" s="764"/>
      <c r="S451" s="764"/>
      <c r="T451" s="764"/>
      <c r="U451" s="764"/>
      <c r="V451" s="764"/>
      <c r="W451" s="764"/>
      <c r="X451" s="764"/>
      <c r="Y451" s="764"/>
      <c r="Z451" s="764"/>
    </row>
    <row r="452" ht="9.75" customHeight="1">
      <c r="A452" s="764"/>
      <c r="B452" s="764"/>
      <c r="C452" s="764"/>
      <c r="D452" s="764"/>
      <c r="E452" s="764"/>
      <c r="F452" s="763"/>
      <c r="G452" s="763"/>
      <c r="H452" s="763"/>
      <c r="I452" s="764"/>
      <c r="J452" s="764"/>
      <c r="K452" s="764"/>
      <c r="L452" s="764"/>
      <c r="M452" s="764"/>
      <c r="N452" s="764"/>
      <c r="O452" s="764"/>
      <c r="P452" s="764"/>
      <c r="Q452" s="764"/>
      <c r="R452" s="764"/>
      <c r="S452" s="764"/>
      <c r="T452" s="764"/>
      <c r="U452" s="764"/>
      <c r="V452" s="764"/>
      <c r="W452" s="764"/>
      <c r="X452" s="764"/>
      <c r="Y452" s="764"/>
      <c r="Z452" s="764"/>
    </row>
    <row r="453" ht="9.75" customHeight="1">
      <c r="A453" s="764"/>
      <c r="B453" s="764"/>
      <c r="C453" s="764"/>
      <c r="D453" s="764"/>
      <c r="E453" s="764"/>
      <c r="F453" s="763"/>
      <c r="G453" s="763"/>
      <c r="H453" s="763"/>
      <c r="I453" s="764"/>
      <c r="J453" s="764"/>
      <c r="K453" s="764"/>
      <c r="L453" s="764"/>
      <c r="M453" s="764"/>
      <c r="N453" s="764"/>
      <c r="O453" s="764"/>
      <c r="P453" s="764"/>
      <c r="Q453" s="764"/>
      <c r="R453" s="764"/>
      <c r="S453" s="764"/>
      <c r="T453" s="764"/>
      <c r="U453" s="764"/>
      <c r="V453" s="764"/>
      <c r="W453" s="764"/>
      <c r="X453" s="764"/>
      <c r="Y453" s="764"/>
      <c r="Z453" s="764"/>
    </row>
    <row r="454" ht="9.75" customHeight="1">
      <c r="A454" s="764"/>
      <c r="B454" s="764"/>
      <c r="C454" s="764"/>
      <c r="D454" s="764"/>
      <c r="E454" s="764"/>
      <c r="F454" s="763"/>
      <c r="G454" s="763"/>
      <c r="H454" s="763"/>
      <c r="I454" s="764"/>
      <c r="J454" s="764"/>
      <c r="K454" s="764"/>
      <c r="L454" s="764"/>
      <c r="M454" s="764"/>
      <c r="N454" s="764"/>
      <c r="O454" s="764"/>
      <c r="P454" s="764"/>
      <c r="Q454" s="764"/>
      <c r="R454" s="764"/>
      <c r="S454" s="764"/>
      <c r="T454" s="764"/>
      <c r="U454" s="764"/>
      <c r="V454" s="764"/>
      <c r="W454" s="764"/>
      <c r="X454" s="764"/>
      <c r="Y454" s="764"/>
      <c r="Z454" s="764"/>
    </row>
    <row r="455" ht="9.75" customHeight="1">
      <c r="A455" s="764"/>
      <c r="B455" s="764"/>
      <c r="C455" s="764"/>
      <c r="D455" s="764"/>
      <c r="E455" s="764"/>
      <c r="F455" s="763"/>
      <c r="G455" s="763"/>
      <c r="H455" s="763"/>
      <c r="I455" s="764"/>
      <c r="J455" s="764"/>
      <c r="K455" s="764"/>
      <c r="L455" s="764"/>
      <c r="M455" s="764"/>
      <c r="N455" s="764"/>
      <c r="O455" s="764"/>
      <c r="P455" s="764"/>
      <c r="Q455" s="764"/>
      <c r="R455" s="764"/>
      <c r="S455" s="764"/>
      <c r="T455" s="764"/>
      <c r="U455" s="764"/>
      <c r="V455" s="764"/>
      <c r="W455" s="764"/>
      <c r="X455" s="764"/>
      <c r="Y455" s="764"/>
      <c r="Z455" s="764"/>
    </row>
    <row r="456" ht="9.75" customHeight="1">
      <c r="A456" s="764"/>
      <c r="B456" s="764"/>
      <c r="C456" s="764"/>
      <c r="D456" s="764"/>
      <c r="E456" s="764"/>
      <c r="F456" s="763"/>
      <c r="G456" s="763"/>
      <c r="H456" s="763"/>
      <c r="I456" s="764"/>
      <c r="J456" s="764"/>
      <c r="K456" s="764"/>
      <c r="L456" s="764"/>
      <c r="M456" s="764"/>
      <c r="N456" s="764"/>
      <c r="O456" s="764"/>
      <c r="P456" s="764"/>
      <c r="Q456" s="764"/>
      <c r="R456" s="764"/>
      <c r="S456" s="764"/>
      <c r="T456" s="764"/>
      <c r="U456" s="764"/>
      <c r="V456" s="764"/>
      <c r="W456" s="764"/>
      <c r="X456" s="764"/>
      <c r="Y456" s="764"/>
      <c r="Z456" s="764"/>
    </row>
    <row r="457" ht="9.75" customHeight="1">
      <c r="A457" s="764"/>
      <c r="B457" s="764"/>
      <c r="C457" s="764"/>
      <c r="D457" s="764"/>
      <c r="E457" s="764"/>
      <c r="F457" s="763"/>
      <c r="G457" s="763"/>
      <c r="H457" s="763"/>
      <c r="I457" s="764"/>
      <c r="J457" s="764"/>
      <c r="K457" s="764"/>
      <c r="L457" s="764"/>
      <c r="M457" s="764"/>
      <c r="N457" s="764"/>
      <c r="O457" s="764"/>
      <c r="P457" s="764"/>
      <c r="Q457" s="764"/>
      <c r="R457" s="764"/>
      <c r="S457" s="764"/>
      <c r="T457" s="764"/>
      <c r="U457" s="764"/>
      <c r="V457" s="764"/>
      <c r="W457" s="764"/>
      <c r="X457" s="764"/>
      <c r="Y457" s="764"/>
      <c r="Z457" s="764"/>
    </row>
    <row r="458" ht="9.75" customHeight="1">
      <c r="A458" s="764"/>
      <c r="B458" s="764"/>
      <c r="C458" s="764"/>
      <c r="D458" s="764"/>
      <c r="E458" s="764"/>
      <c r="F458" s="763"/>
      <c r="G458" s="763"/>
      <c r="H458" s="763"/>
      <c r="I458" s="764"/>
      <c r="J458" s="764"/>
      <c r="K458" s="764"/>
      <c r="L458" s="764"/>
      <c r="M458" s="764"/>
      <c r="N458" s="764"/>
      <c r="O458" s="764"/>
      <c r="P458" s="764"/>
      <c r="Q458" s="764"/>
      <c r="R458" s="764"/>
      <c r="S458" s="764"/>
      <c r="T458" s="764"/>
      <c r="U458" s="764"/>
      <c r="V458" s="764"/>
      <c r="W458" s="764"/>
      <c r="X458" s="764"/>
      <c r="Y458" s="764"/>
      <c r="Z458" s="764"/>
    </row>
    <row r="459" ht="9.75" customHeight="1">
      <c r="A459" s="764"/>
      <c r="B459" s="764"/>
      <c r="C459" s="764"/>
      <c r="D459" s="764"/>
      <c r="E459" s="764"/>
      <c r="F459" s="763"/>
      <c r="G459" s="763"/>
      <c r="H459" s="763"/>
      <c r="I459" s="764"/>
      <c r="J459" s="764"/>
      <c r="K459" s="764"/>
      <c r="L459" s="764"/>
      <c r="M459" s="764"/>
      <c r="N459" s="764"/>
      <c r="O459" s="764"/>
      <c r="P459" s="764"/>
      <c r="Q459" s="764"/>
      <c r="R459" s="764"/>
      <c r="S459" s="764"/>
      <c r="T459" s="764"/>
      <c r="U459" s="764"/>
      <c r="V459" s="764"/>
      <c r="W459" s="764"/>
      <c r="X459" s="764"/>
      <c r="Y459" s="764"/>
      <c r="Z459" s="764"/>
    </row>
    <row r="460" ht="9.75" customHeight="1">
      <c r="A460" s="764"/>
      <c r="B460" s="764"/>
      <c r="C460" s="764"/>
      <c r="D460" s="764"/>
      <c r="E460" s="764"/>
      <c r="F460" s="763"/>
      <c r="G460" s="763"/>
      <c r="H460" s="763"/>
      <c r="I460" s="764"/>
      <c r="J460" s="764"/>
      <c r="K460" s="764"/>
      <c r="L460" s="764"/>
      <c r="M460" s="764"/>
      <c r="N460" s="764"/>
      <c r="O460" s="764"/>
      <c r="P460" s="764"/>
      <c r="Q460" s="764"/>
      <c r="R460" s="764"/>
      <c r="S460" s="764"/>
      <c r="T460" s="764"/>
      <c r="U460" s="764"/>
      <c r="V460" s="764"/>
      <c r="W460" s="764"/>
      <c r="X460" s="764"/>
      <c r="Y460" s="764"/>
      <c r="Z460" s="764"/>
    </row>
    <row r="461" ht="9.75" customHeight="1">
      <c r="A461" s="764"/>
      <c r="B461" s="764"/>
      <c r="C461" s="764"/>
      <c r="D461" s="764"/>
      <c r="E461" s="764"/>
      <c r="F461" s="763"/>
      <c r="G461" s="763"/>
      <c r="H461" s="763"/>
      <c r="I461" s="764"/>
      <c r="J461" s="764"/>
      <c r="K461" s="764"/>
      <c r="L461" s="764"/>
      <c r="M461" s="764"/>
      <c r="N461" s="764"/>
      <c r="O461" s="764"/>
      <c r="P461" s="764"/>
      <c r="Q461" s="764"/>
      <c r="R461" s="764"/>
      <c r="S461" s="764"/>
      <c r="T461" s="764"/>
      <c r="U461" s="764"/>
      <c r="V461" s="764"/>
      <c r="W461" s="764"/>
      <c r="X461" s="764"/>
      <c r="Y461" s="764"/>
      <c r="Z461" s="764"/>
    </row>
    <row r="462" ht="9.75" customHeight="1">
      <c r="A462" s="764"/>
      <c r="B462" s="764"/>
      <c r="C462" s="764"/>
      <c r="D462" s="764"/>
      <c r="E462" s="764"/>
      <c r="F462" s="763"/>
      <c r="G462" s="763"/>
      <c r="H462" s="763"/>
      <c r="I462" s="764"/>
      <c r="J462" s="764"/>
      <c r="K462" s="764"/>
      <c r="L462" s="764"/>
      <c r="M462" s="764"/>
      <c r="N462" s="764"/>
      <c r="O462" s="764"/>
      <c r="P462" s="764"/>
      <c r="Q462" s="764"/>
      <c r="R462" s="764"/>
      <c r="S462" s="764"/>
      <c r="T462" s="764"/>
      <c r="U462" s="764"/>
      <c r="V462" s="764"/>
      <c r="W462" s="764"/>
      <c r="X462" s="764"/>
      <c r="Y462" s="764"/>
      <c r="Z462" s="764"/>
    </row>
    <row r="463" ht="9.75" customHeight="1">
      <c r="A463" s="764"/>
      <c r="B463" s="764"/>
      <c r="C463" s="764"/>
      <c r="D463" s="764"/>
      <c r="E463" s="764"/>
      <c r="F463" s="763"/>
      <c r="G463" s="763"/>
      <c r="H463" s="763"/>
      <c r="I463" s="764"/>
      <c r="J463" s="764"/>
      <c r="K463" s="764"/>
      <c r="L463" s="764"/>
      <c r="M463" s="764"/>
      <c r="N463" s="764"/>
      <c r="O463" s="764"/>
      <c r="P463" s="764"/>
      <c r="Q463" s="764"/>
      <c r="R463" s="764"/>
      <c r="S463" s="764"/>
      <c r="T463" s="764"/>
      <c r="U463" s="764"/>
      <c r="V463" s="764"/>
      <c r="W463" s="764"/>
      <c r="X463" s="764"/>
      <c r="Y463" s="764"/>
      <c r="Z463" s="764"/>
    </row>
    <row r="464" ht="9.75" customHeight="1">
      <c r="A464" s="764"/>
      <c r="B464" s="764"/>
      <c r="C464" s="764"/>
      <c r="D464" s="764"/>
      <c r="E464" s="764"/>
      <c r="F464" s="763"/>
      <c r="G464" s="763"/>
      <c r="H464" s="763"/>
      <c r="I464" s="764"/>
      <c r="J464" s="764"/>
      <c r="K464" s="764"/>
      <c r="L464" s="764"/>
      <c r="M464" s="764"/>
      <c r="N464" s="764"/>
      <c r="O464" s="764"/>
      <c r="P464" s="764"/>
      <c r="Q464" s="764"/>
      <c r="R464" s="764"/>
      <c r="S464" s="764"/>
      <c r="T464" s="764"/>
      <c r="U464" s="764"/>
      <c r="V464" s="764"/>
      <c r="W464" s="764"/>
      <c r="X464" s="764"/>
      <c r="Y464" s="764"/>
      <c r="Z464" s="764"/>
    </row>
    <row r="465" ht="9.75" customHeight="1">
      <c r="A465" s="764"/>
      <c r="B465" s="764"/>
      <c r="C465" s="764"/>
      <c r="D465" s="764"/>
      <c r="E465" s="764"/>
      <c r="F465" s="763"/>
      <c r="G465" s="763"/>
      <c r="H465" s="763"/>
      <c r="I465" s="764"/>
      <c r="J465" s="764"/>
      <c r="K465" s="764"/>
      <c r="L465" s="764"/>
      <c r="M465" s="764"/>
      <c r="N465" s="764"/>
      <c r="O465" s="764"/>
      <c r="P465" s="764"/>
      <c r="Q465" s="764"/>
      <c r="R465" s="764"/>
      <c r="S465" s="764"/>
      <c r="T465" s="764"/>
      <c r="U465" s="764"/>
      <c r="V465" s="764"/>
      <c r="W465" s="764"/>
      <c r="X465" s="764"/>
      <c r="Y465" s="764"/>
      <c r="Z465" s="764"/>
    </row>
    <row r="466" ht="9.75" customHeight="1">
      <c r="A466" s="764"/>
      <c r="B466" s="764"/>
      <c r="C466" s="764"/>
      <c r="D466" s="764"/>
      <c r="E466" s="764"/>
      <c r="F466" s="763"/>
      <c r="G466" s="763"/>
      <c r="H466" s="763"/>
      <c r="I466" s="764"/>
      <c r="J466" s="764"/>
      <c r="K466" s="764"/>
      <c r="L466" s="764"/>
      <c r="M466" s="764"/>
      <c r="N466" s="764"/>
      <c r="O466" s="764"/>
      <c r="P466" s="764"/>
      <c r="Q466" s="764"/>
      <c r="R466" s="764"/>
      <c r="S466" s="764"/>
      <c r="T466" s="764"/>
      <c r="U466" s="764"/>
      <c r="V466" s="764"/>
      <c r="W466" s="764"/>
      <c r="X466" s="764"/>
      <c r="Y466" s="764"/>
      <c r="Z466" s="764"/>
    </row>
    <row r="467" ht="9.75" customHeight="1">
      <c r="A467" s="764"/>
      <c r="B467" s="764"/>
      <c r="C467" s="764"/>
      <c r="D467" s="764"/>
      <c r="E467" s="764"/>
      <c r="F467" s="763"/>
      <c r="G467" s="763"/>
      <c r="H467" s="763"/>
      <c r="I467" s="764"/>
      <c r="J467" s="764"/>
      <c r="K467" s="764"/>
      <c r="L467" s="764"/>
      <c r="M467" s="764"/>
      <c r="N467" s="764"/>
      <c r="O467" s="764"/>
      <c r="P467" s="764"/>
      <c r="Q467" s="764"/>
      <c r="R467" s="764"/>
      <c r="S467" s="764"/>
      <c r="T467" s="764"/>
      <c r="U467" s="764"/>
      <c r="V467" s="764"/>
      <c r="W467" s="764"/>
      <c r="X467" s="764"/>
      <c r="Y467" s="764"/>
      <c r="Z467" s="764"/>
    </row>
    <row r="468" ht="9.75" customHeight="1">
      <c r="A468" s="764"/>
      <c r="B468" s="764"/>
      <c r="C468" s="764"/>
      <c r="D468" s="764"/>
      <c r="E468" s="764"/>
      <c r="F468" s="763"/>
      <c r="G468" s="763"/>
      <c r="H468" s="763"/>
      <c r="I468" s="764"/>
      <c r="J468" s="764"/>
      <c r="K468" s="764"/>
      <c r="L468" s="764"/>
      <c r="M468" s="764"/>
      <c r="N468" s="764"/>
      <c r="O468" s="764"/>
      <c r="P468" s="764"/>
      <c r="Q468" s="764"/>
      <c r="R468" s="764"/>
      <c r="S468" s="764"/>
      <c r="T468" s="764"/>
      <c r="U468" s="764"/>
      <c r="V468" s="764"/>
      <c r="W468" s="764"/>
      <c r="X468" s="764"/>
      <c r="Y468" s="764"/>
      <c r="Z468" s="764"/>
    </row>
    <row r="469" ht="9.75" customHeight="1">
      <c r="A469" s="764"/>
      <c r="B469" s="764"/>
      <c r="C469" s="764"/>
      <c r="D469" s="764"/>
      <c r="E469" s="764"/>
      <c r="F469" s="763"/>
      <c r="G469" s="763"/>
      <c r="H469" s="763"/>
      <c r="I469" s="764"/>
      <c r="J469" s="764"/>
      <c r="K469" s="764"/>
      <c r="L469" s="764"/>
      <c r="M469" s="764"/>
      <c r="N469" s="764"/>
      <c r="O469" s="764"/>
      <c r="P469" s="764"/>
      <c r="Q469" s="764"/>
      <c r="R469" s="764"/>
      <c r="S469" s="764"/>
      <c r="T469" s="764"/>
      <c r="U469" s="764"/>
      <c r="V469" s="764"/>
      <c r="W469" s="764"/>
      <c r="X469" s="764"/>
      <c r="Y469" s="764"/>
      <c r="Z469" s="764"/>
    </row>
    <row r="470" ht="9.75" customHeight="1">
      <c r="A470" s="764"/>
      <c r="B470" s="764"/>
      <c r="C470" s="764"/>
      <c r="D470" s="764"/>
      <c r="E470" s="764"/>
      <c r="F470" s="763"/>
      <c r="G470" s="763"/>
      <c r="H470" s="763"/>
      <c r="I470" s="764"/>
      <c r="J470" s="764"/>
      <c r="K470" s="764"/>
      <c r="L470" s="764"/>
      <c r="M470" s="764"/>
      <c r="N470" s="764"/>
      <c r="O470" s="764"/>
      <c r="P470" s="764"/>
      <c r="Q470" s="764"/>
      <c r="R470" s="764"/>
      <c r="S470" s="764"/>
      <c r="T470" s="764"/>
      <c r="U470" s="764"/>
      <c r="V470" s="764"/>
      <c r="W470" s="764"/>
      <c r="X470" s="764"/>
      <c r="Y470" s="764"/>
      <c r="Z470" s="764"/>
    </row>
    <row r="471" ht="9.75" customHeight="1">
      <c r="A471" s="764"/>
      <c r="B471" s="764"/>
      <c r="C471" s="764"/>
      <c r="D471" s="764"/>
      <c r="E471" s="764"/>
      <c r="F471" s="763"/>
      <c r="G471" s="763"/>
      <c r="H471" s="763"/>
      <c r="I471" s="764"/>
      <c r="J471" s="764"/>
      <c r="K471" s="764"/>
      <c r="L471" s="764"/>
      <c r="M471" s="764"/>
      <c r="N471" s="764"/>
      <c r="O471" s="764"/>
      <c r="P471" s="764"/>
      <c r="Q471" s="764"/>
      <c r="R471" s="764"/>
      <c r="S471" s="764"/>
      <c r="T471" s="764"/>
      <c r="U471" s="764"/>
      <c r="V471" s="764"/>
      <c r="W471" s="764"/>
      <c r="X471" s="764"/>
      <c r="Y471" s="764"/>
      <c r="Z471" s="764"/>
    </row>
    <row r="472" ht="9.75" customHeight="1">
      <c r="A472" s="764"/>
      <c r="B472" s="764"/>
      <c r="C472" s="764"/>
      <c r="D472" s="764"/>
      <c r="E472" s="764"/>
      <c r="F472" s="763"/>
      <c r="G472" s="763"/>
      <c r="H472" s="763"/>
      <c r="I472" s="764"/>
      <c r="J472" s="764"/>
      <c r="K472" s="764"/>
      <c r="L472" s="764"/>
      <c r="M472" s="764"/>
      <c r="N472" s="764"/>
      <c r="O472" s="764"/>
      <c r="P472" s="764"/>
      <c r="Q472" s="764"/>
      <c r="R472" s="764"/>
      <c r="S472" s="764"/>
      <c r="T472" s="764"/>
      <c r="U472" s="764"/>
      <c r="V472" s="764"/>
      <c r="W472" s="764"/>
      <c r="X472" s="764"/>
      <c r="Y472" s="764"/>
      <c r="Z472" s="764"/>
    </row>
    <row r="473" ht="9.75" customHeight="1">
      <c r="A473" s="764"/>
      <c r="B473" s="764"/>
      <c r="C473" s="764"/>
      <c r="D473" s="764"/>
      <c r="E473" s="764"/>
      <c r="F473" s="763"/>
      <c r="G473" s="763"/>
      <c r="H473" s="763"/>
      <c r="I473" s="764"/>
      <c r="J473" s="764"/>
      <c r="K473" s="764"/>
      <c r="L473" s="764"/>
      <c r="M473" s="764"/>
      <c r="N473" s="764"/>
      <c r="O473" s="764"/>
      <c r="P473" s="764"/>
      <c r="Q473" s="764"/>
      <c r="R473" s="764"/>
      <c r="S473" s="764"/>
      <c r="T473" s="764"/>
      <c r="U473" s="764"/>
      <c r="V473" s="764"/>
      <c r="W473" s="764"/>
      <c r="X473" s="764"/>
      <c r="Y473" s="764"/>
      <c r="Z473" s="764"/>
    </row>
    <row r="474" ht="9.75" customHeight="1">
      <c r="A474" s="764"/>
      <c r="B474" s="764"/>
      <c r="C474" s="764"/>
      <c r="D474" s="764"/>
      <c r="E474" s="764"/>
      <c r="F474" s="763"/>
      <c r="G474" s="763"/>
      <c r="H474" s="763"/>
      <c r="I474" s="764"/>
      <c r="J474" s="764"/>
      <c r="K474" s="764"/>
      <c r="L474" s="764"/>
      <c r="M474" s="764"/>
      <c r="N474" s="764"/>
      <c r="O474" s="764"/>
      <c r="P474" s="764"/>
      <c r="Q474" s="764"/>
      <c r="R474" s="764"/>
      <c r="S474" s="764"/>
      <c r="T474" s="764"/>
      <c r="U474" s="764"/>
      <c r="V474" s="764"/>
      <c r="W474" s="764"/>
      <c r="X474" s="764"/>
      <c r="Y474" s="764"/>
      <c r="Z474" s="764"/>
    </row>
    <row r="475" ht="9.75" customHeight="1">
      <c r="A475" s="764"/>
      <c r="B475" s="764"/>
      <c r="C475" s="764"/>
      <c r="D475" s="764"/>
      <c r="E475" s="764"/>
      <c r="F475" s="763"/>
      <c r="G475" s="763"/>
      <c r="H475" s="763"/>
      <c r="I475" s="764"/>
      <c r="J475" s="764"/>
      <c r="K475" s="764"/>
      <c r="L475" s="764"/>
      <c r="M475" s="764"/>
      <c r="N475" s="764"/>
      <c r="O475" s="764"/>
      <c r="P475" s="764"/>
      <c r="Q475" s="764"/>
      <c r="R475" s="764"/>
      <c r="S475" s="764"/>
      <c r="T475" s="764"/>
      <c r="U475" s="764"/>
      <c r="V475" s="764"/>
      <c r="W475" s="764"/>
      <c r="X475" s="764"/>
      <c r="Y475" s="764"/>
      <c r="Z475" s="764"/>
    </row>
    <row r="476" ht="9.75" customHeight="1">
      <c r="A476" s="764"/>
      <c r="B476" s="764"/>
      <c r="C476" s="764"/>
      <c r="D476" s="764"/>
      <c r="E476" s="764"/>
      <c r="F476" s="763"/>
      <c r="G476" s="763"/>
      <c r="H476" s="763"/>
      <c r="I476" s="764"/>
      <c r="J476" s="764"/>
      <c r="K476" s="764"/>
      <c r="L476" s="764"/>
      <c r="M476" s="764"/>
      <c r="N476" s="764"/>
      <c r="O476" s="764"/>
      <c r="P476" s="764"/>
      <c r="Q476" s="764"/>
      <c r="R476" s="764"/>
      <c r="S476" s="764"/>
      <c r="T476" s="764"/>
      <c r="U476" s="764"/>
      <c r="V476" s="764"/>
      <c r="W476" s="764"/>
      <c r="X476" s="764"/>
      <c r="Y476" s="764"/>
      <c r="Z476" s="764"/>
    </row>
    <row r="477" ht="9.75" customHeight="1">
      <c r="A477" s="764"/>
      <c r="B477" s="764"/>
      <c r="C477" s="764"/>
      <c r="D477" s="764"/>
      <c r="E477" s="764"/>
      <c r="F477" s="763"/>
      <c r="G477" s="763"/>
      <c r="H477" s="763"/>
      <c r="I477" s="764"/>
      <c r="J477" s="764"/>
      <c r="K477" s="764"/>
      <c r="L477" s="764"/>
      <c r="M477" s="764"/>
      <c r="N477" s="764"/>
      <c r="O477" s="764"/>
      <c r="P477" s="764"/>
      <c r="Q477" s="764"/>
      <c r="R477" s="764"/>
      <c r="S477" s="764"/>
      <c r="T477" s="764"/>
      <c r="U477" s="764"/>
      <c r="V477" s="764"/>
      <c r="W477" s="764"/>
      <c r="X477" s="764"/>
      <c r="Y477" s="764"/>
      <c r="Z477" s="764"/>
    </row>
    <row r="478" ht="9.75" customHeight="1">
      <c r="A478" s="764"/>
      <c r="B478" s="764"/>
      <c r="C478" s="764"/>
      <c r="D478" s="764"/>
      <c r="E478" s="764"/>
      <c r="F478" s="763"/>
      <c r="G478" s="763"/>
      <c r="H478" s="763"/>
      <c r="I478" s="764"/>
      <c r="J478" s="764"/>
      <c r="K478" s="764"/>
      <c r="L478" s="764"/>
      <c r="M478" s="764"/>
      <c r="N478" s="764"/>
      <c r="O478" s="764"/>
      <c r="P478" s="764"/>
      <c r="Q478" s="764"/>
      <c r="R478" s="764"/>
      <c r="S478" s="764"/>
      <c r="T478" s="764"/>
      <c r="U478" s="764"/>
      <c r="V478" s="764"/>
      <c r="W478" s="764"/>
      <c r="X478" s="764"/>
      <c r="Y478" s="764"/>
      <c r="Z478" s="764"/>
    </row>
    <row r="479" ht="9.75" customHeight="1">
      <c r="A479" s="764"/>
      <c r="B479" s="764"/>
      <c r="C479" s="764"/>
      <c r="D479" s="764"/>
      <c r="E479" s="764"/>
      <c r="F479" s="763"/>
      <c r="G479" s="763"/>
      <c r="H479" s="763"/>
      <c r="I479" s="764"/>
      <c r="J479" s="764"/>
      <c r="K479" s="764"/>
      <c r="L479" s="764"/>
      <c r="M479" s="764"/>
      <c r="N479" s="764"/>
      <c r="O479" s="764"/>
      <c r="P479" s="764"/>
      <c r="Q479" s="764"/>
      <c r="R479" s="764"/>
      <c r="S479" s="764"/>
      <c r="T479" s="764"/>
      <c r="U479" s="764"/>
      <c r="V479" s="764"/>
      <c r="W479" s="764"/>
      <c r="X479" s="764"/>
      <c r="Y479" s="764"/>
      <c r="Z479" s="764"/>
    </row>
    <row r="480" ht="9.75" customHeight="1">
      <c r="A480" s="764"/>
      <c r="B480" s="764"/>
      <c r="C480" s="764"/>
      <c r="D480" s="764"/>
      <c r="E480" s="764"/>
      <c r="F480" s="763"/>
      <c r="G480" s="763"/>
      <c r="H480" s="763"/>
      <c r="I480" s="764"/>
      <c r="J480" s="764"/>
      <c r="K480" s="764"/>
      <c r="L480" s="764"/>
      <c r="M480" s="764"/>
      <c r="N480" s="764"/>
      <c r="O480" s="764"/>
      <c r="P480" s="764"/>
      <c r="Q480" s="764"/>
      <c r="R480" s="764"/>
      <c r="S480" s="764"/>
      <c r="T480" s="764"/>
      <c r="U480" s="764"/>
      <c r="V480" s="764"/>
      <c r="W480" s="764"/>
      <c r="X480" s="764"/>
      <c r="Y480" s="764"/>
      <c r="Z480" s="764"/>
    </row>
    <row r="481" ht="9.75" customHeight="1">
      <c r="A481" s="764"/>
      <c r="B481" s="764"/>
      <c r="C481" s="764"/>
      <c r="D481" s="764"/>
      <c r="E481" s="764"/>
      <c r="F481" s="763"/>
      <c r="G481" s="763"/>
      <c r="H481" s="763"/>
      <c r="I481" s="764"/>
      <c r="J481" s="764"/>
      <c r="K481" s="764"/>
      <c r="L481" s="764"/>
      <c r="M481" s="764"/>
      <c r="N481" s="764"/>
      <c r="O481" s="764"/>
      <c r="P481" s="764"/>
      <c r="Q481" s="764"/>
      <c r="R481" s="764"/>
      <c r="S481" s="764"/>
      <c r="T481" s="764"/>
      <c r="U481" s="764"/>
      <c r="V481" s="764"/>
      <c r="W481" s="764"/>
      <c r="X481" s="764"/>
      <c r="Y481" s="764"/>
      <c r="Z481" s="764"/>
    </row>
    <row r="482" ht="9.75" customHeight="1">
      <c r="A482" s="764"/>
      <c r="B482" s="764"/>
      <c r="C482" s="764"/>
      <c r="D482" s="764"/>
      <c r="E482" s="764"/>
      <c r="F482" s="763"/>
      <c r="G482" s="763"/>
      <c r="H482" s="763"/>
      <c r="I482" s="764"/>
      <c r="J482" s="764"/>
      <c r="K482" s="764"/>
      <c r="L482" s="764"/>
      <c r="M482" s="764"/>
      <c r="N482" s="764"/>
      <c r="O482" s="764"/>
      <c r="P482" s="764"/>
      <c r="Q482" s="764"/>
      <c r="R482" s="764"/>
      <c r="S482" s="764"/>
      <c r="T482" s="764"/>
      <c r="U482" s="764"/>
      <c r="V482" s="764"/>
      <c r="W482" s="764"/>
      <c r="X482" s="764"/>
      <c r="Y482" s="764"/>
      <c r="Z482" s="764"/>
    </row>
    <row r="483" ht="9.75" customHeight="1">
      <c r="A483" s="764"/>
      <c r="B483" s="764"/>
      <c r="C483" s="764"/>
      <c r="D483" s="764"/>
      <c r="E483" s="764"/>
      <c r="F483" s="763"/>
      <c r="G483" s="763"/>
      <c r="H483" s="763"/>
      <c r="I483" s="764"/>
      <c r="J483" s="764"/>
      <c r="K483" s="764"/>
      <c r="L483" s="764"/>
      <c r="M483" s="764"/>
      <c r="N483" s="764"/>
      <c r="O483" s="764"/>
      <c r="P483" s="764"/>
      <c r="Q483" s="764"/>
      <c r="R483" s="764"/>
      <c r="S483" s="764"/>
      <c r="T483" s="764"/>
      <c r="U483" s="764"/>
      <c r="V483" s="764"/>
      <c r="W483" s="764"/>
      <c r="X483" s="764"/>
      <c r="Y483" s="764"/>
      <c r="Z483" s="764"/>
    </row>
    <row r="484" ht="9.75" customHeight="1">
      <c r="A484" s="764"/>
      <c r="B484" s="764"/>
      <c r="C484" s="764"/>
      <c r="D484" s="764"/>
      <c r="E484" s="764"/>
      <c r="F484" s="763"/>
      <c r="G484" s="763"/>
      <c r="H484" s="763"/>
      <c r="I484" s="764"/>
      <c r="J484" s="764"/>
      <c r="K484" s="764"/>
      <c r="L484" s="764"/>
      <c r="M484" s="764"/>
      <c r="N484" s="764"/>
      <c r="O484" s="764"/>
      <c r="P484" s="764"/>
      <c r="Q484" s="764"/>
      <c r="R484" s="764"/>
      <c r="S484" s="764"/>
      <c r="T484" s="764"/>
      <c r="U484" s="764"/>
      <c r="V484" s="764"/>
      <c r="W484" s="764"/>
      <c r="X484" s="764"/>
      <c r="Y484" s="764"/>
      <c r="Z484" s="764"/>
    </row>
    <row r="485" ht="9.75" customHeight="1">
      <c r="A485" s="764"/>
      <c r="B485" s="764"/>
      <c r="C485" s="764"/>
      <c r="D485" s="764"/>
      <c r="E485" s="764"/>
      <c r="F485" s="763"/>
      <c r="G485" s="763"/>
      <c r="H485" s="763"/>
      <c r="I485" s="764"/>
      <c r="J485" s="764"/>
      <c r="K485" s="764"/>
      <c r="L485" s="764"/>
      <c r="M485" s="764"/>
      <c r="N485" s="764"/>
      <c r="O485" s="764"/>
      <c r="P485" s="764"/>
      <c r="Q485" s="764"/>
      <c r="R485" s="764"/>
      <c r="S485" s="764"/>
      <c r="T485" s="764"/>
      <c r="U485" s="764"/>
      <c r="V485" s="764"/>
      <c r="W485" s="764"/>
      <c r="X485" s="764"/>
      <c r="Y485" s="764"/>
      <c r="Z485" s="764"/>
    </row>
    <row r="486" ht="9.75" customHeight="1">
      <c r="A486" s="764"/>
      <c r="B486" s="764"/>
      <c r="C486" s="764"/>
      <c r="D486" s="764"/>
      <c r="E486" s="764"/>
      <c r="F486" s="763"/>
      <c r="G486" s="763"/>
      <c r="H486" s="763"/>
      <c r="I486" s="764"/>
      <c r="J486" s="764"/>
      <c r="K486" s="764"/>
      <c r="L486" s="764"/>
      <c r="M486" s="764"/>
      <c r="N486" s="764"/>
      <c r="O486" s="764"/>
      <c r="P486" s="764"/>
      <c r="Q486" s="764"/>
      <c r="R486" s="764"/>
      <c r="S486" s="764"/>
      <c r="T486" s="764"/>
      <c r="U486" s="764"/>
      <c r="V486" s="764"/>
      <c r="W486" s="764"/>
      <c r="X486" s="764"/>
      <c r="Y486" s="764"/>
      <c r="Z486" s="764"/>
    </row>
    <row r="487" ht="9.75" customHeight="1">
      <c r="A487" s="764"/>
      <c r="B487" s="764"/>
      <c r="C487" s="764"/>
      <c r="D487" s="764"/>
      <c r="E487" s="764"/>
      <c r="F487" s="763"/>
      <c r="G487" s="763"/>
      <c r="H487" s="763"/>
      <c r="I487" s="764"/>
      <c r="J487" s="764"/>
      <c r="K487" s="764"/>
      <c r="L487" s="764"/>
      <c r="M487" s="764"/>
      <c r="N487" s="764"/>
      <c r="O487" s="764"/>
      <c r="P487" s="764"/>
      <c r="Q487" s="764"/>
      <c r="R487" s="764"/>
      <c r="S487" s="764"/>
      <c r="T487" s="764"/>
      <c r="U487" s="764"/>
      <c r="V487" s="764"/>
      <c r="W487" s="764"/>
      <c r="X487" s="764"/>
      <c r="Y487" s="764"/>
      <c r="Z487" s="764"/>
    </row>
    <row r="488" ht="9.75" customHeight="1">
      <c r="A488" s="764"/>
      <c r="B488" s="764"/>
      <c r="C488" s="764"/>
      <c r="D488" s="764"/>
      <c r="E488" s="764"/>
      <c r="F488" s="763"/>
      <c r="G488" s="763"/>
      <c r="H488" s="763"/>
      <c r="I488" s="764"/>
      <c r="J488" s="764"/>
      <c r="K488" s="764"/>
      <c r="L488" s="764"/>
      <c r="M488" s="764"/>
      <c r="N488" s="764"/>
      <c r="O488" s="764"/>
      <c r="P488" s="764"/>
      <c r="Q488" s="764"/>
      <c r="R488" s="764"/>
      <c r="S488" s="764"/>
      <c r="T488" s="764"/>
      <c r="U488" s="764"/>
      <c r="V488" s="764"/>
      <c r="W488" s="764"/>
      <c r="X488" s="764"/>
      <c r="Y488" s="764"/>
      <c r="Z488" s="764"/>
    </row>
    <row r="489" ht="9.75" customHeight="1">
      <c r="A489" s="764"/>
      <c r="B489" s="764"/>
      <c r="C489" s="764"/>
      <c r="D489" s="764"/>
      <c r="E489" s="764"/>
      <c r="F489" s="763"/>
      <c r="G489" s="763"/>
      <c r="H489" s="763"/>
      <c r="I489" s="764"/>
      <c r="J489" s="764"/>
      <c r="K489" s="764"/>
      <c r="L489" s="764"/>
      <c r="M489" s="764"/>
      <c r="N489" s="764"/>
      <c r="O489" s="764"/>
      <c r="P489" s="764"/>
      <c r="Q489" s="764"/>
      <c r="R489" s="764"/>
      <c r="S489" s="764"/>
      <c r="T489" s="764"/>
      <c r="U489" s="764"/>
      <c r="V489" s="764"/>
      <c r="W489" s="764"/>
      <c r="X489" s="764"/>
      <c r="Y489" s="764"/>
      <c r="Z489" s="764"/>
    </row>
    <row r="490" ht="9.75" customHeight="1">
      <c r="A490" s="764"/>
      <c r="B490" s="764"/>
      <c r="C490" s="764"/>
      <c r="D490" s="764"/>
      <c r="E490" s="764"/>
      <c r="F490" s="763"/>
      <c r="G490" s="763"/>
      <c r="H490" s="763"/>
      <c r="I490" s="764"/>
      <c r="J490" s="764"/>
      <c r="K490" s="764"/>
      <c r="L490" s="764"/>
      <c r="M490" s="764"/>
      <c r="N490" s="764"/>
      <c r="O490" s="764"/>
      <c r="P490" s="764"/>
      <c r="Q490" s="764"/>
      <c r="R490" s="764"/>
      <c r="S490" s="764"/>
      <c r="T490" s="764"/>
      <c r="U490" s="764"/>
      <c r="V490" s="764"/>
      <c r="W490" s="764"/>
      <c r="X490" s="764"/>
      <c r="Y490" s="764"/>
      <c r="Z490" s="764"/>
    </row>
    <row r="491" ht="9.75" customHeight="1">
      <c r="A491" s="764"/>
      <c r="B491" s="764"/>
      <c r="C491" s="764"/>
      <c r="D491" s="764"/>
      <c r="E491" s="764"/>
      <c r="F491" s="763"/>
      <c r="G491" s="763"/>
      <c r="H491" s="763"/>
      <c r="I491" s="764"/>
      <c r="J491" s="764"/>
      <c r="K491" s="764"/>
      <c r="L491" s="764"/>
      <c r="M491" s="764"/>
      <c r="N491" s="764"/>
      <c r="O491" s="764"/>
      <c r="P491" s="764"/>
      <c r="Q491" s="764"/>
      <c r="R491" s="764"/>
      <c r="S491" s="764"/>
      <c r="T491" s="764"/>
      <c r="U491" s="764"/>
      <c r="V491" s="764"/>
      <c r="W491" s="764"/>
      <c r="X491" s="764"/>
      <c r="Y491" s="764"/>
      <c r="Z491" s="764"/>
    </row>
    <row r="492" ht="9.75" customHeight="1">
      <c r="A492" s="764"/>
      <c r="B492" s="764"/>
      <c r="C492" s="764"/>
      <c r="D492" s="764"/>
      <c r="E492" s="764"/>
      <c r="F492" s="763"/>
      <c r="G492" s="763"/>
      <c r="H492" s="763"/>
      <c r="I492" s="764"/>
      <c r="J492" s="764"/>
      <c r="K492" s="764"/>
      <c r="L492" s="764"/>
      <c r="M492" s="764"/>
      <c r="N492" s="764"/>
      <c r="O492" s="764"/>
      <c r="P492" s="764"/>
      <c r="Q492" s="764"/>
      <c r="R492" s="764"/>
      <c r="S492" s="764"/>
      <c r="T492" s="764"/>
      <c r="U492" s="764"/>
      <c r="V492" s="764"/>
      <c r="W492" s="764"/>
      <c r="X492" s="764"/>
      <c r="Y492" s="764"/>
      <c r="Z492" s="764"/>
    </row>
    <row r="493" ht="9.75" customHeight="1">
      <c r="A493" s="764"/>
      <c r="B493" s="764"/>
      <c r="C493" s="764"/>
      <c r="D493" s="764"/>
      <c r="E493" s="764"/>
      <c r="F493" s="763"/>
      <c r="G493" s="763"/>
      <c r="H493" s="763"/>
      <c r="I493" s="764"/>
      <c r="J493" s="764"/>
      <c r="K493" s="764"/>
      <c r="L493" s="764"/>
      <c r="M493" s="764"/>
      <c r="N493" s="764"/>
      <c r="O493" s="764"/>
      <c r="P493" s="764"/>
      <c r="Q493" s="764"/>
      <c r="R493" s="764"/>
      <c r="S493" s="764"/>
      <c r="T493" s="764"/>
      <c r="U493" s="764"/>
      <c r="V493" s="764"/>
      <c r="W493" s="764"/>
      <c r="X493" s="764"/>
      <c r="Y493" s="764"/>
      <c r="Z493" s="764"/>
    </row>
    <row r="494" ht="9.75" customHeight="1">
      <c r="A494" s="764"/>
      <c r="B494" s="764"/>
      <c r="C494" s="764"/>
      <c r="D494" s="764"/>
      <c r="E494" s="764"/>
      <c r="F494" s="763"/>
      <c r="G494" s="763"/>
      <c r="H494" s="763"/>
      <c r="I494" s="764"/>
      <c r="J494" s="764"/>
      <c r="K494" s="764"/>
      <c r="L494" s="764"/>
      <c r="M494" s="764"/>
      <c r="N494" s="764"/>
      <c r="O494" s="764"/>
      <c r="P494" s="764"/>
      <c r="Q494" s="764"/>
      <c r="R494" s="764"/>
      <c r="S494" s="764"/>
      <c r="T494" s="764"/>
      <c r="U494" s="764"/>
      <c r="V494" s="764"/>
      <c r="W494" s="764"/>
      <c r="X494" s="764"/>
      <c r="Y494" s="764"/>
      <c r="Z494" s="764"/>
    </row>
    <row r="495" ht="9.75" customHeight="1">
      <c r="A495" s="764"/>
      <c r="B495" s="764"/>
      <c r="C495" s="764"/>
      <c r="D495" s="764"/>
      <c r="E495" s="764"/>
      <c r="F495" s="763"/>
      <c r="G495" s="763"/>
      <c r="H495" s="763"/>
      <c r="I495" s="764"/>
      <c r="J495" s="764"/>
      <c r="K495" s="764"/>
      <c r="L495" s="764"/>
      <c r="M495" s="764"/>
      <c r="N495" s="764"/>
      <c r="O495" s="764"/>
      <c r="P495" s="764"/>
      <c r="Q495" s="764"/>
      <c r="R495" s="764"/>
      <c r="S495" s="764"/>
      <c r="T495" s="764"/>
      <c r="U495" s="764"/>
      <c r="V495" s="764"/>
      <c r="W495" s="764"/>
      <c r="X495" s="764"/>
      <c r="Y495" s="764"/>
      <c r="Z495" s="764"/>
    </row>
    <row r="496" ht="9.75" customHeight="1">
      <c r="A496" s="764"/>
      <c r="B496" s="764"/>
      <c r="C496" s="764"/>
      <c r="D496" s="764"/>
      <c r="E496" s="764"/>
      <c r="F496" s="763"/>
      <c r="G496" s="763"/>
      <c r="H496" s="763"/>
      <c r="I496" s="764"/>
      <c r="J496" s="764"/>
      <c r="K496" s="764"/>
      <c r="L496" s="764"/>
      <c r="M496" s="764"/>
      <c r="N496" s="764"/>
      <c r="O496" s="764"/>
      <c r="P496" s="764"/>
      <c r="Q496" s="764"/>
      <c r="R496" s="764"/>
      <c r="S496" s="764"/>
      <c r="T496" s="764"/>
      <c r="U496" s="764"/>
      <c r="V496" s="764"/>
      <c r="W496" s="764"/>
      <c r="X496" s="764"/>
      <c r="Y496" s="764"/>
      <c r="Z496" s="764"/>
    </row>
    <row r="497" ht="9.75" customHeight="1">
      <c r="A497" s="764"/>
      <c r="B497" s="764"/>
      <c r="C497" s="764"/>
      <c r="D497" s="764"/>
      <c r="E497" s="764"/>
      <c r="F497" s="763"/>
      <c r="G497" s="763"/>
      <c r="H497" s="763"/>
      <c r="I497" s="764"/>
      <c r="J497" s="764"/>
      <c r="K497" s="764"/>
      <c r="L497" s="764"/>
      <c r="M497" s="764"/>
      <c r="N497" s="764"/>
      <c r="O497" s="764"/>
      <c r="P497" s="764"/>
      <c r="Q497" s="764"/>
      <c r="R497" s="764"/>
      <c r="S497" s="764"/>
      <c r="T497" s="764"/>
      <c r="U497" s="764"/>
      <c r="V497" s="764"/>
      <c r="W497" s="764"/>
      <c r="X497" s="764"/>
      <c r="Y497" s="764"/>
      <c r="Z497" s="764"/>
    </row>
    <row r="498" ht="9.75" customHeight="1">
      <c r="A498" s="764"/>
      <c r="B498" s="764"/>
      <c r="C498" s="764"/>
      <c r="D498" s="764"/>
      <c r="E498" s="764"/>
      <c r="F498" s="763"/>
      <c r="G498" s="763"/>
      <c r="H498" s="763"/>
      <c r="I498" s="764"/>
      <c r="J498" s="764"/>
      <c r="K498" s="764"/>
      <c r="L498" s="764"/>
      <c r="M498" s="764"/>
      <c r="N498" s="764"/>
      <c r="O498" s="764"/>
      <c r="P498" s="764"/>
      <c r="Q498" s="764"/>
      <c r="R498" s="764"/>
      <c r="S498" s="764"/>
      <c r="T498" s="764"/>
      <c r="U498" s="764"/>
      <c r="V498" s="764"/>
      <c r="W498" s="764"/>
      <c r="X498" s="764"/>
      <c r="Y498" s="764"/>
      <c r="Z498" s="764"/>
    </row>
    <row r="499" ht="9.75" customHeight="1">
      <c r="A499" s="764"/>
      <c r="B499" s="764"/>
      <c r="C499" s="764"/>
      <c r="D499" s="764"/>
      <c r="E499" s="764"/>
      <c r="F499" s="763"/>
      <c r="G499" s="763"/>
      <c r="H499" s="763"/>
      <c r="I499" s="764"/>
      <c r="J499" s="764"/>
      <c r="K499" s="764"/>
      <c r="L499" s="764"/>
      <c r="M499" s="764"/>
      <c r="N499" s="764"/>
      <c r="O499" s="764"/>
      <c r="P499" s="764"/>
      <c r="Q499" s="764"/>
      <c r="R499" s="764"/>
      <c r="S499" s="764"/>
      <c r="T499" s="764"/>
      <c r="U499" s="764"/>
      <c r="V499" s="764"/>
      <c r="W499" s="764"/>
      <c r="X499" s="764"/>
      <c r="Y499" s="764"/>
      <c r="Z499" s="764"/>
    </row>
    <row r="500" ht="9.75" customHeight="1">
      <c r="A500" s="764"/>
      <c r="B500" s="764"/>
      <c r="C500" s="764"/>
      <c r="D500" s="764"/>
      <c r="E500" s="764"/>
      <c r="F500" s="763"/>
      <c r="G500" s="763"/>
      <c r="H500" s="763"/>
      <c r="I500" s="764"/>
      <c r="J500" s="764"/>
      <c r="K500" s="764"/>
      <c r="L500" s="764"/>
      <c r="M500" s="764"/>
      <c r="N500" s="764"/>
      <c r="O500" s="764"/>
      <c r="P500" s="764"/>
      <c r="Q500" s="764"/>
      <c r="R500" s="764"/>
      <c r="S500" s="764"/>
      <c r="T500" s="764"/>
      <c r="U500" s="764"/>
      <c r="V500" s="764"/>
      <c r="W500" s="764"/>
      <c r="X500" s="764"/>
      <c r="Y500" s="764"/>
      <c r="Z500" s="764"/>
    </row>
    <row r="501" ht="9.75" customHeight="1">
      <c r="A501" s="764"/>
      <c r="B501" s="764"/>
      <c r="C501" s="764"/>
      <c r="D501" s="764"/>
      <c r="E501" s="764"/>
      <c r="F501" s="763"/>
      <c r="G501" s="763"/>
      <c r="H501" s="763"/>
      <c r="I501" s="764"/>
      <c r="J501" s="764"/>
      <c r="K501" s="764"/>
      <c r="L501" s="764"/>
      <c r="M501" s="764"/>
      <c r="N501" s="764"/>
      <c r="O501" s="764"/>
      <c r="P501" s="764"/>
      <c r="Q501" s="764"/>
      <c r="R501" s="764"/>
      <c r="S501" s="764"/>
      <c r="T501" s="764"/>
      <c r="U501" s="764"/>
      <c r="V501" s="764"/>
      <c r="W501" s="764"/>
      <c r="X501" s="764"/>
      <c r="Y501" s="764"/>
      <c r="Z501" s="764"/>
    </row>
    <row r="502" ht="9.75" customHeight="1">
      <c r="A502" s="764"/>
      <c r="B502" s="764"/>
      <c r="C502" s="764"/>
      <c r="D502" s="764"/>
      <c r="E502" s="764"/>
      <c r="F502" s="763"/>
      <c r="G502" s="763"/>
      <c r="H502" s="763"/>
      <c r="I502" s="764"/>
      <c r="J502" s="764"/>
      <c r="K502" s="764"/>
      <c r="L502" s="764"/>
      <c r="M502" s="764"/>
      <c r="N502" s="764"/>
      <c r="O502" s="764"/>
      <c r="P502" s="764"/>
      <c r="Q502" s="764"/>
      <c r="R502" s="764"/>
      <c r="S502" s="764"/>
      <c r="T502" s="764"/>
      <c r="U502" s="764"/>
      <c r="V502" s="764"/>
      <c r="W502" s="764"/>
      <c r="X502" s="764"/>
      <c r="Y502" s="764"/>
      <c r="Z502" s="764"/>
    </row>
    <row r="503" ht="9.75" customHeight="1">
      <c r="A503" s="764"/>
      <c r="B503" s="764"/>
      <c r="C503" s="764"/>
      <c r="D503" s="764"/>
      <c r="E503" s="764"/>
      <c r="F503" s="763"/>
      <c r="G503" s="763"/>
      <c r="H503" s="763"/>
      <c r="I503" s="764"/>
      <c r="J503" s="764"/>
      <c r="K503" s="764"/>
      <c r="L503" s="764"/>
      <c r="M503" s="764"/>
      <c r="N503" s="764"/>
      <c r="O503" s="764"/>
      <c r="P503" s="764"/>
      <c r="Q503" s="764"/>
      <c r="R503" s="764"/>
      <c r="S503" s="764"/>
      <c r="T503" s="764"/>
      <c r="U503" s="764"/>
      <c r="V503" s="764"/>
      <c r="W503" s="764"/>
      <c r="X503" s="764"/>
      <c r="Y503" s="764"/>
      <c r="Z503" s="764"/>
    </row>
    <row r="504" ht="9.75" customHeight="1">
      <c r="A504" s="764"/>
      <c r="B504" s="764"/>
      <c r="C504" s="764"/>
      <c r="D504" s="764"/>
      <c r="E504" s="764"/>
      <c r="F504" s="763"/>
      <c r="G504" s="763"/>
      <c r="H504" s="763"/>
      <c r="I504" s="764"/>
      <c r="J504" s="764"/>
      <c r="K504" s="764"/>
      <c r="L504" s="764"/>
      <c r="M504" s="764"/>
      <c r="N504" s="764"/>
      <c r="O504" s="764"/>
      <c r="P504" s="764"/>
      <c r="Q504" s="764"/>
      <c r="R504" s="764"/>
      <c r="S504" s="764"/>
      <c r="T504" s="764"/>
      <c r="U504" s="764"/>
      <c r="V504" s="764"/>
      <c r="W504" s="764"/>
      <c r="X504" s="764"/>
      <c r="Y504" s="764"/>
      <c r="Z504" s="764"/>
    </row>
    <row r="505" ht="9.75" customHeight="1">
      <c r="A505" s="764"/>
      <c r="B505" s="764"/>
      <c r="C505" s="764"/>
      <c r="D505" s="764"/>
      <c r="E505" s="764"/>
      <c r="F505" s="763"/>
      <c r="G505" s="763"/>
      <c r="H505" s="763"/>
      <c r="I505" s="764"/>
      <c r="J505" s="764"/>
      <c r="K505" s="764"/>
      <c r="L505" s="764"/>
      <c r="M505" s="764"/>
      <c r="N505" s="764"/>
      <c r="O505" s="764"/>
      <c r="P505" s="764"/>
      <c r="Q505" s="764"/>
      <c r="R505" s="764"/>
      <c r="S505" s="764"/>
      <c r="T505" s="764"/>
      <c r="U505" s="764"/>
      <c r="V505" s="764"/>
      <c r="W505" s="764"/>
      <c r="X505" s="764"/>
      <c r="Y505" s="764"/>
      <c r="Z505" s="764"/>
    </row>
    <row r="506" ht="9.75" customHeight="1">
      <c r="A506" s="764"/>
      <c r="B506" s="764"/>
      <c r="C506" s="764"/>
      <c r="D506" s="764"/>
      <c r="E506" s="764"/>
      <c r="F506" s="763"/>
      <c r="G506" s="763"/>
      <c r="H506" s="763"/>
      <c r="I506" s="764"/>
      <c r="J506" s="764"/>
      <c r="K506" s="764"/>
      <c r="L506" s="764"/>
      <c r="M506" s="764"/>
      <c r="N506" s="764"/>
      <c r="O506" s="764"/>
      <c r="P506" s="764"/>
      <c r="Q506" s="764"/>
      <c r="R506" s="764"/>
      <c r="S506" s="764"/>
      <c r="T506" s="764"/>
      <c r="U506" s="764"/>
      <c r="V506" s="764"/>
      <c r="W506" s="764"/>
      <c r="X506" s="764"/>
      <c r="Y506" s="764"/>
      <c r="Z506" s="764"/>
    </row>
    <row r="507" ht="9.75" customHeight="1">
      <c r="A507" s="764"/>
      <c r="B507" s="764"/>
      <c r="C507" s="764"/>
      <c r="D507" s="764"/>
      <c r="E507" s="764"/>
      <c r="F507" s="763"/>
      <c r="G507" s="763"/>
      <c r="H507" s="763"/>
      <c r="I507" s="764"/>
      <c r="J507" s="764"/>
      <c r="K507" s="764"/>
      <c r="L507" s="764"/>
      <c r="M507" s="764"/>
      <c r="N507" s="764"/>
      <c r="O507" s="764"/>
      <c r="P507" s="764"/>
      <c r="Q507" s="764"/>
      <c r="R507" s="764"/>
      <c r="S507" s="764"/>
      <c r="T507" s="764"/>
      <c r="U507" s="764"/>
      <c r="V507" s="764"/>
      <c r="W507" s="764"/>
      <c r="X507" s="764"/>
      <c r="Y507" s="764"/>
      <c r="Z507" s="764"/>
    </row>
    <row r="508" ht="9.75" customHeight="1">
      <c r="A508" s="764"/>
      <c r="B508" s="764"/>
      <c r="C508" s="764"/>
      <c r="D508" s="764"/>
      <c r="E508" s="764"/>
      <c r="F508" s="763"/>
      <c r="G508" s="763"/>
      <c r="H508" s="763"/>
      <c r="I508" s="764"/>
      <c r="J508" s="764"/>
      <c r="K508" s="764"/>
      <c r="L508" s="764"/>
      <c r="M508" s="764"/>
      <c r="N508" s="764"/>
      <c r="O508" s="764"/>
      <c r="P508" s="764"/>
      <c r="Q508" s="764"/>
      <c r="R508" s="764"/>
      <c r="S508" s="764"/>
      <c r="T508" s="764"/>
      <c r="U508" s="764"/>
      <c r="V508" s="764"/>
      <c r="W508" s="764"/>
      <c r="X508" s="764"/>
      <c r="Y508" s="764"/>
      <c r="Z508" s="764"/>
    </row>
    <row r="509" ht="9.75" customHeight="1">
      <c r="A509" s="764"/>
      <c r="B509" s="764"/>
      <c r="C509" s="764"/>
      <c r="D509" s="764"/>
      <c r="E509" s="764"/>
      <c r="F509" s="763"/>
      <c r="G509" s="763"/>
      <c r="H509" s="763"/>
      <c r="I509" s="764"/>
      <c r="J509" s="764"/>
      <c r="K509" s="764"/>
      <c r="L509" s="764"/>
      <c r="M509" s="764"/>
      <c r="N509" s="764"/>
      <c r="O509" s="764"/>
      <c r="P509" s="764"/>
      <c r="Q509" s="764"/>
      <c r="R509" s="764"/>
      <c r="S509" s="764"/>
      <c r="T509" s="764"/>
      <c r="U509" s="764"/>
      <c r="V509" s="764"/>
      <c r="W509" s="764"/>
      <c r="X509" s="764"/>
      <c r="Y509" s="764"/>
      <c r="Z509" s="764"/>
    </row>
    <row r="510" ht="9.75" customHeight="1">
      <c r="A510" s="764"/>
      <c r="B510" s="764"/>
      <c r="C510" s="764"/>
      <c r="D510" s="764"/>
      <c r="E510" s="764"/>
      <c r="F510" s="763"/>
      <c r="G510" s="763"/>
      <c r="H510" s="763"/>
      <c r="I510" s="764"/>
      <c r="J510" s="764"/>
      <c r="K510" s="764"/>
      <c r="L510" s="764"/>
      <c r="M510" s="764"/>
      <c r="N510" s="764"/>
      <c r="O510" s="764"/>
      <c r="P510" s="764"/>
      <c r="Q510" s="764"/>
      <c r="R510" s="764"/>
      <c r="S510" s="764"/>
      <c r="T510" s="764"/>
      <c r="U510" s="764"/>
      <c r="V510" s="764"/>
      <c r="W510" s="764"/>
      <c r="X510" s="764"/>
      <c r="Y510" s="764"/>
      <c r="Z510" s="764"/>
    </row>
    <row r="511" ht="9.75" customHeight="1">
      <c r="A511" s="764"/>
      <c r="B511" s="764"/>
      <c r="C511" s="764"/>
      <c r="D511" s="764"/>
      <c r="E511" s="764"/>
      <c r="F511" s="763"/>
      <c r="G511" s="763"/>
      <c r="H511" s="763"/>
      <c r="I511" s="764"/>
      <c r="J511" s="764"/>
      <c r="K511" s="764"/>
      <c r="L511" s="764"/>
      <c r="M511" s="764"/>
      <c r="N511" s="764"/>
      <c r="O511" s="764"/>
      <c r="P511" s="764"/>
      <c r="Q511" s="764"/>
      <c r="R511" s="764"/>
      <c r="S511" s="764"/>
      <c r="T511" s="764"/>
      <c r="U511" s="764"/>
      <c r="V511" s="764"/>
      <c r="W511" s="764"/>
      <c r="X511" s="764"/>
      <c r="Y511" s="764"/>
      <c r="Z511" s="764"/>
    </row>
    <row r="512" ht="9.75" customHeight="1">
      <c r="A512" s="764"/>
      <c r="B512" s="764"/>
      <c r="C512" s="764"/>
      <c r="D512" s="764"/>
      <c r="E512" s="764"/>
      <c r="F512" s="763"/>
      <c r="G512" s="763"/>
      <c r="H512" s="763"/>
      <c r="I512" s="764"/>
      <c r="J512" s="764"/>
      <c r="K512" s="764"/>
      <c r="L512" s="764"/>
      <c r="M512" s="764"/>
      <c r="N512" s="764"/>
      <c r="O512" s="764"/>
      <c r="P512" s="764"/>
      <c r="Q512" s="764"/>
      <c r="R512" s="764"/>
      <c r="S512" s="764"/>
      <c r="T512" s="764"/>
      <c r="U512" s="764"/>
      <c r="V512" s="764"/>
      <c r="W512" s="764"/>
      <c r="X512" s="764"/>
      <c r="Y512" s="764"/>
      <c r="Z512" s="764"/>
    </row>
    <row r="513" ht="9.75" customHeight="1">
      <c r="A513" s="764"/>
      <c r="B513" s="764"/>
      <c r="C513" s="764"/>
      <c r="D513" s="764"/>
      <c r="E513" s="764"/>
      <c r="F513" s="763"/>
      <c r="G513" s="763"/>
      <c r="H513" s="763"/>
      <c r="I513" s="764"/>
      <c r="J513" s="764"/>
      <c r="K513" s="764"/>
      <c r="L513" s="764"/>
      <c r="M513" s="764"/>
      <c r="N513" s="764"/>
      <c r="O513" s="764"/>
      <c r="P513" s="764"/>
      <c r="Q513" s="764"/>
      <c r="R513" s="764"/>
      <c r="S513" s="764"/>
      <c r="T513" s="764"/>
      <c r="U513" s="764"/>
      <c r="V513" s="764"/>
      <c r="W513" s="764"/>
      <c r="X513" s="764"/>
      <c r="Y513" s="764"/>
      <c r="Z513" s="764"/>
    </row>
    <row r="514" ht="9.75" customHeight="1">
      <c r="A514" s="764"/>
      <c r="B514" s="764"/>
      <c r="C514" s="764"/>
      <c r="D514" s="764"/>
      <c r="E514" s="764"/>
      <c r="F514" s="763"/>
      <c r="G514" s="763"/>
      <c r="H514" s="763"/>
      <c r="I514" s="764"/>
      <c r="J514" s="764"/>
      <c r="K514" s="764"/>
      <c r="L514" s="764"/>
      <c r="M514" s="764"/>
      <c r="N514" s="764"/>
      <c r="O514" s="764"/>
      <c r="P514" s="764"/>
      <c r="Q514" s="764"/>
      <c r="R514" s="764"/>
      <c r="S514" s="764"/>
      <c r="T514" s="764"/>
      <c r="U514" s="764"/>
      <c r="V514" s="764"/>
      <c r="W514" s="764"/>
      <c r="X514" s="764"/>
      <c r="Y514" s="764"/>
      <c r="Z514" s="764"/>
    </row>
    <row r="515" ht="9.75" customHeight="1">
      <c r="A515" s="764"/>
      <c r="B515" s="764"/>
      <c r="C515" s="764"/>
      <c r="D515" s="764"/>
      <c r="E515" s="764"/>
      <c r="F515" s="763"/>
      <c r="G515" s="763"/>
      <c r="H515" s="763"/>
      <c r="I515" s="764"/>
      <c r="J515" s="764"/>
      <c r="K515" s="764"/>
      <c r="L515" s="764"/>
      <c r="M515" s="764"/>
      <c r="N515" s="764"/>
      <c r="O515" s="764"/>
      <c r="P515" s="764"/>
      <c r="Q515" s="764"/>
      <c r="R515" s="764"/>
      <c r="S515" s="764"/>
      <c r="T515" s="764"/>
      <c r="U515" s="764"/>
      <c r="V515" s="764"/>
      <c r="W515" s="764"/>
      <c r="X515" s="764"/>
      <c r="Y515" s="764"/>
      <c r="Z515" s="764"/>
    </row>
    <row r="516" ht="9.75" customHeight="1">
      <c r="A516" s="764"/>
      <c r="B516" s="764"/>
      <c r="C516" s="764"/>
      <c r="D516" s="764"/>
      <c r="E516" s="764"/>
      <c r="F516" s="763"/>
      <c r="G516" s="763"/>
      <c r="H516" s="763"/>
      <c r="I516" s="764"/>
      <c r="J516" s="764"/>
      <c r="K516" s="764"/>
      <c r="L516" s="764"/>
      <c r="M516" s="764"/>
      <c r="N516" s="764"/>
      <c r="O516" s="764"/>
      <c r="P516" s="764"/>
      <c r="Q516" s="764"/>
      <c r="R516" s="764"/>
      <c r="S516" s="764"/>
      <c r="T516" s="764"/>
      <c r="U516" s="764"/>
      <c r="V516" s="764"/>
      <c r="W516" s="764"/>
      <c r="X516" s="764"/>
      <c r="Y516" s="764"/>
      <c r="Z516" s="764"/>
    </row>
    <row r="517" ht="9.75" customHeight="1">
      <c r="A517" s="764"/>
      <c r="B517" s="764"/>
      <c r="C517" s="764"/>
      <c r="D517" s="764"/>
      <c r="E517" s="764"/>
      <c r="F517" s="763"/>
      <c r="G517" s="763"/>
      <c r="H517" s="763"/>
      <c r="I517" s="764"/>
      <c r="J517" s="764"/>
      <c r="K517" s="764"/>
      <c r="L517" s="764"/>
      <c r="M517" s="764"/>
      <c r="N517" s="764"/>
      <c r="O517" s="764"/>
      <c r="P517" s="764"/>
      <c r="Q517" s="764"/>
      <c r="R517" s="764"/>
      <c r="S517" s="764"/>
      <c r="T517" s="764"/>
      <c r="U517" s="764"/>
      <c r="V517" s="764"/>
      <c r="W517" s="764"/>
      <c r="X517" s="764"/>
      <c r="Y517" s="764"/>
      <c r="Z517" s="764"/>
    </row>
    <row r="518" ht="9.75" customHeight="1">
      <c r="A518" s="764"/>
      <c r="B518" s="764"/>
      <c r="C518" s="764"/>
      <c r="D518" s="764"/>
      <c r="E518" s="764"/>
      <c r="F518" s="763"/>
      <c r="G518" s="763"/>
      <c r="H518" s="763"/>
      <c r="I518" s="764"/>
      <c r="J518" s="764"/>
      <c r="K518" s="764"/>
      <c r="L518" s="764"/>
      <c r="M518" s="764"/>
      <c r="N518" s="764"/>
      <c r="O518" s="764"/>
      <c r="P518" s="764"/>
      <c r="Q518" s="764"/>
      <c r="R518" s="764"/>
      <c r="S518" s="764"/>
      <c r="T518" s="764"/>
      <c r="U518" s="764"/>
      <c r="V518" s="764"/>
      <c r="W518" s="764"/>
      <c r="X518" s="764"/>
      <c r="Y518" s="764"/>
      <c r="Z518" s="764"/>
    </row>
    <row r="519" ht="9.75" customHeight="1">
      <c r="A519" s="764"/>
      <c r="B519" s="764"/>
      <c r="C519" s="764"/>
      <c r="D519" s="764"/>
      <c r="E519" s="764"/>
      <c r="F519" s="763"/>
      <c r="G519" s="763"/>
      <c r="H519" s="763"/>
      <c r="I519" s="764"/>
      <c r="J519" s="764"/>
      <c r="K519" s="764"/>
      <c r="L519" s="764"/>
      <c r="M519" s="764"/>
      <c r="N519" s="764"/>
      <c r="O519" s="764"/>
      <c r="P519" s="764"/>
      <c r="Q519" s="764"/>
      <c r="R519" s="764"/>
      <c r="S519" s="764"/>
      <c r="T519" s="764"/>
      <c r="U519" s="764"/>
      <c r="V519" s="764"/>
      <c r="W519" s="764"/>
      <c r="X519" s="764"/>
      <c r="Y519" s="764"/>
      <c r="Z519" s="764"/>
    </row>
    <row r="520" ht="9.75" customHeight="1">
      <c r="A520" s="764"/>
      <c r="B520" s="764"/>
      <c r="C520" s="764"/>
      <c r="D520" s="764"/>
      <c r="E520" s="764"/>
      <c r="F520" s="763"/>
      <c r="G520" s="763"/>
      <c r="H520" s="763"/>
      <c r="I520" s="764"/>
      <c r="J520" s="764"/>
      <c r="K520" s="764"/>
      <c r="L520" s="764"/>
      <c r="M520" s="764"/>
      <c r="N520" s="764"/>
      <c r="O520" s="764"/>
      <c r="P520" s="764"/>
      <c r="Q520" s="764"/>
      <c r="R520" s="764"/>
      <c r="S520" s="764"/>
      <c r="T520" s="764"/>
      <c r="U520" s="764"/>
      <c r="V520" s="764"/>
      <c r="W520" s="764"/>
      <c r="X520" s="764"/>
      <c r="Y520" s="764"/>
      <c r="Z520" s="764"/>
    </row>
    <row r="521" ht="9.75" customHeight="1">
      <c r="A521" s="764"/>
      <c r="B521" s="764"/>
      <c r="C521" s="764"/>
      <c r="D521" s="764"/>
      <c r="E521" s="764"/>
      <c r="F521" s="763"/>
      <c r="G521" s="763"/>
      <c r="H521" s="763"/>
      <c r="I521" s="764"/>
      <c r="J521" s="764"/>
      <c r="K521" s="764"/>
      <c r="L521" s="764"/>
      <c r="M521" s="764"/>
      <c r="N521" s="764"/>
      <c r="O521" s="764"/>
      <c r="P521" s="764"/>
      <c r="Q521" s="764"/>
      <c r="R521" s="764"/>
      <c r="S521" s="764"/>
      <c r="T521" s="764"/>
      <c r="U521" s="764"/>
      <c r="V521" s="764"/>
      <c r="W521" s="764"/>
      <c r="X521" s="764"/>
      <c r="Y521" s="764"/>
      <c r="Z521" s="764"/>
    </row>
    <row r="522" ht="9.75" customHeight="1">
      <c r="A522" s="764"/>
      <c r="B522" s="764"/>
      <c r="C522" s="764"/>
      <c r="D522" s="764"/>
      <c r="E522" s="764"/>
      <c r="F522" s="763"/>
      <c r="G522" s="763"/>
      <c r="H522" s="763"/>
      <c r="I522" s="764"/>
      <c r="J522" s="764"/>
      <c r="K522" s="764"/>
      <c r="L522" s="764"/>
      <c r="M522" s="764"/>
      <c r="N522" s="764"/>
      <c r="O522" s="764"/>
      <c r="P522" s="764"/>
      <c r="Q522" s="764"/>
      <c r="R522" s="764"/>
      <c r="S522" s="764"/>
      <c r="T522" s="764"/>
      <c r="U522" s="764"/>
      <c r="V522" s="764"/>
      <c r="W522" s="764"/>
      <c r="X522" s="764"/>
      <c r="Y522" s="764"/>
      <c r="Z522" s="764"/>
    </row>
    <row r="523" ht="9.75" customHeight="1">
      <c r="A523" s="764"/>
      <c r="B523" s="764"/>
      <c r="C523" s="764"/>
      <c r="D523" s="764"/>
      <c r="E523" s="764"/>
      <c r="F523" s="763"/>
      <c r="G523" s="763"/>
      <c r="H523" s="763"/>
      <c r="I523" s="764"/>
      <c r="J523" s="764"/>
      <c r="K523" s="764"/>
      <c r="L523" s="764"/>
      <c r="M523" s="764"/>
      <c r="N523" s="764"/>
      <c r="O523" s="764"/>
      <c r="P523" s="764"/>
      <c r="Q523" s="764"/>
      <c r="R523" s="764"/>
      <c r="S523" s="764"/>
      <c r="T523" s="764"/>
      <c r="U523" s="764"/>
      <c r="V523" s="764"/>
      <c r="W523" s="764"/>
      <c r="X523" s="764"/>
      <c r="Y523" s="764"/>
      <c r="Z523" s="764"/>
    </row>
    <row r="524" ht="9.75" customHeight="1">
      <c r="A524" s="764"/>
      <c r="B524" s="764"/>
      <c r="C524" s="764"/>
      <c r="D524" s="764"/>
      <c r="E524" s="764"/>
      <c r="F524" s="763"/>
      <c r="G524" s="763"/>
      <c r="H524" s="763"/>
      <c r="I524" s="764"/>
      <c r="J524" s="764"/>
      <c r="K524" s="764"/>
      <c r="L524" s="764"/>
      <c r="M524" s="764"/>
      <c r="N524" s="764"/>
      <c r="O524" s="764"/>
      <c r="P524" s="764"/>
      <c r="Q524" s="764"/>
      <c r="R524" s="764"/>
      <c r="S524" s="764"/>
      <c r="T524" s="764"/>
      <c r="U524" s="764"/>
      <c r="V524" s="764"/>
      <c r="W524" s="764"/>
      <c r="X524" s="764"/>
      <c r="Y524" s="764"/>
      <c r="Z524" s="764"/>
    </row>
    <row r="525" ht="9.75" customHeight="1">
      <c r="A525" s="764"/>
      <c r="B525" s="764"/>
      <c r="C525" s="764"/>
      <c r="D525" s="764"/>
      <c r="E525" s="764"/>
      <c r="F525" s="763"/>
      <c r="G525" s="763"/>
      <c r="H525" s="763"/>
      <c r="I525" s="764"/>
      <c r="J525" s="764"/>
      <c r="K525" s="764"/>
      <c r="L525" s="764"/>
      <c r="M525" s="764"/>
      <c r="N525" s="764"/>
      <c r="O525" s="764"/>
      <c r="P525" s="764"/>
      <c r="Q525" s="764"/>
      <c r="R525" s="764"/>
      <c r="S525" s="764"/>
      <c r="T525" s="764"/>
      <c r="U525" s="764"/>
      <c r="V525" s="764"/>
      <c r="W525" s="764"/>
      <c r="X525" s="764"/>
      <c r="Y525" s="764"/>
      <c r="Z525" s="764"/>
    </row>
    <row r="526" ht="9.75" customHeight="1">
      <c r="A526" s="764"/>
      <c r="B526" s="764"/>
      <c r="C526" s="764"/>
      <c r="D526" s="764"/>
      <c r="E526" s="764"/>
      <c r="F526" s="763"/>
      <c r="G526" s="763"/>
      <c r="H526" s="763"/>
      <c r="I526" s="764"/>
      <c r="J526" s="764"/>
      <c r="K526" s="764"/>
      <c r="L526" s="764"/>
      <c r="M526" s="764"/>
      <c r="N526" s="764"/>
      <c r="O526" s="764"/>
      <c r="P526" s="764"/>
      <c r="Q526" s="764"/>
      <c r="R526" s="764"/>
      <c r="S526" s="764"/>
      <c r="T526" s="764"/>
      <c r="U526" s="764"/>
      <c r="V526" s="764"/>
      <c r="W526" s="764"/>
      <c r="X526" s="764"/>
      <c r="Y526" s="764"/>
      <c r="Z526" s="764"/>
    </row>
    <row r="527" ht="9.75" customHeight="1">
      <c r="A527" s="764"/>
      <c r="B527" s="764"/>
      <c r="C527" s="764"/>
      <c r="D527" s="764"/>
      <c r="E527" s="764"/>
      <c r="F527" s="763"/>
      <c r="G527" s="763"/>
      <c r="H527" s="763"/>
      <c r="I527" s="764"/>
      <c r="J527" s="764"/>
      <c r="K527" s="764"/>
      <c r="L527" s="764"/>
      <c r="M527" s="764"/>
      <c r="N527" s="764"/>
      <c r="O527" s="764"/>
      <c r="P527" s="764"/>
      <c r="Q527" s="764"/>
      <c r="R527" s="764"/>
      <c r="S527" s="764"/>
      <c r="T527" s="764"/>
      <c r="U527" s="764"/>
      <c r="V527" s="764"/>
      <c r="W527" s="764"/>
      <c r="X527" s="764"/>
      <c r="Y527" s="764"/>
      <c r="Z527" s="764"/>
    </row>
    <row r="528" ht="9.75" customHeight="1">
      <c r="A528" s="764"/>
      <c r="B528" s="764"/>
      <c r="C528" s="764"/>
      <c r="D528" s="764"/>
      <c r="E528" s="764"/>
      <c r="F528" s="763"/>
      <c r="G528" s="763"/>
      <c r="H528" s="763"/>
      <c r="I528" s="764"/>
      <c r="J528" s="764"/>
      <c r="K528" s="764"/>
      <c r="L528" s="764"/>
      <c r="M528" s="764"/>
      <c r="N528" s="764"/>
      <c r="O528" s="764"/>
      <c r="P528" s="764"/>
      <c r="Q528" s="764"/>
      <c r="R528" s="764"/>
      <c r="S528" s="764"/>
      <c r="T528" s="764"/>
      <c r="U528" s="764"/>
      <c r="V528" s="764"/>
      <c r="W528" s="764"/>
      <c r="X528" s="764"/>
      <c r="Y528" s="764"/>
      <c r="Z528" s="764"/>
    </row>
    <row r="529" ht="9.75" customHeight="1">
      <c r="A529" s="764"/>
      <c r="B529" s="764"/>
      <c r="C529" s="764"/>
      <c r="D529" s="764"/>
      <c r="E529" s="764"/>
      <c r="F529" s="763"/>
      <c r="G529" s="763"/>
      <c r="H529" s="763"/>
      <c r="I529" s="764"/>
      <c r="J529" s="764"/>
      <c r="K529" s="764"/>
      <c r="L529" s="764"/>
      <c r="M529" s="764"/>
      <c r="N529" s="764"/>
      <c r="O529" s="764"/>
      <c r="P529" s="764"/>
      <c r="Q529" s="764"/>
      <c r="R529" s="764"/>
      <c r="S529" s="764"/>
      <c r="T529" s="764"/>
      <c r="U529" s="764"/>
      <c r="V529" s="764"/>
      <c r="W529" s="764"/>
      <c r="X529" s="764"/>
      <c r="Y529" s="764"/>
      <c r="Z529" s="764"/>
    </row>
    <row r="530" ht="9.75" customHeight="1">
      <c r="A530" s="764"/>
      <c r="B530" s="764"/>
      <c r="C530" s="764"/>
      <c r="D530" s="764"/>
      <c r="E530" s="764"/>
      <c r="F530" s="763"/>
      <c r="G530" s="763"/>
      <c r="H530" s="763"/>
      <c r="I530" s="764"/>
      <c r="J530" s="764"/>
      <c r="K530" s="764"/>
      <c r="L530" s="764"/>
      <c r="M530" s="764"/>
      <c r="N530" s="764"/>
      <c r="O530" s="764"/>
      <c r="P530" s="764"/>
      <c r="Q530" s="764"/>
      <c r="R530" s="764"/>
      <c r="S530" s="764"/>
      <c r="T530" s="764"/>
      <c r="U530" s="764"/>
      <c r="V530" s="764"/>
      <c r="W530" s="764"/>
      <c r="X530" s="764"/>
      <c r="Y530" s="764"/>
      <c r="Z530" s="764"/>
    </row>
    <row r="531" ht="9.75" customHeight="1">
      <c r="A531" s="764"/>
      <c r="B531" s="764"/>
      <c r="C531" s="764"/>
      <c r="D531" s="764"/>
      <c r="E531" s="764"/>
      <c r="F531" s="763"/>
      <c r="G531" s="763"/>
      <c r="H531" s="763"/>
      <c r="I531" s="764"/>
      <c r="J531" s="764"/>
      <c r="K531" s="764"/>
      <c r="L531" s="764"/>
      <c r="M531" s="764"/>
      <c r="N531" s="764"/>
      <c r="O531" s="764"/>
      <c r="P531" s="764"/>
      <c r="Q531" s="764"/>
      <c r="R531" s="764"/>
      <c r="S531" s="764"/>
      <c r="T531" s="764"/>
      <c r="U531" s="764"/>
      <c r="V531" s="764"/>
      <c r="W531" s="764"/>
      <c r="X531" s="764"/>
      <c r="Y531" s="764"/>
      <c r="Z531" s="764"/>
    </row>
    <row r="532" ht="9.75" customHeight="1">
      <c r="A532" s="764"/>
      <c r="B532" s="764"/>
      <c r="C532" s="764"/>
      <c r="D532" s="764"/>
      <c r="E532" s="764"/>
      <c r="F532" s="763"/>
      <c r="G532" s="763"/>
      <c r="H532" s="763"/>
      <c r="I532" s="764"/>
      <c r="J532" s="764"/>
      <c r="K532" s="764"/>
      <c r="L532" s="764"/>
      <c r="M532" s="764"/>
      <c r="N532" s="764"/>
      <c r="O532" s="764"/>
      <c r="P532" s="764"/>
      <c r="Q532" s="764"/>
      <c r="R532" s="764"/>
      <c r="S532" s="764"/>
      <c r="T532" s="764"/>
      <c r="U532" s="764"/>
      <c r="V532" s="764"/>
      <c r="W532" s="764"/>
      <c r="X532" s="764"/>
      <c r="Y532" s="764"/>
      <c r="Z532" s="764"/>
    </row>
    <row r="533" ht="9.75" customHeight="1">
      <c r="A533" s="764"/>
      <c r="B533" s="764"/>
      <c r="C533" s="764"/>
      <c r="D533" s="764"/>
      <c r="E533" s="764"/>
      <c r="F533" s="763"/>
      <c r="G533" s="763"/>
      <c r="H533" s="763"/>
      <c r="I533" s="764"/>
      <c r="J533" s="764"/>
      <c r="K533" s="764"/>
      <c r="L533" s="764"/>
      <c r="M533" s="764"/>
      <c r="N533" s="764"/>
      <c r="O533" s="764"/>
      <c r="P533" s="764"/>
      <c r="Q533" s="764"/>
      <c r="R533" s="764"/>
      <c r="S533" s="764"/>
      <c r="T533" s="764"/>
      <c r="U533" s="764"/>
      <c r="V533" s="764"/>
      <c r="W533" s="764"/>
      <c r="X533" s="764"/>
      <c r="Y533" s="764"/>
      <c r="Z533" s="764"/>
    </row>
    <row r="534" ht="9.75" customHeight="1">
      <c r="A534" s="764"/>
      <c r="B534" s="764"/>
      <c r="C534" s="764"/>
      <c r="D534" s="764"/>
      <c r="E534" s="764"/>
      <c r="F534" s="763"/>
      <c r="G534" s="763"/>
      <c r="H534" s="763"/>
      <c r="I534" s="764"/>
      <c r="J534" s="764"/>
      <c r="K534" s="764"/>
      <c r="L534" s="764"/>
      <c r="M534" s="764"/>
      <c r="N534" s="764"/>
      <c r="O534" s="764"/>
      <c r="P534" s="764"/>
      <c r="Q534" s="764"/>
      <c r="R534" s="764"/>
      <c r="S534" s="764"/>
      <c r="T534" s="764"/>
      <c r="U534" s="764"/>
      <c r="V534" s="764"/>
      <c r="W534" s="764"/>
      <c r="X534" s="764"/>
      <c r="Y534" s="764"/>
      <c r="Z534" s="764"/>
    </row>
    <row r="535" ht="9.75" customHeight="1">
      <c r="A535" s="764"/>
      <c r="B535" s="764"/>
      <c r="C535" s="764"/>
      <c r="D535" s="764"/>
      <c r="E535" s="764"/>
      <c r="F535" s="763"/>
      <c r="G535" s="763"/>
      <c r="H535" s="763"/>
      <c r="I535" s="764"/>
      <c r="J535" s="764"/>
      <c r="K535" s="764"/>
      <c r="L535" s="764"/>
      <c r="M535" s="764"/>
      <c r="N535" s="764"/>
      <c r="O535" s="764"/>
      <c r="P535" s="764"/>
      <c r="Q535" s="764"/>
      <c r="R535" s="764"/>
      <c r="S535" s="764"/>
      <c r="T535" s="764"/>
      <c r="U535" s="764"/>
      <c r="V535" s="764"/>
      <c r="W535" s="764"/>
      <c r="X535" s="764"/>
      <c r="Y535" s="764"/>
      <c r="Z535" s="764"/>
    </row>
    <row r="536" ht="9.75" customHeight="1">
      <c r="A536" s="764"/>
      <c r="B536" s="764"/>
      <c r="C536" s="764"/>
      <c r="D536" s="764"/>
      <c r="E536" s="764"/>
      <c r="F536" s="763"/>
      <c r="G536" s="763"/>
      <c r="H536" s="763"/>
      <c r="I536" s="764"/>
      <c r="J536" s="764"/>
      <c r="K536" s="764"/>
      <c r="L536" s="764"/>
      <c r="M536" s="764"/>
      <c r="N536" s="764"/>
      <c r="O536" s="764"/>
      <c r="P536" s="764"/>
      <c r="Q536" s="764"/>
      <c r="R536" s="764"/>
      <c r="S536" s="764"/>
      <c r="T536" s="764"/>
      <c r="U536" s="764"/>
      <c r="V536" s="764"/>
      <c r="W536" s="764"/>
      <c r="X536" s="764"/>
      <c r="Y536" s="764"/>
      <c r="Z536" s="764"/>
    </row>
    <row r="537" ht="9.75" customHeight="1">
      <c r="A537" s="764"/>
      <c r="B537" s="764"/>
      <c r="C537" s="764"/>
      <c r="D537" s="764"/>
      <c r="E537" s="764"/>
      <c r="F537" s="763"/>
      <c r="G537" s="763"/>
      <c r="H537" s="763"/>
      <c r="I537" s="764"/>
      <c r="J537" s="764"/>
      <c r="K537" s="764"/>
      <c r="L537" s="764"/>
      <c r="M537" s="764"/>
      <c r="N537" s="764"/>
      <c r="O537" s="764"/>
      <c r="P537" s="764"/>
      <c r="Q537" s="764"/>
      <c r="R537" s="764"/>
      <c r="S537" s="764"/>
      <c r="T537" s="764"/>
      <c r="U537" s="764"/>
      <c r="V537" s="764"/>
      <c r="W537" s="764"/>
      <c r="X537" s="764"/>
      <c r="Y537" s="764"/>
      <c r="Z537" s="764"/>
    </row>
    <row r="538" ht="9.75" customHeight="1">
      <c r="A538" s="764"/>
      <c r="B538" s="764"/>
      <c r="C538" s="764"/>
      <c r="D538" s="764"/>
      <c r="E538" s="764"/>
      <c r="F538" s="763"/>
      <c r="G538" s="763"/>
      <c r="H538" s="763"/>
      <c r="I538" s="764"/>
      <c r="J538" s="764"/>
      <c r="K538" s="764"/>
      <c r="L538" s="764"/>
      <c r="M538" s="764"/>
      <c r="N538" s="764"/>
      <c r="O538" s="764"/>
      <c r="P538" s="764"/>
      <c r="Q538" s="764"/>
      <c r="R538" s="764"/>
      <c r="S538" s="764"/>
      <c r="T538" s="764"/>
      <c r="U538" s="764"/>
      <c r="V538" s="764"/>
      <c r="W538" s="764"/>
      <c r="X538" s="764"/>
      <c r="Y538" s="764"/>
      <c r="Z538" s="764"/>
    </row>
    <row r="539" ht="9.75" customHeight="1">
      <c r="A539" s="764"/>
      <c r="B539" s="764"/>
      <c r="C539" s="764"/>
      <c r="D539" s="764"/>
      <c r="E539" s="764"/>
      <c r="F539" s="763"/>
      <c r="G539" s="763"/>
      <c r="H539" s="763"/>
      <c r="I539" s="764"/>
      <c r="J539" s="764"/>
      <c r="K539" s="764"/>
      <c r="L539" s="764"/>
      <c r="M539" s="764"/>
      <c r="N539" s="764"/>
      <c r="O539" s="764"/>
      <c r="P539" s="764"/>
      <c r="Q539" s="764"/>
      <c r="R539" s="764"/>
      <c r="S539" s="764"/>
      <c r="T539" s="764"/>
      <c r="U539" s="764"/>
      <c r="V539" s="764"/>
      <c r="W539" s="764"/>
      <c r="X539" s="764"/>
      <c r="Y539" s="764"/>
      <c r="Z539" s="764"/>
    </row>
    <row r="540" ht="9.75" customHeight="1">
      <c r="A540" s="764"/>
      <c r="B540" s="764"/>
      <c r="C540" s="764"/>
      <c r="D540" s="764"/>
      <c r="E540" s="764"/>
      <c r="F540" s="763"/>
      <c r="G540" s="763"/>
      <c r="H540" s="763"/>
      <c r="I540" s="764"/>
      <c r="J540" s="764"/>
      <c r="K540" s="764"/>
      <c r="L540" s="764"/>
      <c r="M540" s="764"/>
      <c r="N540" s="764"/>
      <c r="O540" s="764"/>
      <c r="P540" s="764"/>
      <c r="Q540" s="764"/>
      <c r="R540" s="764"/>
      <c r="S540" s="764"/>
      <c r="T540" s="764"/>
      <c r="U540" s="764"/>
      <c r="V540" s="764"/>
      <c r="W540" s="764"/>
      <c r="X540" s="764"/>
      <c r="Y540" s="764"/>
      <c r="Z540" s="764"/>
    </row>
    <row r="541" ht="9.75" customHeight="1">
      <c r="A541" s="764"/>
      <c r="B541" s="764"/>
      <c r="C541" s="764"/>
      <c r="D541" s="764"/>
      <c r="E541" s="764"/>
      <c r="F541" s="763"/>
      <c r="G541" s="763"/>
      <c r="H541" s="763"/>
      <c r="I541" s="764"/>
      <c r="J541" s="764"/>
      <c r="K541" s="764"/>
      <c r="L541" s="764"/>
      <c r="M541" s="764"/>
      <c r="N541" s="764"/>
      <c r="O541" s="764"/>
      <c r="P541" s="764"/>
      <c r="Q541" s="764"/>
      <c r="R541" s="764"/>
      <c r="S541" s="764"/>
      <c r="T541" s="764"/>
      <c r="U541" s="764"/>
      <c r="V541" s="764"/>
      <c r="W541" s="764"/>
      <c r="X541" s="764"/>
      <c r="Y541" s="764"/>
      <c r="Z541" s="764"/>
    </row>
    <row r="542" ht="9.75" customHeight="1">
      <c r="A542" s="764"/>
      <c r="B542" s="764"/>
      <c r="C542" s="764"/>
      <c r="D542" s="764"/>
      <c r="E542" s="764"/>
      <c r="F542" s="763"/>
      <c r="G542" s="763"/>
      <c r="H542" s="763"/>
      <c r="I542" s="764"/>
      <c r="J542" s="764"/>
      <c r="K542" s="764"/>
      <c r="L542" s="764"/>
      <c r="M542" s="764"/>
      <c r="N542" s="764"/>
      <c r="O542" s="764"/>
      <c r="P542" s="764"/>
      <c r="Q542" s="764"/>
      <c r="R542" s="764"/>
      <c r="S542" s="764"/>
      <c r="T542" s="764"/>
      <c r="U542" s="764"/>
      <c r="V542" s="764"/>
      <c r="W542" s="764"/>
      <c r="X542" s="764"/>
      <c r="Y542" s="764"/>
      <c r="Z542" s="764"/>
    </row>
    <row r="543" ht="9.75" customHeight="1">
      <c r="A543" s="764"/>
      <c r="B543" s="764"/>
      <c r="C543" s="764"/>
      <c r="D543" s="764"/>
      <c r="E543" s="764"/>
      <c r="F543" s="763"/>
      <c r="G543" s="763"/>
      <c r="H543" s="763"/>
      <c r="I543" s="764"/>
      <c r="J543" s="764"/>
      <c r="K543" s="764"/>
      <c r="L543" s="764"/>
      <c r="M543" s="764"/>
      <c r="N543" s="764"/>
      <c r="O543" s="764"/>
      <c r="P543" s="764"/>
      <c r="Q543" s="764"/>
      <c r="R543" s="764"/>
      <c r="S543" s="764"/>
      <c r="T543" s="764"/>
      <c r="U543" s="764"/>
      <c r="V543" s="764"/>
      <c r="W543" s="764"/>
      <c r="X543" s="764"/>
      <c r="Y543" s="764"/>
      <c r="Z543" s="764"/>
    </row>
    <row r="544" ht="9.75" customHeight="1">
      <c r="A544" s="764"/>
      <c r="B544" s="764"/>
      <c r="C544" s="764"/>
      <c r="D544" s="764"/>
      <c r="E544" s="764"/>
      <c r="F544" s="763"/>
      <c r="G544" s="763"/>
      <c r="H544" s="763"/>
      <c r="I544" s="764"/>
      <c r="J544" s="764"/>
      <c r="K544" s="764"/>
      <c r="L544" s="764"/>
      <c r="M544" s="764"/>
      <c r="N544" s="764"/>
      <c r="O544" s="764"/>
      <c r="P544" s="764"/>
      <c r="Q544" s="764"/>
      <c r="R544" s="764"/>
      <c r="S544" s="764"/>
      <c r="T544" s="764"/>
      <c r="U544" s="764"/>
      <c r="V544" s="764"/>
      <c r="W544" s="764"/>
      <c r="X544" s="764"/>
      <c r="Y544" s="764"/>
      <c r="Z544" s="764"/>
    </row>
    <row r="545" ht="9.75" customHeight="1">
      <c r="A545" s="764"/>
      <c r="B545" s="764"/>
      <c r="C545" s="764"/>
      <c r="D545" s="764"/>
      <c r="E545" s="764"/>
      <c r="F545" s="763"/>
      <c r="G545" s="763"/>
      <c r="H545" s="763"/>
      <c r="I545" s="764"/>
      <c r="J545" s="764"/>
      <c r="K545" s="764"/>
      <c r="L545" s="764"/>
      <c r="M545" s="764"/>
      <c r="N545" s="764"/>
      <c r="O545" s="764"/>
      <c r="P545" s="764"/>
      <c r="Q545" s="764"/>
      <c r="R545" s="764"/>
      <c r="S545" s="764"/>
      <c r="T545" s="764"/>
      <c r="U545" s="764"/>
      <c r="V545" s="764"/>
      <c r="W545" s="764"/>
      <c r="X545" s="764"/>
      <c r="Y545" s="764"/>
      <c r="Z545" s="764"/>
    </row>
    <row r="546" ht="9.75" customHeight="1">
      <c r="A546" s="764"/>
      <c r="B546" s="764"/>
      <c r="C546" s="764"/>
      <c r="D546" s="764"/>
      <c r="E546" s="764"/>
      <c r="F546" s="763"/>
      <c r="G546" s="763"/>
      <c r="H546" s="763"/>
      <c r="I546" s="764"/>
      <c r="J546" s="764"/>
      <c r="K546" s="764"/>
      <c r="L546" s="764"/>
      <c r="M546" s="764"/>
      <c r="N546" s="764"/>
      <c r="O546" s="764"/>
      <c r="P546" s="764"/>
      <c r="Q546" s="764"/>
      <c r="R546" s="764"/>
      <c r="S546" s="764"/>
      <c r="T546" s="764"/>
      <c r="U546" s="764"/>
      <c r="V546" s="764"/>
      <c r="W546" s="764"/>
      <c r="X546" s="764"/>
      <c r="Y546" s="764"/>
      <c r="Z546" s="764"/>
    </row>
    <row r="547" ht="9.75" customHeight="1">
      <c r="A547" s="764"/>
      <c r="B547" s="764"/>
      <c r="C547" s="764"/>
      <c r="D547" s="764"/>
      <c r="E547" s="764"/>
      <c r="F547" s="763"/>
      <c r="G547" s="763"/>
      <c r="H547" s="763"/>
      <c r="I547" s="764"/>
      <c r="J547" s="764"/>
      <c r="K547" s="764"/>
      <c r="L547" s="764"/>
      <c r="M547" s="764"/>
      <c r="N547" s="764"/>
      <c r="O547" s="764"/>
      <c r="P547" s="764"/>
      <c r="Q547" s="764"/>
      <c r="R547" s="764"/>
      <c r="S547" s="764"/>
      <c r="T547" s="764"/>
      <c r="U547" s="764"/>
      <c r="V547" s="764"/>
      <c r="W547" s="764"/>
      <c r="X547" s="764"/>
      <c r="Y547" s="764"/>
      <c r="Z547" s="764"/>
    </row>
    <row r="548" ht="9.75" customHeight="1">
      <c r="A548" s="764"/>
      <c r="B548" s="764"/>
      <c r="C548" s="764"/>
      <c r="D548" s="764"/>
      <c r="E548" s="764"/>
      <c r="F548" s="763"/>
      <c r="G548" s="763"/>
      <c r="H548" s="763"/>
      <c r="I548" s="764"/>
      <c r="J548" s="764"/>
      <c r="K548" s="764"/>
      <c r="L548" s="764"/>
      <c r="M548" s="764"/>
      <c r="N548" s="764"/>
      <c r="O548" s="764"/>
      <c r="P548" s="764"/>
      <c r="Q548" s="764"/>
      <c r="R548" s="764"/>
      <c r="S548" s="764"/>
      <c r="T548" s="764"/>
      <c r="U548" s="764"/>
      <c r="V548" s="764"/>
      <c r="W548" s="764"/>
      <c r="X548" s="764"/>
      <c r="Y548" s="764"/>
      <c r="Z548" s="764"/>
    </row>
    <row r="549" ht="9.75" customHeight="1">
      <c r="A549" s="764"/>
      <c r="B549" s="764"/>
      <c r="C549" s="764"/>
      <c r="D549" s="764"/>
      <c r="E549" s="764"/>
      <c r="F549" s="763"/>
      <c r="G549" s="763"/>
      <c r="H549" s="763"/>
      <c r="I549" s="764"/>
      <c r="J549" s="764"/>
      <c r="K549" s="764"/>
      <c r="L549" s="764"/>
      <c r="M549" s="764"/>
      <c r="N549" s="764"/>
      <c r="O549" s="764"/>
      <c r="P549" s="764"/>
      <c r="Q549" s="764"/>
      <c r="R549" s="764"/>
      <c r="S549" s="764"/>
      <c r="T549" s="764"/>
      <c r="U549" s="764"/>
      <c r="V549" s="764"/>
      <c r="W549" s="764"/>
      <c r="X549" s="764"/>
      <c r="Y549" s="764"/>
      <c r="Z549" s="764"/>
    </row>
    <row r="550" ht="9.75" customHeight="1">
      <c r="A550" s="764"/>
      <c r="B550" s="764"/>
      <c r="C550" s="764"/>
      <c r="D550" s="764"/>
      <c r="E550" s="764"/>
      <c r="F550" s="763"/>
      <c r="G550" s="763"/>
      <c r="H550" s="763"/>
      <c r="I550" s="764"/>
      <c r="J550" s="764"/>
      <c r="K550" s="764"/>
      <c r="L550" s="764"/>
      <c r="M550" s="764"/>
      <c r="N550" s="764"/>
      <c r="O550" s="764"/>
      <c r="P550" s="764"/>
      <c r="Q550" s="764"/>
      <c r="R550" s="764"/>
      <c r="S550" s="764"/>
      <c r="T550" s="764"/>
      <c r="U550" s="764"/>
      <c r="V550" s="764"/>
      <c r="W550" s="764"/>
      <c r="X550" s="764"/>
      <c r="Y550" s="764"/>
      <c r="Z550" s="764"/>
    </row>
    <row r="551" ht="9.75" customHeight="1">
      <c r="A551" s="764"/>
      <c r="B551" s="764"/>
      <c r="C551" s="764"/>
      <c r="D551" s="764"/>
      <c r="E551" s="764"/>
      <c r="F551" s="763"/>
      <c r="G551" s="763"/>
      <c r="H551" s="763"/>
      <c r="I551" s="764"/>
      <c r="J551" s="764"/>
      <c r="K551" s="764"/>
      <c r="L551" s="764"/>
      <c r="M551" s="764"/>
      <c r="N551" s="764"/>
      <c r="O551" s="764"/>
      <c r="P551" s="764"/>
      <c r="Q551" s="764"/>
      <c r="R551" s="764"/>
      <c r="S551" s="764"/>
      <c r="T551" s="764"/>
      <c r="U551" s="764"/>
      <c r="V551" s="764"/>
      <c r="W551" s="764"/>
      <c r="X551" s="764"/>
      <c r="Y551" s="764"/>
      <c r="Z551" s="764"/>
    </row>
    <row r="552" ht="9.75" customHeight="1">
      <c r="A552" s="764"/>
      <c r="B552" s="764"/>
      <c r="C552" s="764"/>
      <c r="D552" s="764"/>
      <c r="E552" s="764"/>
      <c r="F552" s="763"/>
      <c r="G552" s="763"/>
      <c r="H552" s="763"/>
      <c r="I552" s="764"/>
      <c r="J552" s="764"/>
      <c r="K552" s="764"/>
      <c r="L552" s="764"/>
      <c r="M552" s="764"/>
      <c r="N552" s="764"/>
      <c r="O552" s="764"/>
      <c r="P552" s="764"/>
      <c r="Q552" s="764"/>
      <c r="R552" s="764"/>
      <c r="S552" s="764"/>
      <c r="T552" s="764"/>
      <c r="U552" s="764"/>
      <c r="V552" s="764"/>
      <c r="W552" s="764"/>
      <c r="X552" s="764"/>
      <c r="Y552" s="764"/>
      <c r="Z552" s="764"/>
    </row>
    <row r="553" ht="9.75" customHeight="1">
      <c r="A553" s="764"/>
      <c r="B553" s="764"/>
      <c r="C553" s="764"/>
      <c r="D553" s="764"/>
      <c r="E553" s="764"/>
      <c r="F553" s="763"/>
      <c r="G553" s="763"/>
      <c r="H553" s="763"/>
      <c r="I553" s="764"/>
      <c r="J553" s="764"/>
      <c r="K553" s="764"/>
      <c r="L553" s="764"/>
      <c r="M553" s="764"/>
      <c r="N553" s="764"/>
      <c r="O553" s="764"/>
      <c r="P553" s="764"/>
      <c r="Q553" s="764"/>
      <c r="R553" s="764"/>
      <c r="S553" s="764"/>
      <c r="T553" s="764"/>
      <c r="U553" s="764"/>
      <c r="V553" s="764"/>
      <c r="W553" s="764"/>
      <c r="X553" s="764"/>
      <c r="Y553" s="764"/>
      <c r="Z553" s="764"/>
    </row>
    <row r="554" ht="9.75" customHeight="1">
      <c r="A554" s="764"/>
      <c r="B554" s="764"/>
      <c r="C554" s="764"/>
      <c r="D554" s="764"/>
      <c r="E554" s="764"/>
      <c r="F554" s="763"/>
      <c r="G554" s="763"/>
      <c r="H554" s="763"/>
      <c r="I554" s="764"/>
      <c r="J554" s="764"/>
      <c r="K554" s="764"/>
      <c r="L554" s="764"/>
      <c r="M554" s="764"/>
      <c r="N554" s="764"/>
      <c r="O554" s="764"/>
      <c r="P554" s="764"/>
      <c r="Q554" s="764"/>
      <c r="R554" s="764"/>
      <c r="S554" s="764"/>
      <c r="T554" s="764"/>
      <c r="U554" s="764"/>
      <c r="V554" s="764"/>
      <c r="W554" s="764"/>
      <c r="X554" s="764"/>
      <c r="Y554" s="764"/>
      <c r="Z554" s="764"/>
    </row>
    <row r="555" ht="9.75" customHeight="1">
      <c r="A555" s="764"/>
      <c r="B555" s="764"/>
      <c r="C555" s="764"/>
      <c r="D555" s="764"/>
      <c r="E555" s="764"/>
      <c r="F555" s="763"/>
      <c r="G555" s="763"/>
      <c r="H555" s="763"/>
      <c r="I555" s="764"/>
      <c r="J555" s="764"/>
      <c r="K555" s="764"/>
      <c r="L555" s="764"/>
      <c r="M555" s="764"/>
      <c r="N555" s="764"/>
      <c r="O555" s="764"/>
      <c r="P555" s="764"/>
      <c r="Q555" s="764"/>
      <c r="R555" s="764"/>
      <c r="S555" s="764"/>
      <c r="T555" s="764"/>
      <c r="U555" s="764"/>
      <c r="V555" s="764"/>
      <c r="W555" s="764"/>
      <c r="X555" s="764"/>
      <c r="Y555" s="764"/>
      <c r="Z555" s="764"/>
    </row>
    <row r="556" ht="9.75" customHeight="1">
      <c r="A556" s="764"/>
      <c r="B556" s="764"/>
      <c r="C556" s="764"/>
      <c r="D556" s="764"/>
      <c r="E556" s="764"/>
      <c r="F556" s="763"/>
      <c r="G556" s="763"/>
      <c r="H556" s="763"/>
      <c r="I556" s="764"/>
      <c r="J556" s="764"/>
      <c r="K556" s="764"/>
      <c r="L556" s="764"/>
      <c r="M556" s="764"/>
      <c r="N556" s="764"/>
      <c r="O556" s="764"/>
      <c r="P556" s="764"/>
      <c r="Q556" s="764"/>
      <c r="R556" s="764"/>
      <c r="S556" s="764"/>
      <c r="T556" s="764"/>
      <c r="U556" s="764"/>
      <c r="V556" s="764"/>
      <c r="W556" s="764"/>
      <c r="X556" s="764"/>
      <c r="Y556" s="764"/>
      <c r="Z556" s="764"/>
    </row>
    <row r="557" ht="9.75" customHeight="1">
      <c r="A557" s="764"/>
      <c r="B557" s="764"/>
      <c r="C557" s="764"/>
      <c r="D557" s="764"/>
      <c r="E557" s="764"/>
      <c r="F557" s="763"/>
      <c r="G557" s="763"/>
      <c r="H557" s="763"/>
      <c r="I557" s="764"/>
      <c r="J557" s="764"/>
      <c r="K557" s="764"/>
      <c r="L557" s="764"/>
      <c r="M557" s="764"/>
      <c r="N557" s="764"/>
      <c r="O557" s="764"/>
      <c r="P557" s="764"/>
      <c r="Q557" s="764"/>
      <c r="R557" s="764"/>
      <c r="S557" s="764"/>
      <c r="T557" s="764"/>
      <c r="U557" s="764"/>
      <c r="V557" s="764"/>
      <c r="W557" s="764"/>
      <c r="X557" s="764"/>
      <c r="Y557" s="764"/>
      <c r="Z557" s="764"/>
    </row>
    <row r="558" ht="9.75" customHeight="1">
      <c r="A558" s="764"/>
      <c r="B558" s="764"/>
      <c r="C558" s="764"/>
      <c r="D558" s="764"/>
      <c r="E558" s="764"/>
      <c r="F558" s="763"/>
      <c r="G558" s="763"/>
      <c r="H558" s="763"/>
      <c r="I558" s="764"/>
      <c r="J558" s="764"/>
      <c r="K558" s="764"/>
      <c r="L558" s="764"/>
      <c r="M558" s="764"/>
      <c r="N558" s="764"/>
      <c r="O558" s="764"/>
      <c r="P558" s="764"/>
      <c r="Q558" s="764"/>
      <c r="R558" s="764"/>
      <c r="S558" s="764"/>
      <c r="T558" s="764"/>
      <c r="U558" s="764"/>
      <c r="V558" s="764"/>
      <c r="W558" s="764"/>
      <c r="X558" s="764"/>
      <c r="Y558" s="764"/>
      <c r="Z558" s="764"/>
    </row>
    <row r="559" ht="9.75" customHeight="1">
      <c r="A559" s="764"/>
      <c r="B559" s="764"/>
      <c r="C559" s="764"/>
      <c r="D559" s="764"/>
      <c r="E559" s="764"/>
      <c r="F559" s="763"/>
      <c r="G559" s="763"/>
      <c r="H559" s="763"/>
      <c r="I559" s="764"/>
      <c r="J559" s="764"/>
      <c r="K559" s="764"/>
      <c r="L559" s="764"/>
      <c r="M559" s="764"/>
      <c r="N559" s="764"/>
      <c r="O559" s="764"/>
      <c r="P559" s="764"/>
      <c r="Q559" s="764"/>
      <c r="R559" s="764"/>
      <c r="S559" s="764"/>
      <c r="T559" s="764"/>
      <c r="U559" s="764"/>
      <c r="V559" s="764"/>
      <c r="W559" s="764"/>
      <c r="X559" s="764"/>
      <c r="Y559" s="764"/>
      <c r="Z559" s="764"/>
    </row>
    <row r="560" ht="9.75" customHeight="1">
      <c r="A560" s="764"/>
      <c r="B560" s="764"/>
      <c r="C560" s="764"/>
      <c r="D560" s="764"/>
      <c r="E560" s="764"/>
      <c r="F560" s="763"/>
      <c r="G560" s="763"/>
      <c r="H560" s="763"/>
      <c r="I560" s="764"/>
      <c r="J560" s="764"/>
      <c r="K560" s="764"/>
      <c r="L560" s="764"/>
      <c r="M560" s="764"/>
      <c r="N560" s="764"/>
      <c r="O560" s="764"/>
      <c r="P560" s="764"/>
      <c r="Q560" s="764"/>
      <c r="R560" s="764"/>
      <c r="S560" s="764"/>
      <c r="T560" s="764"/>
      <c r="U560" s="764"/>
      <c r="V560" s="764"/>
      <c r="W560" s="764"/>
      <c r="X560" s="764"/>
      <c r="Y560" s="764"/>
      <c r="Z560" s="764"/>
    </row>
    <row r="561" ht="9.75" customHeight="1">
      <c r="A561" s="764"/>
      <c r="B561" s="764"/>
      <c r="C561" s="764"/>
      <c r="D561" s="764"/>
      <c r="E561" s="764"/>
      <c r="F561" s="763"/>
      <c r="G561" s="763"/>
      <c r="H561" s="763"/>
      <c r="I561" s="764"/>
      <c r="J561" s="764"/>
      <c r="K561" s="764"/>
      <c r="L561" s="764"/>
      <c r="M561" s="764"/>
      <c r="N561" s="764"/>
      <c r="O561" s="764"/>
      <c r="P561" s="764"/>
      <c r="Q561" s="764"/>
      <c r="R561" s="764"/>
      <c r="S561" s="764"/>
      <c r="T561" s="764"/>
      <c r="U561" s="764"/>
      <c r="V561" s="764"/>
      <c r="W561" s="764"/>
      <c r="X561" s="764"/>
      <c r="Y561" s="764"/>
      <c r="Z561" s="764"/>
    </row>
    <row r="562" ht="9.75" customHeight="1">
      <c r="A562" s="764"/>
      <c r="B562" s="764"/>
      <c r="C562" s="764"/>
      <c r="D562" s="764"/>
      <c r="E562" s="764"/>
      <c r="F562" s="763"/>
      <c r="G562" s="763"/>
      <c r="H562" s="763"/>
      <c r="I562" s="764"/>
      <c r="J562" s="764"/>
      <c r="K562" s="764"/>
      <c r="L562" s="764"/>
      <c r="M562" s="764"/>
      <c r="N562" s="764"/>
      <c r="O562" s="764"/>
      <c r="P562" s="764"/>
      <c r="Q562" s="764"/>
      <c r="R562" s="764"/>
      <c r="S562" s="764"/>
      <c r="T562" s="764"/>
      <c r="U562" s="764"/>
      <c r="V562" s="764"/>
      <c r="W562" s="764"/>
      <c r="X562" s="764"/>
      <c r="Y562" s="764"/>
      <c r="Z562" s="764"/>
    </row>
    <row r="563" ht="9.75" customHeight="1">
      <c r="A563" s="764"/>
      <c r="B563" s="764"/>
      <c r="C563" s="764"/>
      <c r="D563" s="764"/>
      <c r="E563" s="764"/>
      <c r="F563" s="763"/>
      <c r="G563" s="763"/>
      <c r="H563" s="763"/>
      <c r="I563" s="764"/>
      <c r="J563" s="764"/>
      <c r="K563" s="764"/>
      <c r="L563" s="764"/>
      <c r="M563" s="764"/>
      <c r="N563" s="764"/>
      <c r="O563" s="764"/>
      <c r="P563" s="764"/>
      <c r="Q563" s="764"/>
      <c r="R563" s="764"/>
      <c r="S563" s="764"/>
      <c r="T563" s="764"/>
      <c r="U563" s="764"/>
      <c r="V563" s="764"/>
      <c r="W563" s="764"/>
      <c r="X563" s="764"/>
      <c r="Y563" s="764"/>
      <c r="Z563" s="764"/>
    </row>
    <row r="564" ht="9.75" customHeight="1">
      <c r="A564" s="764"/>
      <c r="B564" s="764"/>
      <c r="C564" s="764"/>
      <c r="D564" s="764"/>
      <c r="E564" s="764"/>
      <c r="F564" s="763"/>
      <c r="G564" s="763"/>
      <c r="H564" s="763"/>
      <c r="I564" s="764"/>
      <c r="J564" s="764"/>
      <c r="K564" s="764"/>
      <c r="L564" s="764"/>
      <c r="M564" s="764"/>
      <c r="N564" s="764"/>
      <c r="O564" s="764"/>
      <c r="P564" s="764"/>
      <c r="Q564" s="764"/>
      <c r="R564" s="764"/>
      <c r="S564" s="764"/>
      <c r="T564" s="764"/>
      <c r="U564" s="764"/>
      <c r="V564" s="764"/>
      <c r="W564" s="764"/>
      <c r="X564" s="764"/>
      <c r="Y564" s="764"/>
      <c r="Z564" s="764"/>
    </row>
    <row r="565" ht="9.75" customHeight="1">
      <c r="A565" s="764"/>
      <c r="B565" s="764"/>
      <c r="C565" s="764"/>
      <c r="D565" s="764"/>
      <c r="E565" s="764"/>
      <c r="F565" s="763"/>
      <c r="G565" s="763"/>
      <c r="H565" s="763"/>
      <c r="I565" s="764"/>
      <c r="J565" s="764"/>
      <c r="K565" s="764"/>
      <c r="L565" s="764"/>
      <c r="M565" s="764"/>
      <c r="N565" s="764"/>
      <c r="O565" s="764"/>
      <c r="P565" s="764"/>
      <c r="Q565" s="764"/>
      <c r="R565" s="764"/>
      <c r="S565" s="764"/>
      <c r="T565" s="764"/>
      <c r="U565" s="764"/>
      <c r="V565" s="764"/>
      <c r="W565" s="764"/>
      <c r="X565" s="764"/>
      <c r="Y565" s="764"/>
      <c r="Z565" s="764"/>
    </row>
    <row r="566" ht="9.75" customHeight="1">
      <c r="A566" s="764"/>
      <c r="B566" s="764"/>
      <c r="C566" s="764"/>
      <c r="D566" s="764"/>
      <c r="E566" s="764"/>
      <c r="F566" s="763"/>
      <c r="G566" s="763"/>
      <c r="H566" s="763"/>
      <c r="I566" s="764"/>
      <c r="J566" s="764"/>
      <c r="K566" s="764"/>
      <c r="L566" s="764"/>
      <c r="M566" s="764"/>
      <c r="N566" s="764"/>
      <c r="O566" s="764"/>
      <c r="P566" s="764"/>
      <c r="Q566" s="764"/>
      <c r="R566" s="764"/>
      <c r="S566" s="764"/>
      <c r="T566" s="764"/>
      <c r="U566" s="764"/>
      <c r="V566" s="764"/>
      <c r="W566" s="764"/>
      <c r="X566" s="764"/>
      <c r="Y566" s="764"/>
      <c r="Z566" s="764"/>
    </row>
    <row r="567" ht="9.75" customHeight="1">
      <c r="A567" s="764"/>
      <c r="B567" s="764"/>
      <c r="C567" s="764"/>
      <c r="D567" s="764"/>
      <c r="E567" s="764"/>
      <c r="F567" s="763"/>
      <c r="G567" s="763"/>
      <c r="H567" s="763"/>
      <c r="I567" s="764"/>
      <c r="J567" s="764"/>
      <c r="K567" s="764"/>
      <c r="L567" s="764"/>
      <c r="M567" s="764"/>
      <c r="N567" s="764"/>
      <c r="O567" s="764"/>
      <c r="P567" s="764"/>
      <c r="Q567" s="764"/>
      <c r="R567" s="764"/>
      <c r="S567" s="764"/>
      <c r="T567" s="764"/>
      <c r="U567" s="764"/>
      <c r="V567" s="764"/>
      <c r="W567" s="764"/>
      <c r="X567" s="764"/>
      <c r="Y567" s="764"/>
      <c r="Z567" s="764"/>
    </row>
    <row r="568" ht="9.75" customHeight="1">
      <c r="A568" s="764"/>
      <c r="B568" s="764"/>
      <c r="C568" s="764"/>
      <c r="D568" s="764"/>
      <c r="E568" s="764"/>
      <c r="F568" s="763"/>
      <c r="G568" s="763"/>
      <c r="H568" s="763"/>
      <c r="I568" s="764"/>
      <c r="J568" s="764"/>
      <c r="K568" s="764"/>
      <c r="L568" s="764"/>
      <c r="M568" s="764"/>
      <c r="N568" s="764"/>
      <c r="O568" s="764"/>
      <c r="P568" s="764"/>
      <c r="Q568" s="764"/>
      <c r="R568" s="764"/>
      <c r="S568" s="764"/>
      <c r="T568" s="764"/>
      <c r="U568" s="764"/>
      <c r="V568" s="764"/>
      <c r="W568" s="764"/>
      <c r="X568" s="764"/>
      <c r="Y568" s="764"/>
      <c r="Z568" s="764"/>
    </row>
    <row r="569" ht="9.75" customHeight="1">
      <c r="A569" s="764"/>
      <c r="B569" s="764"/>
      <c r="C569" s="764"/>
      <c r="D569" s="764"/>
      <c r="E569" s="764"/>
      <c r="F569" s="763"/>
      <c r="G569" s="763"/>
      <c r="H569" s="763"/>
      <c r="I569" s="764"/>
      <c r="J569" s="764"/>
      <c r="K569" s="764"/>
      <c r="L569" s="764"/>
      <c r="M569" s="764"/>
      <c r="N569" s="764"/>
      <c r="O569" s="764"/>
      <c r="P569" s="764"/>
      <c r="Q569" s="764"/>
      <c r="R569" s="764"/>
      <c r="S569" s="764"/>
      <c r="T569" s="764"/>
      <c r="U569" s="764"/>
      <c r="V569" s="764"/>
      <c r="W569" s="764"/>
      <c r="X569" s="764"/>
      <c r="Y569" s="764"/>
      <c r="Z569" s="764"/>
    </row>
    <row r="570" ht="9.75" customHeight="1">
      <c r="A570" s="764"/>
      <c r="B570" s="764"/>
      <c r="C570" s="764"/>
      <c r="D570" s="764"/>
      <c r="E570" s="764"/>
      <c r="F570" s="763"/>
      <c r="G570" s="763"/>
      <c r="H570" s="763"/>
      <c r="I570" s="764"/>
      <c r="J570" s="764"/>
      <c r="K570" s="764"/>
      <c r="L570" s="764"/>
      <c r="M570" s="764"/>
      <c r="N570" s="764"/>
      <c r="O570" s="764"/>
      <c r="P570" s="764"/>
      <c r="Q570" s="764"/>
      <c r="R570" s="764"/>
      <c r="S570" s="764"/>
      <c r="T570" s="764"/>
      <c r="U570" s="764"/>
      <c r="V570" s="764"/>
      <c r="W570" s="764"/>
      <c r="X570" s="764"/>
      <c r="Y570" s="764"/>
      <c r="Z570" s="764"/>
    </row>
    <row r="571" ht="9.75" customHeight="1">
      <c r="A571" s="764"/>
      <c r="B571" s="764"/>
      <c r="C571" s="764"/>
      <c r="D571" s="764"/>
      <c r="E571" s="764"/>
      <c r="F571" s="763"/>
      <c r="G571" s="763"/>
      <c r="H571" s="763"/>
      <c r="I571" s="764"/>
      <c r="J571" s="764"/>
      <c r="K571" s="764"/>
      <c r="L571" s="764"/>
      <c r="M571" s="764"/>
      <c r="N571" s="764"/>
      <c r="O571" s="764"/>
      <c r="P571" s="764"/>
      <c r="Q571" s="764"/>
      <c r="R571" s="764"/>
      <c r="S571" s="764"/>
      <c r="T571" s="764"/>
      <c r="U571" s="764"/>
      <c r="V571" s="764"/>
      <c r="W571" s="764"/>
      <c r="X571" s="764"/>
      <c r="Y571" s="764"/>
      <c r="Z571" s="764"/>
    </row>
    <row r="572" ht="9.75" customHeight="1">
      <c r="A572" s="764"/>
      <c r="B572" s="764"/>
      <c r="C572" s="764"/>
      <c r="D572" s="764"/>
      <c r="E572" s="764"/>
      <c r="F572" s="763"/>
      <c r="G572" s="763"/>
      <c r="H572" s="763"/>
      <c r="I572" s="764"/>
      <c r="J572" s="764"/>
      <c r="K572" s="764"/>
      <c r="L572" s="764"/>
      <c r="M572" s="764"/>
      <c r="N572" s="764"/>
      <c r="O572" s="764"/>
      <c r="P572" s="764"/>
      <c r="Q572" s="764"/>
      <c r="R572" s="764"/>
      <c r="S572" s="764"/>
      <c r="T572" s="764"/>
      <c r="U572" s="764"/>
      <c r="V572" s="764"/>
      <c r="W572" s="764"/>
      <c r="X572" s="764"/>
      <c r="Y572" s="764"/>
      <c r="Z572" s="764"/>
    </row>
    <row r="573" ht="9.75" customHeight="1">
      <c r="A573" s="764"/>
      <c r="B573" s="764"/>
      <c r="C573" s="764"/>
      <c r="D573" s="764"/>
      <c r="E573" s="764"/>
      <c r="F573" s="763"/>
      <c r="G573" s="763"/>
      <c r="H573" s="763"/>
      <c r="I573" s="764"/>
      <c r="J573" s="764"/>
      <c r="K573" s="764"/>
      <c r="L573" s="764"/>
      <c r="M573" s="764"/>
      <c r="N573" s="764"/>
      <c r="O573" s="764"/>
      <c r="P573" s="764"/>
      <c r="Q573" s="764"/>
      <c r="R573" s="764"/>
      <c r="S573" s="764"/>
      <c r="T573" s="764"/>
      <c r="U573" s="764"/>
      <c r="V573" s="764"/>
      <c r="W573" s="764"/>
      <c r="X573" s="764"/>
      <c r="Y573" s="764"/>
      <c r="Z573" s="764"/>
    </row>
    <row r="574" ht="9.75" customHeight="1">
      <c r="A574" s="764"/>
      <c r="B574" s="764"/>
      <c r="C574" s="764"/>
      <c r="D574" s="764"/>
      <c r="E574" s="764"/>
      <c r="F574" s="763"/>
      <c r="G574" s="763"/>
      <c r="H574" s="763"/>
      <c r="I574" s="764"/>
      <c r="J574" s="764"/>
      <c r="K574" s="764"/>
      <c r="L574" s="764"/>
      <c r="M574" s="764"/>
      <c r="N574" s="764"/>
      <c r="O574" s="764"/>
      <c r="P574" s="764"/>
      <c r="Q574" s="764"/>
      <c r="R574" s="764"/>
      <c r="S574" s="764"/>
      <c r="T574" s="764"/>
      <c r="U574" s="764"/>
      <c r="V574" s="764"/>
      <c r="W574" s="764"/>
      <c r="X574" s="764"/>
      <c r="Y574" s="764"/>
      <c r="Z574" s="764"/>
    </row>
    <row r="575" ht="9.75" customHeight="1">
      <c r="A575" s="764"/>
      <c r="B575" s="764"/>
      <c r="C575" s="764"/>
      <c r="D575" s="764"/>
      <c r="E575" s="764"/>
      <c r="F575" s="763"/>
      <c r="G575" s="763"/>
      <c r="H575" s="763"/>
      <c r="I575" s="764"/>
      <c r="J575" s="764"/>
      <c r="K575" s="764"/>
      <c r="L575" s="764"/>
      <c r="M575" s="764"/>
      <c r="N575" s="764"/>
      <c r="O575" s="764"/>
      <c r="P575" s="764"/>
      <c r="Q575" s="764"/>
      <c r="R575" s="764"/>
      <c r="S575" s="764"/>
      <c r="T575" s="764"/>
      <c r="U575" s="764"/>
      <c r="V575" s="764"/>
      <c r="W575" s="764"/>
      <c r="X575" s="764"/>
      <c r="Y575" s="764"/>
      <c r="Z575" s="764"/>
    </row>
    <row r="576" ht="9.75" customHeight="1">
      <c r="A576" s="764"/>
      <c r="B576" s="764"/>
      <c r="C576" s="764"/>
      <c r="D576" s="764"/>
      <c r="E576" s="764"/>
      <c r="F576" s="763"/>
      <c r="G576" s="763"/>
      <c r="H576" s="763"/>
      <c r="I576" s="764"/>
      <c r="J576" s="764"/>
      <c r="K576" s="764"/>
      <c r="L576" s="764"/>
      <c r="M576" s="764"/>
      <c r="N576" s="764"/>
      <c r="O576" s="764"/>
      <c r="P576" s="764"/>
      <c r="Q576" s="764"/>
      <c r="R576" s="764"/>
      <c r="S576" s="764"/>
      <c r="T576" s="764"/>
      <c r="U576" s="764"/>
      <c r="V576" s="764"/>
      <c r="W576" s="764"/>
      <c r="X576" s="764"/>
      <c r="Y576" s="764"/>
      <c r="Z576" s="764"/>
    </row>
    <row r="577" ht="9.75" customHeight="1">
      <c r="A577" s="764"/>
      <c r="B577" s="764"/>
      <c r="C577" s="764"/>
      <c r="D577" s="764"/>
      <c r="E577" s="764"/>
      <c r="F577" s="763"/>
      <c r="G577" s="763"/>
      <c r="H577" s="763"/>
      <c r="I577" s="764"/>
      <c r="J577" s="764"/>
      <c r="K577" s="764"/>
      <c r="L577" s="764"/>
      <c r="M577" s="764"/>
      <c r="N577" s="764"/>
      <c r="O577" s="764"/>
      <c r="P577" s="764"/>
      <c r="Q577" s="764"/>
      <c r="R577" s="764"/>
      <c r="S577" s="764"/>
      <c r="T577" s="764"/>
      <c r="U577" s="764"/>
      <c r="V577" s="764"/>
      <c r="W577" s="764"/>
      <c r="X577" s="764"/>
      <c r="Y577" s="764"/>
      <c r="Z577" s="764"/>
    </row>
    <row r="578" ht="9.75" customHeight="1">
      <c r="A578" s="764"/>
      <c r="B578" s="764"/>
      <c r="C578" s="764"/>
      <c r="D578" s="764"/>
      <c r="E578" s="764"/>
      <c r="F578" s="763"/>
      <c r="G578" s="763"/>
      <c r="H578" s="763"/>
      <c r="I578" s="764"/>
      <c r="J578" s="764"/>
      <c r="K578" s="764"/>
      <c r="L578" s="764"/>
      <c r="M578" s="764"/>
      <c r="N578" s="764"/>
      <c r="O578" s="764"/>
      <c r="P578" s="764"/>
      <c r="Q578" s="764"/>
      <c r="R578" s="764"/>
      <c r="S578" s="764"/>
      <c r="T578" s="764"/>
      <c r="U578" s="764"/>
      <c r="V578" s="764"/>
      <c r="W578" s="764"/>
      <c r="X578" s="764"/>
      <c r="Y578" s="764"/>
      <c r="Z578" s="764"/>
    </row>
    <row r="579" ht="9.75" customHeight="1">
      <c r="A579" s="764"/>
      <c r="B579" s="764"/>
      <c r="C579" s="764"/>
      <c r="D579" s="764"/>
      <c r="E579" s="764"/>
      <c r="F579" s="763"/>
      <c r="G579" s="763"/>
      <c r="H579" s="763"/>
      <c r="I579" s="764"/>
      <c r="J579" s="764"/>
      <c r="K579" s="764"/>
      <c r="L579" s="764"/>
      <c r="M579" s="764"/>
      <c r="N579" s="764"/>
      <c r="O579" s="764"/>
      <c r="P579" s="764"/>
      <c r="Q579" s="764"/>
      <c r="R579" s="764"/>
      <c r="S579" s="764"/>
      <c r="T579" s="764"/>
      <c r="U579" s="764"/>
      <c r="V579" s="764"/>
      <c r="W579" s="764"/>
      <c r="X579" s="764"/>
      <c r="Y579" s="764"/>
      <c r="Z579" s="764"/>
    </row>
    <row r="580" ht="9.75" customHeight="1">
      <c r="A580" s="764"/>
      <c r="B580" s="764"/>
      <c r="C580" s="764"/>
      <c r="D580" s="764"/>
      <c r="E580" s="764"/>
      <c r="F580" s="763"/>
      <c r="G580" s="763"/>
      <c r="H580" s="763"/>
      <c r="I580" s="764"/>
      <c r="J580" s="764"/>
      <c r="K580" s="764"/>
      <c r="L580" s="764"/>
      <c r="M580" s="764"/>
      <c r="N580" s="764"/>
      <c r="O580" s="764"/>
      <c r="P580" s="764"/>
      <c r="Q580" s="764"/>
      <c r="R580" s="764"/>
      <c r="S580" s="764"/>
      <c r="T580" s="764"/>
      <c r="U580" s="764"/>
      <c r="V580" s="764"/>
      <c r="W580" s="764"/>
      <c r="X580" s="764"/>
      <c r="Y580" s="764"/>
      <c r="Z580" s="764"/>
    </row>
    <row r="581" ht="9.75" customHeight="1">
      <c r="A581" s="764"/>
      <c r="B581" s="764"/>
      <c r="C581" s="764"/>
      <c r="D581" s="764"/>
      <c r="E581" s="764"/>
      <c r="F581" s="763"/>
      <c r="G581" s="763"/>
      <c r="H581" s="763"/>
      <c r="I581" s="764"/>
      <c r="J581" s="764"/>
      <c r="K581" s="764"/>
      <c r="L581" s="764"/>
      <c r="M581" s="764"/>
      <c r="N581" s="764"/>
      <c r="O581" s="764"/>
      <c r="P581" s="764"/>
      <c r="Q581" s="764"/>
      <c r="R581" s="764"/>
      <c r="S581" s="764"/>
      <c r="T581" s="764"/>
      <c r="U581" s="764"/>
      <c r="V581" s="764"/>
      <c r="W581" s="764"/>
      <c r="X581" s="764"/>
      <c r="Y581" s="764"/>
      <c r="Z581" s="764"/>
    </row>
    <row r="582" ht="9.75" customHeight="1">
      <c r="A582" s="764"/>
      <c r="B582" s="764"/>
      <c r="C582" s="764"/>
      <c r="D582" s="764"/>
      <c r="E582" s="764"/>
      <c r="F582" s="763"/>
      <c r="G582" s="763"/>
      <c r="H582" s="763"/>
      <c r="I582" s="764"/>
      <c r="J582" s="764"/>
      <c r="K582" s="764"/>
      <c r="L582" s="764"/>
      <c r="M582" s="764"/>
      <c r="N582" s="764"/>
      <c r="O582" s="764"/>
      <c r="P582" s="764"/>
      <c r="Q582" s="764"/>
      <c r="R582" s="764"/>
      <c r="S582" s="764"/>
      <c r="T582" s="764"/>
      <c r="U582" s="764"/>
      <c r="V582" s="764"/>
      <c r="W582" s="764"/>
      <c r="X582" s="764"/>
      <c r="Y582" s="764"/>
      <c r="Z582" s="764"/>
    </row>
    <row r="583" ht="9.75" customHeight="1">
      <c r="A583" s="764"/>
      <c r="B583" s="764"/>
      <c r="C583" s="764"/>
      <c r="D583" s="764"/>
      <c r="E583" s="764"/>
      <c r="F583" s="763"/>
      <c r="G583" s="763"/>
      <c r="H583" s="763"/>
      <c r="I583" s="764"/>
      <c r="J583" s="764"/>
      <c r="K583" s="764"/>
      <c r="L583" s="764"/>
      <c r="M583" s="764"/>
      <c r="N583" s="764"/>
      <c r="O583" s="764"/>
      <c r="P583" s="764"/>
      <c r="Q583" s="764"/>
      <c r="R583" s="764"/>
      <c r="S583" s="764"/>
      <c r="T583" s="764"/>
      <c r="U583" s="764"/>
      <c r="V583" s="764"/>
      <c r="W583" s="764"/>
      <c r="X583" s="764"/>
      <c r="Y583" s="764"/>
      <c r="Z583" s="764"/>
    </row>
    <row r="584" ht="9.75" customHeight="1">
      <c r="A584" s="764"/>
      <c r="B584" s="764"/>
      <c r="C584" s="764"/>
      <c r="D584" s="764"/>
      <c r="E584" s="764"/>
      <c r="F584" s="763"/>
      <c r="G584" s="763"/>
      <c r="H584" s="763"/>
      <c r="I584" s="764"/>
      <c r="J584" s="764"/>
      <c r="K584" s="764"/>
      <c r="L584" s="764"/>
      <c r="M584" s="764"/>
      <c r="N584" s="764"/>
      <c r="O584" s="764"/>
      <c r="P584" s="764"/>
      <c r="Q584" s="764"/>
      <c r="R584" s="764"/>
      <c r="S584" s="764"/>
      <c r="T584" s="764"/>
      <c r="U584" s="764"/>
      <c r="V584" s="764"/>
      <c r="W584" s="764"/>
      <c r="X584" s="764"/>
      <c r="Y584" s="764"/>
      <c r="Z584" s="764"/>
    </row>
    <row r="585" ht="9.75" customHeight="1">
      <c r="A585" s="764"/>
      <c r="B585" s="764"/>
      <c r="C585" s="764"/>
      <c r="D585" s="764"/>
      <c r="E585" s="764"/>
      <c r="F585" s="763"/>
      <c r="G585" s="763"/>
      <c r="H585" s="763"/>
      <c r="I585" s="764"/>
      <c r="J585" s="764"/>
      <c r="K585" s="764"/>
      <c r="L585" s="764"/>
      <c r="M585" s="764"/>
      <c r="N585" s="764"/>
      <c r="O585" s="764"/>
      <c r="P585" s="764"/>
      <c r="Q585" s="764"/>
      <c r="R585" s="764"/>
      <c r="S585" s="764"/>
      <c r="T585" s="764"/>
      <c r="U585" s="764"/>
      <c r="V585" s="764"/>
      <c r="W585" s="764"/>
      <c r="X585" s="764"/>
      <c r="Y585" s="764"/>
      <c r="Z585" s="764"/>
    </row>
    <row r="586" ht="9.75" customHeight="1">
      <c r="A586" s="764"/>
      <c r="B586" s="764"/>
      <c r="C586" s="764"/>
      <c r="D586" s="764"/>
      <c r="E586" s="764"/>
      <c r="F586" s="763"/>
      <c r="G586" s="763"/>
      <c r="H586" s="763"/>
      <c r="I586" s="764"/>
      <c r="J586" s="764"/>
      <c r="K586" s="764"/>
      <c r="L586" s="764"/>
      <c r="M586" s="764"/>
      <c r="N586" s="764"/>
      <c r="O586" s="764"/>
      <c r="P586" s="764"/>
      <c r="Q586" s="764"/>
      <c r="R586" s="764"/>
      <c r="S586" s="764"/>
      <c r="T586" s="764"/>
      <c r="U586" s="764"/>
      <c r="V586" s="764"/>
      <c r="W586" s="764"/>
      <c r="X586" s="764"/>
      <c r="Y586" s="764"/>
      <c r="Z586" s="764"/>
    </row>
    <row r="587" ht="9.75" customHeight="1">
      <c r="A587" s="764"/>
      <c r="B587" s="764"/>
      <c r="C587" s="764"/>
      <c r="D587" s="764"/>
      <c r="E587" s="764"/>
      <c r="F587" s="763"/>
      <c r="G587" s="763"/>
      <c r="H587" s="763"/>
      <c r="I587" s="764"/>
      <c r="J587" s="764"/>
      <c r="K587" s="764"/>
      <c r="L587" s="764"/>
      <c r="M587" s="764"/>
      <c r="N587" s="764"/>
      <c r="O587" s="764"/>
      <c r="P587" s="764"/>
      <c r="Q587" s="764"/>
      <c r="R587" s="764"/>
      <c r="S587" s="764"/>
      <c r="T587" s="764"/>
      <c r="U587" s="764"/>
      <c r="V587" s="764"/>
      <c r="W587" s="764"/>
      <c r="X587" s="764"/>
      <c r="Y587" s="764"/>
      <c r="Z587" s="764"/>
    </row>
    <row r="588" ht="9.75" customHeight="1">
      <c r="A588" s="764"/>
      <c r="B588" s="764"/>
      <c r="C588" s="764"/>
      <c r="D588" s="764"/>
      <c r="E588" s="764"/>
      <c r="F588" s="763"/>
      <c r="G588" s="763"/>
      <c r="H588" s="763"/>
      <c r="I588" s="764"/>
      <c r="J588" s="764"/>
      <c r="K588" s="764"/>
      <c r="L588" s="764"/>
      <c r="M588" s="764"/>
      <c r="N588" s="764"/>
      <c r="O588" s="764"/>
      <c r="P588" s="764"/>
      <c r="Q588" s="764"/>
      <c r="R588" s="764"/>
      <c r="S588" s="764"/>
      <c r="T588" s="764"/>
      <c r="U588" s="764"/>
      <c r="V588" s="764"/>
      <c r="W588" s="764"/>
      <c r="X588" s="764"/>
      <c r="Y588" s="764"/>
      <c r="Z588" s="764"/>
    </row>
    <row r="589" ht="9.75" customHeight="1">
      <c r="A589" s="764"/>
      <c r="B589" s="764"/>
      <c r="C589" s="764"/>
      <c r="D589" s="764"/>
      <c r="E589" s="764"/>
      <c r="F589" s="763"/>
      <c r="G589" s="763"/>
      <c r="H589" s="763"/>
      <c r="I589" s="764"/>
      <c r="J589" s="764"/>
      <c r="K589" s="764"/>
      <c r="L589" s="764"/>
      <c r="M589" s="764"/>
      <c r="N589" s="764"/>
      <c r="O589" s="764"/>
      <c r="P589" s="764"/>
      <c r="Q589" s="764"/>
      <c r="R589" s="764"/>
      <c r="S589" s="764"/>
      <c r="T589" s="764"/>
      <c r="U589" s="764"/>
      <c r="V589" s="764"/>
      <c r="W589" s="764"/>
      <c r="X589" s="764"/>
      <c r="Y589" s="764"/>
      <c r="Z589" s="764"/>
    </row>
    <row r="590" ht="9.75" customHeight="1">
      <c r="A590" s="764"/>
      <c r="B590" s="764"/>
      <c r="C590" s="764"/>
      <c r="D590" s="764"/>
      <c r="E590" s="764"/>
      <c r="F590" s="763"/>
      <c r="G590" s="763"/>
      <c r="H590" s="763"/>
      <c r="I590" s="764"/>
      <c r="J590" s="764"/>
      <c r="K590" s="764"/>
      <c r="L590" s="764"/>
      <c r="M590" s="764"/>
      <c r="N590" s="764"/>
      <c r="O590" s="764"/>
      <c r="P590" s="764"/>
      <c r="Q590" s="764"/>
      <c r="R590" s="764"/>
      <c r="S590" s="764"/>
      <c r="T590" s="764"/>
      <c r="U590" s="764"/>
      <c r="V590" s="764"/>
      <c r="W590" s="764"/>
      <c r="X590" s="764"/>
      <c r="Y590" s="764"/>
      <c r="Z590" s="764"/>
    </row>
    <row r="591" ht="9.75" customHeight="1">
      <c r="A591" s="764"/>
      <c r="B591" s="764"/>
      <c r="C591" s="764"/>
      <c r="D591" s="764"/>
      <c r="E591" s="764"/>
      <c r="F591" s="763"/>
      <c r="G591" s="763"/>
      <c r="H591" s="763"/>
      <c r="I591" s="764"/>
      <c r="J591" s="764"/>
      <c r="K591" s="764"/>
      <c r="L591" s="764"/>
      <c r="M591" s="764"/>
      <c r="N591" s="764"/>
      <c r="O591" s="764"/>
      <c r="P591" s="764"/>
      <c r="Q591" s="764"/>
      <c r="R591" s="764"/>
      <c r="S591" s="764"/>
      <c r="T591" s="764"/>
      <c r="U591" s="764"/>
      <c r="V591" s="764"/>
      <c r="W591" s="764"/>
      <c r="X591" s="764"/>
      <c r="Y591" s="764"/>
      <c r="Z591" s="764"/>
    </row>
    <row r="592" ht="9.75" customHeight="1">
      <c r="A592" s="764"/>
      <c r="B592" s="764"/>
      <c r="C592" s="764"/>
      <c r="D592" s="764"/>
      <c r="E592" s="764"/>
      <c r="F592" s="763"/>
      <c r="G592" s="763"/>
      <c r="H592" s="763"/>
      <c r="I592" s="764"/>
      <c r="J592" s="764"/>
      <c r="K592" s="764"/>
      <c r="L592" s="764"/>
      <c r="M592" s="764"/>
      <c r="N592" s="764"/>
      <c r="O592" s="764"/>
      <c r="P592" s="764"/>
      <c r="Q592" s="764"/>
      <c r="R592" s="764"/>
      <c r="S592" s="764"/>
      <c r="T592" s="764"/>
      <c r="U592" s="764"/>
      <c r="V592" s="764"/>
      <c r="W592" s="764"/>
      <c r="X592" s="764"/>
      <c r="Y592" s="764"/>
      <c r="Z592" s="764"/>
    </row>
    <row r="593" ht="9.75" customHeight="1">
      <c r="A593" s="764"/>
      <c r="B593" s="764"/>
      <c r="C593" s="764"/>
      <c r="D593" s="764"/>
      <c r="E593" s="764"/>
      <c r="F593" s="763"/>
      <c r="G593" s="763"/>
      <c r="H593" s="763"/>
      <c r="I593" s="764"/>
      <c r="J593" s="764"/>
      <c r="K593" s="764"/>
      <c r="L593" s="764"/>
      <c r="M593" s="764"/>
      <c r="N593" s="764"/>
      <c r="O593" s="764"/>
      <c r="P593" s="764"/>
      <c r="Q593" s="764"/>
      <c r="R593" s="764"/>
      <c r="S593" s="764"/>
      <c r="T593" s="764"/>
      <c r="U593" s="764"/>
      <c r="V593" s="764"/>
      <c r="W593" s="764"/>
      <c r="X593" s="764"/>
      <c r="Y593" s="764"/>
      <c r="Z593" s="764"/>
    </row>
    <row r="594" ht="9.75" customHeight="1">
      <c r="A594" s="764"/>
      <c r="B594" s="764"/>
      <c r="C594" s="764"/>
      <c r="D594" s="764"/>
      <c r="E594" s="764"/>
      <c r="F594" s="763"/>
      <c r="G594" s="763"/>
      <c r="H594" s="763"/>
      <c r="I594" s="764"/>
      <c r="J594" s="764"/>
      <c r="K594" s="764"/>
      <c r="L594" s="764"/>
      <c r="M594" s="764"/>
      <c r="N594" s="764"/>
      <c r="O594" s="764"/>
      <c r="P594" s="764"/>
      <c r="Q594" s="764"/>
      <c r="R594" s="764"/>
      <c r="S594" s="764"/>
      <c r="T594" s="764"/>
      <c r="U594" s="764"/>
      <c r="V594" s="764"/>
      <c r="W594" s="764"/>
      <c r="X594" s="764"/>
      <c r="Y594" s="764"/>
      <c r="Z594" s="764"/>
    </row>
    <row r="595" ht="9.75" customHeight="1">
      <c r="A595" s="764"/>
      <c r="B595" s="764"/>
      <c r="C595" s="764"/>
      <c r="D595" s="764"/>
      <c r="E595" s="764"/>
      <c r="F595" s="763"/>
      <c r="G595" s="763"/>
      <c r="H595" s="763"/>
      <c r="I595" s="764"/>
      <c r="J595" s="764"/>
      <c r="K595" s="764"/>
      <c r="L595" s="764"/>
      <c r="M595" s="764"/>
      <c r="N595" s="764"/>
      <c r="O595" s="764"/>
      <c r="P595" s="764"/>
      <c r="Q595" s="764"/>
      <c r="R595" s="764"/>
      <c r="S595" s="764"/>
      <c r="T595" s="764"/>
      <c r="U595" s="764"/>
      <c r="V595" s="764"/>
      <c r="W595" s="764"/>
      <c r="X595" s="764"/>
      <c r="Y595" s="764"/>
      <c r="Z595" s="764"/>
    </row>
    <row r="596" ht="9.75" customHeight="1">
      <c r="A596" s="764"/>
      <c r="B596" s="764"/>
      <c r="C596" s="764"/>
      <c r="D596" s="764"/>
      <c r="E596" s="764"/>
      <c r="F596" s="763"/>
      <c r="G596" s="763"/>
      <c r="H596" s="763"/>
      <c r="I596" s="764"/>
      <c r="J596" s="764"/>
      <c r="K596" s="764"/>
      <c r="L596" s="764"/>
      <c r="M596" s="764"/>
      <c r="N596" s="764"/>
      <c r="O596" s="764"/>
      <c r="P596" s="764"/>
      <c r="Q596" s="764"/>
      <c r="R596" s="764"/>
      <c r="S596" s="764"/>
      <c r="T596" s="764"/>
      <c r="U596" s="764"/>
      <c r="V596" s="764"/>
      <c r="W596" s="764"/>
      <c r="X596" s="764"/>
      <c r="Y596" s="764"/>
      <c r="Z596" s="764"/>
    </row>
    <row r="597" ht="9.75" customHeight="1">
      <c r="A597" s="764"/>
      <c r="B597" s="764"/>
      <c r="C597" s="764"/>
      <c r="D597" s="764"/>
      <c r="E597" s="764"/>
      <c r="F597" s="763"/>
      <c r="G597" s="763"/>
      <c r="H597" s="763"/>
      <c r="I597" s="764"/>
      <c r="J597" s="764"/>
      <c r="K597" s="764"/>
      <c r="L597" s="764"/>
      <c r="M597" s="764"/>
      <c r="N597" s="764"/>
      <c r="O597" s="764"/>
      <c r="P597" s="764"/>
      <c r="Q597" s="764"/>
      <c r="R597" s="764"/>
      <c r="S597" s="764"/>
      <c r="T597" s="764"/>
      <c r="U597" s="764"/>
      <c r="V597" s="764"/>
      <c r="W597" s="764"/>
      <c r="X597" s="764"/>
      <c r="Y597" s="764"/>
      <c r="Z597" s="764"/>
    </row>
    <row r="598" ht="9.75" customHeight="1">
      <c r="A598" s="764"/>
      <c r="B598" s="764"/>
      <c r="C598" s="764"/>
      <c r="D598" s="764"/>
      <c r="E598" s="764"/>
      <c r="F598" s="763"/>
      <c r="G598" s="763"/>
      <c r="H598" s="763"/>
      <c r="I598" s="764"/>
      <c r="J598" s="764"/>
      <c r="K598" s="764"/>
      <c r="L598" s="764"/>
      <c r="M598" s="764"/>
      <c r="N598" s="764"/>
      <c r="O598" s="764"/>
      <c r="P598" s="764"/>
      <c r="Q598" s="764"/>
      <c r="R598" s="764"/>
      <c r="S598" s="764"/>
      <c r="T598" s="764"/>
      <c r="U598" s="764"/>
      <c r="V598" s="764"/>
      <c r="W598" s="764"/>
      <c r="X598" s="764"/>
      <c r="Y598" s="764"/>
      <c r="Z598" s="764"/>
    </row>
    <row r="599" ht="9.75" customHeight="1">
      <c r="A599" s="764"/>
      <c r="B599" s="764"/>
      <c r="C599" s="764"/>
      <c r="D599" s="764"/>
      <c r="E599" s="764"/>
      <c r="F599" s="763"/>
      <c r="G599" s="763"/>
      <c r="H599" s="763"/>
      <c r="I599" s="764"/>
      <c r="J599" s="764"/>
      <c r="K599" s="764"/>
      <c r="L599" s="764"/>
      <c r="M599" s="764"/>
      <c r="N599" s="764"/>
      <c r="O599" s="764"/>
      <c r="P599" s="764"/>
      <c r="Q599" s="764"/>
      <c r="R599" s="764"/>
      <c r="S599" s="764"/>
      <c r="T599" s="764"/>
      <c r="U599" s="764"/>
      <c r="V599" s="764"/>
      <c r="W599" s="764"/>
      <c r="X599" s="764"/>
      <c r="Y599" s="764"/>
      <c r="Z599" s="764"/>
    </row>
    <row r="600" ht="9.75" customHeight="1">
      <c r="A600" s="764"/>
      <c r="B600" s="764"/>
      <c r="C600" s="764"/>
      <c r="D600" s="764"/>
      <c r="E600" s="764"/>
      <c r="F600" s="763"/>
      <c r="G600" s="763"/>
      <c r="H600" s="763"/>
      <c r="I600" s="764"/>
      <c r="J600" s="764"/>
      <c r="K600" s="764"/>
      <c r="L600" s="764"/>
      <c r="M600" s="764"/>
      <c r="N600" s="764"/>
      <c r="O600" s="764"/>
      <c r="P600" s="764"/>
      <c r="Q600" s="764"/>
      <c r="R600" s="764"/>
      <c r="S600" s="764"/>
      <c r="T600" s="764"/>
      <c r="U600" s="764"/>
      <c r="V600" s="764"/>
      <c r="W600" s="764"/>
      <c r="X600" s="764"/>
      <c r="Y600" s="764"/>
      <c r="Z600" s="764"/>
    </row>
    <row r="601" ht="9.75" customHeight="1">
      <c r="A601" s="764"/>
      <c r="B601" s="764"/>
      <c r="C601" s="764"/>
      <c r="D601" s="764"/>
      <c r="E601" s="764"/>
      <c r="F601" s="763"/>
      <c r="G601" s="763"/>
      <c r="H601" s="763"/>
      <c r="I601" s="764"/>
      <c r="J601" s="764"/>
      <c r="K601" s="764"/>
      <c r="L601" s="764"/>
      <c r="M601" s="764"/>
      <c r="N601" s="764"/>
      <c r="O601" s="764"/>
      <c r="P601" s="764"/>
      <c r="Q601" s="764"/>
      <c r="R601" s="764"/>
      <c r="S601" s="764"/>
      <c r="T601" s="764"/>
      <c r="U601" s="764"/>
      <c r="V601" s="764"/>
      <c r="W601" s="764"/>
      <c r="X601" s="764"/>
      <c r="Y601" s="764"/>
      <c r="Z601" s="764"/>
    </row>
    <row r="602" ht="9.75" customHeight="1">
      <c r="A602" s="764"/>
      <c r="B602" s="764"/>
      <c r="C602" s="764"/>
      <c r="D602" s="764"/>
      <c r="E602" s="764"/>
      <c r="F602" s="763"/>
      <c r="G602" s="763"/>
      <c r="H602" s="763"/>
      <c r="I602" s="764"/>
      <c r="J602" s="764"/>
      <c r="K602" s="764"/>
      <c r="L602" s="764"/>
      <c r="M602" s="764"/>
      <c r="N602" s="764"/>
      <c r="O602" s="764"/>
      <c r="P602" s="764"/>
      <c r="Q602" s="764"/>
      <c r="R602" s="764"/>
      <c r="S602" s="764"/>
      <c r="T602" s="764"/>
      <c r="U602" s="764"/>
      <c r="V602" s="764"/>
      <c r="W602" s="764"/>
      <c r="X602" s="764"/>
      <c r="Y602" s="764"/>
      <c r="Z602" s="764"/>
    </row>
    <row r="603" ht="9.75" customHeight="1">
      <c r="A603" s="764"/>
      <c r="B603" s="764"/>
      <c r="C603" s="764"/>
      <c r="D603" s="764"/>
      <c r="E603" s="764"/>
      <c r="F603" s="763"/>
      <c r="G603" s="763"/>
      <c r="H603" s="763"/>
      <c r="I603" s="764"/>
      <c r="J603" s="764"/>
      <c r="K603" s="764"/>
      <c r="L603" s="764"/>
      <c r="M603" s="764"/>
      <c r="N603" s="764"/>
      <c r="O603" s="764"/>
      <c r="P603" s="764"/>
      <c r="Q603" s="764"/>
      <c r="R603" s="764"/>
      <c r="S603" s="764"/>
      <c r="T603" s="764"/>
      <c r="U603" s="764"/>
      <c r="V603" s="764"/>
      <c r="W603" s="764"/>
      <c r="X603" s="764"/>
      <c r="Y603" s="764"/>
      <c r="Z603" s="764"/>
    </row>
    <row r="604" ht="9.75" customHeight="1">
      <c r="A604" s="764"/>
      <c r="B604" s="764"/>
      <c r="C604" s="764"/>
      <c r="D604" s="764"/>
      <c r="E604" s="764"/>
      <c r="F604" s="763"/>
      <c r="G604" s="763"/>
      <c r="H604" s="763"/>
      <c r="I604" s="764"/>
      <c r="J604" s="764"/>
      <c r="K604" s="764"/>
      <c r="L604" s="764"/>
      <c r="M604" s="764"/>
      <c r="N604" s="764"/>
      <c r="O604" s="764"/>
      <c r="P604" s="764"/>
      <c r="Q604" s="764"/>
      <c r="R604" s="764"/>
      <c r="S604" s="764"/>
      <c r="T604" s="764"/>
      <c r="U604" s="764"/>
      <c r="V604" s="764"/>
      <c r="W604" s="764"/>
      <c r="X604" s="764"/>
      <c r="Y604" s="764"/>
      <c r="Z604" s="764"/>
    </row>
    <row r="605" ht="9.75" customHeight="1">
      <c r="A605" s="764"/>
      <c r="B605" s="764"/>
      <c r="C605" s="764"/>
      <c r="D605" s="764"/>
      <c r="E605" s="764"/>
      <c r="F605" s="763"/>
      <c r="G605" s="763"/>
      <c r="H605" s="763"/>
      <c r="I605" s="764"/>
      <c r="J605" s="764"/>
      <c r="K605" s="764"/>
      <c r="L605" s="764"/>
      <c r="M605" s="764"/>
      <c r="N605" s="764"/>
      <c r="O605" s="764"/>
      <c r="P605" s="764"/>
      <c r="Q605" s="764"/>
      <c r="R605" s="764"/>
      <c r="S605" s="764"/>
      <c r="T605" s="764"/>
      <c r="U605" s="764"/>
      <c r="V605" s="764"/>
      <c r="W605" s="764"/>
      <c r="X605" s="764"/>
      <c r="Y605" s="764"/>
      <c r="Z605" s="764"/>
    </row>
    <row r="606" ht="9.75" customHeight="1">
      <c r="A606" s="764"/>
      <c r="B606" s="764"/>
      <c r="C606" s="764"/>
      <c r="D606" s="764"/>
      <c r="E606" s="764"/>
      <c r="F606" s="763"/>
      <c r="G606" s="763"/>
      <c r="H606" s="763"/>
      <c r="I606" s="764"/>
      <c r="J606" s="764"/>
      <c r="K606" s="764"/>
      <c r="L606" s="764"/>
      <c r="M606" s="764"/>
      <c r="N606" s="764"/>
      <c r="O606" s="764"/>
      <c r="P606" s="764"/>
      <c r="Q606" s="764"/>
      <c r="R606" s="764"/>
      <c r="S606" s="764"/>
      <c r="T606" s="764"/>
      <c r="U606" s="764"/>
      <c r="V606" s="764"/>
      <c r="W606" s="764"/>
      <c r="X606" s="764"/>
      <c r="Y606" s="764"/>
      <c r="Z606" s="764"/>
    </row>
    <row r="607" ht="9.75" customHeight="1">
      <c r="A607" s="764"/>
      <c r="B607" s="764"/>
      <c r="C607" s="764"/>
      <c r="D607" s="764"/>
      <c r="E607" s="764"/>
      <c r="F607" s="763"/>
      <c r="G607" s="763"/>
      <c r="H607" s="763"/>
      <c r="I607" s="764"/>
      <c r="J607" s="764"/>
      <c r="K607" s="764"/>
      <c r="L607" s="764"/>
      <c r="M607" s="764"/>
      <c r="N607" s="764"/>
      <c r="O607" s="764"/>
      <c r="P607" s="764"/>
      <c r="Q607" s="764"/>
      <c r="R607" s="764"/>
      <c r="S607" s="764"/>
      <c r="T607" s="764"/>
      <c r="U607" s="764"/>
      <c r="V607" s="764"/>
      <c r="W607" s="764"/>
      <c r="X607" s="764"/>
      <c r="Y607" s="764"/>
      <c r="Z607" s="764"/>
    </row>
    <row r="608" ht="9.75" customHeight="1">
      <c r="A608" s="764"/>
      <c r="B608" s="764"/>
      <c r="C608" s="764"/>
      <c r="D608" s="764"/>
      <c r="E608" s="764"/>
      <c r="F608" s="763"/>
      <c r="G608" s="763"/>
      <c r="H608" s="763"/>
      <c r="I608" s="764"/>
      <c r="J608" s="764"/>
      <c r="K608" s="764"/>
      <c r="L608" s="764"/>
      <c r="M608" s="764"/>
      <c r="N608" s="764"/>
      <c r="O608" s="764"/>
      <c r="P608" s="764"/>
      <c r="Q608" s="764"/>
      <c r="R608" s="764"/>
      <c r="S608" s="764"/>
      <c r="T608" s="764"/>
      <c r="U608" s="764"/>
      <c r="V608" s="764"/>
      <c r="W608" s="764"/>
      <c r="X608" s="764"/>
      <c r="Y608" s="764"/>
      <c r="Z608" s="764"/>
    </row>
    <row r="609" ht="9.75" customHeight="1">
      <c r="A609" s="764"/>
      <c r="B609" s="764"/>
      <c r="C609" s="764"/>
      <c r="D609" s="764"/>
      <c r="E609" s="764"/>
      <c r="F609" s="763"/>
      <c r="G609" s="763"/>
      <c r="H609" s="763"/>
      <c r="I609" s="764"/>
      <c r="J609" s="764"/>
      <c r="K609" s="764"/>
      <c r="L609" s="764"/>
      <c r="M609" s="764"/>
      <c r="N609" s="764"/>
      <c r="O609" s="764"/>
      <c r="P609" s="764"/>
      <c r="Q609" s="764"/>
      <c r="R609" s="764"/>
      <c r="S609" s="764"/>
      <c r="T609" s="764"/>
      <c r="U609" s="764"/>
      <c r="V609" s="764"/>
      <c r="W609" s="764"/>
      <c r="X609" s="764"/>
      <c r="Y609" s="764"/>
      <c r="Z609" s="764"/>
    </row>
    <row r="610" ht="9.75" customHeight="1">
      <c r="A610" s="764"/>
      <c r="B610" s="764"/>
      <c r="C610" s="764"/>
      <c r="D610" s="764"/>
      <c r="E610" s="764"/>
      <c r="F610" s="763"/>
      <c r="G610" s="763"/>
      <c r="H610" s="763"/>
      <c r="I610" s="764"/>
      <c r="J610" s="764"/>
      <c r="K610" s="764"/>
      <c r="L610" s="764"/>
      <c r="M610" s="764"/>
      <c r="N610" s="764"/>
      <c r="O610" s="764"/>
      <c r="P610" s="764"/>
      <c r="Q610" s="764"/>
      <c r="R610" s="764"/>
      <c r="S610" s="764"/>
      <c r="T610" s="764"/>
      <c r="U610" s="764"/>
      <c r="V610" s="764"/>
      <c r="W610" s="764"/>
      <c r="X610" s="764"/>
      <c r="Y610" s="764"/>
      <c r="Z610" s="764"/>
    </row>
    <row r="611" ht="9.75" customHeight="1">
      <c r="A611" s="764"/>
      <c r="B611" s="764"/>
      <c r="C611" s="764"/>
      <c r="D611" s="764"/>
      <c r="E611" s="764"/>
      <c r="F611" s="763"/>
      <c r="G611" s="763"/>
      <c r="H611" s="763"/>
      <c r="I611" s="764"/>
      <c r="J611" s="764"/>
      <c r="K611" s="764"/>
      <c r="L611" s="764"/>
      <c r="M611" s="764"/>
      <c r="N611" s="764"/>
      <c r="O611" s="764"/>
      <c r="P611" s="764"/>
      <c r="Q611" s="764"/>
      <c r="R611" s="764"/>
      <c r="S611" s="764"/>
      <c r="T611" s="764"/>
      <c r="U611" s="764"/>
      <c r="V611" s="764"/>
      <c r="W611" s="764"/>
      <c r="X611" s="764"/>
      <c r="Y611" s="764"/>
      <c r="Z611" s="764"/>
    </row>
    <row r="612" ht="9.75" customHeight="1">
      <c r="A612" s="764"/>
      <c r="B612" s="764"/>
      <c r="C612" s="764"/>
      <c r="D612" s="764"/>
      <c r="E612" s="764"/>
      <c r="F612" s="763"/>
      <c r="G612" s="763"/>
      <c r="H612" s="763"/>
      <c r="I612" s="764"/>
      <c r="J612" s="764"/>
      <c r="K612" s="764"/>
      <c r="L612" s="764"/>
      <c r="M612" s="764"/>
      <c r="N612" s="764"/>
      <c r="O612" s="764"/>
      <c r="P612" s="764"/>
      <c r="Q612" s="764"/>
      <c r="R612" s="764"/>
      <c r="S612" s="764"/>
      <c r="T612" s="764"/>
      <c r="U612" s="764"/>
      <c r="V612" s="764"/>
      <c r="W612" s="764"/>
      <c r="X612" s="764"/>
      <c r="Y612" s="764"/>
      <c r="Z612" s="764"/>
    </row>
    <row r="613" ht="9.75" customHeight="1">
      <c r="A613" s="764"/>
      <c r="B613" s="764"/>
      <c r="C613" s="764"/>
      <c r="D613" s="764"/>
      <c r="E613" s="764"/>
      <c r="F613" s="763"/>
      <c r="G613" s="763"/>
      <c r="H613" s="763"/>
      <c r="I613" s="764"/>
      <c r="J613" s="764"/>
      <c r="K613" s="764"/>
      <c r="L613" s="764"/>
      <c r="M613" s="764"/>
      <c r="N613" s="764"/>
      <c r="O613" s="764"/>
      <c r="P613" s="764"/>
      <c r="Q613" s="764"/>
      <c r="R613" s="764"/>
      <c r="S613" s="764"/>
      <c r="T613" s="764"/>
      <c r="U613" s="764"/>
      <c r="V613" s="764"/>
      <c r="W613" s="764"/>
      <c r="X613" s="764"/>
      <c r="Y613" s="764"/>
      <c r="Z613" s="764"/>
    </row>
    <row r="614" ht="9.75" customHeight="1">
      <c r="A614" s="764"/>
      <c r="B614" s="764"/>
      <c r="C614" s="764"/>
      <c r="D614" s="764"/>
      <c r="E614" s="764"/>
      <c r="F614" s="763"/>
      <c r="G614" s="763"/>
      <c r="H614" s="763"/>
      <c r="I614" s="764"/>
      <c r="J614" s="764"/>
      <c r="K614" s="764"/>
      <c r="L614" s="764"/>
      <c r="M614" s="764"/>
      <c r="N614" s="764"/>
      <c r="O614" s="764"/>
      <c r="P614" s="764"/>
      <c r="Q614" s="764"/>
      <c r="R614" s="764"/>
      <c r="S614" s="764"/>
      <c r="T614" s="764"/>
      <c r="U614" s="764"/>
      <c r="V614" s="764"/>
      <c r="W614" s="764"/>
      <c r="X614" s="764"/>
      <c r="Y614" s="764"/>
      <c r="Z614" s="764"/>
    </row>
    <row r="615" ht="9.75" customHeight="1">
      <c r="A615" s="764"/>
      <c r="B615" s="764"/>
      <c r="C615" s="764"/>
      <c r="D615" s="764"/>
      <c r="E615" s="764"/>
      <c r="F615" s="763"/>
      <c r="G615" s="763"/>
      <c r="H615" s="763"/>
      <c r="I615" s="764"/>
      <c r="J615" s="764"/>
      <c r="K615" s="764"/>
      <c r="L615" s="764"/>
      <c r="M615" s="764"/>
      <c r="N615" s="764"/>
      <c r="O615" s="764"/>
      <c r="P615" s="764"/>
      <c r="Q615" s="764"/>
      <c r="R615" s="764"/>
      <c r="S615" s="764"/>
      <c r="T615" s="764"/>
      <c r="U615" s="764"/>
      <c r="V615" s="764"/>
      <c r="W615" s="764"/>
      <c r="X615" s="764"/>
      <c r="Y615" s="764"/>
      <c r="Z615" s="764"/>
    </row>
    <row r="616" ht="9.75" customHeight="1">
      <c r="A616" s="764"/>
      <c r="B616" s="764"/>
      <c r="C616" s="764"/>
      <c r="D616" s="764"/>
      <c r="E616" s="764"/>
      <c r="F616" s="763"/>
      <c r="G616" s="763"/>
      <c r="H616" s="763"/>
      <c r="I616" s="764"/>
      <c r="J616" s="764"/>
      <c r="K616" s="764"/>
      <c r="L616" s="764"/>
      <c r="M616" s="764"/>
      <c r="N616" s="764"/>
      <c r="O616" s="764"/>
      <c r="P616" s="764"/>
      <c r="Q616" s="764"/>
      <c r="R616" s="764"/>
      <c r="S616" s="764"/>
      <c r="T616" s="764"/>
      <c r="U616" s="764"/>
      <c r="V616" s="764"/>
      <c r="W616" s="764"/>
      <c r="X616" s="764"/>
      <c r="Y616" s="764"/>
      <c r="Z616" s="764"/>
    </row>
    <row r="617" ht="9.75" customHeight="1">
      <c r="A617" s="764"/>
      <c r="B617" s="764"/>
      <c r="C617" s="764"/>
      <c r="D617" s="764"/>
      <c r="E617" s="764"/>
      <c r="F617" s="763"/>
      <c r="G617" s="763"/>
      <c r="H617" s="763"/>
      <c r="I617" s="764"/>
      <c r="J617" s="764"/>
      <c r="K617" s="764"/>
      <c r="L617" s="764"/>
      <c r="M617" s="764"/>
      <c r="N617" s="764"/>
      <c r="O617" s="764"/>
      <c r="P617" s="764"/>
      <c r="Q617" s="764"/>
      <c r="R617" s="764"/>
      <c r="S617" s="764"/>
      <c r="T617" s="764"/>
      <c r="U617" s="764"/>
      <c r="V617" s="764"/>
      <c r="W617" s="764"/>
      <c r="X617" s="764"/>
      <c r="Y617" s="764"/>
      <c r="Z617" s="764"/>
    </row>
    <row r="618" ht="9.75" customHeight="1">
      <c r="A618" s="764"/>
      <c r="B618" s="764"/>
      <c r="C618" s="764"/>
      <c r="D618" s="764"/>
      <c r="E618" s="764"/>
      <c r="F618" s="763"/>
      <c r="G618" s="763"/>
      <c r="H618" s="763"/>
      <c r="I618" s="764"/>
      <c r="J618" s="764"/>
      <c r="K618" s="764"/>
      <c r="L618" s="764"/>
      <c r="M618" s="764"/>
      <c r="N618" s="764"/>
      <c r="O618" s="764"/>
      <c r="P618" s="764"/>
      <c r="Q618" s="764"/>
      <c r="R618" s="764"/>
      <c r="S618" s="764"/>
      <c r="T618" s="764"/>
      <c r="U618" s="764"/>
      <c r="V618" s="764"/>
      <c r="W618" s="764"/>
      <c r="X618" s="764"/>
      <c r="Y618" s="764"/>
      <c r="Z618" s="764"/>
    </row>
    <row r="619" ht="9.75" customHeight="1">
      <c r="A619" s="764"/>
      <c r="B619" s="764"/>
      <c r="C619" s="764"/>
      <c r="D619" s="764"/>
      <c r="E619" s="764"/>
      <c r="F619" s="763"/>
      <c r="G619" s="763"/>
      <c r="H619" s="763"/>
      <c r="I619" s="764"/>
      <c r="J619" s="764"/>
      <c r="K619" s="764"/>
      <c r="L619" s="764"/>
      <c r="M619" s="764"/>
      <c r="N619" s="764"/>
      <c r="O619" s="764"/>
      <c r="P619" s="764"/>
      <c r="Q619" s="764"/>
      <c r="R619" s="764"/>
      <c r="S619" s="764"/>
      <c r="T619" s="764"/>
      <c r="U619" s="764"/>
      <c r="V619" s="764"/>
      <c r="W619" s="764"/>
      <c r="X619" s="764"/>
      <c r="Y619" s="764"/>
      <c r="Z619" s="764"/>
    </row>
    <row r="620" ht="9.75" customHeight="1">
      <c r="A620" s="764"/>
      <c r="B620" s="764"/>
      <c r="C620" s="764"/>
      <c r="D620" s="764"/>
      <c r="E620" s="764"/>
      <c r="F620" s="763"/>
      <c r="G620" s="763"/>
      <c r="H620" s="763"/>
      <c r="I620" s="764"/>
      <c r="J620" s="764"/>
      <c r="K620" s="764"/>
      <c r="L620" s="764"/>
      <c r="M620" s="764"/>
      <c r="N620" s="764"/>
      <c r="O620" s="764"/>
      <c r="P620" s="764"/>
      <c r="Q620" s="764"/>
      <c r="R620" s="764"/>
      <c r="S620" s="764"/>
      <c r="T620" s="764"/>
      <c r="U620" s="764"/>
      <c r="V620" s="764"/>
      <c r="W620" s="764"/>
      <c r="X620" s="764"/>
      <c r="Y620" s="764"/>
      <c r="Z620" s="764"/>
    </row>
    <row r="621" ht="9.75" customHeight="1">
      <c r="A621" s="764"/>
      <c r="B621" s="764"/>
      <c r="C621" s="764"/>
      <c r="D621" s="764"/>
      <c r="E621" s="764"/>
      <c r="F621" s="763"/>
      <c r="G621" s="763"/>
      <c r="H621" s="763"/>
      <c r="I621" s="764"/>
      <c r="J621" s="764"/>
      <c r="K621" s="764"/>
      <c r="L621" s="764"/>
      <c r="M621" s="764"/>
      <c r="N621" s="764"/>
      <c r="O621" s="764"/>
      <c r="P621" s="764"/>
      <c r="Q621" s="764"/>
      <c r="R621" s="764"/>
      <c r="S621" s="764"/>
      <c r="T621" s="764"/>
      <c r="U621" s="764"/>
      <c r="V621" s="764"/>
      <c r="W621" s="764"/>
      <c r="X621" s="764"/>
      <c r="Y621" s="764"/>
      <c r="Z621" s="764"/>
    </row>
    <row r="622" ht="9.75" customHeight="1">
      <c r="A622" s="764"/>
      <c r="B622" s="764"/>
      <c r="C622" s="764"/>
      <c r="D622" s="764"/>
      <c r="E622" s="764"/>
      <c r="F622" s="763"/>
      <c r="G622" s="763"/>
      <c r="H622" s="763"/>
      <c r="I622" s="764"/>
      <c r="J622" s="764"/>
      <c r="K622" s="764"/>
      <c r="L622" s="764"/>
      <c r="M622" s="764"/>
      <c r="N622" s="764"/>
      <c r="O622" s="764"/>
      <c r="P622" s="764"/>
      <c r="Q622" s="764"/>
      <c r="R622" s="764"/>
      <c r="S622" s="764"/>
      <c r="T622" s="764"/>
      <c r="U622" s="764"/>
      <c r="V622" s="764"/>
      <c r="W622" s="764"/>
      <c r="X622" s="764"/>
      <c r="Y622" s="764"/>
      <c r="Z622" s="764"/>
    </row>
    <row r="623" ht="9.75" customHeight="1">
      <c r="A623" s="764"/>
      <c r="B623" s="764"/>
      <c r="C623" s="764"/>
      <c r="D623" s="764"/>
      <c r="E623" s="764"/>
      <c r="F623" s="763"/>
      <c r="G623" s="763"/>
      <c r="H623" s="763"/>
      <c r="I623" s="764"/>
      <c r="J623" s="764"/>
      <c r="K623" s="764"/>
      <c r="L623" s="764"/>
      <c r="M623" s="764"/>
      <c r="N623" s="764"/>
      <c r="O623" s="764"/>
      <c r="P623" s="764"/>
      <c r="Q623" s="764"/>
      <c r="R623" s="764"/>
      <c r="S623" s="764"/>
      <c r="T623" s="764"/>
      <c r="U623" s="764"/>
      <c r="V623" s="764"/>
      <c r="W623" s="764"/>
      <c r="X623" s="764"/>
      <c r="Y623" s="764"/>
      <c r="Z623" s="764"/>
    </row>
    <row r="624" ht="9.75" customHeight="1">
      <c r="A624" s="764"/>
      <c r="B624" s="764"/>
      <c r="C624" s="764"/>
      <c r="D624" s="764"/>
      <c r="E624" s="764"/>
      <c r="F624" s="763"/>
      <c r="G624" s="763"/>
      <c r="H624" s="763"/>
      <c r="I624" s="764"/>
      <c r="J624" s="764"/>
      <c r="K624" s="764"/>
      <c r="L624" s="764"/>
      <c r="M624" s="764"/>
      <c r="N624" s="764"/>
      <c r="O624" s="764"/>
      <c r="P624" s="764"/>
      <c r="Q624" s="764"/>
      <c r="R624" s="764"/>
      <c r="S624" s="764"/>
      <c r="T624" s="764"/>
      <c r="U624" s="764"/>
      <c r="V624" s="764"/>
      <c r="W624" s="764"/>
      <c r="X624" s="764"/>
      <c r="Y624" s="764"/>
      <c r="Z624" s="764"/>
    </row>
    <row r="625" ht="9.75" customHeight="1">
      <c r="A625" s="764"/>
      <c r="B625" s="764"/>
      <c r="C625" s="764"/>
      <c r="D625" s="764"/>
      <c r="E625" s="764"/>
      <c r="F625" s="763"/>
      <c r="G625" s="763"/>
      <c r="H625" s="763"/>
      <c r="I625" s="764"/>
      <c r="J625" s="764"/>
      <c r="K625" s="764"/>
      <c r="L625" s="764"/>
      <c r="M625" s="764"/>
      <c r="N625" s="764"/>
      <c r="O625" s="764"/>
      <c r="P625" s="764"/>
      <c r="Q625" s="764"/>
      <c r="R625" s="764"/>
      <c r="S625" s="764"/>
      <c r="T625" s="764"/>
      <c r="U625" s="764"/>
      <c r="V625" s="764"/>
      <c r="W625" s="764"/>
      <c r="X625" s="764"/>
      <c r="Y625" s="764"/>
      <c r="Z625" s="764"/>
    </row>
    <row r="626" ht="9.75" customHeight="1">
      <c r="A626" s="764"/>
      <c r="B626" s="764"/>
      <c r="C626" s="764"/>
      <c r="D626" s="764"/>
      <c r="E626" s="764"/>
      <c r="F626" s="763"/>
      <c r="G626" s="763"/>
      <c r="H626" s="763"/>
      <c r="I626" s="764"/>
      <c r="J626" s="764"/>
      <c r="K626" s="764"/>
      <c r="L626" s="764"/>
      <c r="M626" s="764"/>
      <c r="N626" s="764"/>
      <c r="O626" s="764"/>
      <c r="P626" s="764"/>
      <c r="Q626" s="764"/>
      <c r="R626" s="764"/>
      <c r="S626" s="764"/>
      <c r="T626" s="764"/>
      <c r="U626" s="764"/>
      <c r="V626" s="764"/>
      <c r="W626" s="764"/>
      <c r="X626" s="764"/>
      <c r="Y626" s="764"/>
      <c r="Z626" s="764"/>
    </row>
    <row r="627" ht="9.75" customHeight="1">
      <c r="A627" s="764"/>
      <c r="B627" s="764"/>
      <c r="C627" s="764"/>
      <c r="D627" s="764"/>
      <c r="E627" s="764"/>
      <c r="F627" s="763"/>
      <c r="G627" s="763"/>
      <c r="H627" s="763"/>
      <c r="I627" s="764"/>
      <c r="J627" s="764"/>
      <c r="K627" s="764"/>
      <c r="L627" s="764"/>
      <c r="M627" s="764"/>
      <c r="N627" s="764"/>
      <c r="O627" s="764"/>
      <c r="P627" s="764"/>
      <c r="Q627" s="764"/>
      <c r="R627" s="764"/>
      <c r="S627" s="764"/>
      <c r="T627" s="764"/>
      <c r="U627" s="764"/>
      <c r="V627" s="764"/>
      <c r="W627" s="764"/>
      <c r="X627" s="764"/>
      <c r="Y627" s="764"/>
      <c r="Z627" s="764"/>
    </row>
    <row r="628" ht="9.75" customHeight="1">
      <c r="A628" s="764"/>
      <c r="B628" s="764"/>
      <c r="C628" s="764"/>
      <c r="D628" s="764"/>
      <c r="E628" s="764"/>
      <c r="F628" s="763"/>
      <c r="G628" s="763"/>
      <c r="H628" s="763"/>
      <c r="I628" s="764"/>
      <c r="J628" s="764"/>
      <c r="K628" s="764"/>
      <c r="L628" s="764"/>
      <c r="M628" s="764"/>
      <c r="N628" s="764"/>
      <c r="O628" s="764"/>
      <c r="P628" s="764"/>
      <c r="Q628" s="764"/>
      <c r="R628" s="764"/>
      <c r="S628" s="764"/>
      <c r="T628" s="764"/>
      <c r="U628" s="764"/>
      <c r="V628" s="764"/>
      <c r="W628" s="764"/>
      <c r="X628" s="764"/>
      <c r="Y628" s="764"/>
      <c r="Z628" s="764"/>
    </row>
    <row r="629" ht="9.75" customHeight="1">
      <c r="A629" s="764"/>
      <c r="B629" s="764"/>
      <c r="C629" s="764"/>
      <c r="D629" s="764"/>
      <c r="E629" s="764"/>
      <c r="F629" s="763"/>
      <c r="G629" s="763"/>
      <c r="H629" s="763"/>
      <c r="I629" s="764"/>
      <c r="J629" s="764"/>
      <c r="K629" s="764"/>
      <c r="L629" s="764"/>
      <c r="M629" s="764"/>
      <c r="N629" s="764"/>
      <c r="O629" s="764"/>
      <c r="P629" s="764"/>
      <c r="Q629" s="764"/>
      <c r="R629" s="764"/>
      <c r="S629" s="764"/>
      <c r="T629" s="764"/>
      <c r="U629" s="764"/>
      <c r="V629" s="764"/>
      <c r="W629" s="764"/>
      <c r="X629" s="764"/>
      <c r="Y629" s="764"/>
      <c r="Z629" s="764"/>
    </row>
    <row r="630" ht="9.75" customHeight="1">
      <c r="A630" s="764"/>
      <c r="B630" s="764"/>
      <c r="C630" s="764"/>
      <c r="D630" s="764"/>
      <c r="E630" s="764"/>
      <c r="F630" s="763"/>
      <c r="G630" s="763"/>
      <c r="H630" s="763"/>
      <c r="I630" s="764"/>
      <c r="J630" s="764"/>
      <c r="K630" s="764"/>
      <c r="L630" s="764"/>
      <c r="M630" s="764"/>
      <c r="N630" s="764"/>
      <c r="O630" s="764"/>
      <c r="P630" s="764"/>
      <c r="Q630" s="764"/>
      <c r="R630" s="764"/>
      <c r="S630" s="764"/>
      <c r="T630" s="764"/>
      <c r="U630" s="764"/>
      <c r="V630" s="764"/>
      <c r="W630" s="764"/>
      <c r="X630" s="764"/>
      <c r="Y630" s="764"/>
      <c r="Z630" s="764"/>
    </row>
    <row r="631" ht="9.75" customHeight="1">
      <c r="A631" s="764"/>
      <c r="B631" s="764"/>
      <c r="C631" s="764"/>
      <c r="D631" s="764"/>
      <c r="E631" s="764"/>
      <c r="F631" s="763"/>
      <c r="G631" s="763"/>
      <c r="H631" s="763"/>
      <c r="I631" s="764"/>
      <c r="J631" s="764"/>
      <c r="K631" s="764"/>
      <c r="L631" s="764"/>
      <c r="M631" s="764"/>
      <c r="N631" s="764"/>
      <c r="O631" s="764"/>
      <c r="P631" s="764"/>
      <c r="Q631" s="764"/>
      <c r="R631" s="764"/>
      <c r="S631" s="764"/>
      <c r="T631" s="764"/>
      <c r="U631" s="764"/>
      <c r="V631" s="764"/>
      <c r="W631" s="764"/>
      <c r="X631" s="764"/>
      <c r="Y631" s="764"/>
      <c r="Z631" s="764"/>
    </row>
    <row r="632" ht="9.75" customHeight="1">
      <c r="A632" s="764"/>
      <c r="B632" s="764"/>
      <c r="C632" s="764"/>
      <c r="D632" s="764"/>
      <c r="E632" s="764"/>
      <c r="F632" s="763"/>
      <c r="G632" s="763"/>
      <c r="H632" s="763"/>
      <c r="I632" s="764"/>
      <c r="J632" s="764"/>
      <c r="K632" s="764"/>
      <c r="L632" s="764"/>
      <c r="M632" s="764"/>
      <c r="N632" s="764"/>
      <c r="O632" s="764"/>
      <c r="P632" s="764"/>
      <c r="Q632" s="764"/>
      <c r="R632" s="764"/>
      <c r="S632" s="764"/>
      <c r="T632" s="764"/>
      <c r="U632" s="764"/>
      <c r="V632" s="764"/>
      <c r="W632" s="764"/>
      <c r="X632" s="764"/>
      <c r="Y632" s="764"/>
      <c r="Z632" s="764"/>
    </row>
    <row r="633" ht="9.75" customHeight="1">
      <c r="A633" s="764"/>
      <c r="B633" s="764"/>
      <c r="C633" s="764"/>
      <c r="D633" s="764"/>
      <c r="E633" s="764"/>
      <c r="F633" s="763"/>
      <c r="G633" s="763"/>
      <c r="H633" s="763"/>
      <c r="I633" s="764"/>
      <c r="J633" s="764"/>
      <c r="K633" s="764"/>
      <c r="L633" s="764"/>
      <c r="M633" s="764"/>
      <c r="N633" s="764"/>
      <c r="O633" s="764"/>
      <c r="P633" s="764"/>
      <c r="Q633" s="764"/>
      <c r="R633" s="764"/>
      <c r="S633" s="764"/>
      <c r="T633" s="764"/>
      <c r="U633" s="764"/>
      <c r="V633" s="764"/>
      <c r="W633" s="764"/>
      <c r="X633" s="764"/>
      <c r="Y633" s="764"/>
      <c r="Z633" s="764"/>
    </row>
    <row r="634" ht="9.75" customHeight="1">
      <c r="A634" s="764"/>
      <c r="B634" s="764"/>
      <c r="C634" s="764"/>
      <c r="D634" s="764"/>
      <c r="E634" s="764"/>
      <c r="F634" s="763"/>
      <c r="G634" s="763"/>
      <c r="H634" s="763"/>
      <c r="I634" s="764"/>
      <c r="J634" s="764"/>
      <c r="K634" s="764"/>
      <c r="L634" s="764"/>
      <c r="M634" s="764"/>
      <c r="N634" s="764"/>
      <c r="O634" s="764"/>
      <c r="P634" s="764"/>
      <c r="Q634" s="764"/>
      <c r="R634" s="764"/>
      <c r="S634" s="764"/>
      <c r="T634" s="764"/>
      <c r="U634" s="764"/>
      <c r="V634" s="764"/>
      <c r="W634" s="764"/>
      <c r="X634" s="764"/>
      <c r="Y634" s="764"/>
      <c r="Z634" s="764"/>
    </row>
    <row r="635" ht="9.75" customHeight="1">
      <c r="A635" s="764"/>
      <c r="B635" s="764"/>
      <c r="C635" s="764"/>
      <c r="D635" s="764"/>
      <c r="E635" s="764"/>
      <c r="F635" s="763"/>
      <c r="G635" s="763"/>
      <c r="H635" s="763"/>
      <c r="I635" s="764"/>
      <c r="J635" s="764"/>
      <c r="K635" s="764"/>
      <c r="L635" s="764"/>
      <c r="M635" s="764"/>
      <c r="N635" s="764"/>
      <c r="O635" s="764"/>
      <c r="P635" s="764"/>
      <c r="Q635" s="764"/>
      <c r="R635" s="764"/>
      <c r="S635" s="764"/>
      <c r="T635" s="764"/>
      <c r="U635" s="764"/>
      <c r="V635" s="764"/>
      <c r="W635" s="764"/>
      <c r="X635" s="764"/>
      <c r="Y635" s="764"/>
      <c r="Z635" s="764"/>
    </row>
    <row r="636" ht="9.75" customHeight="1">
      <c r="A636" s="764"/>
      <c r="B636" s="764"/>
      <c r="C636" s="764"/>
      <c r="D636" s="764"/>
      <c r="E636" s="764"/>
      <c r="F636" s="763"/>
      <c r="G636" s="763"/>
      <c r="H636" s="763"/>
      <c r="I636" s="764"/>
      <c r="J636" s="764"/>
      <c r="K636" s="764"/>
      <c r="L636" s="764"/>
      <c r="M636" s="764"/>
      <c r="N636" s="764"/>
      <c r="O636" s="764"/>
      <c r="P636" s="764"/>
      <c r="Q636" s="764"/>
      <c r="R636" s="764"/>
      <c r="S636" s="764"/>
      <c r="T636" s="764"/>
      <c r="U636" s="764"/>
      <c r="V636" s="764"/>
      <c r="W636" s="764"/>
      <c r="X636" s="764"/>
      <c r="Y636" s="764"/>
      <c r="Z636" s="764"/>
    </row>
    <row r="637" ht="9.75" customHeight="1">
      <c r="A637" s="764"/>
      <c r="B637" s="764"/>
      <c r="C637" s="764"/>
      <c r="D637" s="764"/>
      <c r="E637" s="764"/>
      <c r="F637" s="763"/>
      <c r="G637" s="763"/>
      <c r="H637" s="763"/>
      <c r="I637" s="764"/>
      <c r="J637" s="764"/>
      <c r="K637" s="764"/>
      <c r="L637" s="764"/>
      <c r="M637" s="764"/>
      <c r="N637" s="764"/>
      <c r="O637" s="764"/>
      <c r="P637" s="764"/>
      <c r="Q637" s="764"/>
      <c r="R637" s="764"/>
      <c r="S637" s="764"/>
      <c r="T637" s="764"/>
      <c r="U637" s="764"/>
      <c r="V637" s="764"/>
      <c r="W637" s="764"/>
      <c r="X637" s="764"/>
      <c r="Y637" s="764"/>
      <c r="Z637" s="764"/>
    </row>
    <row r="638" ht="9.75" customHeight="1">
      <c r="A638" s="764"/>
      <c r="B638" s="764"/>
      <c r="C638" s="764"/>
      <c r="D638" s="764"/>
      <c r="E638" s="764"/>
      <c r="F638" s="763"/>
      <c r="G638" s="763"/>
      <c r="H638" s="763"/>
      <c r="I638" s="764"/>
      <c r="J638" s="764"/>
      <c r="K638" s="764"/>
      <c r="L638" s="764"/>
      <c r="M638" s="764"/>
      <c r="N638" s="764"/>
      <c r="O638" s="764"/>
      <c r="P638" s="764"/>
      <c r="Q638" s="764"/>
      <c r="R638" s="764"/>
      <c r="S638" s="764"/>
      <c r="T638" s="764"/>
      <c r="U638" s="764"/>
      <c r="V638" s="764"/>
      <c r="W638" s="764"/>
      <c r="X638" s="764"/>
      <c r="Y638" s="764"/>
      <c r="Z638" s="764"/>
    </row>
    <row r="639" ht="9.75" customHeight="1">
      <c r="A639" s="764"/>
      <c r="B639" s="764"/>
      <c r="C639" s="764"/>
      <c r="D639" s="764"/>
      <c r="E639" s="764"/>
      <c r="F639" s="763"/>
      <c r="G639" s="763"/>
      <c r="H639" s="763"/>
      <c r="I639" s="764"/>
      <c r="J639" s="764"/>
      <c r="K639" s="764"/>
      <c r="L639" s="764"/>
      <c r="M639" s="764"/>
      <c r="N639" s="764"/>
      <c r="O639" s="764"/>
      <c r="P639" s="764"/>
      <c r="Q639" s="764"/>
      <c r="R639" s="764"/>
      <c r="S639" s="764"/>
      <c r="T639" s="764"/>
      <c r="U639" s="764"/>
      <c r="V639" s="764"/>
      <c r="W639" s="764"/>
      <c r="X639" s="764"/>
      <c r="Y639" s="764"/>
      <c r="Z639" s="764"/>
    </row>
    <row r="640" ht="9.75" customHeight="1">
      <c r="A640" s="764"/>
      <c r="B640" s="764"/>
      <c r="C640" s="764"/>
      <c r="D640" s="764"/>
      <c r="E640" s="764"/>
      <c r="F640" s="763"/>
      <c r="G640" s="763"/>
      <c r="H640" s="763"/>
      <c r="I640" s="764"/>
      <c r="J640" s="764"/>
      <c r="K640" s="764"/>
      <c r="L640" s="764"/>
      <c r="M640" s="764"/>
      <c r="N640" s="764"/>
      <c r="O640" s="764"/>
      <c r="P640" s="764"/>
      <c r="Q640" s="764"/>
      <c r="R640" s="764"/>
      <c r="S640" s="764"/>
      <c r="T640" s="764"/>
      <c r="U640" s="764"/>
      <c r="V640" s="764"/>
      <c r="W640" s="764"/>
      <c r="X640" s="764"/>
      <c r="Y640" s="764"/>
      <c r="Z640" s="764"/>
    </row>
    <row r="641" ht="9.75" customHeight="1">
      <c r="A641" s="764"/>
      <c r="B641" s="764"/>
      <c r="C641" s="764"/>
      <c r="D641" s="764"/>
      <c r="E641" s="764"/>
      <c r="F641" s="763"/>
      <c r="G641" s="763"/>
      <c r="H641" s="763"/>
      <c r="I641" s="764"/>
      <c r="J641" s="764"/>
      <c r="K641" s="764"/>
      <c r="L641" s="764"/>
      <c r="M641" s="764"/>
      <c r="N641" s="764"/>
      <c r="O641" s="764"/>
      <c r="P641" s="764"/>
      <c r="Q641" s="764"/>
      <c r="R641" s="764"/>
      <c r="S641" s="764"/>
      <c r="T641" s="764"/>
      <c r="U641" s="764"/>
      <c r="V641" s="764"/>
      <c r="W641" s="764"/>
      <c r="X641" s="764"/>
      <c r="Y641" s="764"/>
      <c r="Z641" s="764"/>
    </row>
    <row r="642" ht="9.75" customHeight="1">
      <c r="A642" s="764"/>
      <c r="B642" s="764"/>
      <c r="C642" s="764"/>
      <c r="D642" s="764"/>
      <c r="E642" s="764"/>
      <c r="F642" s="763"/>
      <c r="G642" s="763"/>
      <c r="H642" s="763"/>
      <c r="I642" s="764"/>
      <c r="J642" s="764"/>
      <c r="K642" s="764"/>
      <c r="L642" s="764"/>
      <c r="M642" s="764"/>
      <c r="N642" s="764"/>
      <c r="O642" s="764"/>
      <c r="P642" s="764"/>
      <c r="Q642" s="764"/>
      <c r="R642" s="764"/>
      <c r="S642" s="764"/>
      <c r="T642" s="764"/>
      <c r="U642" s="764"/>
      <c r="V642" s="764"/>
      <c r="W642" s="764"/>
      <c r="X642" s="764"/>
      <c r="Y642" s="764"/>
      <c r="Z642" s="764"/>
    </row>
    <row r="643" ht="9.75" customHeight="1">
      <c r="A643" s="764"/>
      <c r="B643" s="764"/>
      <c r="C643" s="764"/>
      <c r="D643" s="764"/>
      <c r="E643" s="764"/>
      <c r="F643" s="763"/>
      <c r="G643" s="763"/>
      <c r="H643" s="763"/>
      <c r="I643" s="764"/>
      <c r="J643" s="764"/>
      <c r="K643" s="764"/>
      <c r="L643" s="764"/>
      <c r="M643" s="764"/>
      <c r="N643" s="764"/>
      <c r="O643" s="764"/>
      <c r="P643" s="764"/>
      <c r="Q643" s="764"/>
      <c r="R643" s="764"/>
      <c r="S643" s="764"/>
      <c r="T643" s="764"/>
      <c r="U643" s="764"/>
      <c r="V643" s="764"/>
      <c r="W643" s="764"/>
      <c r="X643" s="764"/>
      <c r="Y643" s="764"/>
      <c r="Z643" s="764"/>
    </row>
    <row r="644" ht="9.75" customHeight="1">
      <c r="A644" s="764"/>
      <c r="B644" s="764"/>
      <c r="C644" s="764"/>
      <c r="D644" s="764"/>
      <c r="E644" s="764"/>
      <c r="F644" s="763"/>
      <c r="G644" s="763"/>
      <c r="H644" s="763"/>
      <c r="I644" s="764"/>
      <c r="J644" s="764"/>
      <c r="K644" s="764"/>
      <c r="L644" s="764"/>
      <c r="M644" s="764"/>
      <c r="N644" s="764"/>
      <c r="O644" s="764"/>
      <c r="P644" s="764"/>
      <c r="Q644" s="764"/>
      <c r="R644" s="764"/>
      <c r="S644" s="764"/>
      <c r="T644" s="764"/>
      <c r="U644" s="764"/>
      <c r="V644" s="764"/>
      <c r="W644" s="764"/>
      <c r="X644" s="764"/>
      <c r="Y644" s="764"/>
      <c r="Z644" s="764"/>
    </row>
    <row r="645" ht="9.75" customHeight="1">
      <c r="A645" s="764"/>
      <c r="B645" s="764"/>
      <c r="C645" s="764"/>
      <c r="D645" s="764"/>
      <c r="E645" s="764"/>
      <c r="F645" s="763"/>
      <c r="G645" s="763"/>
      <c r="H645" s="763"/>
      <c r="I645" s="764"/>
      <c r="J645" s="764"/>
      <c r="K645" s="764"/>
      <c r="L645" s="764"/>
      <c r="M645" s="764"/>
      <c r="N645" s="764"/>
      <c r="O645" s="764"/>
      <c r="P645" s="764"/>
      <c r="Q645" s="764"/>
      <c r="R645" s="764"/>
      <c r="S645" s="764"/>
      <c r="T645" s="764"/>
      <c r="U645" s="764"/>
      <c r="V645" s="764"/>
      <c r="W645" s="764"/>
      <c r="X645" s="764"/>
      <c r="Y645" s="764"/>
      <c r="Z645" s="764"/>
    </row>
    <row r="646" ht="9.75" customHeight="1">
      <c r="A646" s="764"/>
      <c r="B646" s="764"/>
      <c r="C646" s="764"/>
      <c r="D646" s="764"/>
      <c r="E646" s="764"/>
      <c r="F646" s="763"/>
      <c r="G646" s="763"/>
      <c r="H646" s="763"/>
      <c r="I646" s="764"/>
      <c r="J646" s="764"/>
      <c r="K646" s="764"/>
      <c r="L646" s="764"/>
      <c r="M646" s="764"/>
      <c r="N646" s="764"/>
      <c r="O646" s="764"/>
      <c r="P646" s="764"/>
      <c r="Q646" s="764"/>
      <c r="R646" s="764"/>
      <c r="S646" s="764"/>
      <c r="T646" s="764"/>
      <c r="U646" s="764"/>
      <c r="V646" s="764"/>
      <c r="W646" s="764"/>
      <c r="X646" s="764"/>
      <c r="Y646" s="764"/>
      <c r="Z646" s="764"/>
    </row>
    <row r="647" ht="9.75" customHeight="1">
      <c r="A647" s="764"/>
      <c r="B647" s="764"/>
      <c r="C647" s="764"/>
      <c r="D647" s="764"/>
      <c r="E647" s="764"/>
      <c r="F647" s="763"/>
      <c r="G647" s="763"/>
      <c r="H647" s="763"/>
      <c r="I647" s="764"/>
      <c r="J647" s="764"/>
      <c r="K647" s="764"/>
      <c r="L647" s="764"/>
      <c r="M647" s="764"/>
      <c r="N647" s="764"/>
      <c r="O647" s="764"/>
      <c r="P647" s="764"/>
      <c r="Q647" s="764"/>
      <c r="R647" s="764"/>
      <c r="S647" s="764"/>
      <c r="T647" s="764"/>
      <c r="U647" s="764"/>
      <c r="V647" s="764"/>
      <c r="W647" s="764"/>
      <c r="X647" s="764"/>
      <c r="Y647" s="764"/>
      <c r="Z647" s="764"/>
    </row>
    <row r="648" ht="9.75" customHeight="1">
      <c r="A648" s="764"/>
      <c r="B648" s="764"/>
      <c r="C648" s="764"/>
      <c r="D648" s="764"/>
      <c r="E648" s="764"/>
      <c r="F648" s="763"/>
      <c r="G648" s="763"/>
      <c r="H648" s="763"/>
      <c r="I648" s="764"/>
      <c r="J648" s="764"/>
      <c r="K648" s="764"/>
      <c r="L648" s="764"/>
      <c r="M648" s="764"/>
      <c r="N648" s="764"/>
      <c r="O648" s="764"/>
      <c r="P648" s="764"/>
      <c r="Q648" s="764"/>
      <c r="R648" s="764"/>
      <c r="S648" s="764"/>
      <c r="T648" s="764"/>
      <c r="U648" s="764"/>
      <c r="V648" s="764"/>
      <c r="W648" s="764"/>
      <c r="X648" s="764"/>
      <c r="Y648" s="764"/>
      <c r="Z648" s="764"/>
    </row>
    <row r="649" ht="9.75" customHeight="1">
      <c r="A649" s="764"/>
      <c r="B649" s="764"/>
      <c r="C649" s="764"/>
      <c r="D649" s="764"/>
      <c r="E649" s="764"/>
      <c r="F649" s="763"/>
      <c r="G649" s="763"/>
      <c r="H649" s="763"/>
      <c r="I649" s="764"/>
      <c r="J649" s="764"/>
      <c r="K649" s="764"/>
      <c r="L649" s="764"/>
      <c r="M649" s="764"/>
      <c r="N649" s="764"/>
      <c r="O649" s="764"/>
      <c r="P649" s="764"/>
      <c r="Q649" s="764"/>
      <c r="R649" s="764"/>
      <c r="S649" s="764"/>
      <c r="T649" s="764"/>
      <c r="U649" s="764"/>
      <c r="V649" s="764"/>
      <c r="W649" s="764"/>
      <c r="X649" s="764"/>
      <c r="Y649" s="764"/>
      <c r="Z649" s="764"/>
    </row>
    <row r="650" ht="9.75" customHeight="1">
      <c r="A650" s="764"/>
      <c r="B650" s="764"/>
      <c r="C650" s="764"/>
      <c r="D650" s="764"/>
      <c r="E650" s="764"/>
      <c r="F650" s="763"/>
      <c r="G650" s="763"/>
      <c r="H650" s="763"/>
      <c r="I650" s="764"/>
      <c r="J650" s="764"/>
      <c r="K650" s="764"/>
      <c r="L650" s="764"/>
      <c r="M650" s="764"/>
      <c r="N650" s="764"/>
      <c r="O650" s="764"/>
      <c r="P650" s="764"/>
      <c r="Q650" s="764"/>
      <c r="R650" s="764"/>
      <c r="S650" s="764"/>
      <c r="T650" s="764"/>
      <c r="U650" s="764"/>
      <c r="V650" s="764"/>
      <c r="W650" s="764"/>
      <c r="X650" s="764"/>
      <c r="Y650" s="764"/>
      <c r="Z650" s="764"/>
    </row>
    <row r="651" ht="9.75" customHeight="1">
      <c r="A651" s="764"/>
      <c r="B651" s="764"/>
      <c r="C651" s="764"/>
      <c r="D651" s="764"/>
      <c r="E651" s="764"/>
      <c r="F651" s="763"/>
      <c r="G651" s="763"/>
      <c r="H651" s="763"/>
      <c r="I651" s="764"/>
      <c r="J651" s="764"/>
      <c r="K651" s="764"/>
      <c r="L651" s="764"/>
      <c r="M651" s="764"/>
      <c r="N651" s="764"/>
      <c r="O651" s="764"/>
      <c r="P651" s="764"/>
      <c r="Q651" s="764"/>
      <c r="R651" s="764"/>
      <c r="S651" s="764"/>
      <c r="T651" s="764"/>
      <c r="U651" s="764"/>
      <c r="V651" s="764"/>
      <c r="W651" s="764"/>
      <c r="X651" s="764"/>
      <c r="Y651" s="764"/>
      <c r="Z651" s="764"/>
    </row>
    <row r="652" ht="9.75" customHeight="1">
      <c r="A652" s="764"/>
      <c r="B652" s="764"/>
      <c r="C652" s="764"/>
      <c r="D652" s="764"/>
      <c r="E652" s="764"/>
      <c r="F652" s="763"/>
      <c r="G652" s="763"/>
      <c r="H652" s="763"/>
      <c r="I652" s="764"/>
      <c r="J652" s="764"/>
      <c r="K652" s="764"/>
      <c r="L652" s="764"/>
      <c r="M652" s="764"/>
      <c r="N652" s="764"/>
      <c r="O652" s="764"/>
      <c r="P652" s="764"/>
      <c r="Q652" s="764"/>
      <c r="R652" s="764"/>
      <c r="S652" s="764"/>
      <c r="T652" s="764"/>
      <c r="U652" s="764"/>
      <c r="V652" s="764"/>
      <c r="W652" s="764"/>
      <c r="X652" s="764"/>
      <c r="Y652" s="764"/>
      <c r="Z652" s="764"/>
    </row>
    <row r="653" ht="9.75" customHeight="1">
      <c r="A653" s="764"/>
      <c r="B653" s="764"/>
      <c r="C653" s="764"/>
      <c r="D653" s="764"/>
      <c r="E653" s="764"/>
      <c r="F653" s="763"/>
      <c r="G653" s="763"/>
      <c r="H653" s="763"/>
      <c r="I653" s="764"/>
      <c r="J653" s="764"/>
      <c r="K653" s="764"/>
      <c r="L653" s="764"/>
      <c r="M653" s="764"/>
      <c r="N653" s="764"/>
      <c r="O653" s="764"/>
      <c r="P653" s="764"/>
      <c r="Q653" s="764"/>
      <c r="R653" s="764"/>
      <c r="S653" s="764"/>
      <c r="T653" s="764"/>
      <c r="U653" s="764"/>
      <c r="V653" s="764"/>
      <c r="W653" s="764"/>
      <c r="X653" s="764"/>
      <c r="Y653" s="764"/>
      <c r="Z653" s="764"/>
    </row>
    <row r="654" ht="9.75" customHeight="1">
      <c r="A654" s="764"/>
      <c r="B654" s="764"/>
      <c r="C654" s="764"/>
      <c r="D654" s="764"/>
      <c r="E654" s="764"/>
      <c r="F654" s="763"/>
      <c r="G654" s="763"/>
      <c r="H654" s="763"/>
      <c r="I654" s="764"/>
      <c r="J654" s="764"/>
      <c r="K654" s="764"/>
      <c r="L654" s="764"/>
      <c r="M654" s="764"/>
      <c r="N654" s="764"/>
      <c r="O654" s="764"/>
      <c r="P654" s="764"/>
      <c r="Q654" s="764"/>
      <c r="R654" s="764"/>
      <c r="S654" s="764"/>
      <c r="T654" s="764"/>
      <c r="U654" s="764"/>
      <c r="V654" s="764"/>
      <c r="W654" s="764"/>
      <c r="X654" s="764"/>
      <c r="Y654" s="764"/>
      <c r="Z654" s="764"/>
    </row>
    <row r="655" ht="9.75" customHeight="1">
      <c r="A655" s="764"/>
      <c r="B655" s="764"/>
      <c r="C655" s="764"/>
      <c r="D655" s="764"/>
      <c r="E655" s="764"/>
      <c r="F655" s="763"/>
      <c r="G655" s="763"/>
      <c r="H655" s="763"/>
      <c r="I655" s="764"/>
      <c r="J655" s="764"/>
      <c r="K655" s="764"/>
      <c r="L655" s="764"/>
      <c r="M655" s="764"/>
      <c r="N655" s="764"/>
      <c r="O655" s="764"/>
      <c r="P655" s="764"/>
      <c r="Q655" s="764"/>
      <c r="R655" s="764"/>
      <c r="S655" s="764"/>
      <c r="T655" s="764"/>
      <c r="U655" s="764"/>
      <c r="V655" s="764"/>
      <c r="W655" s="764"/>
      <c r="X655" s="764"/>
      <c r="Y655" s="764"/>
      <c r="Z655" s="764"/>
    </row>
    <row r="656" ht="9.75" customHeight="1">
      <c r="A656" s="764"/>
      <c r="B656" s="764"/>
      <c r="C656" s="764"/>
      <c r="D656" s="764"/>
      <c r="E656" s="764"/>
      <c r="F656" s="763"/>
      <c r="G656" s="763"/>
      <c r="H656" s="763"/>
      <c r="I656" s="764"/>
      <c r="J656" s="764"/>
      <c r="K656" s="764"/>
      <c r="L656" s="764"/>
      <c r="M656" s="764"/>
      <c r="N656" s="764"/>
      <c r="O656" s="764"/>
      <c r="P656" s="764"/>
      <c r="Q656" s="764"/>
      <c r="R656" s="764"/>
      <c r="S656" s="764"/>
      <c r="T656" s="764"/>
      <c r="U656" s="764"/>
      <c r="V656" s="764"/>
      <c r="W656" s="764"/>
      <c r="X656" s="764"/>
      <c r="Y656" s="764"/>
      <c r="Z656" s="764"/>
    </row>
    <row r="657" ht="9.75" customHeight="1">
      <c r="A657" s="764"/>
      <c r="B657" s="764"/>
      <c r="C657" s="764"/>
      <c r="D657" s="764"/>
      <c r="E657" s="764"/>
      <c r="F657" s="763"/>
      <c r="G657" s="763"/>
      <c r="H657" s="763"/>
      <c r="I657" s="764"/>
      <c r="J657" s="764"/>
      <c r="K657" s="764"/>
      <c r="L657" s="764"/>
      <c r="M657" s="764"/>
      <c r="N657" s="764"/>
      <c r="O657" s="764"/>
      <c r="P657" s="764"/>
      <c r="Q657" s="764"/>
      <c r="R657" s="764"/>
      <c r="S657" s="764"/>
      <c r="T657" s="764"/>
      <c r="U657" s="764"/>
      <c r="V657" s="764"/>
      <c r="W657" s="764"/>
      <c r="X657" s="764"/>
      <c r="Y657" s="764"/>
      <c r="Z657" s="764"/>
    </row>
    <row r="658" ht="9.75" customHeight="1">
      <c r="A658" s="764"/>
      <c r="B658" s="764"/>
      <c r="C658" s="764"/>
      <c r="D658" s="764"/>
      <c r="E658" s="764"/>
      <c r="F658" s="763"/>
      <c r="G658" s="763"/>
      <c r="H658" s="763"/>
      <c r="I658" s="764"/>
      <c r="J658" s="764"/>
      <c r="K658" s="764"/>
      <c r="L658" s="764"/>
      <c r="M658" s="764"/>
      <c r="N658" s="764"/>
      <c r="O658" s="764"/>
      <c r="P658" s="764"/>
      <c r="Q658" s="764"/>
      <c r="R658" s="764"/>
      <c r="S658" s="764"/>
      <c r="T658" s="764"/>
      <c r="U658" s="764"/>
      <c r="V658" s="764"/>
      <c r="W658" s="764"/>
      <c r="X658" s="764"/>
      <c r="Y658" s="764"/>
      <c r="Z658" s="764"/>
    </row>
    <row r="659" ht="9.75" customHeight="1">
      <c r="A659" s="764"/>
      <c r="B659" s="764"/>
      <c r="C659" s="764"/>
      <c r="D659" s="764"/>
      <c r="E659" s="764"/>
      <c r="F659" s="763"/>
      <c r="G659" s="763"/>
      <c r="H659" s="763"/>
      <c r="I659" s="764"/>
      <c r="J659" s="764"/>
      <c r="K659" s="764"/>
      <c r="L659" s="764"/>
      <c r="M659" s="764"/>
      <c r="N659" s="764"/>
      <c r="O659" s="764"/>
      <c r="P659" s="764"/>
      <c r="Q659" s="764"/>
      <c r="R659" s="764"/>
      <c r="S659" s="764"/>
      <c r="T659" s="764"/>
      <c r="U659" s="764"/>
      <c r="V659" s="764"/>
      <c r="W659" s="764"/>
      <c r="X659" s="764"/>
      <c r="Y659" s="764"/>
      <c r="Z659" s="764"/>
    </row>
    <row r="660" ht="9.75" customHeight="1">
      <c r="A660" s="764"/>
      <c r="B660" s="764"/>
      <c r="C660" s="764"/>
      <c r="D660" s="764"/>
      <c r="E660" s="764"/>
      <c r="F660" s="763"/>
      <c r="G660" s="763"/>
      <c r="H660" s="763"/>
      <c r="I660" s="764"/>
      <c r="J660" s="764"/>
      <c r="K660" s="764"/>
      <c r="L660" s="764"/>
      <c r="M660" s="764"/>
      <c r="N660" s="764"/>
      <c r="O660" s="764"/>
      <c r="P660" s="764"/>
      <c r="Q660" s="764"/>
      <c r="R660" s="764"/>
      <c r="S660" s="764"/>
      <c r="T660" s="764"/>
      <c r="U660" s="764"/>
      <c r="V660" s="764"/>
      <c r="W660" s="764"/>
      <c r="X660" s="764"/>
      <c r="Y660" s="764"/>
      <c r="Z660" s="764"/>
    </row>
    <row r="661" ht="9.75" customHeight="1">
      <c r="A661" s="764"/>
      <c r="B661" s="764"/>
      <c r="C661" s="764"/>
      <c r="D661" s="764"/>
      <c r="E661" s="764"/>
      <c r="F661" s="763"/>
      <c r="G661" s="763"/>
      <c r="H661" s="763"/>
      <c r="I661" s="764"/>
      <c r="J661" s="764"/>
      <c r="K661" s="764"/>
      <c r="L661" s="764"/>
      <c r="M661" s="764"/>
      <c r="N661" s="764"/>
      <c r="O661" s="764"/>
      <c r="P661" s="764"/>
      <c r="Q661" s="764"/>
      <c r="R661" s="764"/>
      <c r="S661" s="764"/>
      <c r="T661" s="764"/>
      <c r="U661" s="764"/>
      <c r="V661" s="764"/>
      <c r="W661" s="764"/>
      <c r="X661" s="764"/>
      <c r="Y661" s="764"/>
      <c r="Z661" s="764"/>
    </row>
    <row r="662" ht="9.75" customHeight="1">
      <c r="A662" s="764"/>
      <c r="B662" s="764"/>
      <c r="C662" s="764"/>
      <c r="D662" s="764"/>
      <c r="E662" s="764"/>
      <c r="F662" s="763"/>
      <c r="G662" s="763"/>
      <c r="H662" s="763"/>
      <c r="I662" s="764"/>
      <c r="J662" s="764"/>
      <c r="K662" s="764"/>
      <c r="L662" s="764"/>
      <c r="M662" s="764"/>
      <c r="N662" s="764"/>
      <c r="O662" s="764"/>
      <c r="P662" s="764"/>
      <c r="Q662" s="764"/>
      <c r="R662" s="764"/>
      <c r="S662" s="764"/>
      <c r="T662" s="764"/>
      <c r="U662" s="764"/>
      <c r="V662" s="764"/>
      <c r="W662" s="764"/>
      <c r="X662" s="764"/>
      <c r="Y662" s="764"/>
      <c r="Z662" s="764"/>
    </row>
    <row r="663" ht="9.75" customHeight="1">
      <c r="A663" s="764"/>
      <c r="B663" s="764"/>
      <c r="C663" s="764"/>
      <c r="D663" s="764"/>
      <c r="E663" s="764"/>
      <c r="F663" s="763"/>
      <c r="G663" s="763"/>
      <c r="H663" s="763"/>
      <c r="I663" s="764"/>
      <c r="J663" s="764"/>
      <c r="K663" s="764"/>
      <c r="L663" s="764"/>
      <c r="M663" s="764"/>
      <c r="N663" s="764"/>
      <c r="O663" s="764"/>
      <c r="P663" s="764"/>
      <c r="Q663" s="764"/>
      <c r="R663" s="764"/>
      <c r="S663" s="764"/>
      <c r="T663" s="764"/>
      <c r="U663" s="764"/>
      <c r="V663" s="764"/>
      <c r="W663" s="764"/>
      <c r="X663" s="764"/>
      <c r="Y663" s="764"/>
      <c r="Z663" s="764"/>
    </row>
    <row r="664" ht="9.75" customHeight="1">
      <c r="A664" s="764"/>
      <c r="B664" s="764"/>
      <c r="C664" s="764"/>
      <c r="D664" s="764"/>
      <c r="E664" s="764"/>
      <c r="F664" s="763"/>
      <c r="G664" s="763"/>
      <c r="H664" s="763"/>
      <c r="I664" s="764"/>
      <c r="J664" s="764"/>
      <c r="K664" s="764"/>
      <c r="L664" s="764"/>
      <c r="M664" s="764"/>
      <c r="N664" s="764"/>
      <c r="O664" s="764"/>
      <c r="P664" s="764"/>
      <c r="Q664" s="764"/>
      <c r="R664" s="764"/>
      <c r="S664" s="764"/>
      <c r="T664" s="764"/>
      <c r="U664" s="764"/>
      <c r="V664" s="764"/>
      <c r="W664" s="764"/>
      <c r="X664" s="764"/>
      <c r="Y664" s="764"/>
      <c r="Z664" s="764"/>
    </row>
    <row r="665" ht="9.75" customHeight="1">
      <c r="A665" s="764"/>
      <c r="B665" s="764"/>
      <c r="C665" s="764"/>
      <c r="D665" s="764"/>
      <c r="E665" s="764"/>
      <c r="F665" s="763"/>
      <c r="G665" s="763"/>
      <c r="H665" s="763"/>
      <c r="I665" s="764"/>
      <c r="J665" s="764"/>
      <c r="K665" s="764"/>
      <c r="L665" s="764"/>
      <c r="M665" s="764"/>
      <c r="N665" s="764"/>
      <c r="O665" s="764"/>
      <c r="P665" s="764"/>
      <c r="Q665" s="764"/>
      <c r="R665" s="764"/>
      <c r="S665" s="764"/>
      <c r="T665" s="764"/>
      <c r="U665" s="764"/>
      <c r="V665" s="764"/>
      <c r="W665" s="764"/>
      <c r="X665" s="764"/>
      <c r="Y665" s="764"/>
      <c r="Z665" s="764"/>
    </row>
    <row r="666" ht="9.75" customHeight="1">
      <c r="A666" s="764"/>
      <c r="B666" s="764"/>
      <c r="C666" s="764"/>
      <c r="D666" s="764"/>
      <c r="E666" s="764"/>
      <c r="F666" s="763"/>
      <c r="G666" s="763"/>
      <c r="H666" s="763"/>
      <c r="I666" s="764"/>
      <c r="J666" s="764"/>
      <c r="K666" s="764"/>
      <c r="L666" s="764"/>
      <c r="M666" s="764"/>
      <c r="N666" s="764"/>
      <c r="O666" s="764"/>
      <c r="P666" s="764"/>
      <c r="Q666" s="764"/>
      <c r="R666" s="764"/>
      <c r="S666" s="764"/>
      <c r="T666" s="764"/>
      <c r="U666" s="764"/>
      <c r="V666" s="764"/>
      <c r="W666" s="764"/>
      <c r="X666" s="764"/>
      <c r="Y666" s="764"/>
      <c r="Z666" s="764"/>
    </row>
    <row r="667" ht="9.75" customHeight="1">
      <c r="A667" s="764"/>
      <c r="B667" s="764"/>
      <c r="C667" s="764"/>
      <c r="D667" s="764"/>
      <c r="E667" s="764"/>
      <c r="F667" s="763"/>
      <c r="G667" s="763"/>
      <c r="H667" s="763"/>
      <c r="I667" s="764"/>
      <c r="J667" s="764"/>
      <c r="K667" s="764"/>
      <c r="L667" s="764"/>
      <c r="M667" s="764"/>
      <c r="N667" s="764"/>
      <c r="O667" s="764"/>
      <c r="P667" s="764"/>
      <c r="Q667" s="764"/>
      <c r="R667" s="764"/>
      <c r="S667" s="764"/>
      <c r="T667" s="764"/>
      <c r="U667" s="764"/>
      <c r="V667" s="764"/>
      <c r="W667" s="764"/>
      <c r="X667" s="764"/>
      <c r="Y667" s="764"/>
      <c r="Z667" s="764"/>
    </row>
    <row r="668" ht="9.75" customHeight="1">
      <c r="A668" s="764"/>
      <c r="B668" s="764"/>
      <c r="C668" s="764"/>
      <c r="D668" s="764"/>
      <c r="E668" s="764"/>
      <c r="F668" s="763"/>
      <c r="G668" s="763"/>
      <c r="H668" s="763"/>
      <c r="I668" s="764"/>
      <c r="J668" s="764"/>
      <c r="K668" s="764"/>
      <c r="L668" s="764"/>
      <c r="M668" s="764"/>
      <c r="N668" s="764"/>
      <c r="O668" s="764"/>
      <c r="P668" s="764"/>
      <c r="Q668" s="764"/>
      <c r="R668" s="764"/>
      <c r="S668" s="764"/>
      <c r="T668" s="764"/>
      <c r="U668" s="764"/>
      <c r="V668" s="764"/>
      <c r="W668" s="764"/>
      <c r="X668" s="764"/>
      <c r="Y668" s="764"/>
      <c r="Z668" s="764"/>
    </row>
    <row r="669" ht="9.75" customHeight="1">
      <c r="A669" s="764"/>
      <c r="B669" s="764"/>
      <c r="C669" s="764"/>
      <c r="D669" s="764"/>
      <c r="E669" s="764"/>
      <c r="F669" s="763"/>
      <c r="G669" s="763"/>
      <c r="H669" s="763"/>
      <c r="I669" s="764"/>
      <c r="J669" s="764"/>
      <c r="K669" s="764"/>
      <c r="L669" s="764"/>
      <c r="M669" s="764"/>
      <c r="N669" s="764"/>
      <c r="O669" s="764"/>
      <c r="P669" s="764"/>
      <c r="Q669" s="764"/>
      <c r="R669" s="764"/>
      <c r="S669" s="764"/>
      <c r="T669" s="764"/>
      <c r="U669" s="764"/>
      <c r="V669" s="764"/>
      <c r="W669" s="764"/>
      <c r="X669" s="764"/>
      <c r="Y669" s="764"/>
      <c r="Z669" s="764"/>
    </row>
    <row r="670" ht="9.75" customHeight="1">
      <c r="A670" s="764"/>
      <c r="B670" s="764"/>
      <c r="C670" s="764"/>
      <c r="D670" s="764"/>
      <c r="E670" s="764"/>
      <c r="F670" s="763"/>
      <c r="G670" s="763"/>
      <c r="H670" s="763"/>
      <c r="I670" s="764"/>
      <c r="J670" s="764"/>
      <c r="K670" s="764"/>
      <c r="L670" s="764"/>
      <c r="M670" s="764"/>
      <c r="N670" s="764"/>
      <c r="O670" s="764"/>
      <c r="P670" s="764"/>
      <c r="Q670" s="764"/>
      <c r="R670" s="764"/>
      <c r="S670" s="764"/>
      <c r="T670" s="764"/>
      <c r="U670" s="764"/>
      <c r="V670" s="764"/>
      <c r="W670" s="764"/>
      <c r="X670" s="764"/>
      <c r="Y670" s="764"/>
      <c r="Z670" s="764"/>
    </row>
    <row r="671" ht="9.75" customHeight="1">
      <c r="A671" s="764"/>
      <c r="B671" s="764"/>
      <c r="C671" s="764"/>
      <c r="D671" s="764"/>
      <c r="E671" s="764"/>
      <c r="F671" s="763"/>
      <c r="G671" s="763"/>
      <c r="H671" s="763"/>
      <c r="I671" s="764"/>
      <c r="J671" s="764"/>
      <c r="K671" s="764"/>
      <c r="L671" s="764"/>
      <c r="M671" s="764"/>
      <c r="N671" s="764"/>
      <c r="O671" s="764"/>
      <c r="P671" s="764"/>
      <c r="Q671" s="764"/>
      <c r="R671" s="764"/>
      <c r="S671" s="764"/>
      <c r="T671" s="764"/>
      <c r="U671" s="764"/>
      <c r="V671" s="764"/>
      <c r="W671" s="764"/>
      <c r="X671" s="764"/>
      <c r="Y671" s="764"/>
      <c r="Z671" s="764"/>
    </row>
    <row r="672" ht="9.75" customHeight="1">
      <c r="A672" s="764"/>
      <c r="B672" s="764"/>
      <c r="C672" s="764"/>
      <c r="D672" s="764"/>
      <c r="E672" s="764"/>
      <c r="F672" s="763"/>
      <c r="G672" s="763"/>
      <c r="H672" s="763"/>
      <c r="I672" s="764"/>
      <c r="J672" s="764"/>
      <c r="K672" s="764"/>
      <c r="L672" s="764"/>
      <c r="M672" s="764"/>
      <c r="N672" s="764"/>
      <c r="O672" s="764"/>
      <c r="P672" s="764"/>
      <c r="Q672" s="764"/>
      <c r="R672" s="764"/>
      <c r="S672" s="764"/>
      <c r="T672" s="764"/>
      <c r="U672" s="764"/>
      <c r="V672" s="764"/>
      <c r="W672" s="764"/>
      <c r="X672" s="764"/>
      <c r="Y672" s="764"/>
      <c r="Z672" s="764"/>
    </row>
    <row r="673" ht="9.75" customHeight="1">
      <c r="A673" s="764"/>
      <c r="B673" s="764"/>
      <c r="C673" s="764"/>
      <c r="D673" s="764"/>
      <c r="E673" s="764"/>
      <c r="F673" s="763"/>
      <c r="G673" s="763"/>
      <c r="H673" s="763"/>
      <c r="I673" s="764"/>
      <c r="J673" s="764"/>
      <c r="K673" s="764"/>
      <c r="L673" s="764"/>
      <c r="M673" s="764"/>
      <c r="N673" s="764"/>
      <c r="O673" s="764"/>
      <c r="P673" s="764"/>
      <c r="Q673" s="764"/>
      <c r="R673" s="764"/>
      <c r="S673" s="764"/>
      <c r="T673" s="764"/>
      <c r="U673" s="764"/>
      <c r="V673" s="764"/>
      <c r="W673" s="764"/>
      <c r="X673" s="764"/>
      <c r="Y673" s="764"/>
      <c r="Z673" s="764"/>
    </row>
    <row r="674" ht="9.75" customHeight="1">
      <c r="A674" s="764"/>
      <c r="B674" s="764"/>
      <c r="C674" s="764"/>
      <c r="D674" s="764"/>
      <c r="E674" s="764"/>
      <c r="F674" s="763"/>
      <c r="G674" s="763"/>
      <c r="H674" s="763"/>
      <c r="I674" s="764"/>
      <c r="J674" s="764"/>
      <c r="K674" s="764"/>
      <c r="L674" s="764"/>
      <c r="M674" s="764"/>
      <c r="N674" s="764"/>
      <c r="O674" s="764"/>
      <c r="P674" s="764"/>
      <c r="Q674" s="764"/>
      <c r="R674" s="764"/>
      <c r="S674" s="764"/>
      <c r="T674" s="764"/>
      <c r="U674" s="764"/>
      <c r="V674" s="764"/>
      <c r="W674" s="764"/>
      <c r="X674" s="764"/>
      <c r="Y674" s="764"/>
      <c r="Z674" s="764"/>
    </row>
    <row r="675" ht="9.75" customHeight="1">
      <c r="A675" s="764"/>
      <c r="B675" s="764"/>
      <c r="C675" s="764"/>
      <c r="D675" s="764"/>
      <c r="E675" s="764"/>
      <c r="F675" s="763"/>
      <c r="G675" s="763"/>
      <c r="H675" s="763"/>
      <c r="I675" s="764"/>
      <c r="J675" s="764"/>
      <c r="K675" s="764"/>
      <c r="L675" s="764"/>
      <c r="M675" s="764"/>
      <c r="N675" s="764"/>
      <c r="O675" s="764"/>
      <c r="P675" s="764"/>
      <c r="Q675" s="764"/>
      <c r="R675" s="764"/>
      <c r="S675" s="764"/>
      <c r="T675" s="764"/>
      <c r="U675" s="764"/>
      <c r="V675" s="764"/>
      <c r="W675" s="764"/>
      <c r="X675" s="764"/>
      <c r="Y675" s="764"/>
      <c r="Z675" s="764"/>
    </row>
    <row r="676" ht="9.75" customHeight="1">
      <c r="A676" s="764"/>
      <c r="B676" s="764"/>
      <c r="C676" s="764"/>
      <c r="D676" s="764"/>
      <c r="E676" s="764"/>
      <c r="F676" s="763"/>
      <c r="G676" s="763"/>
      <c r="H676" s="763"/>
      <c r="I676" s="764"/>
      <c r="J676" s="764"/>
      <c r="K676" s="764"/>
      <c r="L676" s="764"/>
      <c r="M676" s="764"/>
      <c r="N676" s="764"/>
      <c r="O676" s="764"/>
      <c r="P676" s="764"/>
      <c r="Q676" s="764"/>
      <c r="R676" s="764"/>
      <c r="S676" s="764"/>
      <c r="T676" s="764"/>
      <c r="U676" s="764"/>
      <c r="V676" s="764"/>
      <c r="W676" s="764"/>
      <c r="X676" s="764"/>
      <c r="Y676" s="764"/>
      <c r="Z676" s="764"/>
    </row>
    <row r="677" ht="9.75" customHeight="1">
      <c r="A677" s="764"/>
      <c r="B677" s="764"/>
      <c r="C677" s="764"/>
      <c r="D677" s="764"/>
      <c r="E677" s="764"/>
      <c r="F677" s="763"/>
      <c r="G677" s="763"/>
      <c r="H677" s="763"/>
      <c r="I677" s="764"/>
      <c r="J677" s="764"/>
      <c r="K677" s="764"/>
      <c r="L677" s="764"/>
      <c r="M677" s="764"/>
      <c r="N677" s="764"/>
      <c r="O677" s="764"/>
      <c r="P677" s="764"/>
      <c r="Q677" s="764"/>
      <c r="R677" s="764"/>
      <c r="S677" s="764"/>
      <c r="T677" s="764"/>
      <c r="U677" s="764"/>
      <c r="V677" s="764"/>
      <c r="W677" s="764"/>
      <c r="X677" s="764"/>
      <c r="Y677" s="764"/>
      <c r="Z677" s="764"/>
    </row>
    <row r="678" ht="9.75" customHeight="1">
      <c r="A678" s="764"/>
      <c r="B678" s="764"/>
      <c r="C678" s="764"/>
      <c r="D678" s="764"/>
      <c r="E678" s="764"/>
      <c r="F678" s="763"/>
      <c r="G678" s="763"/>
      <c r="H678" s="763"/>
      <c r="I678" s="764"/>
      <c r="J678" s="764"/>
      <c r="K678" s="764"/>
      <c r="L678" s="764"/>
      <c r="M678" s="764"/>
      <c r="N678" s="764"/>
      <c r="O678" s="764"/>
      <c r="P678" s="764"/>
      <c r="Q678" s="764"/>
      <c r="R678" s="764"/>
      <c r="S678" s="764"/>
      <c r="T678" s="764"/>
      <c r="U678" s="764"/>
      <c r="V678" s="764"/>
      <c r="W678" s="764"/>
      <c r="X678" s="764"/>
      <c r="Y678" s="764"/>
      <c r="Z678" s="764"/>
    </row>
    <row r="679" ht="9.75" customHeight="1">
      <c r="A679" s="764"/>
      <c r="B679" s="764"/>
      <c r="C679" s="764"/>
      <c r="D679" s="764"/>
      <c r="E679" s="764"/>
      <c r="F679" s="763"/>
      <c r="G679" s="763"/>
      <c r="H679" s="763"/>
      <c r="I679" s="764"/>
      <c r="J679" s="764"/>
      <c r="K679" s="764"/>
      <c r="L679" s="764"/>
      <c r="M679" s="764"/>
      <c r="N679" s="764"/>
      <c r="O679" s="764"/>
      <c r="P679" s="764"/>
      <c r="Q679" s="764"/>
      <c r="R679" s="764"/>
      <c r="S679" s="764"/>
      <c r="T679" s="764"/>
      <c r="U679" s="764"/>
      <c r="V679" s="764"/>
      <c r="W679" s="764"/>
      <c r="X679" s="764"/>
      <c r="Y679" s="764"/>
      <c r="Z679" s="764"/>
    </row>
    <row r="680" ht="9.75" customHeight="1">
      <c r="A680" s="764"/>
      <c r="B680" s="764"/>
      <c r="C680" s="764"/>
      <c r="D680" s="764"/>
      <c r="E680" s="764"/>
      <c r="F680" s="763"/>
      <c r="G680" s="763"/>
      <c r="H680" s="763"/>
      <c r="I680" s="764"/>
      <c r="J680" s="764"/>
      <c r="K680" s="764"/>
      <c r="L680" s="764"/>
      <c r="M680" s="764"/>
      <c r="N680" s="764"/>
      <c r="O680" s="764"/>
      <c r="P680" s="764"/>
      <c r="Q680" s="764"/>
      <c r="R680" s="764"/>
      <c r="S680" s="764"/>
      <c r="T680" s="764"/>
      <c r="U680" s="764"/>
      <c r="V680" s="764"/>
      <c r="W680" s="764"/>
      <c r="X680" s="764"/>
      <c r="Y680" s="764"/>
      <c r="Z680" s="764"/>
    </row>
    <row r="681" ht="9.75" customHeight="1">
      <c r="A681" s="764"/>
      <c r="B681" s="764"/>
      <c r="C681" s="764"/>
      <c r="D681" s="764"/>
      <c r="E681" s="764"/>
      <c r="F681" s="763"/>
      <c r="G681" s="763"/>
      <c r="H681" s="763"/>
      <c r="I681" s="764"/>
      <c r="J681" s="764"/>
      <c r="K681" s="764"/>
      <c r="L681" s="764"/>
      <c r="M681" s="764"/>
      <c r="N681" s="764"/>
      <c r="O681" s="764"/>
      <c r="P681" s="764"/>
      <c r="Q681" s="764"/>
      <c r="R681" s="764"/>
      <c r="S681" s="764"/>
      <c r="T681" s="764"/>
      <c r="U681" s="764"/>
      <c r="V681" s="764"/>
      <c r="W681" s="764"/>
      <c r="X681" s="764"/>
      <c r="Y681" s="764"/>
      <c r="Z681" s="764"/>
    </row>
    <row r="682" ht="9.75" customHeight="1">
      <c r="A682" s="764"/>
      <c r="B682" s="764"/>
      <c r="C682" s="764"/>
      <c r="D682" s="764"/>
      <c r="E682" s="764"/>
      <c r="F682" s="763"/>
      <c r="G682" s="763"/>
      <c r="H682" s="763"/>
      <c r="I682" s="764"/>
      <c r="J682" s="764"/>
      <c r="K682" s="764"/>
      <c r="L682" s="764"/>
      <c r="M682" s="764"/>
      <c r="N682" s="764"/>
      <c r="O682" s="764"/>
      <c r="P682" s="764"/>
      <c r="Q682" s="764"/>
      <c r="R682" s="764"/>
      <c r="S682" s="764"/>
      <c r="T682" s="764"/>
      <c r="U682" s="764"/>
      <c r="V682" s="764"/>
      <c r="W682" s="764"/>
      <c r="X682" s="764"/>
      <c r="Y682" s="764"/>
      <c r="Z682" s="764"/>
    </row>
    <row r="683" ht="9.75" customHeight="1">
      <c r="A683" s="764"/>
      <c r="B683" s="764"/>
      <c r="C683" s="764"/>
      <c r="D683" s="764"/>
      <c r="E683" s="764"/>
      <c r="F683" s="763"/>
      <c r="G683" s="763"/>
      <c r="H683" s="763"/>
      <c r="I683" s="764"/>
      <c r="J683" s="764"/>
      <c r="K683" s="764"/>
      <c r="L683" s="764"/>
      <c r="M683" s="764"/>
      <c r="N683" s="764"/>
      <c r="O683" s="764"/>
      <c r="P683" s="764"/>
      <c r="Q683" s="764"/>
      <c r="R683" s="764"/>
      <c r="S683" s="764"/>
      <c r="T683" s="764"/>
      <c r="U683" s="764"/>
      <c r="V683" s="764"/>
      <c r="W683" s="764"/>
      <c r="X683" s="764"/>
      <c r="Y683" s="764"/>
      <c r="Z683" s="764"/>
    </row>
    <row r="684" ht="9.75" customHeight="1">
      <c r="A684" s="764"/>
      <c r="B684" s="764"/>
      <c r="C684" s="764"/>
      <c r="D684" s="764"/>
      <c r="E684" s="764"/>
      <c r="F684" s="763"/>
      <c r="G684" s="763"/>
      <c r="H684" s="763"/>
      <c r="I684" s="764"/>
      <c r="J684" s="764"/>
      <c r="K684" s="764"/>
      <c r="L684" s="764"/>
      <c r="M684" s="764"/>
      <c r="N684" s="764"/>
      <c r="O684" s="764"/>
      <c r="P684" s="764"/>
      <c r="Q684" s="764"/>
      <c r="R684" s="764"/>
      <c r="S684" s="764"/>
      <c r="T684" s="764"/>
      <c r="U684" s="764"/>
      <c r="V684" s="764"/>
      <c r="W684" s="764"/>
      <c r="X684" s="764"/>
      <c r="Y684" s="764"/>
      <c r="Z684" s="764"/>
    </row>
    <row r="685" ht="9.75" customHeight="1">
      <c r="A685" s="764"/>
      <c r="B685" s="764"/>
      <c r="C685" s="764"/>
      <c r="D685" s="764"/>
      <c r="E685" s="764"/>
      <c r="F685" s="763"/>
      <c r="G685" s="763"/>
      <c r="H685" s="763"/>
      <c r="I685" s="764"/>
      <c r="J685" s="764"/>
      <c r="K685" s="764"/>
      <c r="L685" s="764"/>
      <c r="M685" s="764"/>
      <c r="N685" s="764"/>
      <c r="O685" s="764"/>
      <c r="P685" s="764"/>
      <c r="Q685" s="764"/>
      <c r="R685" s="764"/>
      <c r="S685" s="764"/>
      <c r="T685" s="764"/>
      <c r="U685" s="764"/>
      <c r="V685" s="764"/>
      <c r="W685" s="764"/>
      <c r="X685" s="764"/>
      <c r="Y685" s="764"/>
      <c r="Z685" s="764"/>
    </row>
    <row r="686" ht="9.75" customHeight="1">
      <c r="A686" s="764"/>
      <c r="B686" s="764"/>
      <c r="C686" s="764"/>
      <c r="D686" s="764"/>
      <c r="E686" s="764"/>
      <c r="F686" s="763"/>
      <c r="G686" s="763"/>
      <c r="H686" s="763"/>
      <c r="I686" s="764"/>
      <c r="J686" s="764"/>
      <c r="K686" s="764"/>
      <c r="L686" s="764"/>
      <c r="M686" s="764"/>
      <c r="N686" s="764"/>
      <c r="O686" s="764"/>
      <c r="P686" s="764"/>
      <c r="Q686" s="764"/>
      <c r="R686" s="764"/>
      <c r="S686" s="764"/>
      <c r="T686" s="764"/>
      <c r="U686" s="764"/>
      <c r="V686" s="764"/>
      <c r="W686" s="764"/>
      <c r="X686" s="764"/>
      <c r="Y686" s="764"/>
      <c r="Z686" s="764"/>
    </row>
    <row r="687" ht="9.75" customHeight="1">
      <c r="A687" s="764"/>
      <c r="B687" s="764"/>
      <c r="C687" s="764"/>
      <c r="D687" s="764"/>
      <c r="E687" s="764"/>
      <c r="F687" s="763"/>
      <c r="G687" s="763"/>
      <c r="H687" s="763"/>
      <c r="I687" s="764"/>
      <c r="J687" s="764"/>
      <c r="K687" s="764"/>
      <c r="L687" s="764"/>
      <c r="M687" s="764"/>
      <c r="N687" s="764"/>
      <c r="O687" s="764"/>
      <c r="P687" s="764"/>
      <c r="Q687" s="764"/>
      <c r="R687" s="764"/>
      <c r="S687" s="764"/>
      <c r="T687" s="764"/>
      <c r="U687" s="764"/>
      <c r="V687" s="764"/>
      <c r="W687" s="764"/>
      <c r="X687" s="764"/>
      <c r="Y687" s="764"/>
      <c r="Z687" s="764"/>
    </row>
    <row r="688" ht="9.75" customHeight="1">
      <c r="A688" s="764"/>
      <c r="B688" s="764"/>
      <c r="C688" s="764"/>
      <c r="D688" s="764"/>
      <c r="E688" s="764"/>
      <c r="F688" s="763"/>
      <c r="G688" s="763"/>
      <c r="H688" s="763"/>
      <c r="I688" s="764"/>
      <c r="J688" s="764"/>
      <c r="K688" s="764"/>
      <c r="L688" s="764"/>
      <c r="M688" s="764"/>
      <c r="N688" s="764"/>
      <c r="O688" s="764"/>
      <c r="P688" s="764"/>
      <c r="Q688" s="764"/>
      <c r="R688" s="764"/>
      <c r="S688" s="764"/>
      <c r="T688" s="764"/>
      <c r="U688" s="764"/>
      <c r="V688" s="764"/>
      <c r="W688" s="764"/>
      <c r="X688" s="764"/>
      <c r="Y688" s="764"/>
      <c r="Z688" s="764"/>
    </row>
    <row r="689" ht="9.75" customHeight="1">
      <c r="A689" s="764"/>
      <c r="B689" s="764"/>
      <c r="C689" s="764"/>
      <c r="D689" s="764"/>
      <c r="E689" s="764"/>
      <c r="F689" s="763"/>
      <c r="G689" s="763"/>
      <c r="H689" s="763"/>
      <c r="I689" s="764"/>
      <c r="J689" s="764"/>
      <c r="K689" s="764"/>
      <c r="L689" s="764"/>
      <c r="M689" s="764"/>
      <c r="N689" s="764"/>
      <c r="O689" s="764"/>
      <c r="P689" s="764"/>
      <c r="Q689" s="764"/>
      <c r="R689" s="764"/>
      <c r="S689" s="764"/>
      <c r="T689" s="764"/>
      <c r="U689" s="764"/>
      <c r="V689" s="764"/>
      <c r="W689" s="764"/>
      <c r="X689" s="764"/>
      <c r="Y689" s="764"/>
      <c r="Z689" s="764"/>
    </row>
    <row r="690" ht="9.75" customHeight="1">
      <c r="A690" s="764"/>
      <c r="B690" s="764"/>
      <c r="C690" s="764"/>
      <c r="D690" s="764"/>
      <c r="E690" s="764"/>
      <c r="F690" s="763"/>
      <c r="G690" s="763"/>
      <c r="H690" s="763"/>
      <c r="I690" s="764"/>
      <c r="J690" s="764"/>
      <c r="K690" s="764"/>
      <c r="L690" s="764"/>
      <c r="M690" s="764"/>
      <c r="N690" s="764"/>
      <c r="O690" s="764"/>
      <c r="P690" s="764"/>
      <c r="Q690" s="764"/>
      <c r="R690" s="764"/>
      <c r="S690" s="764"/>
      <c r="T690" s="764"/>
      <c r="U690" s="764"/>
      <c r="V690" s="764"/>
      <c r="W690" s="764"/>
      <c r="X690" s="764"/>
      <c r="Y690" s="764"/>
      <c r="Z690" s="764"/>
    </row>
    <row r="691" ht="9.75" customHeight="1">
      <c r="A691" s="764"/>
      <c r="B691" s="764"/>
      <c r="C691" s="764"/>
      <c r="D691" s="764"/>
      <c r="E691" s="764"/>
      <c r="F691" s="763"/>
      <c r="G691" s="763"/>
      <c r="H691" s="763"/>
      <c r="I691" s="764"/>
      <c r="J691" s="764"/>
      <c r="K691" s="764"/>
      <c r="L691" s="764"/>
      <c r="M691" s="764"/>
      <c r="N691" s="764"/>
      <c r="O691" s="764"/>
      <c r="P691" s="764"/>
      <c r="Q691" s="764"/>
      <c r="R691" s="764"/>
      <c r="S691" s="764"/>
      <c r="T691" s="764"/>
      <c r="U691" s="764"/>
      <c r="V691" s="764"/>
      <c r="W691" s="764"/>
      <c r="X691" s="764"/>
      <c r="Y691" s="764"/>
      <c r="Z691" s="764"/>
    </row>
    <row r="692" ht="9.75" customHeight="1">
      <c r="A692" s="764"/>
      <c r="B692" s="764"/>
      <c r="C692" s="764"/>
      <c r="D692" s="764"/>
      <c r="E692" s="764"/>
      <c r="F692" s="763"/>
      <c r="G692" s="763"/>
      <c r="H692" s="763"/>
      <c r="I692" s="764"/>
      <c r="J692" s="764"/>
      <c r="K692" s="764"/>
      <c r="L692" s="764"/>
      <c r="M692" s="764"/>
      <c r="N692" s="764"/>
      <c r="O692" s="764"/>
      <c r="P692" s="764"/>
      <c r="Q692" s="764"/>
      <c r="R692" s="764"/>
      <c r="S692" s="764"/>
      <c r="T692" s="764"/>
      <c r="U692" s="764"/>
      <c r="V692" s="764"/>
      <c r="W692" s="764"/>
      <c r="X692" s="764"/>
      <c r="Y692" s="764"/>
      <c r="Z692" s="764"/>
    </row>
    <row r="693" ht="9.75" customHeight="1">
      <c r="A693" s="764"/>
      <c r="B693" s="764"/>
      <c r="C693" s="764"/>
      <c r="D693" s="764"/>
      <c r="E693" s="764"/>
      <c r="F693" s="763"/>
      <c r="G693" s="763"/>
      <c r="H693" s="763"/>
      <c r="I693" s="764"/>
      <c r="J693" s="764"/>
      <c r="K693" s="764"/>
      <c r="L693" s="764"/>
      <c r="M693" s="764"/>
      <c r="N693" s="764"/>
      <c r="O693" s="764"/>
      <c r="P693" s="764"/>
      <c r="Q693" s="764"/>
      <c r="R693" s="764"/>
      <c r="S693" s="764"/>
      <c r="T693" s="764"/>
      <c r="U693" s="764"/>
      <c r="V693" s="764"/>
      <c r="W693" s="764"/>
      <c r="X693" s="764"/>
      <c r="Y693" s="764"/>
      <c r="Z693" s="764"/>
    </row>
    <row r="694" ht="9.75" customHeight="1">
      <c r="A694" s="764"/>
      <c r="B694" s="764"/>
      <c r="C694" s="764"/>
      <c r="D694" s="764"/>
      <c r="E694" s="764"/>
      <c r="F694" s="763"/>
      <c r="G694" s="763"/>
      <c r="H694" s="763"/>
      <c r="I694" s="764"/>
      <c r="J694" s="764"/>
      <c r="K694" s="764"/>
      <c r="L694" s="764"/>
      <c r="M694" s="764"/>
      <c r="N694" s="764"/>
      <c r="O694" s="764"/>
      <c r="P694" s="764"/>
      <c r="Q694" s="764"/>
      <c r="R694" s="764"/>
      <c r="S694" s="764"/>
      <c r="T694" s="764"/>
      <c r="U694" s="764"/>
      <c r="V694" s="764"/>
      <c r="W694" s="764"/>
      <c r="X694" s="764"/>
      <c r="Y694" s="764"/>
      <c r="Z694" s="764"/>
    </row>
    <row r="695" ht="9.75" customHeight="1">
      <c r="A695" s="764"/>
      <c r="B695" s="764"/>
      <c r="C695" s="764"/>
      <c r="D695" s="764"/>
      <c r="E695" s="764"/>
      <c r="F695" s="763"/>
      <c r="G695" s="763"/>
      <c r="H695" s="763"/>
      <c r="I695" s="764"/>
      <c r="J695" s="764"/>
      <c r="K695" s="764"/>
      <c r="L695" s="764"/>
      <c r="M695" s="764"/>
      <c r="N695" s="764"/>
      <c r="O695" s="764"/>
      <c r="P695" s="764"/>
      <c r="Q695" s="764"/>
      <c r="R695" s="764"/>
      <c r="S695" s="764"/>
      <c r="T695" s="764"/>
      <c r="U695" s="764"/>
      <c r="V695" s="764"/>
      <c r="W695" s="764"/>
      <c r="X695" s="764"/>
      <c r="Y695" s="764"/>
      <c r="Z695" s="764"/>
    </row>
    <row r="696" ht="9.75" customHeight="1">
      <c r="A696" s="764"/>
      <c r="B696" s="764"/>
      <c r="C696" s="764"/>
      <c r="D696" s="764"/>
      <c r="E696" s="764"/>
      <c r="F696" s="763"/>
      <c r="G696" s="763"/>
      <c r="H696" s="763"/>
      <c r="I696" s="764"/>
      <c r="J696" s="764"/>
      <c r="K696" s="764"/>
      <c r="L696" s="764"/>
      <c r="M696" s="764"/>
      <c r="N696" s="764"/>
      <c r="O696" s="764"/>
      <c r="P696" s="764"/>
      <c r="Q696" s="764"/>
      <c r="R696" s="764"/>
      <c r="S696" s="764"/>
      <c r="T696" s="764"/>
      <c r="U696" s="764"/>
      <c r="V696" s="764"/>
      <c r="W696" s="764"/>
      <c r="X696" s="764"/>
      <c r="Y696" s="764"/>
      <c r="Z696" s="764"/>
    </row>
    <row r="697" ht="9.75" customHeight="1">
      <c r="A697" s="764"/>
      <c r="B697" s="764"/>
      <c r="C697" s="764"/>
      <c r="D697" s="764"/>
      <c r="E697" s="764"/>
      <c r="F697" s="763"/>
      <c r="G697" s="763"/>
      <c r="H697" s="763"/>
      <c r="I697" s="764"/>
      <c r="J697" s="764"/>
      <c r="K697" s="764"/>
      <c r="L697" s="764"/>
      <c r="M697" s="764"/>
      <c r="N697" s="764"/>
      <c r="O697" s="764"/>
      <c r="P697" s="764"/>
      <c r="Q697" s="764"/>
      <c r="R697" s="764"/>
      <c r="S697" s="764"/>
      <c r="T697" s="764"/>
      <c r="U697" s="764"/>
      <c r="V697" s="764"/>
      <c r="W697" s="764"/>
      <c r="X697" s="764"/>
      <c r="Y697" s="764"/>
      <c r="Z697" s="764"/>
    </row>
    <row r="698" ht="9.75" customHeight="1">
      <c r="A698" s="764"/>
      <c r="B698" s="764"/>
      <c r="C698" s="764"/>
      <c r="D698" s="764"/>
      <c r="E698" s="764"/>
      <c r="F698" s="763"/>
      <c r="G698" s="763"/>
      <c r="H698" s="763"/>
      <c r="I698" s="764"/>
      <c r="J698" s="764"/>
      <c r="K698" s="764"/>
      <c r="L698" s="764"/>
      <c r="M698" s="764"/>
      <c r="N698" s="764"/>
      <c r="O698" s="764"/>
      <c r="P698" s="764"/>
      <c r="Q698" s="764"/>
      <c r="R698" s="764"/>
      <c r="S698" s="764"/>
      <c r="T698" s="764"/>
      <c r="U698" s="764"/>
      <c r="V698" s="764"/>
      <c r="W698" s="764"/>
      <c r="X698" s="764"/>
      <c r="Y698" s="764"/>
      <c r="Z698" s="764"/>
    </row>
    <row r="699" ht="9.75" customHeight="1">
      <c r="A699" s="764"/>
      <c r="B699" s="764"/>
      <c r="C699" s="764"/>
      <c r="D699" s="764"/>
      <c r="E699" s="764"/>
      <c r="F699" s="763"/>
      <c r="G699" s="763"/>
      <c r="H699" s="763"/>
      <c r="I699" s="764"/>
      <c r="J699" s="764"/>
      <c r="K699" s="764"/>
      <c r="L699" s="764"/>
      <c r="M699" s="764"/>
      <c r="N699" s="764"/>
      <c r="O699" s="764"/>
      <c r="P699" s="764"/>
      <c r="Q699" s="764"/>
      <c r="R699" s="764"/>
      <c r="S699" s="764"/>
      <c r="T699" s="764"/>
      <c r="U699" s="764"/>
      <c r="V699" s="764"/>
      <c r="W699" s="764"/>
      <c r="X699" s="764"/>
      <c r="Y699" s="764"/>
      <c r="Z699" s="764"/>
    </row>
    <row r="700" ht="9.75" customHeight="1">
      <c r="A700" s="764"/>
      <c r="B700" s="764"/>
      <c r="C700" s="764"/>
      <c r="D700" s="764"/>
      <c r="E700" s="764"/>
      <c r="F700" s="763"/>
      <c r="G700" s="763"/>
      <c r="H700" s="763"/>
      <c r="I700" s="764"/>
      <c r="J700" s="764"/>
      <c r="K700" s="764"/>
      <c r="L700" s="764"/>
      <c r="M700" s="764"/>
      <c r="N700" s="764"/>
      <c r="O700" s="764"/>
      <c r="P700" s="764"/>
      <c r="Q700" s="764"/>
      <c r="R700" s="764"/>
      <c r="S700" s="764"/>
      <c r="T700" s="764"/>
      <c r="U700" s="764"/>
      <c r="V700" s="764"/>
      <c r="W700" s="764"/>
      <c r="X700" s="764"/>
      <c r="Y700" s="764"/>
      <c r="Z700" s="764"/>
    </row>
    <row r="701" ht="9.75" customHeight="1">
      <c r="A701" s="764"/>
      <c r="B701" s="764"/>
      <c r="C701" s="764"/>
      <c r="D701" s="764"/>
      <c r="E701" s="764"/>
      <c r="F701" s="763"/>
      <c r="G701" s="763"/>
      <c r="H701" s="763"/>
      <c r="I701" s="764"/>
      <c r="J701" s="764"/>
      <c r="K701" s="764"/>
      <c r="L701" s="764"/>
      <c r="M701" s="764"/>
      <c r="N701" s="764"/>
      <c r="O701" s="764"/>
      <c r="P701" s="764"/>
      <c r="Q701" s="764"/>
      <c r="R701" s="764"/>
      <c r="S701" s="764"/>
      <c r="T701" s="764"/>
      <c r="U701" s="764"/>
      <c r="V701" s="764"/>
      <c r="W701" s="764"/>
      <c r="X701" s="764"/>
      <c r="Y701" s="764"/>
      <c r="Z701" s="764"/>
    </row>
    <row r="702" ht="9.75" customHeight="1">
      <c r="A702" s="764"/>
      <c r="B702" s="764"/>
      <c r="C702" s="764"/>
      <c r="D702" s="764"/>
      <c r="E702" s="764"/>
      <c r="F702" s="763"/>
      <c r="G702" s="763"/>
      <c r="H702" s="763"/>
      <c r="I702" s="764"/>
      <c r="J702" s="764"/>
      <c r="K702" s="764"/>
      <c r="L702" s="764"/>
      <c r="M702" s="764"/>
      <c r="N702" s="764"/>
      <c r="O702" s="764"/>
      <c r="P702" s="764"/>
      <c r="Q702" s="764"/>
      <c r="R702" s="764"/>
      <c r="S702" s="764"/>
      <c r="T702" s="764"/>
      <c r="U702" s="764"/>
      <c r="V702" s="764"/>
      <c r="W702" s="764"/>
      <c r="X702" s="764"/>
      <c r="Y702" s="764"/>
      <c r="Z702" s="764"/>
    </row>
    <row r="703" ht="9.75" customHeight="1">
      <c r="A703" s="764"/>
      <c r="B703" s="764"/>
      <c r="C703" s="764"/>
      <c r="D703" s="764"/>
      <c r="E703" s="764"/>
      <c r="F703" s="763"/>
      <c r="G703" s="763"/>
      <c r="H703" s="763"/>
      <c r="I703" s="764"/>
      <c r="J703" s="764"/>
      <c r="K703" s="764"/>
      <c r="L703" s="764"/>
      <c r="M703" s="764"/>
      <c r="N703" s="764"/>
      <c r="O703" s="764"/>
      <c r="P703" s="764"/>
      <c r="Q703" s="764"/>
      <c r="R703" s="764"/>
      <c r="S703" s="764"/>
      <c r="T703" s="764"/>
      <c r="U703" s="764"/>
      <c r="V703" s="764"/>
      <c r="W703" s="764"/>
      <c r="X703" s="764"/>
      <c r="Y703" s="764"/>
      <c r="Z703" s="764"/>
    </row>
    <row r="704" ht="9.75" customHeight="1">
      <c r="A704" s="764"/>
      <c r="B704" s="764"/>
      <c r="C704" s="764"/>
      <c r="D704" s="764"/>
      <c r="E704" s="764"/>
      <c r="F704" s="763"/>
      <c r="G704" s="763"/>
      <c r="H704" s="763"/>
      <c r="I704" s="764"/>
      <c r="J704" s="764"/>
      <c r="K704" s="764"/>
      <c r="L704" s="764"/>
      <c r="M704" s="764"/>
      <c r="N704" s="764"/>
      <c r="O704" s="764"/>
      <c r="P704" s="764"/>
      <c r="Q704" s="764"/>
      <c r="R704" s="764"/>
      <c r="S704" s="764"/>
      <c r="T704" s="764"/>
      <c r="U704" s="764"/>
      <c r="V704" s="764"/>
      <c r="W704" s="764"/>
      <c r="X704" s="764"/>
      <c r="Y704" s="764"/>
      <c r="Z704" s="764"/>
    </row>
    <row r="705" ht="9.75" customHeight="1">
      <c r="A705" s="764"/>
      <c r="B705" s="764"/>
      <c r="C705" s="764"/>
      <c r="D705" s="764"/>
      <c r="E705" s="764"/>
      <c r="F705" s="763"/>
      <c r="G705" s="763"/>
      <c r="H705" s="763"/>
      <c r="I705" s="764"/>
      <c r="J705" s="764"/>
      <c r="K705" s="764"/>
      <c r="L705" s="764"/>
      <c r="M705" s="764"/>
      <c r="N705" s="764"/>
      <c r="O705" s="764"/>
      <c r="P705" s="764"/>
      <c r="Q705" s="764"/>
      <c r="R705" s="764"/>
      <c r="S705" s="764"/>
      <c r="T705" s="764"/>
      <c r="U705" s="764"/>
      <c r="V705" s="764"/>
      <c r="W705" s="764"/>
      <c r="X705" s="764"/>
      <c r="Y705" s="764"/>
      <c r="Z705" s="764"/>
    </row>
    <row r="706" ht="9.75" customHeight="1">
      <c r="A706" s="764"/>
      <c r="B706" s="764"/>
      <c r="C706" s="764"/>
      <c r="D706" s="764"/>
      <c r="E706" s="764"/>
      <c r="F706" s="763"/>
      <c r="G706" s="763"/>
      <c r="H706" s="763"/>
      <c r="I706" s="764"/>
      <c r="J706" s="764"/>
      <c r="K706" s="764"/>
      <c r="L706" s="764"/>
      <c r="M706" s="764"/>
      <c r="N706" s="764"/>
      <c r="O706" s="764"/>
      <c r="P706" s="764"/>
      <c r="Q706" s="764"/>
      <c r="R706" s="764"/>
      <c r="S706" s="764"/>
      <c r="T706" s="764"/>
      <c r="U706" s="764"/>
      <c r="V706" s="764"/>
      <c r="W706" s="764"/>
      <c r="X706" s="764"/>
      <c r="Y706" s="764"/>
      <c r="Z706" s="764"/>
    </row>
    <row r="707" ht="9.75" customHeight="1">
      <c r="A707" s="764"/>
      <c r="B707" s="764"/>
      <c r="C707" s="764"/>
      <c r="D707" s="764"/>
      <c r="E707" s="764"/>
      <c r="F707" s="763"/>
      <c r="G707" s="763"/>
      <c r="H707" s="763"/>
      <c r="I707" s="764"/>
      <c r="J707" s="764"/>
      <c r="K707" s="764"/>
      <c r="L707" s="764"/>
      <c r="M707" s="764"/>
      <c r="N707" s="764"/>
      <c r="O707" s="764"/>
      <c r="P707" s="764"/>
      <c r="Q707" s="764"/>
      <c r="R707" s="764"/>
      <c r="S707" s="764"/>
      <c r="T707" s="764"/>
      <c r="U707" s="764"/>
      <c r="V707" s="764"/>
      <c r="W707" s="764"/>
      <c r="X707" s="764"/>
      <c r="Y707" s="764"/>
      <c r="Z707" s="764"/>
    </row>
    <row r="708" ht="9.75" customHeight="1">
      <c r="A708" s="764"/>
      <c r="B708" s="764"/>
      <c r="C708" s="764"/>
      <c r="D708" s="764"/>
      <c r="E708" s="764"/>
      <c r="F708" s="763"/>
      <c r="G708" s="763"/>
      <c r="H708" s="763"/>
      <c r="I708" s="764"/>
      <c r="J708" s="764"/>
      <c r="K708" s="764"/>
      <c r="L708" s="764"/>
      <c r="M708" s="764"/>
      <c r="N708" s="764"/>
      <c r="O708" s="764"/>
      <c r="P708" s="764"/>
      <c r="Q708" s="764"/>
      <c r="R708" s="764"/>
      <c r="S708" s="764"/>
      <c r="T708" s="764"/>
      <c r="U708" s="764"/>
      <c r="V708" s="764"/>
      <c r="W708" s="764"/>
      <c r="X708" s="764"/>
      <c r="Y708" s="764"/>
      <c r="Z708" s="764"/>
    </row>
    <row r="709" ht="9.75" customHeight="1">
      <c r="A709" s="764"/>
      <c r="B709" s="764"/>
      <c r="C709" s="764"/>
      <c r="D709" s="764"/>
      <c r="E709" s="764"/>
      <c r="F709" s="763"/>
      <c r="G709" s="763"/>
      <c r="H709" s="763"/>
      <c r="I709" s="764"/>
      <c r="J709" s="764"/>
      <c r="K709" s="764"/>
      <c r="L709" s="764"/>
      <c r="M709" s="764"/>
      <c r="N709" s="764"/>
      <c r="O709" s="764"/>
      <c r="P709" s="764"/>
      <c r="Q709" s="764"/>
      <c r="R709" s="764"/>
      <c r="S709" s="764"/>
      <c r="T709" s="764"/>
      <c r="U709" s="764"/>
      <c r="V709" s="764"/>
      <c r="W709" s="764"/>
      <c r="X709" s="764"/>
      <c r="Y709" s="764"/>
      <c r="Z709" s="764"/>
    </row>
    <row r="710" ht="9.75" customHeight="1">
      <c r="A710" s="764"/>
      <c r="B710" s="764"/>
      <c r="C710" s="764"/>
      <c r="D710" s="764"/>
      <c r="E710" s="764"/>
      <c r="F710" s="763"/>
      <c r="G710" s="763"/>
      <c r="H710" s="763"/>
      <c r="I710" s="764"/>
      <c r="J710" s="764"/>
      <c r="K710" s="764"/>
      <c r="L710" s="764"/>
      <c r="M710" s="764"/>
      <c r="N710" s="764"/>
      <c r="O710" s="764"/>
      <c r="P710" s="764"/>
      <c r="Q710" s="764"/>
      <c r="R710" s="764"/>
      <c r="S710" s="764"/>
      <c r="T710" s="764"/>
      <c r="U710" s="764"/>
      <c r="V710" s="764"/>
      <c r="W710" s="764"/>
      <c r="X710" s="764"/>
      <c r="Y710" s="764"/>
      <c r="Z710" s="764"/>
    </row>
    <row r="711" ht="9.75" customHeight="1">
      <c r="A711" s="764"/>
      <c r="B711" s="764"/>
      <c r="C711" s="764"/>
      <c r="D711" s="764"/>
      <c r="E711" s="764"/>
      <c r="F711" s="763"/>
      <c r="G711" s="763"/>
      <c r="H711" s="763"/>
      <c r="I711" s="764"/>
      <c r="J711" s="764"/>
      <c r="K711" s="764"/>
      <c r="L711" s="764"/>
      <c r="M711" s="764"/>
      <c r="N711" s="764"/>
      <c r="O711" s="764"/>
      <c r="P711" s="764"/>
      <c r="Q711" s="764"/>
      <c r="R711" s="764"/>
      <c r="S711" s="764"/>
      <c r="T711" s="764"/>
      <c r="U711" s="764"/>
      <c r="V711" s="764"/>
      <c r="W711" s="764"/>
      <c r="X711" s="764"/>
      <c r="Y711" s="764"/>
      <c r="Z711" s="764"/>
    </row>
    <row r="712" ht="9.75" customHeight="1">
      <c r="A712" s="764"/>
      <c r="B712" s="764"/>
      <c r="C712" s="764"/>
      <c r="D712" s="764"/>
      <c r="E712" s="764"/>
      <c r="F712" s="763"/>
      <c r="G712" s="763"/>
      <c r="H712" s="763"/>
      <c r="I712" s="764"/>
      <c r="J712" s="764"/>
      <c r="K712" s="764"/>
      <c r="L712" s="764"/>
      <c r="M712" s="764"/>
      <c r="N712" s="764"/>
      <c r="O712" s="764"/>
      <c r="P712" s="764"/>
      <c r="Q712" s="764"/>
      <c r="R712" s="764"/>
      <c r="S712" s="764"/>
      <c r="T712" s="764"/>
      <c r="U712" s="764"/>
      <c r="V712" s="764"/>
      <c r="W712" s="764"/>
      <c r="X712" s="764"/>
      <c r="Y712" s="764"/>
      <c r="Z712" s="764"/>
    </row>
    <row r="713" ht="9.75" customHeight="1">
      <c r="A713" s="764"/>
      <c r="B713" s="764"/>
      <c r="C713" s="764"/>
      <c r="D713" s="764"/>
      <c r="E713" s="764"/>
      <c r="F713" s="763"/>
      <c r="G713" s="763"/>
      <c r="H713" s="763"/>
      <c r="I713" s="764"/>
      <c r="J713" s="764"/>
      <c r="K713" s="764"/>
      <c r="L713" s="764"/>
      <c r="M713" s="764"/>
      <c r="N713" s="764"/>
      <c r="O713" s="764"/>
      <c r="P713" s="764"/>
      <c r="Q713" s="764"/>
      <c r="R713" s="764"/>
      <c r="S713" s="764"/>
      <c r="T713" s="764"/>
      <c r="U713" s="764"/>
      <c r="V713" s="764"/>
      <c r="W713" s="764"/>
      <c r="X713" s="764"/>
      <c r="Y713" s="764"/>
      <c r="Z713" s="764"/>
    </row>
    <row r="714" ht="9.75" customHeight="1">
      <c r="A714" s="764"/>
      <c r="B714" s="764"/>
      <c r="C714" s="764"/>
      <c r="D714" s="764"/>
      <c r="E714" s="764"/>
      <c r="F714" s="763"/>
      <c r="G714" s="763"/>
      <c r="H714" s="763"/>
      <c r="I714" s="764"/>
      <c r="J714" s="764"/>
      <c r="K714" s="764"/>
      <c r="L714" s="764"/>
      <c r="M714" s="764"/>
      <c r="N714" s="764"/>
      <c r="O714" s="764"/>
      <c r="P714" s="764"/>
      <c r="Q714" s="764"/>
      <c r="R714" s="764"/>
      <c r="S714" s="764"/>
      <c r="T714" s="764"/>
      <c r="U714" s="764"/>
      <c r="V714" s="764"/>
      <c r="W714" s="764"/>
      <c r="X714" s="764"/>
      <c r="Y714" s="764"/>
      <c r="Z714" s="764"/>
    </row>
    <row r="715" ht="9.75" customHeight="1">
      <c r="A715" s="764"/>
      <c r="B715" s="764"/>
      <c r="C715" s="764"/>
      <c r="D715" s="764"/>
      <c r="E715" s="764"/>
      <c r="F715" s="763"/>
      <c r="G715" s="763"/>
      <c r="H715" s="763"/>
      <c r="I715" s="764"/>
      <c r="J715" s="764"/>
      <c r="K715" s="764"/>
      <c r="L715" s="764"/>
      <c r="M715" s="764"/>
      <c r="N715" s="764"/>
      <c r="O715" s="764"/>
      <c r="P715" s="764"/>
      <c r="Q715" s="764"/>
      <c r="R715" s="764"/>
      <c r="S715" s="764"/>
      <c r="T715" s="764"/>
      <c r="U715" s="764"/>
      <c r="V715" s="764"/>
      <c r="W715" s="764"/>
      <c r="X715" s="764"/>
      <c r="Y715" s="764"/>
      <c r="Z715" s="764"/>
    </row>
    <row r="716" ht="9.75" customHeight="1">
      <c r="A716" s="764"/>
      <c r="B716" s="764"/>
      <c r="C716" s="764"/>
      <c r="D716" s="764"/>
      <c r="E716" s="764"/>
      <c r="F716" s="763"/>
      <c r="G716" s="763"/>
      <c r="H716" s="763"/>
      <c r="I716" s="764"/>
      <c r="J716" s="764"/>
      <c r="K716" s="764"/>
      <c r="L716" s="764"/>
      <c r="M716" s="764"/>
      <c r="N716" s="764"/>
      <c r="O716" s="764"/>
      <c r="P716" s="764"/>
      <c r="Q716" s="764"/>
      <c r="R716" s="764"/>
      <c r="S716" s="764"/>
      <c r="T716" s="764"/>
      <c r="U716" s="764"/>
      <c r="V716" s="764"/>
      <c r="W716" s="764"/>
      <c r="X716" s="764"/>
      <c r="Y716" s="764"/>
      <c r="Z716" s="764"/>
    </row>
    <row r="717" ht="9.75" customHeight="1">
      <c r="A717" s="764"/>
      <c r="B717" s="764"/>
      <c r="C717" s="764"/>
      <c r="D717" s="764"/>
      <c r="E717" s="764"/>
      <c r="F717" s="763"/>
      <c r="G717" s="763"/>
      <c r="H717" s="763"/>
      <c r="I717" s="764"/>
      <c r="J717" s="764"/>
      <c r="K717" s="764"/>
      <c r="L717" s="764"/>
      <c r="M717" s="764"/>
      <c r="N717" s="764"/>
      <c r="O717" s="764"/>
      <c r="P717" s="764"/>
      <c r="Q717" s="764"/>
      <c r="R717" s="764"/>
      <c r="S717" s="764"/>
      <c r="T717" s="764"/>
      <c r="U717" s="764"/>
      <c r="V717" s="764"/>
      <c r="W717" s="764"/>
      <c r="X717" s="764"/>
      <c r="Y717" s="764"/>
      <c r="Z717" s="764"/>
    </row>
    <row r="718" ht="9.75" customHeight="1">
      <c r="A718" s="764"/>
      <c r="B718" s="764"/>
      <c r="C718" s="764"/>
      <c r="D718" s="764"/>
      <c r="E718" s="764"/>
      <c r="F718" s="763"/>
      <c r="G718" s="763"/>
      <c r="H718" s="763"/>
      <c r="I718" s="764"/>
      <c r="J718" s="764"/>
      <c r="K718" s="764"/>
      <c r="L718" s="764"/>
      <c r="M718" s="764"/>
      <c r="N718" s="764"/>
      <c r="O718" s="764"/>
      <c r="P718" s="764"/>
      <c r="Q718" s="764"/>
      <c r="R718" s="764"/>
      <c r="S718" s="764"/>
      <c r="T718" s="764"/>
      <c r="U718" s="764"/>
      <c r="V718" s="764"/>
      <c r="W718" s="764"/>
      <c r="X718" s="764"/>
      <c r="Y718" s="764"/>
      <c r="Z718" s="764"/>
    </row>
    <row r="719" ht="9.75" customHeight="1">
      <c r="A719" s="764"/>
      <c r="B719" s="764"/>
      <c r="C719" s="764"/>
      <c r="D719" s="764"/>
      <c r="E719" s="764"/>
      <c r="F719" s="763"/>
      <c r="G719" s="763"/>
      <c r="H719" s="763"/>
      <c r="I719" s="764"/>
      <c r="J719" s="764"/>
      <c r="K719" s="764"/>
      <c r="L719" s="764"/>
      <c r="M719" s="764"/>
      <c r="N719" s="764"/>
      <c r="O719" s="764"/>
      <c r="P719" s="764"/>
      <c r="Q719" s="764"/>
      <c r="R719" s="764"/>
      <c r="S719" s="764"/>
      <c r="T719" s="764"/>
      <c r="U719" s="764"/>
      <c r="V719" s="764"/>
      <c r="W719" s="764"/>
      <c r="X719" s="764"/>
      <c r="Y719" s="764"/>
      <c r="Z719" s="764"/>
    </row>
    <row r="720" ht="9.75" customHeight="1">
      <c r="A720" s="764"/>
      <c r="B720" s="764"/>
      <c r="C720" s="764"/>
      <c r="D720" s="764"/>
      <c r="E720" s="764"/>
      <c r="F720" s="763"/>
      <c r="G720" s="763"/>
      <c r="H720" s="763"/>
      <c r="I720" s="764"/>
      <c r="J720" s="764"/>
      <c r="K720" s="764"/>
      <c r="L720" s="764"/>
      <c r="M720" s="764"/>
      <c r="N720" s="764"/>
      <c r="O720" s="764"/>
      <c r="P720" s="764"/>
      <c r="Q720" s="764"/>
      <c r="R720" s="764"/>
      <c r="S720" s="764"/>
      <c r="T720" s="764"/>
      <c r="U720" s="764"/>
      <c r="V720" s="764"/>
      <c r="W720" s="764"/>
      <c r="X720" s="764"/>
      <c r="Y720" s="764"/>
      <c r="Z720" s="764"/>
    </row>
    <row r="721" ht="9.75" customHeight="1">
      <c r="A721" s="764"/>
      <c r="B721" s="764"/>
      <c r="C721" s="764"/>
      <c r="D721" s="764"/>
      <c r="E721" s="764"/>
      <c r="F721" s="763"/>
      <c r="G721" s="763"/>
      <c r="H721" s="763"/>
      <c r="I721" s="764"/>
      <c r="J721" s="764"/>
      <c r="K721" s="764"/>
      <c r="L721" s="764"/>
      <c r="M721" s="764"/>
      <c r="N721" s="764"/>
      <c r="O721" s="764"/>
      <c r="P721" s="764"/>
      <c r="Q721" s="764"/>
      <c r="R721" s="764"/>
      <c r="S721" s="764"/>
      <c r="T721" s="764"/>
      <c r="U721" s="764"/>
      <c r="V721" s="764"/>
      <c r="W721" s="764"/>
      <c r="X721" s="764"/>
      <c r="Y721" s="764"/>
      <c r="Z721" s="764"/>
    </row>
    <row r="722" ht="9.75" customHeight="1">
      <c r="A722" s="764"/>
      <c r="B722" s="764"/>
      <c r="C722" s="764"/>
      <c r="D722" s="764"/>
      <c r="E722" s="764"/>
      <c r="F722" s="763"/>
      <c r="G722" s="763"/>
      <c r="H722" s="763"/>
      <c r="I722" s="764"/>
      <c r="J722" s="764"/>
      <c r="K722" s="764"/>
      <c r="L722" s="764"/>
      <c r="M722" s="764"/>
      <c r="N722" s="764"/>
      <c r="O722" s="764"/>
      <c r="P722" s="764"/>
      <c r="Q722" s="764"/>
      <c r="R722" s="764"/>
      <c r="S722" s="764"/>
      <c r="T722" s="764"/>
      <c r="U722" s="764"/>
      <c r="V722" s="764"/>
      <c r="W722" s="764"/>
      <c r="X722" s="764"/>
      <c r="Y722" s="764"/>
      <c r="Z722" s="764"/>
    </row>
    <row r="723" ht="9.75" customHeight="1">
      <c r="A723" s="764"/>
      <c r="B723" s="764"/>
      <c r="C723" s="764"/>
      <c r="D723" s="764"/>
      <c r="E723" s="764"/>
      <c r="F723" s="763"/>
      <c r="G723" s="763"/>
      <c r="H723" s="763"/>
      <c r="I723" s="764"/>
      <c r="J723" s="764"/>
      <c r="K723" s="764"/>
      <c r="L723" s="764"/>
      <c r="M723" s="764"/>
      <c r="N723" s="764"/>
      <c r="O723" s="764"/>
      <c r="P723" s="764"/>
      <c r="Q723" s="764"/>
      <c r="R723" s="764"/>
      <c r="S723" s="764"/>
      <c r="T723" s="764"/>
      <c r="U723" s="764"/>
      <c r="V723" s="764"/>
      <c r="W723" s="764"/>
      <c r="X723" s="764"/>
      <c r="Y723" s="764"/>
      <c r="Z723" s="764"/>
    </row>
    <row r="724" ht="9.75" customHeight="1">
      <c r="A724" s="764"/>
      <c r="B724" s="764"/>
      <c r="C724" s="764"/>
      <c r="D724" s="764"/>
      <c r="E724" s="764"/>
      <c r="F724" s="763"/>
      <c r="G724" s="763"/>
      <c r="H724" s="763"/>
      <c r="I724" s="764"/>
      <c r="J724" s="764"/>
      <c r="K724" s="764"/>
      <c r="L724" s="764"/>
      <c r="M724" s="764"/>
      <c r="N724" s="764"/>
      <c r="O724" s="764"/>
      <c r="P724" s="764"/>
      <c r="Q724" s="764"/>
      <c r="R724" s="764"/>
      <c r="S724" s="764"/>
      <c r="T724" s="764"/>
      <c r="U724" s="764"/>
      <c r="V724" s="764"/>
      <c r="W724" s="764"/>
      <c r="X724" s="764"/>
      <c r="Y724" s="764"/>
      <c r="Z724" s="764"/>
    </row>
    <row r="725" ht="9.75" customHeight="1">
      <c r="A725" s="764"/>
      <c r="B725" s="764"/>
      <c r="C725" s="764"/>
      <c r="D725" s="764"/>
      <c r="E725" s="764"/>
      <c r="F725" s="763"/>
      <c r="G725" s="763"/>
      <c r="H725" s="763"/>
      <c r="I725" s="764"/>
      <c r="J725" s="764"/>
      <c r="K725" s="764"/>
      <c r="L725" s="764"/>
      <c r="M725" s="764"/>
      <c r="N725" s="764"/>
      <c r="O725" s="764"/>
      <c r="P725" s="764"/>
      <c r="Q725" s="764"/>
      <c r="R725" s="764"/>
      <c r="S725" s="764"/>
      <c r="T725" s="764"/>
      <c r="U725" s="764"/>
      <c r="V725" s="764"/>
      <c r="W725" s="764"/>
      <c r="X725" s="764"/>
      <c r="Y725" s="764"/>
      <c r="Z725" s="764"/>
    </row>
    <row r="726" ht="9.75" customHeight="1">
      <c r="A726" s="764"/>
      <c r="B726" s="764"/>
      <c r="C726" s="764"/>
      <c r="D726" s="764"/>
      <c r="E726" s="764"/>
      <c r="F726" s="763"/>
      <c r="G726" s="763"/>
      <c r="H726" s="763"/>
      <c r="I726" s="764"/>
      <c r="J726" s="764"/>
      <c r="K726" s="764"/>
      <c r="L726" s="764"/>
      <c r="M726" s="764"/>
      <c r="N726" s="764"/>
      <c r="O726" s="764"/>
      <c r="P726" s="764"/>
      <c r="Q726" s="764"/>
      <c r="R726" s="764"/>
      <c r="S726" s="764"/>
      <c r="T726" s="764"/>
      <c r="U726" s="764"/>
      <c r="V726" s="764"/>
      <c r="W726" s="764"/>
      <c r="X726" s="764"/>
      <c r="Y726" s="764"/>
      <c r="Z726" s="764"/>
    </row>
    <row r="727" ht="9.75" customHeight="1">
      <c r="A727" s="764"/>
      <c r="B727" s="764"/>
      <c r="C727" s="764"/>
      <c r="D727" s="764"/>
      <c r="E727" s="764"/>
      <c r="F727" s="763"/>
      <c r="G727" s="763"/>
      <c r="H727" s="763"/>
      <c r="I727" s="764"/>
      <c r="J727" s="764"/>
      <c r="K727" s="764"/>
      <c r="L727" s="764"/>
      <c r="M727" s="764"/>
      <c r="N727" s="764"/>
      <c r="O727" s="764"/>
      <c r="P727" s="764"/>
      <c r="Q727" s="764"/>
      <c r="R727" s="764"/>
      <c r="S727" s="764"/>
      <c r="T727" s="764"/>
      <c r="U727" s="764"/>
      <c r="V727" s="764"/>
      <c r="W727" s="764"/>
      <c r="X727" s="764"/>
      <c r="Y727" s="764"/>
      <c r="Z727" s="764"/>
    </row>
    <row r="728" ht="9.75" customHeight="1">
      <c r="A728" s="764"/>
      <c r="B728" s="764"/>
      <c r="C728" s="764"/>
      <c r="D728" s="764"/>
      <c r="E728" s="764"/>
      <c r="F728" s="763"/>
      <c r="G728" s="763"/>
      <c r="H728" s="763"/>
      <c r="I728" s="764"/>
      <c r="J728" s="764"/>
      <c r="K728" s="764"/>
      <c r="L728" s="764"/>
      <c r="M728" s="764"/>
      <c r="N728" s="764"/>
      <c r="O728" s="764"/>
      <c r="P728" s="764"/>
      <c r="Q728" s="764"/>
      <c r="R728" s="764"/>
      <c r="S728" s="764"/>
      <c r="T728" s="764"/>
      <c r="U728" s="764"/>
      <c r="V728" s="764"/>
      <c r="W728" s="764"/>
      <c r="X728" s="764"/>
      <c r="Y728" s="764"/>
      <c r="Z728" s="764"/>
    </row>
    <row r="729" ht="9.75" customHeight="1">
      <c r="A729" s="764"/>
      <c r="B729" s="764"/>
      <c r="C729" s="764"/>
      <c r="D729" s="764"/>
      <c r="E729" s="764"/>
      <c r="F729" s="763"/>
      <c r="G729" s="763"/>
      <c r="H729" s="763"/>
      <c r="I729" s="764"/>
      <c r="J729" s="764"/>
      <c r="K729" s="764"/>
      <c r="L729" s="764"/>
      <c r="M729" s="764"/>
      <c r="N729" s="764"/>
      <c r="O729" s="764"/>
      <c r="P729" s="764"/>
      <c r="Q729" s="764"/>
      <c r="R729" s="764"/>
      <c r="S729" s="764"/>
      <c r="T729" s="764"/>
      <c r="U729" s="764"/>
      <c r="V729" s="764"/>
      <c r="W729" s="764"/>
      <c r="X729" s="764"/>
      <c r="Y729" s="764"/>
      <c r="Z729" s="764"/>
    </row>
    <row r="730" ht="9.75" customHeight="1">
      <c r="A730" s="764"/>
      <c r="B730" s="764"/>
      <c r="C730" s="764"/>
      <c r="D730" s="764"/>
      <c r="E730" s="764"/>
      <c r="F730" s="763"/>
      <c r="G730" s="763"/>
      <c r="H730" s="763"/>
      <c r="I730" s="764"/>
      <c r="J730" s="764"/>
      <c r="K730" s="764"/>
      <c r="L730" s="764"/>
      <c r="M730" s="764"/>
      <c r="N730" s="764"/>
      <c r="O730" s="764"/>
      <c r="P730" s="764"/>
      <c r="Q730" s="764"/>
      <c r="R730" s="764"/>
      <c r="S730" s="764"/>
      <c r="T730" s="764"/>
      <c r="U730" s="764"/>
      <c r="V730" s="764"/>
      <c r="W730" s="764"/>
      <c r="X730" s="764"/>
      <c r="Y730" s="764"/>
      <c r="Z730" s="764"/>
    </row>
    <row r="731" ht="9.75" customHeight="1">
      <c r="A731" s="764"/>
      <c r="B731" s="764"/>
      <c r="C731" s="764"/>
      <c r="D731" s="764"/>
      <c r="E731" s="764"/>
      <c r="F731" s="763"/>
      <c r="G731" s="763"/>
      <c r="H731" s="763"/>
      <c r="I731" s="764"/>
      <c r="J731" s="764"/>
      <c r="K731" s="764"/>
      <c r="L731" s="764"/>
      <c r="M731" s="764"/>
      <c r="N731" s="764"/>
      <c r="O731" s="764"/>
      <c r="P731" s="764"/>
      <c r="Q731" s="764"/>
      <c r="R731" s="764"/>
      <c r="S731" s="764"/>
      <c r="T731" s="764"/>
      <c r="U731" s="764"/>
      <c r="V731" s="764"/>
      <c r="W731" s="764"/>
      <c r="X731" s="764"/>
      <c r="Y731" s="764"/>
      <c r="Z731" s="764"/>
    </row>
    <row r="732" ht="9.75" customHeight="1">
      <c r="A732" s="764"/>
      <c r="B732" s="764"/>
      <c r="C732" s="764"/>
      <c r="D732" s="764"/>
      <c r="E732" s="764"/>
      <c r="F732" s="763"/>
      <c r="G732" s="763"/>
      <c r="H732" s="763"/>
      <c r="I732" s="764"/>
      <c r="J732" s="764"/>
      <c r="K732" s="764"/>
      <c r="L732" s="764"/>
      <c r="M732" s="764"/>
      <c r="N732" s="764"/>
      <c r="O732" s="764"/>
      <c r="P732" s="764"/>
      <c r="Q732" s="764"/>
      <c r="R732" s="764"/>
      <c r="S732" s="764"/>
      <c r="T732" s="764"/>
      <c r="U732" s="764"/>
      <c r="V732" s="764"/>
      <c r="W732" s="764"/>
      <c r="X732" s="764"/>
      <c r="Y732" s="764"/>
      <c r="Z732" s="764"/>
    </row>
    <row r="733" ht="9.75" customHeight="1">
      <c r="A733" s="764"/>
      <c r="B733" s="764"/>
      <c r="C733" s="764"/>
      <c r="D733" s="764"/>
      <c r="E733" s="764"/>
      <c r="F733" s="763"/>
      <c r="G733" s="763"/>
      <c r="H733" s="763"/>
      <c r="I733" s="764"/>
      <c r="J733" s="764"/>
      <c r="K733" s="764"/>
      <c r="L733" s="764"/>
      <c r="M733" s="764"/>
      <c r="N733" s="764"/>
      <c r="O733" s="764"/>
      <c r="P733" s="764"/>
      <c r="Q733" s="764"/>
      <c r="R733" s="764"/>
      <c r="S733" s="764"/>
      <c r="T733" s="764"/>
      <c r="U733" s="764"/>
      <c r="V733" s="764"/>
      <c r="W733" s="764"/>
      <c r="X733" s="764"/>
      <c r="Y733" s="764"/>
      <c r="Z733" s="764"/>
    </row>
    <row r="734" ht="9.75" customHeight="1">
      <c r="A734" s="764"/>
      <c r="B734" s="764"/>
      <c r="C734" s="764"/>
      <c r="D734" s="764"/>
      <c r="E734" s="764"/>
      <c r="F734" s="763"/>
      <c r="G734" s="763"/>
      <c r="H734" s="763"/>
      <c r="I734" s="764"/>
      <c r="J734" s="764"/>
      <c r="K734" s="764"/>
      <c r="L734" s="764"/>
      <c r="M734" s="764"/>
      <c r="N734" s="764"/>
      <c r="O734" s="764"/>
      <c r="P734" s="764"/>
      <c r="Q734" s="764"/>
      <c r="R734" s="764"/>
      <c r="S734" s="764"/>
      <c r="T734" s="764"/>
      <c r="U734" s="764"/>
      <c r="V734" s="764"/>
      <c r="W734" s="764"/>
      <c r="X734" s="764"/>
      <c r="Y734" s="764"/>
      <c r="Z734" s="764"/>
    </row>
    <row r="735" ht="9.75" customHeight="1">
      <c r="A735" s="764"/>
      <c r="B735" s="764"/>
      <c r="C735" s="764"/>
      <c r="D735" s="764"/>
      <c r="E735" s="764"/>
      <c r="F735" s="763"/>
      <c r="G735" s="763"/>
      <c r="H735" s="763"/>
      <c r="I735" s="764"/>
      <c r="J735" s="764"/>
      <c r="K735" s="764"/>
      <c r="L735" s="764"/>
      <c r="M735" s="764"/>
      <c r="N735" s="764"/>
      <c r="O735" s="764"/>
      <c r="P735" s="764"/>
      <c r="Q735" s="764"/>
      <c r="R735" s="764"/>
      <c r="S735" s="764"/>
      <c r="T735" s="764"/>
      <c r="U735" s="764"/>
      <c r="V735" s="764"/>
      <c r="W735" s="764"/>
      <c r="X735" s="764"/>
      <c r="Y735" s="764"/>
      <c r="Z735" s="764"/>
    </row>
    <row r="736" ht="9.75" customHeight="1">
      <c r="A736" s="764"/>
      <c r="B736" s="764"/>
      <c r="C736" s="764"/>
      <c r="D736" s="764"/>
      <c r="E736" s="764"/>
      <c r="F736" s="763"/>
      <c r="G736" s="763"/>
      <c r="H736" s="763"/>
      <c r="I736" s="764"/>
      <c r="J736" s="764"/>
      <c r="K736" s="764"/>
      <c r="L736" s="764"/>
      <c r="M736" s="764"/>
      <c r="N736" s="764"/>
      <c r="O736" s="764"/>
      <c r="P736" s="764"/>
      <c r="Q736" s="764"/>
      <c r="R736" s="764"/>
      <c r="S736" s="764"/>
      <c r="T736" s="764"/>
      <c r="U736" s="764"/>
      <c r="V736" s="764"/>
      <c r="W736" s="764"/>
      <c r="X736" s="764"/>
      <c r="Y736" s="764"/>
      <c r="Z736" s="764"/>
    </row>
    <row r="737" ht="9.75" customHeight="1">
      <c r="A737" s="764"/>
      <c r="B737" s="764"/>
      <c r="C737" s="764"/>
      <c r="D737" s="764"/>
      <c r="E737" s="764"/>
      <c r="F737" s="763"/>
      <c r="G737" s="763"/>
      <c r="H737" s="763"/>
      <c r="I737" s="764"/>
      <c r="J737" s="764"/>
      <c r="K737" s="764"/>
      <c r="L737" s="764"/>
      <c r="M737" s="764"/>
      <c r="N737" s="764"/>
      <c r="O737" s="764"/>
      <c r="P737" s="764"/>
      <c r="Q737" s="764"/>
      <c r="R737" s="764"/>
      <c r="S737" s="764"/>
      <c r="T737" s="764"/>
      <c r="U737" s="764"/>
      <c r="V737" s="764"/>
      <c r="W737" s="764"/>
      <c r="X737" s="764"/>
      <c r="Y737" s="764"/>
      <c r="Z737" s="764"/>
    </row>
    <row r="738" ht="9.75" customHeight="1">
      <c r="A738" s="764"/>
      <c r="B738" s="764"/>
      <c r="C738" s="764"/>
      <c r="D738" s="764"/>
      <c r="E738" s="764"/>
      <c r="F738" s="763"/>
      <c r="G738" s="763"/>
      <c r="H738" s="763"/>
      <c r="I738" s="764"/>
      <c r="J738" s="764"/>
      <c r="K738" s="764"/>
      <c r="L738" s="764"/>
      <c r="M738" s="764"/>
      <c r="N738" s="764"/>
      <c r="O738" s="764"/>
      <c r="P738" s="764"/>
      <c r="Q738" s="764"/>
      <c r="R738" s="764"/>
      <c r="S738" s="764"/>
      <c r="T738" s="764"/>
      <c r="U738" s="764"/>
      <c r="V738" s="764"/>
      <c r="W738" s="764"/>
      <c r="X738" s="764"/>
      <c r="Y738" s="764"/>
      <c r="Z738" s="764"/>
    </row>
    <row r="739" ht="9.75" customHeight="1">
      <c r="A739" s="764"/>
      <c r="B739" s="764"/>
      <c r="C739" s="764"/>
      <c r="D739" s="764"/>
      <c r="E739" s="764"/>
      <c r="F739" s="763"/>
      <c r="G739" s="763"/>
      <c r="H739" s="763"/>
      <c r="I739" s="764"/>
      <c r="J739" s="764"/>
      <c r="K739" s="764"/>
      <c r="L739" s="764"/>
      <c r="M739" s="764"/>
      <c r="N739" s="764"/>
      <c r="O739" s="764"/>
      <c r="P739" s="764"/>
      <c r="Q739" s="764"/>
      <c r="R739" s="764"/>
      <c r="S739" s="764"/>
      <c r="T739" s="764"/>
      <c r="U739" s="764"/>
      <c r="V739" s="764"/>
      <c r="W739" s="764"/>
      <c r="X739" s="764"/>
      <c r="Y739" s="764"/>
      <c r="Z739" s="764"/>
    </row>
    <row r="740" ht="9.75" customHeight="1">
      <c r="A740" s="764"/>
      <c r="B740" s="764"/>
      <c r="C740" s="764"/>
      <c r="D740" s="764"/>
      <c r="E740" s="764"/>
      <c r="F740" s="763"/>
      <c r="G740" s="763"/>
      <c r="H740" s="763"/>
      <c r="I740" s="764"/>
      <c r="J740" s="764"/>
      <c r="K740" s="764"/>
      <c r="L740" s="764"/>
      <c r="M740" s="764"/>
      <c r="N740" s="764"/>
      <c r="O740" s="764"/>
      <c r="P740" s="764"/>
      <c r="Q740" s="764"/>
      <c r="R740" s="764"/>
      <c r="S740" s="764"/>
      <c r="T740" s="764"/>
      <c r="U740" s="764"/>
      <c r="V740" s="764"/>
      <c r="W740" s="764"/>
      <c r="X740" s="764"/>
      <c r="Y740" s="764"/>
      <c r="Z740" s="764"/>
    </row>
    <row r="741" ht="9.75" customHeight="1">
      <c r="A741" s="764"/>
      <c r="B741" s="764"/>
      <c r="C741" s="764"/>
      <c r="D741" s="764"/>
      <c r="E741" s="764"/>
      <c r="F741" s="763"/>
      <c r="G741" s="763"/>
      <c r="H741" s="763"/>
      <c r="I741" s="764"/>
      <c r="J741" s="764"/>
      <c r="K741" s="764"/>
      <c r="L741" s="764"/>
      <c r="M741" s="764"/>
      <c r="N741" s="764"/>
      <c r="O741" s="764"/>
      <c r="P741" s="764"/>
      <c r="Q741" s="764"/>
      <c r="R741" s="764"/>
      <c r="S741" s="764"/>
      <c r="T741" s="764"/>
      <c r="U741" s="764"/>
      <c r="V741" s="764"/>
      <c r="W741" s="764"/>
      <c r="X741" s="764"/>
      <c r="Y741" s="764"/>
      <c r="Z741" s="764"/>
    </row>
    <row r="742" ht="9.75" customHeight="1">
      <c r="A742" s="764"/>
      <c r="B742" s="764"/>
      <c r="C742" s="764"/>
      <c r="D742" s="764"/>
      <c r="E742" s="764"/>
      <c r="F742" s="763"/>
      <c r="G742" s="763"/>
      <c r="H742" s="763"/>
      <c r="I742" s="764"/>
      <c r="J742" s="764"/>
      <c r="K742" s="764"/>
      <c r="L742" s="764"/>
      <c r="M742" s="764"/>
      <c r="N742" s="764"/>
      <c r="O742" s="764"/>
      <c r="P742" s="764"/>
      <c r="Q742" s="764"/>
      <c r="R742" s="764"/>
      <c r="S742" s="764"/>
      <c r="T742" s="764"/>
      <c r="U742" s="764"/>
      <c r="V742" s="764"/>
      <c r="W742" s="764"/>
      <c r="X742" s="764"/>
      <c r="Y742" s="764"/>
      <c r="Z742" s="764"/>
    </row>
    <row r="743" ht="9.75" customHeight="1">
      <c r="A743" s="764"/>
      <c r="B743" s="764"/>
      <c r="C743" s="764"/>
      <c r="D743" s="764"/>
      <c r="E743" s="764"/>
      <c r="F743" s="763"/>
      <c r="G743" s="763"/>
      <c r="H743" s="763"/>
      <c r="I743" s="764"/>
      <c r="J743" s="764"/>
      <c r="K743" s="764"/>
      <c r="L743" s="764"/>
      <c r="M743" s="764"/>
      <c r="N743" s="764"/>
      <c r="O743" s="764"/>
      <c r="P743" s="764"/>
      <c r="Q743" s="764"/>
      <c r="R743" s="764"/>
      <c r="S743" s="764"/>
      <c r="T743" s="764"/>
      <c r="U743" s="764"/>
      <c r="V743" s="764"/>
      <c r="W743" s="764"/>
      <c r="X743" s="764"/>
      <c r="Y743" s="764"/>
      <c r="Z743" s="764"/>
    </row>
    <row r="744" ht="9.75" customHeight="1">
      <c r="A744" s="764"/>
      <c r="B744" s="764"/>
      <c r="C744" s="764"/>
      <c r="D744" s="764"/>
      <c r="E744" s="764"/>
      <c r="F744" s="763"/>
      <c r="G744" s="763"/>
      <c r="H744" s="763"/>
      <c r="I744" s="764"/>
      <c r="J744" s="764"/>
      <c r="K744" s="764"/>
      <c r="L744" s="764"/>
      <c r="M744" s="764"/>
      <c r="N744" s="764"/>
      <c r="O744" s="764"/>
      <c r="P744" s="764"/>
      <c r="Q744" s="764"/>
      <c r="R744" s="764"/>
      <c r="S744" s="764"/>
      <c r="T744" s="764"/>
      <c r="U744" s="764"/>
      <c r="V744" s="764"/>
      <c r="W744" s="764"/>
      <c r="X744" s="764"/>
      <c r="Y744" s="764"/>
      <c r="Z744" s="764"/>
    </row>
    <row r="745" ht="9.75" customHeight="1">
      <c r="A745" s="764"/>
      <c r="B745" s="764"/>
      <c r="C745" s="764"/>
      <c r="D745" s="764"/>
      <c r="E745" s="764"/>
      <c r="F745" s="763"/>
      <c r="G745" s="763"/>
      <c r="H745" s="763"/>
      <c r="I745" s="764"/>
      <c r="J745" s="764"/>
      <c r="K745" s="764"/>
      <c r="L745" s="764"/>
      <c r="M745" s="764"/>
      <c r="N745" s="764"/>
      <c r="O745" s="764"/>
      <c r="P745" s="764"/>
      <c r="Q745" s="764"/>
      <c r="R745" s="764"/>
      <c r="S745" s="764"/>
      <c r="T745" s="764"/>
      <c r="U745" s="764"/>
      <c r="V745" s="764"/>
      <c r="W745" s="764"/>
      <c r="X745" s="764"/>
      <c r="Y745" s="764"/>
      <c r="Z745" s="764"/>
    </row>
    <row r="746" ht="9.75" customHeight="1">
      <c r="A746" s="764"/>
      <c r="B746" s="764"/>
      <c r="C746" s="764"/>
      <c r="D746" s="764"/>
      <c r="E746" s="764"/>
      <c r="F746" s="763"/>
      <c r="G746" s="763"/>
      <c r="H746" s="763"/>
      <c r="I746" s="764"/>
      <c r="J746" s="764"/>
      <c r="K746" s="764"/>
      <c r="L746" s="764"/>
      <c r="M746" s="764"/>
      <c r="N746" s="764"/>
      <c r="O746" s="764"/>
      <c r="P746" s="764"/>
      <c r="Q746" s="764"/>
      <c r="R746" s="764"/>
      <c r="S746" s="764"/>
      <c r="T746" s="764"/>
      <c r="U746" s="764"/>
      <c r="V746" s="764"/>
      <c r="W746" s="764"/>
      <c r="X746" s="764"/>
      <c r="Y746" s="764"/>
      <c r="Z746" s="764"/>
    </row>
    <row r="747" ht="9.75" customHeight="1">
      <c r="A747" s="764"/>
      <c r="B747" s="764"/>
      <c r="C747" s="764"/>
      <c r="D747" s="764"/>
      <c r="E747" s="764"/>
      <c r="F747" s="763"/>
      <c r="G747" s="763"/>
      <c r="H747" s="763"/>
      <c r="I747" s="764"/>
      <c r="J747" s="764"/>
      <c r="K747" s="764"/>
      <c r="L747" s="764"/>
      <c r="M747" s="764"/>
      <c r="N747" s="764"/>
      <c r="O747" s="764"/>
      <c r="P747" s="764"/>
      <c r="Q747" s="764"/>
      <c r="R747" s="764"/>
      <c r="S747" s="764"/>
      <c r="T747" s="764"/>
      <c r="U747" s="764"/>
      <c r="V747" s="764"/>
      <c r="W747" s="764"/>
      <c r="X747" s="764"/>
      <c r="Y747" s="764"/>
      <c r="Z747" s="764"/>
    </row>
    <row r="748" ht="9.75" customHeight="1">
      <c r="A748" s="764"/>
      <c r="B748" s="764"/>
      <c r="C748" s="764"/>
      <c r="D748" s="764"/>
      <c r="E748" s="764"/>
      <c r="F748" s="763"/>
      <c r="G748" s="763"/>
      <c r="H748" s="763"/>
      <c r="I748" s="764"/>
      <c r="J748" s="764"/>
      <c r="K748" s="764"/>
      <c r="L748" s="764"/>
      <c r="M748" s="764"/>
      <c r="N748" s="764"/>
      <c r="O748" s="764"/>
      <c r="P748" s="764"/>
      <c r="Q748" s="764"/>
      <c r="R748" s="764"/>
      <c r="S748" s="764"/>
      <c r="T748" s="764"/>
      <c r="U748" s="764"/>
      <c r="V748" s="764"/>
      <c r="W748" s="764"/>
      <c r="X748" s="764"/>
      <c r="Y748" s="764"/>
      <c r="Z748" s="764"/>
    </row>
    <row r="749" ht="9.75" customHeight="1">
      <c r="A749" s="764"/>
      <c r="B749" s="764"/>
      <c r="C749" s="764"/>
      <c r="D749" s="764"/>
      <c r="E749" s="764"/>
      <c r="F749" s="763"/>
      <c r="G749" s="763"/>
      <c r="H749" s="763"/>
      <c r="I749" s="764"/>
      <c r="J749" s="764"/>
      <c r="K749" s="764"/>
      <c r="L749" s="764"/>
      <c r="M749" s="764"/>
      <c r="N749" s="764"/>
      <c r="O749" s="764"/>
      <c r="P749" s="764"/>
      <c r="Q749" s="764"/>
      <c r="R749" s="764"/>
      <c r="S749" s="764"/>
      <c r="T749" s="764"/>
      <c r="U749" s="764"/>
      <c r="V749" s="764"/>
      <c r="W749" s="764"/>
      <c r="X749" s="764"/>
      <c r="Y749" s="764"/>
      <c r="Z749" s="764"/>
    </row>
    <row r="750" ht="9.75" customHeight="1">
      <c r="A750" s="764"/>
      <c r="B750" s="764"/>
      <c r="C750" s="764"/>
      <c r="D750" s="764"/>
      <c r="E750" s="764"/>
      <c r="F750" s="763"/>
      <c r="G750" s="763"/>
      <c r="H750" s="763"/>
      <c r="I750" s="764"/>
      <c r="J750" s="764"/>
      <c r="K750" s="764"/>
      <c r="L750" s="764"/>
      <c r="M750" s="764"/>
      <c r="N750" s="764"/>
      <c r="O750" s="764"/>
      <c r="P750" s="764"/>
      <c r="Q750" s="764"/>
      <c r="R750" s="764"/>
      <c r="S750" s="764"/>
      <c r="T750" s="764"/>
      <c r="U750" s="764"/>
      <c r="V750" s="764"/>
      <c r="W750" s="764"/>
      <c r="X750" s="764"/>
      <c r="Y750" s="764"/>
      <c r="Z750" s="764"/>
    </row>
    <row r="751" ht="9.75" customHeight="1">
      <c r="A751" s="764"/>
      <c r="B751" s="764"/>
      <c r="C751" s="764"/>
      <c r="D751" s="764"/>
      <c r="E751" s="764"/>
      <c r="F751" s="763"/>
      <c r="G751" s="763"/>
      <c r="H751" s="763"/>
      <c r="I751" s="764"/>
      <c r="J751" s="764"/>
      <c r="K751" s="764"/>
      <c r="L751" s="764"/>
      <c r="M751" s="764"/>
      <c r="N751" s="764"/>
      <c r="O751" s="764"/>
      <c r="P751" s="764"/>
      <c r="Q751" s="764"/>
      <c r="R751" s="764"/>
      <c r="S751" s="764"/>
      <c r="T751" s="764"/>
      <c r="U751" s="764"/>
      <c r="V751" s="764"/>
      <c r="W751" s="764"/>
      <c r="X751" s="764"/>
      <c r="Y751" s="764"/>
      <c r="Z751" s="764"/>
    </row>
    <row r="752" ht="9.75" customHeight="1">
      <c r="A752" s="764"/>
      <c r="B752" s="764"/>
      <c r="C752" s="764"/>
      <c r="D752" s="764"/>
      <c r="E752" s="764"/>
      <c r="F752" s="763"/>
      <c r="G752" s="763"/>
      <c r="H752" s="763"/>
      <c r="I752" s="764"/>
      <c r="J752" s="764"/>
      <c r="K752" s="764"/>
      <c r="L752" s="764"/>
      <c r="M752" s="764"/>
      <c r="N752" s="764"/>
      <c r="O752" s="764"/>
      <c r="P752" s="764"/>
      <c r="Q752" s="764"/>
      <c r="R752" s="764"/>
      <c r="S752" s="764"/>
      <c r="T752" s="764"/>
      <c r="U752" s="764"/>
      <c r="V752" s="764"/>
      <c r="W752" s="764"/>
      <c r="X752" s="764"/>
      <c r="Y752" s="764"/>
      <c r="Z752" s="764"/>
    </row>
    <row r="753" ht="9.75" customHeight="1">
      <c r="A753" s="764"/>
      <c r="B753" s="764"/>
      <c r="C753" s="764"/>
      <c r="D753" s="764"/>
      <c r="E753" s="764"/>
      <c r="F753" s="763"/>
      <c r="G753" s="763"/>
      <c r="H753" s="763"/>
      <c r="I753" s="764"/>
      <c r="J753" s="764"/>
      <c r="K753" s="764"/>
      <c r="L753" s="764"/>
      <c r="M753" s="764"/>
      <c r="N753" s="764"/>
      <c r="O753" s="764"/>
      <c r="P753" s="764"/>
      <c r="Q753" s="764"/>
      <c r="R753" s="764"/>
      <c r="S753" s="764"/>
      <c r="T753" s="764"/>
      <c r="U753" s="764"/>
      <c r="V753" s="764"/>
      <c r="W753" s="764"/>
      <c r="X753" s="764"/>
      <c r="Y753" s="764"/>
      <c r="Z753" s="764"/>
    </row>
    <row r="754" ht="9.75" customHeight="1">
      <c r="A754" s="764"/>
      <c r="B754" s="764"/>
      <c r="C754" s="764"/>
      <c r="D754" s="764"/>
      <c r="E754" s="764"/>
      <c r="F754" s="763"/>
      <c r="G754" s="763"/>
      <c r="H754" s="763"/>
      <c r="I754" s="764"/>
      <c r="J754" s="764"/>
      <c r="K754" s="764"/>
      <c r="L754" s="764"/>
      <c r="M754" s="764"/>
      <c r="N754" s="764"/>
      <c r="O754" s="764"/>
      <c r="P754" s="764"/>
      <c r="Q754" s="764"/>
      <c r="R754" s="764"/>
      <c r="S754" s="764"/>
      <c r="T754" s="764"/>
      <c r="U754" s="764"/>
      <c r="V754" s="764"/>
      <c r="W754" s="764"/>
      <c r="X754" s="764"/>
      <c r="Y754" s="764"/>
      <c r="Z754" s="764"/>
    </row>
    <row r="755" ht="9.75" customHeight="1">
      <c r="A755" s="764"/>
      <c r="B755" s="764"/>
      <c r="C755" s="764"/>
      <c r="D755" s="764"/>
      <c r="E755" s="764"/>
      <c r="F755" s="763"/>
      <c r="G755" s="763"/>
      <c r="H755" s="763"/>
      <c r="I755" s="764"/>
      <c r="J755" s="764"/>
      <c r="K755" s="764"/>
      <c r="L755" s="764"/>
      <c r="M755" s="764"/>
      <c r="N755" s="764"/>
      <c r="O755" s="764"/>
      <c r="P755" s="764"/>
      <c r="Q755" s="764"/>
      <c r="R755" s="764"/>
      <c r="S755" s="764"/>
      <c r="T755" s="764"/>
      <c r="U755" s="764"/>
      <c r="V755" s="764"/>
      <c r="W755" s="764"/>
      <c r="X755" s="764"/>
      <c r="Y755" s="764"/>
      <c r="Z755" s="764"/>
    </row>
    <row r="756" ht="9.75" customHeight="1">
      <c r="A756" s="764"/>
      <c r="B756" s="764"/>
      <c r="C756" s="764"/>
      <c r="D756" s="764"/>
      <c r="E756" s="764"/>
      <c r="F756" s="763"/>
      <c r="G756" s="763"/>
      <c r="H756" s="763"/>
      <c r="I756" s="764"/>
      <c r="J756" s="764"/>
      <c r="K756" s="764"/>
      <c r="L756" s="764"/>
      <c r="M756" s="764"/>
      <c r="N756" s="764"/>
      <c r="O756" s="764"/>
      <c r="P756" s="764"/>
      <c r="Q756" s="764"/>
      <c r="R756" s="764"/>
      <c r="S756" s="764"/>
      <c r="T756" s="764"/>
      <c r="U756" s="764"/>
      <c r="V756" s="764"/>
      <c r="W756" s="764"/>
      <c r="X756" s="764"/>
      <c r="Y756" s="764"/>
      <c r="Z756" s="764"/>
    </row>
    <row r="757" ht="9.75" customHeight="1">
      <c r="A757" s="764"/>
      <c r="B757" s="764"/>
      <c r="C757" s="764"/>
      <c r="D757" s="764"/>
      <c r="E757" s="764"/>
      <c r="F757" s="763"/>
      <c r="G757" s="763"/>
      <c r="H757" s="763"/>
      <c r="I757" s="764"/>
      <c r="J757" s="764"/>
      <c r="K757" s="764"/>
      <c r="L757" s="764"/>
      <c r="M757" s="764"/>
      <c r="N757" s="764"/>
      <c r="O757" s="764"/>
      <c r="P757" s="764"/>
      <c r="Q757" s="764"/>
      <c r="R757" s="764"/>
      <c r="S757" s="764"/>
      <c r="T757" s="764"/>
      <c r="U757" s="764"/>
      <c r="V757" s="764"/>
      <c r="W757" s="764"/>
      <c r="X757" s="764"/>
      <c r="Y757" s="764"/>
      <c r="Z757" s="764"/>
    </row>
    <row r="758" ht="9.75" customHeight="1">
      <c r="A758" s="764"/>
      <c r="B758" s="764"/>
      <c r="C758" s="764"/>
      <c r="D758" s="764"/>
      <c r="E758" s="764"/>
      <c r="F758" s="763"/>
      <c r="G758" s="763"/>
      <c r="H758" s="763"/>
      <c r="I758" s="764"/>
      <c r="J758" s="764"/>
      <c r="K758" s="764"/>
      <c r="L758" s="764"/>
      <c r="M758" s="764"/>
      <c r="N758" s="764"/>
      <c r="O758" s="764"/>
      <c r="P758" s="764"/>
      <c r="Q758" s="764"/>
      <c r="R758" s="764"/>
      <c r="S758" s="764"/>
      <c r="T758" s="764"/>
      <c r="U758" s="764"/>
      <c r="V758" s="764"/>
      <c r="W758" s="764"/>
      <c r="X758" s="764"/>
      <c r="Y758" s="764"/>
      <c r="Z758" s="764"/>
    </row>
    <row r="759" ht="9.75" customHeight="1">
      <c r="A759" s="764"/>
      <c r="B759" s="764"/>
      <c r="C759" s="764"/>
      <c r="D759" s="764"/>
      <c r="E759" s="764"/>
      <c r="F759" s="763"/>
      <c r="G759" s="763"/>
      <c r="H759" s="763"/>
      <c r="I759" s="764"/>
      <c r="J759" s="764"/>
      <c r="K759" s="764"/>
      <c r="L759" s="764"/>
      <c r="M759" s="764"/>
      <c r="N759" s="764"/>
      <c r="O759" s="764"/>
      <c r="P759" s="764"/>
      <c r="Q759" s="764"/>
      <c r="R759" s="764"/>
      <c r="S759" s="764"/>
      <c r="T759" s="764"/>
      <c r="U759" s="764"/>
      <c r="V759" s="764"/>
      <c r="W759" s="764"/>
      <c r="X759" s="764"/>
      <c r="Y759" s="764"/>
      <c r="Z759" s="764"/>
    </row>
    <row r="760" ht="9.75" customHeight="1">
      <c r="A760" s="764"/>
      <c r="B760" s="764"/>
      <c r="C760" s="764"/>
      <c r="D760" s="764"/>
      <c r="E760" s="764"/>
      <c r="F760" s="763"/>
      <c r="G760" s="763"/>
      <c r="H760" s="763"/>
      <c r="I760" s="764"/>
      <c r="J760" s="764"/>
      <c r="K760" s="764"/>
      <c r="L760" s="764"/>
      <c r="M760" s="764"/>
      <c r="N760" s="764"/>
      <c r="O760" s="764"/>
      <c r="P760" s="764"/>
      <c r="Q760" s="764"/>
      <c r="R760" s="764"/>
      <c r="S760" s="764"/>
      <c r="T760" s="764"/>
      <c r="U760" s="764"/>
      <c r="V760" s="764"/>
      <c r="W760" s="764"/>
      <c r="X760" s="764"/>
      <c r="Y760" s="764"/>
      <c r="Z760" s="764"/>
    </row>
    <row r="761" ht="9.75" customHeight="1">
      <c r="A761" s="764"/>
      <c r="B761" s="764"/>
      <c r="C761" s="764"/>
      <c r="D761" s="764"/>
      <c r="E761" s="764"/>
      <c r="F761" s="763"/>
      <c r="G761" s="763"/>
      <c r="H761" s="763"/>
      <c r="I761" s="764"/>
      <c r="J761" s="764"/>
      <c r="K761" s="764"/>
      <c r="L761" s="764"/>
      <c r="M761" s="764"/>
      <c r="N761" s="764"/>
      <c r="O761" s="764"/>
      <c r="P761" s="764"/>
      <c r="Q761" s="764"/>
      <c r="R761" s="764"/>
      <c r="S761" s="764"/>
      <c r="T761" s="764"/>
      <c r="U761" s="764"/>
      <c r="V761" s="764"/>
      <c r="W761" s="764"/>
      <c r="X761" s="764"/>
      <c r="Y761" s="764"/>
      <c r="Z761" s="764"/>
    </row>
    <row r="762" ht="9.75" customHeight="1">
      <c r="A762" s="764"/>
      <c r="B762" s="764"/>
      <c r="C762" s="764"/>
      <c r="D762" s="764"/>
      <c r="E762" s="764"/>
      <c r="F762" s="763"/>
      <c r="G762" s="763"/>
      <c r="H762" s="763"/>
      <c r="I762" s="764"/>
      <c r="J762" s="764"/>
      <c r="K762" s="764"/>
      <c r="L762" s="764"/>
      <c r="M762" s="764"/>
      <c r="N762" s="764"/>
      <c r="O762" s="764"/>
      <c r="P762" s="764"/>
      <c r="Q762" s="764"/>
      <c r="R762" s="764"/>
      <c r="S762" s="764"/>
      <c r="T762" s="764"/>
      <c r="U762" s="764"/>
      <c r="V762" s="764"/>
      <c r="W762" s="764"/>
      <c r="X762" s="764"/>
      <c r="Y762" s="764"/>
      <c r="Z762" s="764"/>
    </row>
    <row r="763" ht="9.75" customHeight="1">
      <c r="A763" s="764"/>
      <c r="B763" s="764"/>
      <c r="C763" s="764"/>
      <c r="D763" s="764"/>
      <c r="E763" s="764"/>
      <c r="F763" s="763"/>
      <c r="G763" s="763"/>
      <c r="H763" s="763"/>
      <c r="I763" s="764"/>
      <c r="J763" s="764"/>
      <c r="K763" s="764"/>
      <c r="L763" s="764"/>
      <c r="M763" s="764"/>
      <c r="N763" s="764"/>
      <c r="O763" s="764"/>
      <c r="P763" s="764"/>
      <c r="Q763" s="764"/>
      <c r="R763" s="764"/>
      <c r="S763" s="764"/>
      <c r="T763" s="764"/>
      <c r="U763" s="764"/>
      <c r="V763" s="764"/>
      <c r="W763" s="764"/>
      <c r="X763" s="764"/>
      <c r="Y763" s="764"/>
      <c r="Z763" s="764"/>
    </row>
    <row r="764" ht="9.75" customHeight="1">
      <c r="A764" s="764"/>
      <c r="B764" s="764"/>
      <c r="C764" s="764"/>
      <c r="D764" s="764"/>
      <c r="E764" s="764"/>
      <c r="F764" s="763"/>
      <c r="G764" s="763"/>
      <c r="H764" s="763"/>
      <c r="I764" s="764"/>
      <c r="J764" s="764"/>
      <c r="K764" s="764"/>
      <c r="L764" s="764"/>
      <c r="M764" s="764"/>
      <c r="N764" s="764"/>
      <c r="O764" s="764"/>
      <c r="P764" s="764"/>
      <c r="Q764" s="764"/>
      <c r="R764" s="764"/>
      <c r="S764" s="764"/>
      <c r="T764" s="764"/>
      <c r="U764" s="764"/>
      <c r="V764" s="764"/>
      <c r="W764" s="764"/>
      <c r="X764" s="764"/>
      <c r="Y764" s="764"/>
      <c r="Z764" s="764"/>
    </row>
    <row r="765" ht="9.75" customHeight="1">
      <c r="A765" s="764"/>
      <c r="B765" s="764"/>
      <c r="C765" s="764"/>
      <c r="D765" s="764"/>
      <c r="E765" s="764"/>
      <c r="F765" s="763"/>
      <c r="G765" s="763"/>
      <c r="H765" s="763"/>
      <c r="I765" s="764"/>
      <c r="J765" s="764"/>
      <c r="K765" s="764"/>
      <c r="L765" s="764"/>
      <c r="M765" s="764"/>
      <c r="N765" s="764"/>
      <c r="O765" s="764"/>
      <c r="P765" s="764"/>
      <c r="Q765" s="764"/>
      <c r="R765" s="764"/>
      <c r="S765" s="764"/>
      <c r="T765" s="764"/>
      <c r="U765" s="764"/>
      <c r="V765" s="764"/>
      <c r="W765" s="764"/>
      <c r="X765" s="764"/>
      <c r="Y765" s="764"/>
      <c r="Z765" s="764"/>
    </row>
    <row r="766" ht="9.75" customHeight="1">
      <c r="A766" s="764"/>
      <c r="B766" s="764"/>
      <c r="C766" s="764"/>
      <c r="D766" s="764"/>
      <c r="E766" s="764"/>
      <c r="F766" s="763"/>
      <c r="G766" s="763"/>
      <c r="H766" s="763"/>
      <c r="I766" s="764"/>
      <c r="J766" s="764"/>
      <c r="K766" s="764"/>
      <c r="L766" s="764"/>
      <c r="M766" s="764"/>
      <c r="N766" s="764"/>
      <c r="O766" s="764"/>
      <c r="P766" s="764"/>
      <c r="Q766" s="764"/>
      <c r="R766" s="764"/>
      <c r="S766" s="764"/>
      <c r="T766" s="764"/>
      <c r="U766" s="764"/>
      <c r="V766" s="764"/>
      <c r="W766" s="764"/>
      <c r="X766" s="764"/>
      <c r="Y766" s="764"/>
      <c r="Z766" s="764"/>
    </row>
    <row r="767" ht="9.75" customHeight="1">
      <c r="A767" s="764"/>
      <c r="B767" s="764"/>
      <c r="C767" s="764"/>
      <c r="D767" s="764"/>
      <c r="E767" s="764"/>
      <c r="F767" s="763"/>
      <c r="G767" s="763"/>
      <c r="H767" s="763"/>
      <c r="I767" s="764"/>
      <c r="J767" s="764"/>
      <c r="K767" s="764"/>
      <c r="L767" s="764"/>
      <c r="M767" s="764"/>
      <c r="N767" s="764"/>
      <c r="O767" s="764"/>
      <c r="P767" s="764"/>
      <c r="Q767" s="764"/>
      <c r="R767" s="764"/>
      <c r="S767" s="764"/>
      <c r="T767" s="764"/>
      <c r="U767" s="764"/>
      <c r="V767" s="764"/>
      <c r="W767" s="764"/>
      <c r="X767" s="764"/>
      <c r="Y767" s="764"/>
      <c r="Z767" s="764"/>
    </row>
    <row r="768" ht="9.75" customHeight="1">
      <c r="A768" s="764"/>
      <c r="B768" s="764"/>
      <c r="C768" s="764"/>
      <c r="D768" s="764"/>
      <c r="E768" s="764"/>
      <c r="F768" s="763"/>
      <c r="G768" s="763"/>
      <c r="H768" s="763"/>
      <c r="I768" s="764"/>
      <c r="J768" s="764"/>
      <c r="K768" s="764"/>
      <c r="L768" s="764"/>
      <c r="M768" s="764"/>
      <c r="N768" s="764"/>
      <c r="O768" s="764"/>
      <c r="P768" s="764"/>
      <c r="Q768" s="764"/>
      <c r="R768" s="764"/>
      <c r="S768" s="764"/>
      <c r="T768" s="764"/>
      <c r="U768" s="764"/>
      <c r="V768" s="764"/>
      <c r="W768" s="764"/>
      <c r="X768" s="764"/>
      <c r="Y768" s="764"/>
      <c r="Z768" s="764"/>
    </row>
    <row r="769" ht="9.75" customHeight="1">
      <c r="A769" s="764"/>
      <c r="B769" s="764"/>
      <c r="C769" s="764"/>
      <c r="D769" s="764"/>
      <c r="E769" s="764"/>
      <c r="F769" s="763"/>
      <c r="G769" s="763"/>
      <c r="H769" s="763"/>
      <c r="I769" s="764"/>
      <c r="J769" s="764"/>
      <c r="K769" s="764"/>
      <c r="L769" s="764"/>
      <c r="M769" s="764"/>
      <c r="N769" s="764"/>
      <c r="O769" s="764"/>
      <c r="P769" s="764"/>
      <c r="Q769" s="764"/>
      <c r="R769" s="764"/>
      <c r="S769" s="764"/>
      <c r="T769" s="764"/>
      <c r="U769" s="764"/>
      <c r="V769" s="764"/>
      <c r="W769" s="764"/>
      <c r="X769" s="764"/>
      <c r="Y769" s="764"/>
      <c r="Z769" s="764"/>
    </row>
    <row r="770" ht="9.75" customHeight="1">
      <c r="A770" s="764"/>
      <c r="B770" s="764"/>
      <c r="C770" s="764"/>
      <c r="D770" s="764"/>
      <c r="E770" s="764"/>
      <c r="F770" s="763"/>
      <c r="G770" s="763"/>
      <c r="H770" s="763"/>
      <c r="I770" s="764"/>
      <c r="J770" s="764"/>
      <c r="K770" s="764"/>
      <c r="L770" s="764"/>
      <c r="M770" s="764"/>
      <c r="N770" s="764"/>
      <c r="O770" s="764"/>
      <c r="P770" s="764"/>
      <c r="Q770" s="764"/>
      <c r="R770" s="764"/>
      <c r="S770" s="764"/>
      <c r="T770" s="764"/>
      <c r="U770" s="764"/>
      <c r="V770" s="764"/>
      <c r="W770" s="764"/>
      <c r="X770" s="764"/>
      <c r="Y770" s="764"/>
      <c r="Z770" s="764"/>
    </row>
    <row r="771" ht="9.75" customHeight="1">
      <c r="A771" s="764"/>
      <c r="B771" s="764"/>
      <c r="C771" s="764"/>
      <c r="D771" s="764"/>
      <c r="E771" s="764"/>
      <c r="F771" s="763"/>
      <c r="G771" s="763"/>
      <c r="H771" s="763"/>
      <c r="I771" s="764"/>
      <c r="J771" s="764"/>
      <c r="K771" s="764"/>
      <c r="L771" s="764"/>
      <c r="M771" s="764"/>
      <c r="N771" s="764"/>
      <c r="O771" s="764"/>
      <c r="P771" s="764"/>
      <c r="Q771" s="764"/>
      <c r="R771" s="764"/>
      <c r="S771" s="764"/>
      <c r="T771" s="764"/>
      <c r="U771" s="764"/>
      <c r="V771" s="764"/>
      <c r="W771" s="764"/>
      <c r="X771" s="764"/>
      <c r="Y771" s="764"/>
      <c r="Z771" s="764"/>
    </row>
    <row r="772" ht="9.75" customHeight="1">
      <c r="A772" s="764"/>
      <c r="B772" s="764"/>
      <c r="C772" s="764"/>
      <c r="D772" s="764"/>
      <c r="E772" s="764"/>
      <c r="F772" s="763"/>
      <c r="G772" s="763"/>
      <c r="H772" s="763"/>
      <c r="I772" s="764"/>
      <c r="J772" s="764"/>
      <c r="K772" s="764"/>
      <c r="L772" s="764"/>
      <c r="M772" s="764"/>
      <c r="N772" s="764"/>
      <c r="O772" s="764"/>
      <c r="P772" s="764"/>
      <c r="Q772" s="764"/>
      <c r="R772" s="764"/>
      <c r="S772" s="764"/>
      <c r="T772" s="764"/>
      <c r="U772" s="764"/>
      <c r="V772" s="764"/>
      <c r="W772" s="764"/>
      <c r="X772" s="764"/>
      <c r="Y772" s="764"/>
      <c r="Z772" s="764"/>
    </row>
    <row r="773" ht="9.75" customHeight="1">
      <c r="A773" s="764"/>
      <c r="B773" s="764"/>
      <c r="C773" s="764"/>
      <c r="D773" s="764"/>
      <c r="E773" s="764"/>
      <c r="F773" s="763"/>
      <c r="G773" s="763"/>
      <c r="H773" s="763"/>
      <c r="I773" s="764"/>
      <c r="J773" s="764"/>
      <c r="K773" s="764"/>
      <c r="L773" s="764"/>
      <c r="M773" s="764"/>
      <c r="N773" s="764"/>
      <c r="O773" s="764"/>
      <c r="P773" s="764"/>
      <c r="Q773" s="764"/>
      <c r="R773" s="764"/>
      <c r="S773" s="764"/>
      <c r="T773" s="764"/>
      <c r="U773" s="764"/>
      <c r="V773" s="764"/>
      <c r="W773" s="764"/>
      <c r="X773" s="764"/>
      <c r="Y773" s="764"/>
      <c r="Z773" s="764"/>
    </row>
    <row r="774" ht="9.75" customHeight="1">
      <c r="A774" s="764"/>
      <c r="B774" s="764"/>
      <c r="C774" s="764"/>
      <c r="D774" s="764"/>
      <c r="E774" s="764"/>
      <c r="F774" s="763"/>
      <c r="G774" s="763"/>
      <c r="H774" s="763"/>
      <c r="I774" s="764"/>
      <c r="J774" s="764"/>
      <c r="K774" s="764"/>
      <c r="L774" s="764"/>
      <c r="M774" s="764"/>
      <c r="N774" s="764"/>
      <c r="O774" s="764"/>
      <c r="P774" s="764"/>
      <c r="Q774" s="764"/>
      <c r="R774" s="764"/>
      <c r="S774" s="764"/>
      <c r="T774" s="764"/>
      <c r="U774" s="764"/>
      <c r="V774" s="764"/>
      <c r="W774" s="764"/>
      <c r="X774" s="764"/>
      <c r="Y774" s="764"/>
      <c r="Z774" s="764"/>
    </row>
    <row r="775" ht="9.75" customHeight="1">
      <c r="A775" s="764"/>
      <c r="B775" s="764"/>
      <c r="C775" s="764"/>
      <c r="D775" s="764"/>
      <c r="E775" s="764"/>
      <c r="F775" s="763"/>
      <c r="G775" s="763"/>
      <c r="H775" s="763"/>
      <c r="I775" s="764"/>
      <c r="J775" s="764"/>
      <c r="K775" s="764"/>
      <c r="L775" s="764"/>
      <c r="M775" s="764"/>
      <c r="N775" s="764"/>
      <c r="O775" s="764"/>
      <c r="P775" s="764"/>
      <c r="Q775" s="764"/>
      <c r="R775" s="764"/>
      <c r="S775" s="764"/>
      <c r="T775" s="764"/>
      <c r="U775" s="764"/>
      <c r="V775" s="764"/>
      <c r="W775" s="764"/>
      <c r="X775" s="764"/>
      <c r="Y775" s="764"/>
      <c r="Z775" s="764"/>
    </row>
    <row r="776" ht="9.75" customHeight="1">
      <c r="A776" s="764"/>
      <c r="B776" s="764"/>
      <c r="C776" s="764"/>
      <c r="D776" s="764"/>
      <c r="E776" s="764"/>
      <c r="F776" s="763"/>
      <c r="G776" s="763"/>
      <c r="H776" s="763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</row>
    <row r="777" ht="9.75" customHeight="1">
      <c r="A777" s="764"/>
      <c r="B777" s="764"/>
      <c r="C777" s="764"/>
      <c r="D777" s="764"/>
      <c r="E777" s="764"/>
      <c r="F777" s="763"/>
      <c r="G777" s="763"/>
      <c r="H777" s="763"/>
      <c r="I777" s="764"/>
      <c r="J777" s="764"/>
      <c r="K777" s="764"/>
      <c r="L777" s="764"/>
      <c r="M777" s="764"/>
      <c r="N777" s="764"/>
      <c r="O777" s="764"/>
      <c r="P777" s="764"/>
      <c r="Q777" s="764"/>
      <c r="R777" s="764"/>
      <c r="S777" s="764"/>
      <c r="T777" s="764"/>
      <c r="U777" s="764"/>
      <c r="V777" s="764"/>
      <c r="W777" s="764"/>
      <c r="X777" s="764"/>
      <c r="Y777" s="764"/>
      <c r="Z777" s="764"/>
    </row>
    <row r="778" ht="9.75" customHeight="1">
      <c r="A778" s="764"/>
      <c r="B778" s="764"/>
      <c r="C778" s="764"/>
      <c r="D778" s="764"/>
      <c r="E778" s="764"/>
      <c r="F778" s="763"/>
      <c r="G778" s="763"/>
      <c r="H778" s="763"/>
      <c r="I778" s="764"/>
      <c r="J778" s="764"/>
      <c r="K778" s="764"/>
      <c r="L778" s="764"/>
      <c r="M778" s="764"/>
      <c r="N778" s="764"/>
      <c r="O778" s="764"/>
      <c r="P778" s="764"/>
      <c r="Q778" s="764"/>
      <c r="R778" s="764"/>
      <c r="S778" s="764"/>
      <c r="T778" s="764"/>
      <c r="U778" s="764"/>
      <c r="V778" s="764"/>
      <c r="W778" s="764"/>
      <c r="X778" s="764"/>
      <c r="Y778" s="764"/>
      <c r="Z778" s="764"/>
    </row>
    <row r="779" ht="9.75" customHeight="1">
      <c r="A779" s="764"/>
      <c r="B779" s="764"/>
      <c r="C779" s="764"/>
      <c r="D779" s="764"/>
      <c r="E779" s="764"/>
      <c r="F779" s="763"/>
      <c r="G779" s="763"/>
      <c r="H779" s="763"/>
      <c r="I779" s="764"/>
      <c r="J779" s="764"/>
      <c r="K779" s="764"/>
      <c r="L779" s="764"/>
      <c r="M779" s="764"/>
      <c r="N779" s="764"/>
      <c r="O779" s="764"/>
      <c r="P779" s="764"/>
      <c r="Q779" s="764"/>
      <c r="R779" s="764"/>
      <c r="S779" s="764"/>
      <c r="T779" s="764"/>
      <c r="U779" s="764"/>
      <c r="V779" s="764"/>
      <c r="W779" s="764"/>
      <c r="X779" s="764"/>
      <c r="Y779" s="764"/>
      <c r="Z779" s="764"/>
    </row>
    <row r="780" ht="9.75" customHeight="1">
      <c r="A780" s="764"/>
      <c r="B780" s="764"/>
      <c r="C780" s="764"/>
      <c r="D780" s="764"/>
      <c r="E780" s="764"/>
      <c r="F780" s="763"/>
      <c r="G780" s="763"/>
      <c r="H780" s="763"/>
      <c r="I780" s="764"/>
      <c r="J780" s="764"/>
      <c r="K780" s="764"/>
      <c r="L780" s="764"/>
      <c r="M780" s="764"/>
      <c r="N780" s="764"/>
      <c r="O780" s="764"/>
      <c r="P780" s="764"/>
      <c r="Q780" s="764"/>
      <c r="R780" s="764"/>
      <c r="S780" s="764"/>
      <c r="T780" s="764"/>
      <c r="U780" s="764"/>
      <c r="V780" s="764"/>
      <c r="W780" s="764"/>
      <c r="X780" s="764"/>
      <c r="Y780" s="764"/>
      <c r="Z780" s="764"/>
    </row>
    <row r="781" ht="9.75" customHeight="1">
      <c r="A781" s="764"/>
      <c r="B781" s="764"/>
      <c r="C781" s="764"/>
      <c r="D781" s="764"/>
      <c r="E781" s="764"/>
      <c r="F781" s="763"/>
      <c r="G781" s="763"/>
      <c r="H781" s="763"/>
      <c r="I781" s="764"/>
      <c r="J781" s="764"/>
      <c r="K781" s="764"/>
      <c r="L781" s="764"/>
      <c r="M781" s="764"/>
      <c r="N781" s="764"/>
      <c r="O781" s="764"/>
      <c r="P781" s="764"/>
      <c r="Q781" s="764"/>
      <c r="R781" s="764"/>
      <c r="S781" s="764"/>
      <c r="T781" s="764"/>
      <c r="U781" s="764"/>
      <c r="V781" s="764"/>
      <c r="W781" s="764"/>
      <c r="X781" s="764"/>
      <c r="Y781" s="764"/>
      <c r="Z781" s="764"/>
    </row>
    <row r="782" ht="9.75" customHeight="1">
      <c r="A782" s="764"/>
      <c r="B782" s="764"/>
      <c r="C782" s="764"/>
      <c r="D782" s="764"/>
      <c r="E782" s="764"/>
      <c r="F782" s="763"/>
      <c r="G782" s="763"/>
      <c r="H782" s="763"/>
      <c r="I782" s="764"/>
      <c r="J782" s="764"/>
      <c r="K782" s="764"/>
      <c r="L782" s="764"/>
      <c r="M782" s="764"/>
      <c r="N782" s="764"/>
      <c r="O782" s="764"/>
      <c r="P782" s="764"/>
      <c r="Q782" s="764"/>
      <c r="R782" s="764"/>
      <c r="S782" s="764"/>
      <c r="T782" s="764"/>
      <c r="U782" s="764"/>
      <c r="V782" s="764"/>
      <c r="W782" s="764"/>
      <c r="X782" s="764"/>
      <c r="Y782" s="764"/>
      <c r="Z782" s="764"/>
    </row>
    <row r="783" ht="9.75" customHeight="1">
      <c r="A783" s="764"/>
      <c r="B783" s="764"/>
      <c r="C783" s="764"/>
      <c r="D783" s="764"/>
      <c r="E783" s="764"/>
      <c r="F783" s="763"/>
      <c r="G783" s="763"/>
      <c r="H783" s="763"/>
      <c r="I783" s="764"/>
      <c r="J783" s="764"/>
      <c r="K783" s="764"/>
      <c r="L783" s="764"/>
      <c r="M783" s="764"/>
      <c r="N783" s="764"/>
      <c r="O783" s="764"/>
      <c r="P783" s="764"/>
      <c r="Q783" s="764"/>
      <c r="R783" s="764"/>
      <c r="S783" s="764"/>
      <c r="T783" s="764"/>
      <c r="U783" s="764"/>
      <c r="V783" s="764"/>
      <c r="W783" s="764"/>
      <c r="X783" s="764"/>
      <c r="Y783" s="764"/>
      <c r="Z783" s="764"/>
    </row>
    <row r="784" ht="9.75" customHeight="1">
      <c r="A784" s="764"/>
      <c r="B784" s="764"/>
      <c r="C784" s="764"/>
      <c r="D784" s="764"/>
      <c r="E784" s="764"/>
      <c r="F784" s="763"/>
      <c r="G784" s="763"/>
      <c r="H784" s="763"/>
      <c r="I784" s="764"/>
      <c r="J784" s="764"/>
      <c r="K784" s="764"/>
      <c r="L784" s="764"/>
      <c r="M784" s="764"/>
      <c r="N784" s="764"/>
      <c r="O784" s="764"/>
      <c r="P784" s="764"/>
      <c r="Q784" s="764"/>
      <c r="R784" s="764"/>
      <c r="S784" s="764"/>
      <c r="T784" s="764"/>
      <c r="U784" s="764"/>
      <c r="V784" s="764"/>
      <c r="W784" s="764"/>
      <c r="X784" s="764"/>
      <c r="Y784" s="764"/>
      <c r="Z784" s="764"/>
    </row>
    <row r="785" ht="9.75" customHeight="1">
      <c r="A785" s="764"/>
      <c r="B785" s="764"/>
      <c r="C785" s="764"/>
      <c r="D785" s="764"/>
      <c r="E785" s="764"/>
      <c r="F785" s="763"/>
      <c r="G785" s="763"/>
      <c r="H785" s="763"/>
      <c r="I785" s="764"/>
      <c r="J785" s="764"/>
      <c r="K785" s="764"/>
      <c r="L785" s="764"/>
      <c r="M785" s="764"/>
      <c r="N785" s="764"/>
      <c r="O785" s="764"/>
      <c r="P785" s="764"/>
      <c r="Q785" s="764"/>
      <c r="R785" s="764"/>
      <c r="S785" s="764"/>
      <c r="T785" s="764"/>
      <c r="U785" s="764"/>
      <c r="V785" s="764"/>
      <c r="W785" s="764"/>
      <c r="X785" s="764"/>
      <c r="Y785" s="764"/>
      <c r="Z785" s="764"/>
    </row>
    <row r="786" ht="9.75" customHeight="1">
      <c r="A786" s="764"/>
      <c r="B786" s="764"/>
      <c r="C786" s="764"/>
      <c r="D786" s="764"/>
      <c r="E786" s="764"/>
      <c r="F786" s="763"/>
      <c r="G786" s="763"/>
      <c r="H786" s="763"/>
      <c r="I786" s="764"/>
      <c r="J786" s="764"/>
      <c r="K786" s="764"/>
      <c r="L786" s="764"/>
      <c r="M786" s="764"/>
      <c r="N786" s="764"/>
      <c r="O786" s="764"/>
      <c r="P786" s="764"/>
      <c r="Q786" s="764"/>
      <c r="R786" s="764"/>
      <c r="S786" s="764"/>
      <c r="T786" s="764"/>
      <c r="U786" s="764"/>
      <c r="V786" s="764"/>
      <c r="W786" s="764"/>
      <c r="X786" s="764"/>
      <c r="Y786" s="764"/>
      <c r="Z786" s="764"/>
    </row>
    <row r="787" ht="9.75" customHeight="1">
      <c r="A787" s="764"/>
      <c r="B787" s="764"/>
      <c r="C787" s="764"/>
      <c r="D787" s="764"/>
      <c r="E787" s="764"/>
      <c r="F787" s="763"/>
      <c r="G787" s="763"/>
      <c r="H787" s="763"/>
      <c r="I787" s="764"/>
      <c r="J787" s="764"/>
      <c r="K787" s="764"/>
      <c r="L787" s="764"/>
      <c r="M787" s="764"/>
      <c r="N787" s="764"/>
      <c r="O787" s="764"/>
      <c r="P787" s="764"/>
      <c r="Q787" s="764"/>
      <c r="R787" s="764"/>
      <c r="S787" s="764"/>
      <c r="T787" s="764"/>
      <c r="U787" s="764"/>
      <c r="V787" s="764"/>
      <c r="W787" s="764"/>
      <c r="X787" s="764"/>
      <c r="Y787" s="764"/>
      <c r="Z787" s="764"/>
    </row>
    <row r="788" ht="9.75" customHeight="1">
      <c r="A788" s="764"/>
      <c r="B788" s="764"/>
      <c r="C788" s="764"/>
      <c r="D788" s="764"/>
      <c r="E788" s="764"/>
      <c r="F788" s="763"/>
      <c r="G788" s="763"/>
      <c r="H788" s="763"/>
      <c r="I788" s="764"/>
      <c r="J788" s="764"/>
      <c r="K788" s="764"/>
      <c r="L788" s="764"/>
      <c r="M788" s="764"/>
      <c r="N788" s="764"/>
      <c r="O788" s="764"/>
      <c r="P788" s="764"/>
      <c r="Q788" s="764"/>
      <c r="R788" s="764"/>
      <c r="S788" s="764"/>
      <c r="T788" s="764"/>
      <c r="U788" s="764"/>
      <c r="V788" s="764"/>
      <c r="W788" s="764"/>
      <c r="X788" s="764"/>
      <c r="Y788" s="764"/>
      <c r="Z788" s="764"/>
    </row>
    <row r="789" ht="9.75" customHeight="1">
      <c r="A789" s="764"/>
      <c r="B789" s="764"/>
      <c r="C789" s="764"/>
      <c r="D789" s="764"/>
      <c r="E789" s="764"/>
      <c r="F789" s="763"/>
      <c r="G789" s="763"/>
      <c r="H789" s="763"/>
      <c r="I789" s="764"/>
      <c r="J789" s="764"/>
      <c r="K789" s="764"/>
      <c r="L789" s="764"/>
      <c r="M789" s="764"/>
      <c r="N789" s="764"/>
      <c r="O789" s="764"/>
      <c r="P789" s="764"/>
      <c r="Q789" s="764"/>
      <c r="R789" s="764"/>
      <c r="S789" s="764"/>
      <c r="T789" s="764"/>
      <c r="U789" s="764"/>
      <c r="V789" s="764"/>
      <c r="W789" s="764"/>
      <c r="X789" s="764"/>
      <c r="Y789" s="764"/>
      <c r="Z789" s="764"/>
    </row>
    <row r="790" ht="9.75" customHeight="1">
      <c r="A790" s="764"/>
      <c r="B790" s="764"/>
      <c r="C790" s="764"/>
      <c r="D790" s="764"/>
      <c r="E790" s="764"/>
      <c r="F790" s="763"/>
      <c r="G790" s="763"/>
      <c r="H790" s="763"/>
      <c r="I790" s="764"/>
      <c r="J790" s="764"/>
      <c r="K790" s="764"/>
      <c r="L790" s="764"/>
      <c r="M790" s="764"/>
      <c r="N790" s="764"/>
      <c r="O790" s="764"/>
      <c r="P790" s="764"/>
      <c r="Q790" s="764"/>
      <c r="R790" s="764"/>
      <c r="S790" s="764"/>
      <c r="T790" s="764"/>
      <c r="U790" s="764"/>
      <c r="V790" s="764"/>
      <c r="W790" s="764"/>
      <c r="X790" s="764"/>
      <c r="Y790" s="764"/>
      <c r="Z790" s="764"/>
    </row>
    <row r="791" ht="9.75" customHeight="1">
      <c r="A791" s="764"/>
      <c r="B791" s="764"/>
      <c r="C791" s="764"/>
      <c r="D791" s="764"/>
      <c r="E791" s="764"/>
      <c r="F791" s="763"/>
      <c r="G791" s="763"/>
      <c r="H791" s="763"/>
      <c r="I791" s="764"/>
      <c r="J791" s="764"/>
      <c r="K791" s="764"/>
      <c r="L791" s="764"/>
      <c r="M791" s="764"/>
      <c r="N791" s="764"/>
      <c r="O791" s="764"/>
      <c r="P791" s="764"/>
      <c r="Q791" s="764"/>
      <c r="R791" s="764"/>
      <c r="S791" s="764"/>
      <c r="T791" s="764"/>
      <c r="U791" s="764"/>
      <c r="V791" s="764"/>
      <c r="W791" s="764"/>
      <c r="X791" s="764"/>
      <c r="Y791" s="764"/>
      <c r="Z791" s="764"/>
    </row>
    <row r="792" ht="9.75" customHeight="1">
      <c r="A792" s="764"/>
      <c r="B792" s="764"/>
      <c r="C792" s="764"/>
      <c r="D792" s="764"/>
      <c r="E792" s="764"/>
      <c r="F792" s="763"/>
      <c r="G792" s="763"/>
      <c r="H792" s="763"/>
      <c r="I792" s="764"/>
      <c r="J792" s="764"/>
      <c r="K792" s="764"/>
      <c r="L792" s="764"/>
      <c r="M792" s="764"/>
      <c r="N792" s="764"/>
      <c r="O792" s="764"/>
      <c r="P792" s="764"/>
      <c r="Q792" s="764"/>
      <c r="R792" s="764"/>
      <c r="S792" s="764"/>
      <c r="T792" s="764"/>
      <c r="U792" s="764"/>
      <c r="V792" s="764"/>
      <c r="W792" s="764"/>
      <c r="X792" s="764"/>
      <c r="Y792" s="764"/>
      <c r="Z792" s="764"/>
    </row>
    <row r="793" ht="9.75" customHeight="1">
      <c r="A793" s="764"/>
      <c r="B793" s="764"/>
      <c r="C793" s="764"/>
      <c r="D793" s="764"/>
      <c r="E793" s="764"/>
      <c r="F793" s="763"/>
      <c r="G793" s="763"/>
      <c r="H793" s="763"/>
      <c r="I793" s="764"/>
      <c r="J793" s="764"/>
      <c r="K793" s="764"/>
      <c r="L793" s="764"/>
      <c r="M793" s="764"/>
      <c r="N793" s="764"/>
      <c r="O793" s="764"/>
      <c r="P793" s="764"/>
      <c r="Q793" s="764"/>
      <c r="R793" s="764"/>
      <c r="S793" s="764"/>
      <c r="T793" s="764"/>
      <c r="U793" s="764"/>
      <c r="V793" s="764"/>
      <c r="W793" s="764"/>
      <c r="X793" s="764"/>
      <c r="Y793" s="764"/>
      <c r="Z793" s="764"/>
    </row>
    <row r="794" ht="9.75" customHeight="1">
      <c r="A794" s="764"/>
      <c r="B794" s="764"/>
      <c r="C794" s="764"/>
      <c r="D794" s="764"/>
      <c r="E794" s="764"/>
      <c r="F794" s="763"/>
      <c r="G794" s="763"/>
      <c r="H794" s="763"/>
      <c r="I794" s="764"/>
      <c r="J794" s="764"/>
      <c r="K794" s="764"/>
      <c r="L794" s="764"/>
      <c r="M794" s="764"/>
      <c r="N794" s="764"/>
      <c r="O794" s="764"/>
      <c r="P794" s="764"/>
      <c r="Q794" s="764"/>
      <c r="R794" s="764"/>
      <c r="S794" s="764"/>
      <c r="T794" s="764"/>
      <c r="U794" s="764"/>
      <c r="V794" s="764"/>
      <c r="W794" s="764"/>
      <c r="X794" s="764"/>
      <c r="Y794" s="764"/>
      <c r="Z794" s="764"/>
    </row>
    <row r="795" ht="9.75" customHeight="1">
      <c r="A795" s="764"/>
      <c r="B795" s="764"/>
      <c r="C795" s="764"/>
      <c r="D795" s="764"/>
      <c r="E795" s="764"/>
      <c r="F795" s="763"/>
      <c r="G795" s="763"/>
      <c r="H795" s="763"/>
      <c r="I795" s="764"/>
      <c r="J795" s="764"/>
      <c r="K795" s="764"/>
      <c r="L795" s="764"/>
      <c r="M795" s="764"/>
      <c r="N795" s="764"/>
      <c r="O795" s="764"/>
      <c r="P795" s="764"/>
      <c r="Q795" s="764"/>
      <c r="R795" s="764"/>
      <c r="S795" s="764"/>
      <c r="T795" s="764"/>
      <c r="U795" s="764"/>
      <c r="V795" s="764"/>
      <c r="W795" s="764"/>
      <c r="X795" s="764"/>
      <c r="Y795" s="764"/>
      <c r="Z795" s="764"/>
    </row>
    <row r="796" ht="9.75" customHeight="1">
      <c r="A796" s="764"/>
      <c r="B796" s="764"/>
      <c r="C796" s="764"/>
      <c r="D796" s="764"/>
      <c r="E796" s="764"/>
      <c r="F796" s="763"/>
      <c r="G796" s="763"/>
      <c r="H796" s="763"/>
      <c r="I796" s="764"/>
      <c r="J796" s="764"/>
      <c r="K796" s="764"/>
      <c r="L796" s="764"/>
      <c r="M796" s="764"/>
      <c r="N796" s="764"/>
      <c r="O796" s="764"/>
      <c r="P796" s="764"/>
      <c r="Q796" s="764"/>
      <c r="R796" s="764"/>
      <c r="S796" s="764"/>
      <c r="T796" s="764"/>
      <c r="U796" s="764"/>
      <c r="V796" s="764"/>
      <c r="W796" s="764"/>
      <c r="X796" s="764"/>
      <c r="Y796" s="764"/>
      <c r="Z796" s="764"/>
    </row>
    <row r="797" ht="9.75" customHeight="1">
      <c r="A797" s="764"/>
      <c r="B797" s="764"/>
      <c r="C797" s="764"/>
      <c r="D797" s="764"/>
      <c r="E797" s="764"/>
      <c r="F797" s="763"/>
      <c r="G797" s="763"/>
      <c r="H797" s="763"/>
      <c r="I797" s="764"/>
      <c r="J797" s="764"/>
      <c r="K797" s="764"/>
      <c r="L797" s="764"/>
      <c r="M797" s="764"/>
      <c r="N797" s="764"/>
      <c r="O797" s="764"/>
      <c r="P797" s="764"/>
      <c r="Q797" s="764"/>
      <c r="R797" s="764"/>
      <c r="S797" s="764"/>
      <c r="T797" s="764"/>
      <c r="U797" s="764"/>
      <c r="V797" s="764"/>
      <c r="W797" s="764"/>
      <c r="X797" s="764"/>
      <c r="Y797" s="764"/>
      <c r="Z797" s="764"/>
    </row>
    <row r="798" ht="9.75" customHeight="1">
      <c r="A798" s="764"/>
      <c r="B798" s="764"/>
      <c r="C798" s="764"/>
      <c r="D798" s="764"/>
      <c r="E798" s="764"/>
      <c r="F798" s="763"/>
      <c r="G798" s="763"/>
      <c r="H798" s="763"/>
      <c r="I798" s="764"/>
      <c r="J798" s="764"/>
      <c r="K798" s="764"/>
      <c r="L798" s="764"/>
      <c r="M798" s="764"/>
      <c r="N798" s="764"/>
      <c r="O798" s="764"/>
      <c r="P798" s="764"/>
      <c r="Q798" s="764"/>
      <c r="R798" s="764"/>
      <c r="S798" s="764"/>
      <c r="T798" s="764"/>
      <c r="U798" s="764"/>
      <c r="V798" s="764"/>
      <c r="W798" s="764"/>
      <c r="X798" s="764"/>
      <c r="Y798" s="764"/>
      <c r="Z798" s="764"/>
    </row>
    <row r="799" ht="9.75" customHeight="1">
      <c r="A799" s="764"/>
      <c r="B799" s="764"/>
      <c r="C799" s="764"/>
      <c r="D799" s="764"/>
      <c r="E799" s="764"/>
      <c r="F799" s="763"/>
      <c r="G799" s="763"/>
      <c r="H799" s="763"/>
      <c r="I799" s="764"/>
      <c r="J799" s="764"/>
      <c r="K799" s="764"/>
      <c r="L799" s="764"/>
      <c r="M799" s="764"/>
      <c r="N799" s="764"/>
      <c r="O799" s="764"/>
      <c r="P799" s="764"/>
      <c r="Q799" s="764"/>
      <c r="R799" s="764"/>
      <c r="S799" s="764"/>
      <c r="T799" s="764"/>
      <c r="U799" s="764"/>
      <c r="V799" s="764"/>
      <c r="W799" s="764"/>
      <c r="X799" s="764"/>
      <c r="Y799" s="764"/>
      <c r="Z799" s="764"/>
    </row>
    <row r="800" ht="9.75" customHeight="1">
      <c r="A800" s="764"/>
      <c r="B800" s="764"/>
      <c r="C800" s="764"/>
      <c r="D800" s="764"/>
      <c r="E800" s="764"/>
      <c r="F800" s="763"/>
      <c r="G800" s="763"/>
      <c r="H800" s="763"/>
      <c r="I800" s="764"/>
      <c r="J800" s="764"/>
      <c r="K800" s="764"/>
      <c r="L800" s="764"/>
      <c r="M800" s="764"/>
      <c r="N800" s="764"/>
      <c r="O800" s="764"/>
      <c r="P800" s="764"/>
      <c r="Q800" s="764"/>
      <c r="R800" s="764"/>
      <c r="S800" s="764"/>
      <c r="T800" s="764"/>
      <c r="U800" s="764"/>
      <c r="V800" s="764"/>
      <c r="W800" s="764"/>
      <c r="X800" s="764"/>
      <c r="Y800" s="764"/>
      <c r="Z800" s="764"/>
    </row>
    <row r="801" ht="9.75" customHeight="1">
      <c r="A801" s="764"/>
      <c r="B801" s="764"/>
      <c r="C801" s="764"/>
      <c r="D801" s="764"/>
      <c r="E801" s="764"/>
      <c r="F801" s="763"/>
      <c r="G801" s="763"/>
      <c r="H801" s="763"/>
      <c r="I801" s="764"/>
      <c r="J801" s="764"/>
      <c r="K801" s="764"/>
      <c r="L801" s="764"/>
      <c r="M801" s="764"/>
      <c r="N801" s="764"/>
      <c r="O801" s="764"/>
      <c r="P801" s="764"/>
      <c r="Q801" s="764"/>
      <c r="R801" s="764"/>
      <c r="S801" s="764"/>
      <c r="T801" s="764"/>
      <c r="U801" s="764"/>
      <c r="V801" s="764"/>
      <c r="W801" s="764"/>
      <c r="X801" s="764"/>
      <c r="Y801" s="764"/>
      <c r="Z801" s="764"/>
    </row>
    <row r="802" ht="9.75" customHeight="1">
      <c r="A802" s="764"/>
      <c r="B802" s="764"/>
      <c r="C802" s="764"/>
      <c r="D802" s="764"/>
      <c r="E802" s="764"/>
      <c r="F802" s="763"/>
      <c r="G802" s="763"/>
      <c r="H802" s="763"/>
      <c r="I802" s="764"/>
      <c r="J802" s="764"/>
      <c r="K802" s="764"/>
      <c r="L802" s="764"/>
      <c r="M802" s="764"/>
      <c r="N802" s="764"/>
      <c r="O802" s="764"/>
      <c r="P802" s="764"/>
      <c r="Q802" s="764"/>
      <c r="R802" s="764"/>
      <c r="S802" s="764"/>
      <c r="T802" s="764"/>
      <c r="U802" s="764"/>
      <c r="V802" s="764"/>
      <c r="W802" s="764"/>
      <c r="X802" s="764"/>
      <c r="Y802" s="764"/>
      <c r="Z802" s="764"/>
    </row>
    <row r="803" ht="9.75" customHeight="1">
      <c r="A803" s="764"/>
      <c r="B803" s="764"/>
      <c r="C803" s="764"/>
      <c r="D803" s="764"/>
      <c r="E803" s="764"/>
      <c r="F803" s="763"/>
      <c r="G803" s="763"/>
      <c r="H803" s="763"/>
      <c r="I803" s="764"/>
      <c r="J803" s="764"/>
      <c r="K803" s="764"/>
      <c r="L803" s="764"/>
      <c r="M803" s="764"/>
      <c r="N803" s="764"/>
      <c r="O803" s="764"/>
      <c r="P803" s="764"/>
      <c r="Q803" s="764"/>
      <c r="R803" s="764"/>
      <c r="S803" s="764"/>
      <c r="T803" s="764"/>
      <c r="U803" s="764"/>
      <c r="V803" s="764"/>
      <c r="W803" s="764"/>
      <c r="X803" s="764"/>
      <c r="Y803" s="764"/>
      <c r="Z803" s="764"/>
    </row>
    <row r="804" ht="9.75" customHeight="1">
      <c r="A804" s="764"/>
      <c r="B804" s="764"/>
      <c r="C804" s="764"/>
      <c r="D804" s="764"/>
      <c r="E804" s="764"/>
      <c r="F804" s="763"/>
      <c r="G804" s="763"/>
      <c r="H804" s="763"/>
      <c r="I804" s="764"/>
      <c r="J804" s="764"/>
      <c r="K804" s="764"/>
      <c r="L804" s="764"/>
      <c r="M804" s="764"/>
      <c r="N804" s="764"/>
      <c r="O804" s="764"/>
      <c r="P804" s="764"/>
      <c r="Q804" s="764"/>
      <c r="R804" s="764"/>
      <c r="S804" s="764"/>
      <c r="T804" s="764"/>
      <c r="U804" s="764"/>
      <c r="V804" s="764"/>
      <c r="W804" s="764"/>
      <c r="X804" s="764"/>
      <c r="Y804" s="764"/>
      <c r="Z804" s="764"/>
    </row>
    <row r="805" ht="9.75" customHeight="1">
      <c r="A805" s="764"/>
      <c r="B805" s="764"/>
      <c r="C805" s="764"/>
      <c r="D805" s="764"/>
      <c r="E805" s="764"/>
      <c r="F805" s="763"/>
      <c r="G805" s="763"/>
      <c r="H805" s="763"/>
      <c r="I805" s="764"/>
      <c r="J805" s="764"/>
      <c r="K805" s="764"/>
      <c r="L805" s="764"/>
      <c r="M805" s="764"/>
      <c r="N805" s="764"/>
      <c r="O805" s="764"/>
      <c r="P805" s="764"/>
      <c r="Q805" s="764"/>
      <c r="R805" s="764"/>
      <c r="S805" s="764"/>
      <c r="T805" s="764"/>
      <c r="U805" s="764"/>
      <c r="V805" s="764"/>
      <c r="W805" s="764"/>
      <c r="X805" s="764"/>
      <c r="Y805" s="764"/>
      <c r="Z805" s="764"/>
    </row>
    <row r="806" ht="9.75" customHeight="1">
      <c r="A806" s="764"/>
      <c r="B806" s="764"/>
      <c r="C806" s="764"/>
      <c r="D806" s="764"/>
      <c r="E806" s="764"/>
      <c r="F806" s="763"/>
      <c r="G806" s="763"/>
      <c r="H806" s="763"/>
      <c r="I806" s="764"/>
      <c r="J806" s="764"/>
      <c r="K806" s="764"/>
      <c r="L806" s="764"/>
      <c r="M806" s="764"/>
      <c r="N806" s="764"/>
      <c r="O806" s="764"/>
      <c r="P806" s="764"/>
      <c r="Q806" s="764"/>
      <c r="R806" s="764"/>
      <c r="S806" s="764"/>
      <c r="T806" s="764"/>
      <c r="U806" s="764"/>
      <c r="V806" s="764"/>
      <c r="W806" s="764"/>
      <c r="X806" s="764"/>
      <c r="Y806" s="764"/>
      <c r="Z806" s="764"/>
    </row>
    <row r="807" ht="9.75" customHeight="1">
      <c r="A807" s="764"/>
      <c r="B807" s="764"/>
      <c r="C807" s="764"/>
      <c r="D807" s="764"/>
      <c r="E807" s="764"/>
      <c r="F807" s="763"/>
      <c r="G807" s="763"/>
      <c r="H807" s="763"/>
      <c r="I807" s="764"/>
      <c r="J807" s="764"/>
      <c r="K807" s="764"/>
      <c r="L807" s="764"/>
      <c r="M807" s="764"/>
      <c r="N807" s="764"/>
      <c r="O807" s="764"/>
      <c r="P807" s="764"/>
      <c r="Q807" s="764"/>
      <c r="R807" s="764"/>
      <c r="S807" s="764"/>
      <c r="T807" s="764"/>
      <c r="U807" s="764"/>
      <c r="V807" s="764"/>
      <c r="W807" s="764"/>
      <c r="X807" s="764"/>
      <c r="Y807" s="764"/>
      <c r="Z807" s="764"/>
    </row>
    <row r="808" ht="9.75" customHeight="1">
      <c r="A808" s="764"/>
      <c r="B808" s="764"/>
      <c r="C808" s="764"/>
      <c r="D808" s="764"/>
      <c r="E808" s="764"/>
      <c r="F808" s="763"/>
      <c r="G808" s="763"/>
      <c r="H808" s="763"/>
      <c r="I808" s="764"/>
      <c r="J808" s="764"/>
      <c r="K808" s="764"/>
      <c r="L808" s="764"/>
      <c r="M808" s="764"/>
      <c r="N808" s="764"/>
      <c r="O808" s="764"/>
      <c r="P808" s="764"/>
      <c r="Q808" s="764"/>
      <c r="R808" s="764"/>
      <c r="S808" s="764"/>
      <c r="T808" s="764"/>
      <c r="U808" s="764"/>
      <c r="V808" s="764"/>
      <c r="W808" s="764"/>
      <c r="X808" s="764"/>
      <c r="Y808" s="764"/>
      <c r="Z808" s="764"/>
    </row>
    <row r="809" ht="9.75" customHeight="1">
      <c r="A809" s="764"/>
      <c r="B809" s="764"/>
      <c r="C809" s="764"/>
      <c r="D809" s="764"/>
      <c r="E809" s="764"/>
      <c r="F809" s="763"/>
      <c r="G809" s="763"/>
      <c r="H809" s="763"/>
      <c r="I809" s="764"/>
      <c r="J809" s="764"/>
      <c r="K809" s="764"/>
      <c r="L809" s="764"/>
      <c r="M809" s="764"/>
      <c r="N809" s="764"/>
      <c r="O809" s="764"/>
      <c r="P809" s="764"/>
      <c r="Q809" s="764"/>
      <c r="R809" s="764"/>
      <c r="S809" s="764"/>
      <c r="T809" s="764"/>
      <c r="U809" s="764"/>
      <c r="V809" s="764"/>
      <c r="W809" s="764"/>
      <c r="X809" s="764"/>
      <c r="Y809" s="764"/>
      <c r="Z809" s="764"/>
    </row>
    <row r="810" ht="9.75" customHeight="1">
      <c r="A810" s="764"/>
      <c r="B810" s="764"/>
      <c r="C810" s="764"/>
      <c r="D810" s="764"/>
      <c r="E810" s="764"/>
      <c r="F810" s="763"/>
      <c r="G810" s="763"/>
      <c r="H810" s="763"/>
      <c r="I810" s="764"/>
      <c r="J810" s="764"/>
      <c r="K810" s="764"/>
      <c r="L810" s="764"/>
      <c r="M810" s="764"/>
      <c r="N810" s="764"/>
      <c r="O810" s="764"/>
      <c r="P810" s="764"/>
      <c r="Q810" s="764"/>
      <c r="R810" s="764"/>
      <c r="S810" s="764"/>
      <c r="T810" s="764"/>
      <c r="U810" s="764"/>
      <c r="V810" s="764"/>
      <c r="W810" s="764"/>
      <c r="X810" s="764"/>
      <c r="Y810" s="764"/>
      <c r="Z810" s="764"/>
    </row>
    <row r="811" ht="9.75" customHeight="1">
      <c r="A811" s="764"/>
      <c r="B811" s="764"/>
      <c r="C811" s="764"/>
      <c r="D811" s="764"/>
      <c r="E811" s="764"/>
      <c r="F811" s="763"/>
      <c r="G811" s="763"/>
      <c r="H811" s="763"/>
      <c r="I811" s="764"/>
      <c r="J811" s="764"/>
      <c r="K811" s="764"/>
      <c r="L811" s="764"/>
      <c r="M811" s="764"/>
      <c r="N811" s="764"/>
      <c r="O811" s="764"/>
      <c r="P811" s="764"/>
      <c r="Q811" s="764"/>
      <c r="R811" s="764"/>
      <c r="S811" s="764"/>
      <c r="T811" s="764"/>
      <c r="U811" s="764"/>
      <c r="V811" s="764"/>
      <c r="W811" s="764"/>
      <c r="X811" s="764"/>
      <c r="Y811" s="764"/>
      <c r="Z811" s="764"/>
    </row>
    <row r="812" ht="9.75" customHeight="1">
      <c r="A812" s="764"/>
      <c r="B812" s="764"/>
      <c r="C812" s="764"/>
      <c r="D812" s="764"/>
      <c r="E812" s="764"/>
      <c r="F812" s="763"/>
      <c r="G812" s="763"/>
      <c r="H812" s="763"/>
      <c r="I812" s="764"/>
      <c r="J812" s="764"/>
      <c r="K812" s="764"/>
      <c r="L812" s="764"/>
      <c r="M812" s="764"/>
      <c r="N812" s="764"/>
      <c r="O812" s="764"/>
      <c r="P812" s="764"/>
      <c r="Q812" s="764"/>
      <c r="R812" s="764"/>
      <c r="S812" s="764"/>
      <c r="T812" s="764"/>
      <c r="U812" s="764"/>
      <c r="V812" s="764"/>
      <c r="W812" s="764"/>
      <c r="X812" s="764"/>
      <c r="Y812" s="764"/>
      <c r="Z812" s="764"/>
    </row>
    <row r="813" ht="9.75" customHeight="1">
      <c r="A813" s="764"/>
      <c r="B813" s="764"/>
      <c r="C813" s="764"/>
      <c r="D813" s="764"/>
      <c r="E813" s="764"/>
      <c r="F813" s="763"/>
      <c r="G813" s="763"/>
      <c r="H813" s="763"/>
      <c r="I813" s="764"/>
      <c r="J813" s="764"/>
      <c r="K813" s="764"/>
      <c r="L813" s="764"/>
      <c r="M813" s="764"/>
      <c r="N813" s="764"/>
      <c r="O813" s="764"/>
      <c r="P813" s="764"/>
      <c r="Q813" s="764"/>
      <c r="R813" s="764"/>
      <c r="S813" s="764"/>
      <c r="T813" s="764"/>
      <c r="U813" s="764"/>
      <c r="V813" s="764"/>
      <c r="W813" s="764"/>
      <c r="X813" s="764"/>
      <c r="Y813" s="764"/>
      <c r="Z813" s="764"/>
    </row>
    <row r="814" ht="9.75" customHeight="1">
      <c r="A814" s="764"/>
      <c r="B814" s="764"/>
      <c r="C814" s="764"/>
      <c r="D814" s="764"/>
      <c r="E814" s="764"/>
      <c r="F814" s="763"/>
      <c r="G814" s="763"/>
      <c r="H814" s="763"/>
      <c r="I814" s="764"/>
      <c r="J814" s="764"/>
      <c r="K814" s="764"/>
      <c r="L814" s="764"/>
      <c r="M814" s="764"/>
      <c r="N814" s="764"/>
      <c r="O814" s="764"/>
      <c r="P814" s="764"/>
      <c r="Q814" s="764"/>
      <c r="R814" s="764"/>
      <c r="S814" s="764"/>
      <c r="T814" s="764"/>
      <c r="U814" s="764"/>
      <c r="V814" s="764"/>
      <c r="W814" s="764"/>
      <c r="X814" s="764"/>
      <c r="Y814" s="764"/>
      <c r="Z814" s="764"/>
    </row>
    <row r="815" ht="9.75" customHeight="1">
      <c r="A815" s="764"/>
      <c r="B815" s="764"/>
      <c r="C815" s="764"/>
      <c r="D815" s="764"/>
      <c r="E815" s="764"/>
      <c r="F815" s="763"/>
      <c r="G815" s="763"/>
      <c r="H815" s="763"/>
      <c r="I815" s="764"/>
      <c r="J815" s="764"/>
      <c r="K815" s="764"/>
      <c r="L815" s="764"/>
      <c r="M815" s="764"/>
      <c r="N815" s="764"/>
      <c r="O815" s="764"/>
      <c r="P815" s="764"/>
      <c r="Q815" s="764"/>
      <c r="R815" s="764"/>
      <c r="S815" s="764"/>
      <c r="T815" s="764"/>
      <c r="U815" s="764"/>
      <c r="V815" s="764"/>
      <c r="W815" s="764"/>
      <c r="X815" s="764"/>
      <c r="Y815" s="764"/>
      <c r="Z815" s="764"/>
    </row>
    <row r="816" ht="9.75" customHeight="1">
      <c r="A816" s="764"/>
      <c r="B816" s="764"/>
      <c r="C816" s="764"/>
      <c r="D816" s="764"/>
      <c r="E816" s="764"/>
      <c r="F816" s="763"/>
      <c r="G816" s="763"/>
      <c r="H816" s="763"/>
      <c r="I816" s="764"/>
      <c r="J816" s="764"/>
      <c r="K816" s="764"/>
      <c r="L816" s="764"/>
      <c r="M816" s="764"/>
      <c r="N816" s="764"/>
      <c r="O816" s="764"/>
      <c r="P816" s="764"/>
      <c r="Q816" s="764"/>
      <c r="R816" s="764"/>
      <c r="S816" s="764"/>
      <c r="T816" s="764"/>
      <c r="U816" s="764"/>
      <c r="V816" s="764"/>
      <c r="W816" s="764"/>
      <c r="X816" s="764"/>
      <c r="Y816" s="764"/>
      <c r="Z816" s="764"/>
    </row>
    <row r="817" ht="9.75" customHeight="1">
      <c r="A817" s="764"/>
      <c r="B817" s="764"/>
      <c r="C817" s="764"/>
      <c r="D817" s="764"/>
      <c r="E817" s="764"/>
      <c r="F817" s="763"/>
      <c r="G817" s="763"/>
      <c r="H817" s="763"/>
      <c r="I817" s="764"/>
      <c r="J817" s="764"/>
      <c r="K817" s="764"/>
      <c r="L817" s="764"/>
      <c r="M817" s="764"/>
      <c r="N817" s="764"/>
      <c r="O817" s="764"/>
      <c r="P817" s="764"/>
      <c r="Q817" s="764"/>
      <c r="R817" s="764"/>
      <c r="S817" s="764"/>
      <c r="T817" s="764"/>
      <c r="U817" s="764"/>
      <c r="V817" s="764"/>
      <c r="W817" s="764"/>
      <c r="X817" s="764"/>
      <c r="Y817" s="764"/>
      <c r="Z817" s="764"/>
    </row>
    <row r="818" ht="9.75" customHeight="1">
      <c r="A818" s="764"/>
      <c r="B818" s="764"/>
      <c r="C818" s="764"/>
      <c r="D818" s="764"/>
      <c r="E818" s="764"/>
      <c r="F818" s="763"/>
      <c r="G818" s="763"/>
      <c r="H818" s="763"/>
      <c r="I818" s="764"/>
      <c r="J818" s="764"/>
      <c r="K818" s="764"/>
      <c r="L818" s="764"/>
      <c r="M818" s="764"/>
      <c r="N818" s="764"/>
      <c r="O818" s="764"/>
      <c r="P818" s="764"/>
      <c r="Q818" s="764"/>
      <c r="R818" s="764"/>
      <c r="S818" s="764"/>
      <c r="T818" s="764"/>
      <c r="U818" s="764"/>
      <c r="V818" s="764"/>
      <c r="W818" s="764"/>
      <c r="X818" s="764"/>
      <c r="Y818" s="764"/>
      <c r="Z818" s="764"/>
    </row>
    <row r="819" ht="9.75" customHeight="1">
      <c r="A819" s="764"/>
      <c r="B819" s="764"/>
      <c r="C819" s="764"/>
      <c r="D819" s="764"/>
      <c r="E819" s="764"/>
      <c r="F819" s="763"/>
      <c r="G819" s="763"/>
      <c r="H819" s="763"/>
      <c r="I819" s="764"/>
      <c r="J819" s="764"/>
      <c r="K819" s="764"/>
      <c r="L819" s="764"/>
      <c r="M819" s="764"/>
      <c r="N819" s="764"/>
      <c r="O819" s="764"/>
      <c r="P819" s="764"/>
      <c r="Q819" s="764"/>
      <c r="R819" s="764"/>
      <c r="S819" s="764"/>
      <c r="T819" s="764"/>
      <c r="U819" s="764"/>
      <c r="V819" s="764"/>
      <c r="W819" s="764"/>
      <c r="X819" s="764"/>
      <c r="Y819" s="764"/>
      <c r="Z819" s="764"/>
    </row>
    <row r="820" ht="9.75" customHeight="1">
      <c r="A820" s="764"/>
      <c r="B820" s="764"/>
      <c r="C820" s="764"/>
      <c r="D820" s="764"/>
      <c r="E820" s="764"/>
      <c r="F820" s="763"/>
      <c r="G820" s="763"/>
      <c r="H820" s="763"/>
      <c r="I820" s="764"/>
      <c r="J820" s="764"/>
      <c r="K820" s="764"/>
      <c r="L820" s="764"/>
      <c r="M820" s="764"/>
      <c r="N820" s="764"/>
      <c r="O820" s="764"/>
      <c r="P820" s="764"/>
      <c r="Q820" s="764"/>
      <c r="R820" s="764"/>
      <c r="S820" s="764"/>
      <c r="T820" s="764"/>
      <c r="U820" s="764"/>
      <c r="V820" s="764"/>
      <c r="W820" s="764"/>
      <c r="X820" s="764"/>
      <c r="Y820" s="764"/>
      <c r="Z820" s="764"/>
    </row>
    <row r="821" ht="9.75" customHeight="1">
      <c r="A821" s="764"/>
      <c r="B821" s="764"/>
      <c r="C821" s="764"/>
      <c r="D821" s="764"/>
      <c r="E821" s="764"/>
      <c r="F821" s="763"/>
      <c r="G821" s="763"/>
      <c r="H821" s="763"/>
      <c r="I821" s="764"/>
      <c r="J821" s="764"/>
      <c r="K821" s="764"/>
      <c r="L821" s="764"/>
      <c r="M821" s="764"/>
      <c r="N821" s="764"/>
      <c r="O821" s="764"/>
      <c r="P821" s="764"/>
      <c r="Q821" s="764"/>
      <c r="R821" s="764"/>
      <c r="S821" s="764"/>
      <c r="T821" s="764"/>
      <c r="U821" s="764"/>
      <c r="V821" s="764"/>
      <c r="W821" s="764"/>
      <c r="X821" s="764"/>
      <c r="Y821" s="764"/>
      <c r="Z821" s="764"/>
    </row>
    <row r="822" ht="9.75" customHeight="1">
      <c r="A822" s="764"/>
      <c r="B822" s="764"/>
      <c r="C822" s="764"/>
      <c r="D822" s="764"/>
      <c r="E822" s="764"/>
      <c r="F822" s="763"/>
      <c r="G822" s="763"/>
      <c r="H822" s="763"/>
      <c r="I822" s="764"/>
      <c r="J822" s="764"/>
      <c r="K822" s="764"/>
      <c r="L822" s="764"/>
      <c r="M822" s="764"/>
      <c r="N822" s="764"/>
      <c r="O822" s="764"/>
      <c r="P822" s="764"/>
      <c r="Q822" s="764"/>
      <c r="R822" s="764"/>
      <c r="S822" s="764"/>
      <c r="T822" s="764"/>
      <c r="U822" s="764"/>
      <c r="V822" s="764"/>
      <c r="W822" s="764"/>
      <c r="X822" s="764"/>
      <c r="Y822" s="764"/>
      <c r="Z822" s="764"/>
    </row>
    <row r="823" ht="9.75" customHeight="1">
      <c r="A823" s="764"/>
      <c r="B823" s="764"/>
      <c r="C823" s="764"/>
      <c r="D823" s="764"/>
      <c r="E823" s="764"/>
      <c r="F823" s="763"/>
      <c r="G823" s="763"/>
      <c r="H823" s="763"/>
      <c r="I823" s="764"/>
      <c r="J823" s="764"/>
      <c r="K823" s="764"/>
      <c r="L823" s="764"/>
      <c r="M823" s="764"/>
      <c r="N823" s="764"/>
      <c r="O823" s="764"/>
      <c r="P823" s="764"/>
      <c r="Q823" s="764"/>
      <c r="R823" s="764"/>
      <c r="S823" s="764"/>
      <c r="T823" s="764"/>
      <c r="U823" s="764"/>
      <c r="V823" s="764"/>
      <c r="W823" s="764"/>
      <c r="X823" s="764"/>
      <c r="Y823" s="764"/>
      <c r="Z823" s="764"/>
    </row>
    <row r="824" ht="9.75" customHeight="1">
      <c r="A824" s="764"/>
      <c r="B824" s="764"/>
      <c r="C824" s="764"/>
      <c r="D824" s="764"/>
      <c r="E824" s="764"/>
      <c r="F824" s="763"/>
      <c r="G824" s="763"/>
      <c r="H824" s="763"/>
      <c r="I824" s="764"/>
      <c r="J824" s="764"/>
      <c r="K824" s="764"/>
      <c r="L824" s="764"/>
      <c r="M824" s="764"/>
      <c r="N824" s="764"/>
      <c r="O824" s="764"/>
      <c r="P824" s="764"/>
      <c r="Q824" s="764"/>
      <c r="R824" s="764"/>
      <c r="S824" s="764"/>
      <c r="T824" s="764"/>
      <c r="U824" s="764"/>
      <c r="V824" s="764"/>
      <c r="W824" s="764"/>
      <c r="X824" s="764"/>
      <c r="Y824" s="764"/>
      <c r="Z824" s="764"/>
    </row>
    <row r="825" ht="9.75" customHeight="1">
      <c r="A825" s="764"/>
      <c r="B825" s="764"/>
      <c r="C825" s="764"/>
      <c r="D825" s="764"/>
      <c r="E825" s="764"/>
      <c r="F825" s="763"/>
      <c r="G825" s="763"/>
      <c r="H825" s="763"/>
      <c r="I825" s="764"/>
      <c r="J825" s="764"/>
      <c r="K825" s="764"/>
      <c r="L825" s="764"/>
      <c r="M825" s="764"/>
      <c r="N825" s="764"/>
      <c r="O825" s="764"/>
      <c r="P825" s="764"/>
      <c r="Q825" s="764"/>
      <c r="R825" s="764"/>
      <c r="S825" s="764"/>
      <c r="T825" s="764"/>
      <c r="U825" s="764"/>
      <c r="V825" s="764"/>
      <c r="W825" s="764"/>
      <c r="X825" s="764"/>
      <c r="Y825" s="764"/>
      <c r="Z825" s="764"/>
    </row>
    <row r="826" ht="9.75" customHeight="1">
      <c r="A826" s="764"/>
      <c r="B826" s="764"/>
      <c r="C826" s="764"/>
      <c r="D826" s="764"/>
      <c r="E826" s="764"/>
      <c r="F826" s="763"/>
      <c r="G826" s="763"/>
      <c r="H826" s="763"/>
      <c r="I826" s="764"/>
      <c r="J826" s="764"/>
      <c r="K826" s="764"/>
      <c r="L826" s="764"/>
      <c r="M826" s="764"/>
      <c r="N826" s="764"/>
      <c r="O826" s="764"/>
      <c r="P826" s="764"/>
      <c r="Q826" s="764"/>
      <c r="R826" s="764"/>
      <c r="S826" s="764"/>
      <c r="T826" s="764"/>
      <c r="U826" s="764"/>
      <c r="V826" s="764"/>
      <c r="W826" s="764"/>
      <c r="X826" s="764"/>
      <c r="Y826" s="764"/>
      <c r="Z826" s="764"/>
    </row>
    <row r="827" ht="9.75" customHeight="1">
      <c r="A827" s="764"/>
      <c r="B827" s="764"/>
      <c r="C827" s="764"/>
      <c r="D827" s="764"/>
      <c r="E827" s="764"/>
      <c r="F827" s="763"/>
      <c r="G827" s="763"/>
      <c r="H827" s="763"/>
      <c r="I827" s="764"/>
      <c r="J827" s="764"/>
      <c r="K827" s="764"/>
      <c r="L827" s="764"/>
      <c r="M827" s="764"/>
      <c r="N827" s="764"/>
      <c r="O827" s="764"/>
      <c r="P827" s="764"/>
      <c r="Q827" s="764"/>
      <c r="R827" s="764"/>
      <c r="S827" s="764"/>
      <c r="T827" s="764"/>
      <c r="U827" s="764"/>
      <c r="V827" s="764"/>
      <c r="W827" s="764"/>
      <c r="X827" s="764"/>
      <c r="Y827" s="764"/>
      <c r="Z827" s="764"/>
    </row>
    <row r="828" ht="9.75" customHeight="1">
      <c r="A828" s="764"/>
      <c r="B828" s="764"/>
      <c r="C828" s="764"/>
      <c r="D828" s="764"/>
      <c r="E828" s="764"/>
      <c r="F828" s="763"/>
      <c r="G828" s="763"/>
      <c r="H828" s="763"/>
      <c r="I828" s="764"/>
      <c r="J828" s="764"/>
      <c r="K828" s="764"/>
      <c r="L828" s="764"/>
      <c r="M828" s="764"/>
      <c r="N828" s="764"/>
      <c r="O828" s="764"/>
      <c r="P828" s="764"/>
      <c r="Q828" s="764"/>
      <c r="R828" s="764"/>
      <c r="S828" s="764"/>
      <c r="T828" s="764"/>
      <c r="U828" s="764"/>
      <c r="V828" s="764"/>
      <c r="W828" s="764"/>
      <c r="X828" s="764"/>
      <c r="Y828" s="764"/>
      <c r="Z828" s="764"/>
    </row>
    <row r="829" ht="9.75" customHeight="1">
      <c r="A829" s="764"/>
      <c r="B829" s="764"/>
      <c r="C829" s="764"/>
      <c r="D829" s="764"/>
      <c r="E829" s="764"/>
      <c r="F829" s="763"/>
      <c r="G829" s="763"/>
      <c r="H829" s="763"/>
      <c r="I829" s="764"/>
      <c r="J829" s="764"/>
      <c r="K829" s="764"/>
      <c r="L829" s="764"/>
      <c r="M829" s="764"/>
      <c r="N829" s="764"/>
      <c r="O829" s="764"/>
      <c r="P829" s="764"/>
      <c r="Q829" s="764"/>
      <c r="R829" s="764"/>
      <c r="S829" s="764"/>
      <c r="T829" s="764"/>
      <c r="U829" s="764"/>
      <c r="V829" s="764"/>
      <c r="W829" s="764"/>
      <c r="X829" s="764"/>
      <c r="Y829" s="764"/>
      <c r="Z829" s="764"/>
    </row>
    <row r="830" ht="9.75" customHeight="1">
      <c r="A830" s="764"/>
      <c r="B830" s="764"/>
      <c r="C830" s="764"/>
      <c r="D830" s="764"/>
      <c r="E830" s="764"/>
      <c r="F830" s="763"/>
      <c r="G830" s="763"/>
      <c r="H830" s="763"/>
      <c r="I830" s="764"/>
      <c r="J830" s="764"/>
      <c r="K830" s="764"/>
      <c r="L830" s="764"/>
      <c r="M830" s="764"/>
      <c r="N830" s="764"/>
      <c r="O830" s="764"/>
      <c r="P830" s="764"/>
      <c r="Q830" s="764"/>
      <c r="R830" s="764"/>
      <c r="S830" s="764"/>
      <c r="T830" s="764"/>
      <c r="U830" s="764"/>
      <c r="V830" s="764"/>
      <c r="W830" s="764"/>
      <c r="X830" s="764"/>
      <c r="Y830" s="764"/>
      <c r="Z830" s="764"/>
    </row>
    <row r="831" ht="9.75" customHeight="1">
      <c r="A831" s="764"/>
      <c r="B831" s="764"/>
      <c r="C831" s="764"/>
      <c r="D831" s="764"/>
      <c r="E831" s="764"/>
      <c r="F831" s="763"/>
      <c r="G831" s="763"/>
      <c r="H831" s="763"/>
      <c r="I831" s="764"/>
      <c r="J831" s="764"/>
      <c r="K831" s="764"/>
      <c r="L831" s="764"/>
      <c r="M831" s="764"/>
      <c r="N831" s="764"/>
      <c r="O831" s="764"/>
      <c r="P831" s="764"/>
      <c r="Q831" s="764"/>
      <c r="R831" s="764"/>
      <c r="S831" s="764"/>
      <c r="T831" s="764"/>
      <c r="U831" s="764"/>
      <c r="V831" s="764"/>
      <c r="W831" s="764"/>
      <c r="X831" s="764"/>
      <c r="Y831" s="764"/>
      <c r="Z831" s="764"/>
    </row>
    <row r="832" ht="9.75" customHeight="1">
      <c r="A832" s="764"/>
      <c r="B832" s="764"/>
      <c r="C832" s="764"/>
      <c r="D832" s="764"/>
      <c r="E832" s="764"/>
      <c r="F832" s="763"/>
      <c r="G832" s="763"/>
      <c r="H832" s="763"/>
      <c r="I832" s="764"/>
      <c r="J832" s="764"/>
      <c r="K832" s="764"/>
      <c r="L832" s="764"/>
      <c r="M832" s="764"/>
      <c r="N832" s="764"/>
      <c r="O832" s="764"/>
      <c r="P832" s="764"/>
      <c r="Q832" s="764"/>
      <c r="R832" s="764"/>
      <c r="S832" s="764"/>
      <c r="T832" s="764"/>
      <c r="U832" s="764"/>
      <c r="V832" s="764"/>
      <c r="W832" s="764"/>
      <c r="X832" s="764"/>
      <c r="Y832" s="764"/>
      <c r="Z832" s="764"/>
    </row>
    <row r="833" ht="9.75" customHeight="1">
      <c r="A833" s="764"/>
      <c r="B833" s="764"/>
      <c r="C833" s="764"/>
      <c r="D833" s="764"/>
      <c r="E833" s="764"/>
      <c r="F833" s="763"/>
      <c r="G833" s="763"/>
      <c r="H833" s="763"/>
      <c r="I833" s="764"/>
      <c r="J833" s="764"/>
      <c r="K833" s="764"/>
      <c r="L833" s="764"/>
      <c r="M833" s="764"/>
      <c r="N833" s="764"/>
      <c r="O833" s="764"/>
      <c r="P833" s="764"/>
      <c r="Q833" s="764"/>
      <c r="R833" s="764"/>
      <c r="S833" s="764"/>
      <c r="T833" s="764"/>
      <c r="U833" s="764"/>
      <c r="V833" s="764"/>
      <c r="W833" s="764"/>
      <c r="X833" s="764"/>
      <c r="Y833" s="764"/>
      <c r="Z833" s="764"/>
    </row>
    <row r="834" ht="9.75" customHeight="1">
      <c r="A834" s="764"/>
      <c r="B834" s="764"/>
      <c r="C834" s="764"/>
      <c r="D834" s="764"/>
      <c r="E834" s="764"/>
      <c r="F834" s="763"/>
      <c r="G834" s="763"/>
      <c r="H834" s="763"/>
      <c r="I834" s="764"/>
      <c r="J834" s="764"/>
      <c r="K834" s="764"/>
      <c r="L834" s="764"/>
      <c r="M834" s="764"/>
      <c r="N834" s="764"/>
      <c r="O834" s="764"/>
      <c r="P834" s="764"/>
      <c r="Q834" s="764"/>
      <c r="R834" s="764"/>
      <c r="S834" s="764"/>
      <c r="T834" s="764"/>
      <c r="U834" s="764"/>
      <c r="V834" s="764"/>
      <c r="W834" s="764"/>
      <c r="X834" s="764"/>
      <c r="Y834" s="764"/>
      <c r="Z834" s="764"/>
    </row>
    <row r="835" ht="9.75" customHeight="1">
      <c r="A835" s="764"/>
      <c r="B835" s="764"/>
      <c r="C835" s="764"/>
      <c r="D835" s="764"/>
      <c r="E835" s="764"/>
      <c r="F835" s="763"/>
      <c r="G835" s="763"/>
      <c r="H835" s="763"/>
      <c r="I835" s="764"/>
      <c r="J835" s="764"/>
      <c r="K835" s="764"/>
      <c r="L835" s="764"/>
      <c r="M835" s="764"/>
      <c r="N835" s="764"/>
      <c r="O835" s="764"/>
      <c r="P835" s="764"/>
      <c r="Q835" s="764"/>
      <c r="R835" s="764"/>
      <c r="S835" s="764"/>
      <c r="T835" s="764"/>
      <c r="U835" s="764"/>
      <c r="V835" s="764"/>
      <c r="W835" s="764"/>
      <c r="X835" s="764"/>
      <c r="Y835" s="764"/>
      <c r="Z835" s="764"/>
    </row>
    <row r="836" ht="9.75" customHeight="1">
      <c r="A836" s="764"/>
      <c r="B836" s="764"/>
      <c r="C836" s="764"/>
      <c r="D836" s="764"/>
      <c r="E836" s="764"/>
      <c r="F836" s="763"/>
      <c r="G836" s="763"/>
      <c r="H836" s="763"/>
      <c r="I836" s="764"/>
      <c r="J836" s="764"/>
      <c r="K836" s="764"/>
      <c r="L836" s="764"/>
      <c r="M836" s="764"/>
      <c r="N836" s="764"/>
      <c r="O836" s="764"/>
      <c r="P836" s="764"/>
      <c r="Q836" s="764"/>
      <c r="R836" s="764"/>
      <c r="S836" s="764"/>
      <c r="T836" s="764"/>
      <c r="U836" s="764"/>
      <c r="V836" s="764"/>
      <c r="W836" s="764"/>
      <c r="X836" s="764"/>
      <c r="Y836" s="764"/>
      <c r="Z836" s="764"/>
    </row>
    <row r="837" ht="9.75" customHeight="1">
      <c r="A837" s="764"/>
      <c r="B837" s="764"/>
      <c r="C837" s="764"/>
      <c r="D837" s="764"/>
      <c r="E837" s="764"/>
      <c r="F837" s="763"/>
      <c r="G837" s="763"/>
      <c r="H837" s="763"/>
      <c r="I837" s="764"/>
      <c r="J837" s="764"/>
      <c r="K837" s="764"/>
      <c r="L837" s="764"/>
      <c r="M837" s="764"/>
      <c r="N837" s="764"/>
      <c r="O837" s="764"/>
      <c r="P837" s="764"/>
      <c r="Q837" s="764"/>
      <c r="R837" s="764"/>
      <c r="S837" s="764"/>
      <c r="T837" s="764"/>
      <c r="U837" s="764"/>
      <c r="V837" s="764"/>
      <c r="W837" s="764"/>
      <c r="X837" s="764"/>
      <c r="Y837" s="764"/>
      <c r="Z837" s="764"/>
    </row>
    <row r="838" ht="9.75" customHeight="1">
      <c r="A838" s="764"/>
      <c r="B838" s="764"/>
      <c r="C838" s="764"/>
      <c r="D838" s="764"/>
      <c r="E838" s="764"/>
      <c r="F838" s="763"/>
      <c r="G838" s="763"/>
      <c r="H838" s="763"/>
      <c r="I838" s="764"/>
      <c r="J838" s="764"/>
      <c r="K838" s="764"/>
      <c r="L838" s="764"/>
      <c r="M838" s="764"/>
      <c r="N838" s="764"/>
      <c r="O838" s="764"/>
      <c r="P838" s="764"/>
      <c r="Q838" s="764"/>
      <c r="R838" s="764"/>
      <c r="S838" s="764"/>
      <c r="T838" s="764"/>
      <c r="U838" s="764"/>
      <c r="V838" s="764"/>
      <c r="W838" s="764"/>
      <c r="X838" s="764"/>
      <c r="Y838" s="764"/>
      <c r="Z838" s="764"/>
    </row>
    <row r="839" ht="9.75" customHeight="1">
      <c r="A839" s="764"/>
      <c r="B839" s="764"/>
      <c r="C839" s="764"/>
      <c r="D839" s="764"/>
      <c r="E839" s="764"/>
      <c r="F839" s="763"/>
      <c r="G839" s="763"/>
      <c r="H839" s="763"/>
      <c r="I839" s="764"/>
      <c r="J839" s="764"/>
      <c r="K839" s="764"/>
      <c r="L839" s="764"/>
      <c r="M839" s="764"/>
      <c r="N839" s="764"/>
      <c r="O839" s="764"/>
      <c r="P839" s="764"/>
      <c r="Q839" s="764"/>
      <c r="R839" s="764"/>
      <c r="S839" s="764"/>
      <c r="T839" s="764"/>
      <c r="U839" s="764"/>
      <c r="V839" s="764"/>
      <c r="W839" s="764"/>
      <c r="X839" s="764"/>
      <c r="Y839" s="764"/>
      <c r="Z839" s="764"/>
    </row>
    <row r="840" ht="9.75" customHeight="1">
      <c r="A840" s="764"/>
      <c r="B840" s="764"/>
      <c r="C840" s="764"/>
      <c r="D840" s="764"/>
      <c r="E840" s="764"/>
      <c r="F840" s="763"/>
      <c r="G840" s="763"/>
      <c r="H840" s="763"/>
      <c r="I840" s="764"/>
      <c r="J840" s="764"/>
      <c r="K840" s="764"/>
      <c r="L840" s="764"/>
      <c r="M840" s="764"/>
      <c r="N840" s="764"/>
      <c r="O840" s="764"/>
      <c r="P840" s="764"/>
      <c r="Q840" s="764"/>
      <c r="R840" s="764"/>
      <c r="S840" s="764"/>
      <c r="T840" s="764"/>
      <c r="U840" s="764"/>
      <c r="V840" s="764"/>
      <c r="W840" s="764"/>
      <c r="X840" s="764"/>
      <c r="Y840" s="764"/>
      <c r="Z840" s="764"/>
    </row>
    <row r="841" ht="9.75" customHeight="1">
      <c r="A841" s="764"/>
      <c r="B841" s="764"/>
      <c r="C841" s="764"/>
      <c r="D841" s="764"/>
      <c r="E841" s="764"/>
      <c r="F841" s="763"/>
      <c r="G841" s="763"/>
      <c r="H841" s="763"/>
      <c r="I841" s="764"/>
      <c r="J841" s="764"/>
      <c r="K841" s="764"/>
      <c r="L841" s="764"/>
      <c r="M841" s="764"/>
      <c r="N841" s="764"/>
      <c r="O841" s="764"/>
      <c r="P841" s="764"/>
      <c r="Q841" s="764"/>
      <c r="R841" s="764"/>
      <c r="S841" s="764"/>
      <c r="T841" s="764"/>
      <c r="U841" s="764"/>
      <c r="V841" s="764"/>
      <c r="W841" s="764"/>
      <c r="X841" s="764"/>
      <c r="Y841" s="764"/>
      <c r="Z841" s="764"/>
    </row>
    <row r="842" ht="9.75" customHeight="1">
      <c r="A842" s="764"/>
      <c r="B842" s="764"/>
      <c r="C842" s="764"/>
      <c r="D842" s="764"/>
      <c r="E842" s="764"/>
      <c r="F842" s="763"/>
      <c r="G842" s="763"/>
      <c r="H842" s="763"/>
      <c r="I842" s="764"/>
      <c r="J842" s="764"/>
      <c r="K842" s="764"/>
      <c r="L842" s="764"/>
      <c r="M842" s="764"/>
      <c r="N842" s="764"/>
      <c r="O842" s="764"/>
      <c r="P842" s="764"/>
      <c r="Q842" s="764"/>
      <c r="R842" s="764"/>
      <c r="S842" s="764"/>
      <c r="T842" s="764"/>
      <c r="U842" s="764"/>
      <c r="V842" s="764"/>
      <c r="W842" s="764"/>
      <c r="X842" s="764"/>
      <c r="Y842" s="764"/>
      <c r="Z842" s="764"/>
    </row>
    <row r="843" ht="9.75" customHeight="1">
      <c r="A843" s="764"/>
      <c r="B843" s="764"/>
      <c r="C843" s="764"/>
      <c r="D843" s="764"/>
      <c r="E843" s="764"/>
      <c r="F843" s="763"/>
      <c r="G843" s="763"/>
      <c r="H843" s="763"/>
      <c r="I843" s="764"/>
      <c r="J843" s="764"/>
      <c r="K843" s="764"/>
      <c r="L843" s="764"/>
      <c r="M843" s="764"/>
      <c r="N843" s="764"/>
      <c r="O843" s="764"/>
      <c r="P843" s="764"/>
      <c r="Q843" s="764"/>
      <c r="R843" s="764"/>
      <c r="S843" s="764"/>
      <c r="T843" s="764"/>
      <c r="U843" s="764"/>
      <c r="V843" s="764"/>
      <c r="W843" s="764"/>
      <c r="X843" s="764"/>
      <c r="Y843" s="764"/>
      <c r="Z843" s="764"/>
    </row>
    <row r="844" ht="9.75" customHeight="1">
      <c r="A844" s="764"/>
      <c r="B844" s="764"/>
      <c r="C844" s="764"/>
      <c r="D844" s="764"/>
      <c r="E844" s="764"/>
      <c r="F844" s="763"/>
      <c r="G844" s="763"/>
      <c r="H844" s="763"/>
      <c r="I844" s="764"/>
      <c r="J844" s="764"/>
      <c r="K844" s="764"/>
      <c r="L844" s="764"/>
      <c r="M844" s="764"/>
      <c r="N844" s="764"/>
      <c r="O844" s="764"/>
      <c r="P844" s="764"/>
      <c r="Q844" s="764"/>
      <c r="R844" s="764"/>
      <c r="S844" s="764"/>
      <c r="T844" s="764"/>
      <c r="U844" s="764"/>
      <c r="V844" s="764"/>
      <c r="W844" s="764"/>
      <c r="X844" s="764"/>
      <c r="Y844" s="764"/>
      <c r="Z844" s="764"/>
    </row>
    <row r="845" ht="9.75" customHeight="1">
      <c r="A845" s="764"/>
      <c r="B845" s="764"/>
      <c r="C845" s="764"/>
      <c r="D845" s="764"/>
      <c r="E845" s="764"/>
      <c r="F845" s="763"/>
      <c r="G845" s="763"/>
      <c r="H845" s="763"/>
      <c r="I845" s="764"/>
      <c r="J845" s="764"/>
      <c r="K845" s="764"/>
      <c r="L845" s="764"/>
      <c r="M845" s="764"/>
      <c r="N845" s="764"/>
      <c r="O845" s="764"/>
      <c r="P845" s="764"/>
      <c r="Q845" s="764"/>
      <c r="R845" s="764"/>
      <c r="S845" s="764"/>
      <c r="T845" s="764"/>
      <c r="U845" s="764"/>
      <c r="V845" s="764"/>
      <c r="W845" s="764"/>
      <c r="X845" s="764"/>
      <c r="Y845" s="764"/>
      <c r="Z845" s="764"/>
    </row>
    <row r="846" ht="9.75" customHeight="1">
      <c r="A846" s="764"/>
      <c r="B846" s="764"/>
      <c r="C846" s="764"/>
      <c r="D846" s="764"/>
      <c r="E846" s="764"/>
      <c r="F846" s="763"/>
      <c r="G846" s="763"/>
      <c r="H846" s="763"/>
      <c r="I846" s="764"/>
      <c r="J846" s="764"/>
      <c r="K846" s="764"/>
      <c r="L846" s="764"/>
      <c r="M846" s="764"/>
      <c r="N846" s="764"/>
      <c r="O846" s="764"/>
      <c r="P846" s="764"/>
      <c r="Q846" s="764"/>
      <c r="R846" s="764"/>
      <c r="S846" s="764"/>
      <c r="T846" s="764"/>
      <c r="U846" s="764"/>
      <c r="V846" s="764"/>
      <c r="W846" s="764"/>
      <c r="X846" s="764"/>
      <c r="Y846" s="764"/>
      <c r="Z846" s="764"/>
    </row>
    <row r="847" ht="9.75" customHeight="1">
      <c r="A847" s="764"/>
      <c r="B847" s="764"/>
      <c r="C847" s="764"/>
      <c r="D847" s="764"/>
      <c r="E847" s="764"/>
      <c r="F847" s="763"/>
      <c r="G847" s="763"/>
      <c r="H847" s="763"/>
      <c r="I847" s="764"/>
      <c r="J847" s="764"/>
      <c r="K847" s="764"/>
      <c r="L847" s="764"/>
      <c r="M847" s="764"/>
      <c r="N847" s="764"/>
      <c r="O847" s="764"/>
      <c r="P847" s="764"/>
      <c r="Q847" s="764"/>
      <c r="R847" s="764"/>
      <c r="S847" s="764"/>
      <c r="T847" s="764"/>
      <c r="U847" s="764"/>
      <c r="V847" s="764"/>
      <c r="W847" s="764"/>
      <c r="X847" s="764"/>
      <c r="Y847" s="764"/>
      <c r="Z847" s="764"/>
    </row>
    <row r="848" ht="9.75" customHeight="1">
      <c r="A848" s="764"/>
      <c r="B848" s="764"/>
      <c r="C848" s="764"/>
      <c r="D848" s="764"/>
      <c r="E848" s="764"/>
      <c r="F848" s="763"/>
      <c r="G848" s="763"/>
      <c r="H848" s="763"/>
      <c r="I848" s="764"/>
      <c r="J848" s="764"/>
      <c r="K848" s="764"/>
      <c r="L848" s="764"/>
      <c r="M848" s="764"/>
      <c r="N848" s="764"/>
      <c r="O848" s="764"/>
      <c r="P848" s="764"/>
      <c r="Q848" s="764"/>
      <c r="R848" s="764"/>
      <c r="S848" s="764"/>
      <c r="T848" s="764"/>
      <c r="U848" s="764"/>
      <c r="V848" s="764"/>
      <c r="W848" s="764"/>
      <c r="X848" s="764"/>
      <c r="Y848" s="764"/>
      <c r="Z848" s="764"/>
    </row>
    <row r="849" ht="9.75" customHeight="1">
      <c r="A849" s="764"/>
      <c r="B849" s="764"/>
      <c r="C849" s="764"/>
      <c r="D849" s="764"/>
      <c r="E849" s="764"/>
      <c r="F849" s="763"/>
      <c r="G849" s="763"/>
      <c r="H849" s="763"/>
      <c r="I849" s="764"/>
      <c r="J849" s="764"/>
      <c r="K849" s="764"/>
      <c r="L849" s="764"/>
      <c r="M849" s="764"/>
      <c r="N849" s="764"/>
      <c r="O849" s="764"/>
      <c r="P849" s="764"/>
      <c r="Q849" s="764"/>
      <c r="R849" s="764"/>
      <c r="S849" s="764"/>
      <c r="T849" s="764"/>
      <c r="U849" s="764"/>
      <c r="V849" s="764"/>
      <c r="W849" s="764"/>
      <c r="X849" s="764"/>
      <c r="Y849" s="764"/>
      <c r="Z849" s="764"/>
    </row>
    <row r="850" ht="9.75" customHeight="1">
      <c r="A850" s="764"/>
      <c r="B850" s="764"/>
      <c r="C850" s="764"/>
      <c r="D850" s="764"/>
      <c r="E850" s="764"/>
      <c r="F850" s="763"/>
      <c r="G850" s="763"/>
      <c r="H850" s="763"/>
      <c r="I850" s="764"/>
      <c r="J850" s="764"/>
      <c r="K850" s="764"/>
      <c r="L850" s="764"/>
      <c r="M850" s="764"/>
      <c r="N850" s="764"/>
      <c r="O850" s="764"/>
      <c r="P850" s="764"/>
      <c r="Q850" s="764"/>
      <c r="R850" s="764"/>
      <c r="S850" s="764"/>
      <c r="T850" s="764"/>
      <c r="U850" s="764"/>
      <c r="V850" s="764"/>
      <c r="W850" s="764"/>
      <c r="X850" s="764"/>
      <c r="Y850" s="764"/>
      <c r="Z850" s="764"/>
    </row>
    <row r="851" ht="9.75" customHeight="1">
      <c r="A851" s="764"/>
      <c r="B851" s="764"/>
      <c r="C851" s="764"/>
      <c r="D851" s="764"/>
      <c r="E851" s="764"/>
      <c r="F851" s="763"/>
      <c r="G851" s="763"/>
      <c r="H851" s="763"/>
      <c r="I851" s="764"/>
      <c r="J851" s="764"/>
      <c r="K851" s="764"/>
      <c r="L851" s="764"/>
      <c r="M851" s="764"/>
      <c r="N851" s="764"/>
      <c r="O851" s="764"/>
      <c r="P851" s="764"/>
      <c r="Q851" s="764"/>
      <c r="R851" s="764"/>
      <c r="S851" s="764"/>
      <c r="T851" s="764"/>
      <c r="U851" s="764"/>
      <c r="V851" s="764"/>
      <c r="W851" s="764"/>
      <c r="X851" s="764"/>
      <c r="Y851" s="764"/>
      <c r="Z851" s="764"/>
    </row>
    <row r="852" ht="9.75" customHeight="1">
      <c r="A852" s="764"/>
      <c r="B852" s="764"/>
      <c r="C852" s="764"/>
      <c r="D852" s="764"/>
      <c r="E852" s="764"/>
      <c r="F852" s="763"/>
      <c r="G852" s="763"/>
      <c r="H852" s="763"/>
      <c r="I852" s="764"/>
      <c r="J852" s="764"/>
      <c r="K852" s="764"/>
      <c r="L852" s="764"/>
      <c r="M852" s="764"/>
      <c r="N852" s="764"/>
      <c r="O852" s="764"/>
      <c r="P852" s="764"/>
      <c r="Q852" s="764"/>
      <c r="R852" s="764"/>
      <c r="S852" s="764"/>
      <c r="T852" s="764"/>
      <c r="U852" s="764"/>
      <c r="V852" s="764"/>
      <c r="W852" s="764"/>
      <c r="X852" s="764"/>
      <c r="Y852" s="764"/>
      <c r="Z852" s="764"/>
    </row>
    <row r="853" ht="9.75" customHeight="1">
      <c r="A853" s="764"/>
      <c r="B853" s="764"/>
      <c r="C853" s="764"/>
      <c r="D853" s="764"/>
      <c r="E853" s="764"/>
      <c r="F853" s="763"/>
      <c r="G853" s="763"/>
      <c r="H853" s="763"/>
      <c r="I853" s="764"/>
      <c r="J853" s="764"/>
      <c r="K853" s="764"/>
      <c r="L853" s="764"/>
      <c r="M853" s="764"/>
      <c r="N853" s="764"/>
      <c r="O853" s="764"/>
      <c r="P853" s="764"/>
      <c r="Q853" s="764"/>
      <c r="R853" s="764"/>
      <c r="S853" s="764"/>
      <c r="T853" s="764"/>
      <c r="U853" s="764"/>
      <c r="V853" s="764"/>
      <c r="W853" s="764"/>
      <c r="X853" s="764"/>
      <c r="Y853" s="764"/>
      <c r="Z853" s="764"/>
    </row>
    <row r="854" ht="9.75" customHeight="1">
      <c r="A854" s="764"/>
      <c r="B854" s="764"/>
      <c r="C854" s="764"/>
      <c r="D854" s="764"/>
      <c r="E854" s="764"/>
      <c r="F854" s="763"/>
      <c r="G854" s="763"/>
      <c r="H854" s="763"/>
      <c r="I854" s="764"/>
      <c r="J854" s="764"/>
      <c r="K854" s="764"/>
      <c r="L854" s="764"/>
      <c r="M854" s="764"/>
      <c r="N854" s="764"/>
      <c r="O854" s="764"/>
      <c r="P854" s="764"/>
      <c r="Q854" s="764"/>
      <c r="R854" s="764"/>
      <c r="S854" s="764"/>
      <c r="T854" s="764"/>
      <c r="U854" s="764"/>
      <c r="V854" s="764"/>
      <c r="W854" s="764"/>
      <c r="X854" s="764"/>
      <c r="Y854" s="764"/>
      <c r="Z854" s="764"/>
    </row>
    <row r="855" ht="9.75" customHeight="1">
      <c r="A855" s="764"/>
      <c r="B855" s="764"/>
      <c r="C855" s="764"/>
      <c r="D855" s="764"/>
      <c r="E855" s="764"/>
      <c r="F855" s="763"/>
      <c r="G855" s="763"/>
      <c r="H855" s="763"/>
      <c r="I855" s="764"/>
      <c r="J855" s="764"/>
      <c r="K855" s="764"/>
      <c r="L855" s="764"/>
      <c r="M855" s="764"/>
      <c r="N855" s="764"/>
      <c r="O855" s="764"/>
      <c r="P855" s="764"/>
      <c r="Q855" s="764"/>
      <c r="R855" s="764"/>
      <c r="S855" s="764"/>
      <c r="T855" s="764"/>
      <c r="U855" s="764"/>
      <c r="V855" s="764"/>
      <c r="W855" s="764"/>
      <c r="X855" s="764"/>
      <c r="Y855" s="764"/>
      <c r="Z855" s="764"/>
    </row>
    <row r="856" ht="9.75" customHeight="1">
      <c r="A856" s="764"/>
      <c r="B856" s="764"/>
      <c r="C856" s="764"/>
      <c r="D856" s="764"/>
      <c r="E856" s="764"/>
      <c r="F856" s="763"/>
      <c r="G856" s="763"/>
      <c r="H856" s="763"/>
      <c r="I856" s="764"/>
      <c r="J856" s="764"/>
      <c r="K856" s="764"/>
      <c r="L856" s="764"/>
      <c r="M856" s="764"/>
      <c r="N856" s="764"/>
      <c r="O856" s="764"/>
      <c r="P856" s="764"/>
      <c r="Q856" s="764"/>
      <c r="R856" s="764"/>
      <c r="S856" s="764"/>
      <c r="T856" s="764"/>
      <c r="U856" s="764"/>
      <c r="V856" s="764"/>
      <c r="W856" s="764"/>
      <c r="X856" s="764"/>
      <c r="Y856" s="764"/>
      <c r="Z856" s="764"/>
    </row>
    <row r="857" ht="9.75" customHeight="1">
      <c r="A857" s="764"/>
      <c r="B857" s="764"/>
      <c r="C857" s="764"/>
      <c r="D857" s="764"/>
      <c r="E857" s="764"/>
      <c r="F857" s="763"/>
      <c r="G857" s="763"/>
      <c r="H857" s="763"/>
      <c r="I857" s="764"/>
      <c r="J857" s="764"/>
      <c r="K857" s="764"/>
      <c r="L857" s="764"/>
      <c r="M857" s="764"/>
      <c r="N857" s="764"/>
      <c r="O857" s="764"/>
      <c r="P857" s="764"/>
      <c r="Q857" s="764"/>
      <c r="R857" s="764"/>
      <c r="S857" s="764"/>
      <c r="T857" s="764"/>
      <c r="U857" s="764"/>
      <c r="V857" s="764"/>
      <c r="W857" s="764"/>
      <c r="X857" s="764"/>
      <c r="Y857" s="764"/>
      <c r="Z857" s="764"/>
    </row>
    <row r="858" ht="9.75" customHeight="1">
      <c r="A858" s="764"/>
      <c r="B858" s="764"/>
      <c r="C858" s="764"/>
      <c r="D858" s="764"/>
      <c r="E858" s="764"/>
      <c r="F858" s="763"/>
      <c r="G858" s="763"/>
      <c r="H858" s="763"/>
      <c r="I858" s="764"/>
      <c r="J858" s="764"/>
      <c r="K858" s="764"/>
      <c r="L858" s="764"/>
      <c r="M858" s="764"/>
      <c r="N858" s="764"/>
      <c r="O858" s="764"/>
      <c r="P858" s="764"/>
      <c r="Q858" s="764"/>
      <c r="R858" s="764"/>
      <c r="S858" s="764"/>
      <c r="T858" s="764"/>
      <c r="U858" s="764"/>
      <c r="V858" s="764"/>
      <c r="W858" s="764"/>
      <c r="X858" s="764"/>
      <c r="Y858" s="764"/>
      <c r="Z858" s="764"/>
    </row>
    <row r="859" ht="9.75" customHeight="1">
      <c r="A859" s="764"/>
      <c r="B859" s="764"/>
      <c r="C859" s="764"/>
      <c r="D859" s="764"/>
      <c r="E859" s="764"/>
      <c r="F859" s="763"/>
      <c r="G859" s="763"/>
      <c r="H859" s="763"/>
      <c r="I859" s="764"/>
      <c r="J859" s="764"/>
      <c r="K859" s="764"/>
      <c r="L859" s="764"/>
      <c r="M859" s="764"/>
      <c r="N859" s="764"/>
      <c r="O859" s="764"/>
      <c r="P859" s="764"/>
      <c r="Q859" s="764"/>
      <c r="R859" s="764"/>
      <c r="S859" s="764"/>
      <c r="T859" s="764"/>
      <c r="U859" s="764"/>
      <c r="V859" s="764"/>
      <c r="W859" s="764"/>
      <c r="X859" s="764"/>
      <c r="Y859" s="764"/>
      <c r="Z859" s="764"/>
    </row>
    <row r="860" ht="9.75" customHeight="1">
      <c r="A860" s="764"/>
      <c r="B860" s="764"/>
      <c r="C860" s="764"/>
      <c r="D860" s="764"/>
      <c r="E860" s="764"/>
      <c r="F860" s="763"/>
      <c r="G860" s="763"/>
      <c r="H860" s="763"/>
      <c r="I860" s="764"/>
      <c r="J860" s="764"/>
      <c r="K860" s="764"/>
      <c r="L860" s="764"/>
      <c r="M860" s="764"/>
      <c r="N860" s="764"/>
      <c r="O860" s="764"/>
      <c r="P860" s="764"/>
      <c r="Q860" s="764"/>
      <c r="R860" s="764"/>
      <c r="S860" s="764"/>
      <c r="T860" s="764"/>
      <c r="U860" s="764"/>
      <c r="V860" s="764"/>
      <c r="W860" s="764"/>
      <c r="X860" s="764"/>
      <c r="Y860" s="764"/>
      <c r="Z860" s="764"/>
    </row>
    <row r="861" ht="9.75" customHeight="1">
      <c r="A861" s="764"/>
      <c r="B861" s="764"/>
      <c r="C861" s="764"/>
      <c r="D861" s="764"/>
      <c r="E861" s="764"/>
      <c r="F861" s="763"/>
      <c r="G861" s="763"/>
      <c r="H861" s="763"/>
      <c r="I861" s="764"/>
      <c r="J861" s="764"/>
      <c r="K861" s="764"/>
      <c r="L861" s="764"/>
      <c r="M861" s="764"/>
      <c r="N861" s="764"/>
      <c r="O861" s="764"/>
      <c r="P861" s="764"/>
      <c r="Q861" s="764"/>
      <c r="R861" s="764"/>
      <c r="S861" s="764"/>
      <c r="T861" s="764"/>
      <c r="U861" s="764"/>
      <c r="V861" s="764"/>
      <c r="W861" s="764"/>
      <c r="X861" s="764"/>
      <c r="Y861" s="764"/>
      <c r="Z861" s="764"/>
    </row>
    <row r="862" ht="9.75" customHeight="1">
      <c r="A862" s="764"/>
      <c r="B862" s="764"/>
      <c r="C862" s="764"/>
      <c r="D862" s="764"/>
      <c r="E862" s="764"/>
      <c r="F862" s="763"/>
      <c r="G862" s="763"/>
      <c r="H862" s="763"/>
      <c r="I862" s="764"/>
      <c r="J862" s="764"/>
      <c r="K862" s="764"/>
      <c r="L862" s="764"/>
      <c r="M862" s="764"/>
      <c r="N862" s="764"/>
      <c r="O862" s="764"/>
      <c r="P862" s="764"/>
      <c r="Q862" s="764"/>
      <c r="R862" s="764"/>
      <c r="S862" s="764"/>
      <c r="T862" s="764"/>
      <c r="U862" s="764"/>
      <c r="V862" s="764"/>
      <c r="W862" s="764"/>
      <c r="X862" s="764"/>
      <c r="Y862" s="764"/>
      <c r="Z862" s="764"/>
    </row>
    <row r="863" ht="9.75" customHeight="1">
      <c r="A863" s="764"/>
      <c r="B863" s="764"/>
      <c r="C863" s="764"/>
      <c r="D863" s="764"/>
      <c r="E863" s="764"/>
      <c r="F863" s="763"/>
      <c r="G863" s="763"/>
      <c r="H863" s="763"/>
      <c r="I863" s="764"/>
      <c r="J863" s="764"/>
      <c r="K863" s="764"/>
      <c r="L863" s="764"/>
      <c r="M863" s="764"/>
      <c r="N863" s="764"/>
      <c r="O863" s="764"/>
      <c r="P863" s="764"/>
      <c r="Q863" s="764"/>
      <c r="R863" s="764"/>
      <c r="S863" s="764"/>
      <c r="T863" s="764"/>
      <c r="U863" s="764"/>
      <c r="V863" s="764"/>
      <c r="W863" s="764"/>
      <c r="X863" s="764"/>
      <c r="Y863" s="764"/>
      <c r="Z863" s="764"/>
    </row>
    <row r="864" ht="9.75" customHeight="1">
      <c r="A864" s="764"/>
      <c r="B864" s="764"/>
      <c r="C864" s="764"/>
      <c r="D864" s="764"/>
      <c r="E864" s="764"/>
      <c r="F864" s="763"/>
      <c r="G864" s="763"/>
      <c r="H864" s="763"/>
      <c r="I864" s="764"/>
      <c r="J864" s="764"/>
      <c r="K864" s="764"/>
      <c r="L864" s="764"/>
      <c r="M864" s="764"/>
      <c r="N864" s="764"/>
      <c r="O864" s="764"/>
      <c r="P864" s="764"/>
      <c r="Q864" s="764"/>
      <c r="R864" s="764"/>
      <c r="S864" s="764"/>
      <c r="T864" s="764"/>
      <c r="U864" s="764"/>
      <c r="V864" s="764"/>
      <c r="W864" s="764"/>
      <c r="X864" s="764"/>
      <c r="Y864" s="764"/>
      <c r="Z864" s="764"/>
    </row>
    <row r="865" ht="9.75" customHeight="1">
      <c r="A865" s="764"/>
      <c r="B865" s="764"/>
      <c r="C865" s="764"/>
      <c r="D865" s="764"/>
      <c r="E865" s="764"/>
      <c r="F865" s="763"/>
      <c r="G865" s="763"/>
      <c r="H865" s="763"/>
      <c r="I865" s="764"/>
      <c r="J865" s="764"/>
      <c r="K865" s="764"/>
      <c r="L865" s="764"/>
      <c r="M865" s="764"/>
      <c r="N865" s="764"/>
      <c r="O865" s="764"/>
      <c r="P865" s="764"/>
      <c r="Q865" s="764"/>
      <c r="R865" s="764"/>
      <c r="S865" s="764"/>
      <c r="T865" s="764"/>
      <c r="U865" s="764"/>
      <c r="V865" s="764"/>
      <c r="W865" s="764"/>
      <c r="X865" s="764"/>
      <c r="Y865" s="764"/>
      <c r="Z865" s="764"/>
    </row>
    <row r="866" ht="9.75" customHeight="1">
      <c r="A866" s="764"/>
      <c r="B866" s="764"/>
      <c r="C866" s="764"/>
      <c r="D866" s="764"/>
      <c r="E866" s="764"/>
      <c r="F866" s="763"/>
      <c r="G866" s="763"/>
      <c r="H866" s="763"/>
      <c r="I866" s="764"/>
      <c r="J866" s="764"/>
      <c r="K866" s="764"/>
      <c r="L866" s="764"/>
      <c r="M866" s="764"/>
      <c r="N866" s="764"/>
      <c r="O866" s="764"/>
      <c r="P866" s="764"/>
      <c r="Q866" s="764"/>
      <c r="R866" s="764"/>
      <c r="S866" s="764"/>
      <c r="T866" s="764"/>
      <c r="U866" s="764"/>
      <c r="V866" s="764"/>
      <c r="W866" s="764"/>
      <c r="X866" s="764"/>
      <c r="Y866" s="764"/>
      <c r="Z866" s="764"/>
    </row>
    <row r="867" ht="9.75" customHeight="1">
      <c r="A867" s="764"/>
      <c r="B867" s="764"/>
      <c r="C867" s="764"/>
      <c r="D867" s="764"/>
      <c r="E867" s="764"/>
      <c r="F867" s="763"/>
      <c r="G867" s="763"/>
      <c r="H867" s="763"/>
      <c r="I867" s="764"/>
      <c r="J867" s="764"/>
      <c r="K867" s="764"/>
      <c r="L867" s="764"/>
      <c r="M867" s="764"/>
      <c r="N867" s="764"/>
      <c r="O867" s="764"/>
      <c r="P867" s="764"/>
      <c r="Q867" s="764"/>
      <c r="R867" s="764"/>
      <c r="S867" s="764"/>
      <c r="T867" s="764"/>
      <c r="U867" s="764"/>
      <c r="V867" s="764"/>
      <c r="W867" s="764"/>
      <c r="X867" s="764"/>
      <c r="Y867" s="764"/>
      <c r="Z867" s="764"/>
    </row>
    <row r="868" ht="9.75" customHeight="1">
      <c r="A868" s="764"/>
      <c r="B868" s="764"/>
      <c r="C868" s="764"/>
      <c r="D868" s="764"/>
      <c r="E868" s="764"/>
      <c r="F868" s="763"/>
      <c r="G868" s="763"/>
      <c r="H868" s="763"/>
      <c r="I868" s="764"/>
      <c r="J868" s="764"/>
      <c r="K868" s="764"/>
      <c r="L868" s="764"/>
      <c r="M868" s="764"/>
      <c r="N868" s="764"/>
      <c r="O868" s="764"/>
      <c r="P868" s="764"/>
      <c r="Q868" s="764"/>
      <c r="R868" s="764"/>
      <c r="S868" s="764"/>
      <c r="T868" s="764"/>
      <c r="U868" s="764"/>
      <c r="V868" s="764"/>
      <c r="W868" s="764"/>
      <c r="X868" s="764"/>
      <c r="Y868" s="764"/>
      <c r="Z868" s="764"/>
    </row>
    <row r="869" ht="9.75" customHeight="1">
      <c r="A869" s="764"/>
      <c r="B869" s="764"/>
      <c r="C869" s="764"/>
      <c r="D869" s="764"/>
      <c r="E869" s="764"/>
      <c r="F869" s="763"/>
      <c r="G869" s="763"/>
      <c r="H869" s="763"/>
      <c r="I869" s="764"/>
      <c r="J869" s="764"/>
      <c r="K869" s="764"/>
      <c r="L869" s="764"/>
      <c r="M869" s="764"/>
      <c r="N869" s="764"/>
      <c r="O869" s="764"/>
      <c r="P869" s="764"/>
      <c r="Q869" s="764"/>
      <c r="R869" s="764"/>
      <c r="S869" s="764"/>
      <c r="T869" s="764"/>
      <c r="U869" s="764"/>
      <c r="V869" s="764"/>
      <c r="W869" s="764"/>
      <c r="X869" s="764"/>
      <c r="Y869" s="764"/>
      <c r="Z869" s="764"/>
    </row>
    <row r="870" ht="9.75" customHeight="1">
      <c r="A870" s="764"/>
      <c r="B870" s="764"/>
      <c r="C870" s="764"/>
      <c r="D870" s="764"/>
      <c r="E870" s="764"/>
      <c r="F870" s="763"/>
      <c r="G870" s="763"/>
      <c r="H870" s="763"/>
      <c r="I870" s="764"/>
      <c r="J870" s="764"/>
      <c r="K870" s="764"/>
      <c r="L870" s="764"/>
      <c r="M870" s="764"/>
      <c r="N870" s="764"/>
      <c r="O870" s="764"/>
      <c r="P870" s="764"/>
      <c r="Q870" s="764"/>
      <c r="R870" s="764"/>
      <c r="S870" s="764"/>
      <c r="T870" s="764"/>
      <c r="U870" s="764"/>
      <c r="V870" s="764"/>
      <c r="W870" s="764"/>
      <c r="X870" s="764"/>
      <c r="Y870" s="764"/>
      <c r="Z870" s="764"/>
    </row>
    <row r="871" ht="9.75" customHeight="1">
      <c r="A871" s="764"/>
      <c r="B871" s="764"/>
      <c r="C871" s="764"/>
      <c r="D871" s="764"/>
      <c r="E871" s="764"/>
      <c r="F871" s="763"/>
      <c r="G871" s="763"/>
      <c r="H871" s="763"/>
      <c r="I871" s="764"/>
      <c r="J871" s="764"/>
      <c r="K871" s="764"/>
      <c r="L871" s="764"/>
      <c r="M871" s="764"/>
      <c r="N871" s="764"/>
      <c r="O871" s="764"/>
      <c r="P871" s="764"/>
      <c r="Q871" s="764"/>
      <c r="R871" s="764"/>
      <c r="S871" s="764"/>
      <c r="T871" s="764"/>
      <c r="U871" s="764"/>
      <c r="V871" s="764"/>
      <c r="W871" s="764"/>
      <c r="X871" s="764"/>
      <c r="Y871" s="764"/>
      <c r="Z871" s="764"/>
    </row>
    <row r="872" ht="9.75" customHeight="1">
      <c r="A872" s="764"/>
      <c r="B872" s="764"/>
      <c r="C872" s="764"/>
      <c r="D872" s="764"/>
      <c r="E872" s="764"/>
      <c r="F872" s="763"/>
      <c r="G872" s="763"/>
      <c r="H872" s="763"/>
      <c r="I872" s="764"/>
      <c r="J872" s="764"/>
      <c r="K872" s="764"/>
      <c r="L872" s="764"/>
      <c r="M872" s="764"/>
      <c r="N872" s="764"/>
      <c r="O872" s="764"/>
      <c r="P872" s="764"/>
      <c r="Q872" s="764"/>
      <c r="R872" s="764"/>
      <c r="S872" s="764"/>
      <c r="T872" s="764"/>
      <c r="U872" s="764"/>
      <c r="V872" s="764"/>
      <c r="W872" s="764"/>
      <c r="X872" s="764"/>
      <c r="Y872" s="764"/>
      <c r="Z872" s="764"/>
    </row>
    <row r="873" ht="9.75" customHeight="1">
      <c r="A873" s="764"/>
      <c r="B873" s="764"/>
      <c r="C873" s="764"/>
      <c r="D873" s="764"/>
      <c r="E873" s="764"/>
      <c r="F873" s="763"/>
      <c r="G873" s="763"/>
      <c r="H873" s="763"/>
      <c r="I873" s="764"/>
      <c r="J873" s="764"/>
      <c r="K873" s="764"/>
      <c r="L873" s="764"/>
      <c r="M873" s="764"/>
      <c r="N873" s="764"/>
      <c r="O873" s="764"/>
      <c r="P873" s="764"/>
      <c r="Q873" s="764"/>
      <c r="R873" s="764"/>
      <c r="S873" s="764"/>
      <c r="T873" s="764"/>
      <c r="U873" s="764"/>
      <c r="V873" s="764"/>
      <c r="W873" s="764"/>
      <c r="X873" s="764"/>
      <c r="Y873" s="764"/>
      <c r="Z873" s="764"/>
    </row>
    <row r="874" ht="9.75" customHeight="1">
      <c r="A874" s="764"/>
      <c r="B874" s="764"/>
      <c r="C874" s="764"/>
      <c r="D874" s="764"/>
      <c r="E874" s="764"/>
      <c r="F874" s="763"/>
      <c r="G874" s="763"/>
      <c r="H874" s="763"/>
      <c r="I874" s="764"/>
      <c r="J874" s="764"/>
      <c r="K874" s="764"/>
      <c r="L874" s="764"/>
      <c r="M874" s="764"/>
      <c r="N874" s="764"/>
      <c r="O874" s="764"/>
      <c r="P874" s="764"/>
      <c r="Q874" s="764"/>
      <c r="R874" s="764"/>
      <c r="S874" s="764"/>
      <c r="T874" s="764"/>
      <c r="U874" s="764"/>
      <c r="V874" s="764"/>
      <c r="W874" s="764"/>
      <c r="X874" s="764"/>
      <c r="Y874" s="764"/>
      <c r="Z874" s="764"/>
    </row>
    <row r="875" ht="9.75" customHeight="1">
      <c r="A875" s="764"/>
      <c r="B875" s="764"/>
      <c r="C875" s="764"/>
      <c r="D875" s="764"/>
      <c r="E875" s="764"/>
      <c r="F875" s="763"/>
      <c r="G875" s="763"/>
      <c r="H875" s="763"/>
      <c r="I875" s="764"/>
      <c r="J875" s="764"/>
      <c r="K875" s="764"/>
      <c r="L875" s="764"/>
      <c r="M875" s="764"/>
      <c r="N875" s="764"/>
      <c r="O875" s="764"/>
      <c r="P875" s="764"/>
      <c r="Q875" s="764"/>
      <c r="R875" s="764"/>
      <c r="S875" s="764"/>
      <c r="T875" s="764"/>
      <c r="U875" s="764"/>
      <c r="V875" s="764"/>
      <c r="W875" s="764"/>
      <c r="X875" s="764"/>
      <c r="Y875" s="764"/>
      <c r="Z875" s="764"/>
    </row>
    <row r="876" ht="9.75" customHeight="1">
      <c r="A876" s="764"/>
      <c r="B876" s="764"/>
      <c r="C876" s="764"/>
      <c r="D876" s="764"/>
      <c r="E876" s="764"/>
      <c r="F876" s="763"/>
      <c r="G876" s="763"/>
      <c r="H876" s="763"/>
      <c r="I876" s="764"/>
      <c r="J876" s="764"/>
      <c r="K876" s="764"/>
      <c r="L876" s="764"/>
      <c r="M876" s="764"/>
      <c r="N876" s="764"/>
      <c r="O876" s="764"/>
      <c r="P876" s="764"/>
      <c r="Q876" s="764"/>
      <c r="R876" s="764"/>
      <c r="S876" s="764"/>
      <c r="T876" s="764"/>
      <c r="U876" s="764"/>
      <c r="V876" s="764"/>
      <c r="W876" s="764"/>
      <c r="X876" s="764"/>
      <c r="Y876" s="764"/>
      <c r="Z876" s="764"/>
    </row>
    <row r="877" ht="9.75" customHeight="1">
      <c r="A877" s="764"/>
      <c r="B877" s="764"/>
      <c r="C877" s="764"/>
      <c r="D877" s="764"/>
      <c r="E877" s="764"/>
      <c r="F877" s="763"/>
      <c r="G877" s="763"/>
      <c r="H877" s="763"/>
      <c r="I877" s="764"/>
      <c r="J877" s="764"/>
      <c r="K877" s="764"/>
      <c r="L877" s="764"/>
      <c r="M877" s="764"/>
      <c r="N877" s="764"/>
      <c r="O877" s="764"/>
      <c r="P877" s="764"/>
      <c r="Q877" s="764"/>
      <c r="R877" s="764"/>
      <c r="S877" s="764"/>
      <c r="T877" s="764"/>
      <c r="U877" s="764"/>
      <c r="V877" s="764"/>
      <c r="W877" s="764"/>
      <c r="X877" s="764"/>
      <c r="Y877" s="764"/>
      <c r="Z877" s="764"/>
    </row>
    <row r="878" ht="9.75" customHeight="1">
      <c r="A878" s="764"/>
      <c r="B878" s="764"/>
      <c r="C878" s="764"/>
      <c r="D878" s="764"/>
      <c r="E878" s="764"/>
      <c r="F878" s="763"/>
      <c r="G878" s="763"/>
      <c r="H878" s="763"/>
      <c r="I878" s="764"/>
      <c r="J878" s="764"/>
      <c r="K878" s="764"/>
      <c r="L878" s="764"/>
      <c r="M878" s="764"/>
      <c r="N878" s="764"/>
      <c r="O878" s="764"/>
      <c r="P878" s="764"/>
      <c r="Q878" s="764"/>
      <c r="R878" s="764"/>
      <c r="S878" s="764"/>
      <c r="T878" s="764"/>
      <c r="U878" s="764"/>
      <c r="V878" s="764"/>
      <c r="W878" s="764"/>
      <c r="X878" s="764"/>
      <c r="Y878" s="764"/>
      <c r="Z878" s="764"/>
    </row>
    <row r="879" ht="9.75" customHeight="1">
      <c r="A879" s="764"/>
      <c r="B879" s="764"/>
      <c r="C879" s="764"/>
      <c r="D879" s="764"/>
      <c r="E879" s="764"/>
      <c r="F879" s="763"/>
      <c r="G879" s="763"/>
      <c r="H879" s="763"/>
      <c r="I879" s="764"/>
      <c r="J879" s="764"/>
      <c r="K879" s="764"/>
      <c r="L879" s="764"/>
      <c r="M879" s="764"/>
      <c r="N879" s="764"/>
      <c r="O879" s="764"/>
      <c r="P879" s="764"/>
      <c r="Q879" s="764"/>
      <c r="R879" s="764"/>
      <c r="S879" s="764"/>
      <c r="T879" s="764"/>
      <c r="U879" s="764"/>
      <c r="V879" s="764"/>
      <c r="W879" s="764"/>
      <c r="X879" s="764"/>
      <c r="Y879" s="764"/>
      <c r="Z879" s="764"/>
    </row>
    <row r="880" ht="9.75" customHeight="1">
      <c r="A880" s="764"/>
      <c r="B880" s="764"/>
      <c r="C880" s="764"/>
      <c r="D880" s="764"/>
      <c r="E880" s="764"/>
      <c r="F880" s="763"/>
      <c r="G880" s="763"/>
      <c r="H880" s="763"/>
      <c r="I880" s="764"/>
      <c r="J880" s="764"/>
      <c r="K880" s="764"/>
      <c r="L880" s="764"/>
      <c r="M880" s="764"/>
      <c r="N880" s="764"/>
      <c r="O880" s="764"/>
      <c r="P880" s="764"/>
      <c r="Q880" s="764"/>
      <c r="R880" s="764"/>
      <c r="S880" s="764"/>
      <c r="T880" s="764"/>
      <c r="U880" s="764"/>
      <c r="V880" s="764"/>
      <c r="W880" s="764"/>
      <c r="X880" s="764"/>
      <c r="Y880" s="764"/>
      <c r="Z880" s="764"/>
    </row>
    <row r="881" ht="9.75" customHeight="1">
      <c r="A881" s="764"/>
      <c r="B881" s="764"/>
      <c r="C881" s="764"/>
      <c r="D881" s="764"/>
      <c r="E881" s="764"/>
      <c r="F881" s="763"/>
      <c r="G881" s="763"/>
      <c r="H881" s="763"/>
      <c r="I881" s="764"/>
      <c r="J881" s="764"/>
      <c r="K881" s="764"/>
      <c r="L881" s="764"/>
      <c r="M881" s="764"/>
      <c r="N881" s="764"/>
      <c r="O881" s="764"/>
      <c r="P881" s="764"/>
      <c r="Q881" s="764"/>
      <c r="R881" s="764"/>
      <c r="S881" s="764"/>
      <c r="T881" s="764"/>
      <c r="U881" s="764"/>
      <c r="V881" s="764"/>
      <c r="W881" s="764"/>
      <c r="X881" s="764"/>
      <c r="Y881" s="764"/>
      <c r="Z881" s="764"/>
    </row>
    <row r="882" ht="9.75" customHeight="1">
      <c r="A882" s="764"/>
      <c r="B882" s="764"/>
      <c r="C882" s="764"/>
      <c r="D882" s="764"/>
      <c r="E882" s="764"/>
      <c r="F882" s="763"/>
      <c r="G882" s="763"/>
      <c r="H882" s="763"/>
      <c r="I882" s="764"/>
      <c r="J882" s="764"/>
      <c r="K882" s="764"/>
      <c r="L882" s="764"/>
      <c r="M882" s="764"/>
      <c r="N882" s="764"/>
      <c r="O882" s="764"/>
      <c r="P882" s="764"/>
      <c r="Q882" s="764"/>
      <c r="R882" s="764"/>
      <c r="S882" s="764"/>
      <c r="T882" s="764"/>
      <c r="U882" s="764"/>
      <c r="V882" s="764"/>
      <c r="W882" s="764"/>
      <c r="X882" s="764"/>
      <c r="Y882" s="764"/>
      <c r="Z882" s="764"/>
    </row>
    <row r="883" ht="9.75" customHeight="1">
      <c r="A883" s="764"/>
      <c r="B883" s="764"/>
      <c r="C883" s="764"/>
      <c r="D883" s="764"/>
      <c r="E883" s="764"/>
      <c r="F883" s="763"/>
      <c r="G883" s="763"/>
      <c r="H883" s="763"/>
      <c r="I883" s="764"/>
      <c r="J883" s="764"/>
      <c r="K883" s="764"/>
      <c r="L883" s="764"/>
      <c r="M883" s="764"/>
      <c r="N883" s="764"/>
      <c r="O883" s="764"/>
      <c r="P883" s="764"/>
      <c r="Q883" s="764"/>
      <c r="R883" s="764"/>
      <c r="S883" s="764"/>
      <c r="T883" s="764"/>
      <c r="U883" s="764"/>
      <c r="V883" s="764"/>
      <c r="W883" s="764"/>
      <c r="X883" s="764"/>
      <c r="Y883" s="764"/>
      <c r="Z883" s="764"/>
    </row>
    <row r="884" ht="9.75" customHeight="1">
      <c r="A884" s="764"/>
      <c r="B884" s="764"/>
      <c r="C884" s="764"/>
      <c r="D884" s="764"/>
      <c r="E884" s="764"/>
      <c r="F884" s="763"/>
      <c r="G884" s="763"/>
      <c r="H884" s="763"/>
      <c r="I884" s="764"/>
      <c r="J884" s="764"/>
      <c r="K884" s="764"/>
      <c r="L884" s="764"/>
      <c r="M884" s="764"/>
      <c r="N884" s="764"/>
      <c r="O884" s="764"/>
      <c r="P884" s="764"/>
      <c r="Q884" s="764"/>
      <c r="R884" s="764"/>
      <c r="S884" s="764"/>
      <c r="T884" s="764"/>
      <c r="U884" s="764"/>
      <c r="V884" s="764"/>
      <c r="W884" s="764"/>
      <c r="X884" s="764"/>
      <c r="Y884" s="764"/>
      <c r="Z884" s="764"/>
    </row>
    <row r="885" ht="9.75" customHeight="1">
      <c r="A885" s="764"/>
      <c r="B885" s="764"/>
      <c r="C885" s="764"/>
      <c r="D885" s="764"/>
      <c r="E885" s="764"/>
      <c r="F885" s="763"/>
      <c r="G885" s="763"/>
      <c r="H885" s="763"/>
      <c r="I885" s="764"/>
      <c r="J885" s="764"/>
      <c r="K885" s="764"/>
      <c r="L885" s="764"/>
      <c r="M885" s="764"/>
      <c r="N885" s="764"/>
      <c r="O885" s="764"/>
      <c r="P885" s="764"/>
      <c r="Q885" s="764"/>
      <c r="R885" s="764"/>
      <c r="S885" s="764"/>
      <c r="T885" s="764"/>
      <c r="U885" s="764"/>
      <c r="V885" s="764"/>
      <c r="W885" s="764"/>
      <c r="X885" s="764"/>
      <c r="Y885" s="764"/>
      <c r="Z885" s="764"/>
    </row>
    <row r="886" ht="9.75" customHeight="1">
      <c r="A886" s="764"/>
      <c r="B886" s="764"/>
      <c r="C886" s="764"/>
      <c r="D886" s="764"/>
      <c r="E886" s="764"/>
      <c r="F886" s="763"/>
      <c r="G886" s="763"/>
      <c r="H886" s="763"/>
      <c r="I886" s="764"/>
      <c r="J886" s="764"/>
      <c r="K886" s="764"/>
      <c r="L886" s="764"/>
      <c r="M886" s="764"/>
      <c r="N886" s="764"/>
      <c r="O886" s="764"/>
      <c r="P886" s="764"/>
      <c r="Q886" s="764"/>
      <c r="R886" s="764"/>
      <c r="S886" s="764"/>
      <c r="T886" s="764"/>
      <c r="U886" s="764"/>
      <c r="V886" s="764"/>
      <c r="W886" s="764"/>
      <c r="X886" s="764"/>
      <c r="Y886" s="764"/>
      <c r="Z886" s="764"/>
    </row>
    <row r="887" ht="9.75" customHeight="1">
      <c r="A887" s="764"/>
      <c r="B887" s="764"/>
      <c r="C887" s="764"/>
      <c r="D887" s="764"/>
      <c r="E887" s="764"/>
      <c r="F887" s="763"/>
      <c r="G887" s="763"/>
      <c r="H887" s="763"/>
      <c r="I887" s="764"/>
      <c r="J887" s="764"/>
      <c r="K887" s="764"/>
      <c r="L887" s="764"/>
      <c r="M887" s="764"/>
      <c r="N887" s="764"/>
      <c r="O887" s="764"/>
      <c r="P887" s="764"/>
      <c r="Q887" s="764"/>
      <c r="R887" s="764"/>
      <c r="S887" s="764"/>
      <c r="T887" s="764"/>
      <c r="U887" s="764"/>
      <c r="V887" s="764"/>
      <c r="W887" s="764"/>
      <c r="X887" s="764"/>
      <c r="Y887" s="764"/>
      <c r="Z887" s="764"/>
    </row>
    <row r="888" ht="9.75" customHeight="1">
      <c r="A888" s="764"/>
      <c r="B888" s="764"/>
      <c r="C888" s="764"/>
      <c r="D888" s="764"/>
      <c r="E888" s="764"/>
      <c r="F888" s="763"/>
      <c r="G888" s="763"/>
      <c r="H888" s="763"/>
      <c r="I888" s="764"/>
      <c r="J888" s="764"/>
      <c r="K888" s="764"/>
      <c r="L888" s="764"/>
      <c r="M888" s="764"/>
      <c r="N888" s="764"/>
      <c r="O888" s="764"/>
      <c r="P888" s="764"/>
      <c r="Q888" s="764"/>
      <c r="R888" s="764"/>
      <c r="S888" s="764"/>
      <c r="T888" s="764"/>
      <c r="U888" s="764"/>
      <c r="V888" s="764"/>
      <c r="W888" s="764"/>
      <c r="X888" s="764"/>
      <c r="Y888" s="764"/>
      <c r="Z888" s="764"/>
    </row>
    <row r="889" ht="9.75" customHeight="1">
      <c r="A889" s="764"/>
      <c r="B889" s="764"/>
      <c r="C889" s="764"/>
      <c r="D889" s="764"/>
      <c r="E889" s="764"/>
      <c r="F889" s="763"/>
      <c r="G889" s="763"/>
      <c r="H889" s="763"/>
      <c r="I889" s="764"/>
      <c r="J889" s="764"/>
      <c r="K889" s="764"/>
      <c r="L889" s="764"/>
      <c r="M889" s="764"/>
      <c r="N889" s="764"/>
      <c r="O889" s="764"/>
      <c r="P889" s="764"/>
      <c r="Q889" s="764"/>
      <c r="R889" s="764"/>
      <c r="S889" s="764"/>
      <c r="T889" s="764"/>
      <c r="U889" s="764"/>
      <c r="V889" s="764"/>
      <c r="W889" s="764"/>
      <c r="X889" s="764"/>
      <c r="Y889" s="764"/>
      <c r="Z889" s="764"/>
    </row>
    <row r="890" ht="9.75" customHeight="1">
      <c r="A890" s="764"/>
      <c r="B890" s="764"/>
      <c r="C890" s="764"/>
      <c r="D890" s="764"/>
      <c r="E890" s="764"/>
      <c r="F890" s="763"/>
      <c r="G890" s="763"/>
      <c r="H890" s="763"/>
      <c r="I890" s="764"/>
      <c r="J890" s="764"/>
      <c r="K890" s="764"/>
      <c r="L890" s="764"/>
      <c r="M890" s="764"/>
      <c r="N890" s="764"/>
      <c r="O890" s="764"/>
      <c r="P890" s="764"/>
      <c r="Q890" s="764"/>
      <c r="R890" s="764"/>
      <c r="S890" s="764"/>
      <c r="T890" s="764"/>
      <c r="U890" s="764"/>
      <c r="V890" s="764"/>
      <c r="W890" s="764"/>
      <c r="X890" s="764"/>
      <c r="Y890" s="764"/>
      <c r="Z890" s="764"/>
    </row>
    <row r="891" ht="9.75" customHeight="1">
      <c r="A891" s="764"/>
      <c r="B891" s="764"/>
      <c r="C891" s="764"/>
      <c r="D891" s="764"/>
      <c r="E891" s="764"/>
      <c r="F891" s="763"/>
      <c r="G891" s="763"/>
      <c r="H891" s="763"/>
      <c r="I891" s="764"/>
      <c r="J891" s="764"/>
      <c r="K891" s="764"/>
      <c r="L891" s="764"/>
      <c r="M891" s="764"/>
      <c r="N891" s="764"/>
      <c r="O891" s="764"/>
      <c r="P891" s="764"/>
      <c r="Q891" s="764"/>
      <c r="R891" s="764"/>
      <c r="S891" s="764"/>
      <c r="T891" s="764"/>
      <c r="U891" s="764"/>
      <c r="V891" s="764"/>
      <c r="W891" s="764"/>
      <c r="X891" s="764"/>
      <c r="Y891" s="764"/>
      <c r="Z891" s="764"/>
    </row>
    <row r="892" ht="9.75" customHeight="1">
      <c r="A892" s="764"/>
      <c r="B892" s="764"/>
      <c r="C892" s="764"/>
      <c r="D892" s="764"/>
      <c r="E892" s="764"/>
      <c r="F892" s="763"/>
      <c r="G892" s="763"/>
      <c r="H892" s="763"/>
      <c r="I892" s="764"/>
      <c r="J892" s="764"/>
      <c r="K892" s="764"/>
      <c r="L892" s="764"/>
      <c r="M892" s="764"/>
      <c r="N892" s="764"/>
      <c r="O892" s="764"/>
      <c r="P892" s="764"/>
      <c r="Q892" s="764"/>
      <c r="R892" s="764"/>
      <c r="S892" s="764"/>
      <c r="T892" s="764"/>
      <c r="U892" s="764"/>
      <c r="V892" s="764"/>
      <c r="W892" s="764"/>
      <c r="X892" s="764"/>
      <c r="Y892" s="764"/>
      <c r="Z892" s="764"/>
    </row>
    <row r="893" ht="9.75" customHeight="1">
      <c r="A893" s="764"/>
      <c r="B893" s="764"/>
      <c r="C893" s="764"/>
      <c r="D893" s="764"/>
      <c r="E893" s="764"/>
      <c r="F893" s="763"/>
      <c r="G893" s="763"/>
      <c r="H893" s="763"/>
      <c r="I893" s="764"/>
      <c r="J893" s="764"/>
      <c r="K893" s="764"/>
      <c r="L893" s="764"/>
      <c r="M893" s="764"/>
      <c r="N893" s="764"/>
      <c r="O893" s="764"/>
      <c r="P893" s="764"/>
      <c r="Q893" s="764"/>
      <c r="R893" s="764"/>
      <c r="S893" s="764"/>
      <c r="T893" s="764"/>
      <c r="U893" s="764"/>
      <c r="V893" s="764"/>
      <c r="W893" s="764"/>
      <c r="X893" s="764"/>
      <c r="Y893" s="764"/>
      <c r="Z893" s="764"/>
    </row>
    <row r="894" ht="9.75" customHeight="1">
      <c r="A894" s="764"/>
      <c r="B894" s="764"/>
      <c r="C894" s="764"/>
      <c r="D894" s="764"/>
      <c r="E894" s="764"/>
      <c r="F894" s="763"/>
      <c r="G894" s="763"/>
      <c r="H894" s="763"/>
      <c r="I894" s="764"/>
      <c r="J894" s="764"/>
      <c r="K894" s="764"/>
      <c r="L894" s="764"/>
      <c r="M894" s="764"/>
      <c r="N894" s="764"/>
      <c r="O894" s="764"/>
      <c r="P894" s="764"/>
      <c r="Q894" s="764"/>
      <c r="R894" s="764"/>
      <c r="S894" s="764"/>
      <c r="T894" s="764"/>
      <c r="U894" s="764"/>
      <c r="V894" s="764"/>
      <c r="W894" s="764"/>
      <c r="X894" s="764"/>
      <c r="Y894" s="764"/>
      <c r="Z894" s="764"/>
    </row>
    <row r="895" ht="9.75" customHeight="1">
      <c r="A895" s="764"/>
      <c r="B895" s="764"/>
      <c r="C895" s="764"/>
      <c r="D895" s="764"/>
      <c r="E895" s="764"/>
      <c r="F895" s="763"/>
      <c r="G895" s="763"/>
      <c r="H895" s="763"/>
      <c r="I895" s="764"/>
      <c r="J895" s="764"/>
      <c r="K895" s="764"/>
      <c r="L895" s="764"/>
      <c r="M895" s="764"/>
      <c r="N895" s="764"/>
      <c r="O895" s="764"/>
      <c r="P895" s="764"/>
      <c r="Q895" s="764"/>
      <c r="R895" s="764"/>
      <c r="S895" s="764"/>
      <c r="T895" s="764"/>
      <c r="U895" s="764"/>
      <c r="V895" s="764"/>
      <c r="W895" s="764"/>
      <c r="X895" s="764"/>
      <c r="Y895" s="764"/>
      <c r="Z895" s="764"/>
    </row>
    <row r="896" ht="9.75" customHeight="1">
      <c r="A896" s="764"/>
      <c r="B896" s="764"/>
      <c r="C896" s="764"/>
      <c r="D896" s="764"/>
      <c r="E896" s="764"/>
      <c r="F896" s="763"/>
      <c r="G896" s="763"/>
      <c r="H896" s="763"/>
      <c r="I896" s="764"/>
      <c r="J896" s="764"/>
      <c r="K896" s="764"/>
      <c r="L896" s="764"/>
      <c r="M896" s="764"/>
      <c r="N896" s="764"/>
      <c r="O896" s="764"/>
      <c r="P896" s="764"/>
      <c r="Q896" s="764"/>
      <c r="R896" s="764"/>
      <c r="S896" s="764"/>
      <c r="T896" s="764"/>
      <c r="U896" s="764"/>
      <c r="V896" s="764"/>
      <c r="W896" s="764"/>
      <c r="X896" s="764"/>
      <c r="Y896" s="764"/>
      <c r="Z896" s="764"/>
    </row>
    <row r="897" ht="9.75" customHeight="1">
      <c r="A897" s="764"/>
      <c r="B897" s="764"/>
      <c r="C897" s="764"/>
      <c r="D897" s="764"/>
      <c r="E897" s="764"/>
      <c r="F897" s="763"/>
      <c r="G897" s="763"/>
      <c r="H897" s="763"/>
      <c r="I897" s="764"/>
      <c r="J897" s="764"/>
      <c r="K897" s="764"/>
      <c r="L897" s="764"/>
      <c r="M897" s="764"/>
      <c r="N897" s="764"/>
      <c r="O897" s="764"/>
      <c r="P897" s="764"/>
      <c r="Q897" s="764"/>
      <c r="R897" s="764"/>
      <c r="S897" s="764"/>
      <c r="T897" s="764"/>
      <c r="U897" s="764"/>
      <c r="V897" s="764"/>
      <c r="W897" s="764"/>
      <c r="X897" s="764"/>
      <c r="Y897" s="764"/>
      <c r="Z897" s="764"/>
    </row>
    <row r="898" ht="9.75" customHeight="1">
      <c r="A898" s="764"/>
      <c r="B898" s="764"/>
      <c r="C898" s="764"/>
      <c r="D898" s="764"/>
      <c r="E898" s="764"/>
      <c r="F898" s="763"/>
      <c r="G898" s="763"/>
      <c r="H898" s="763"/>
      <c r="I898" s="764"/>
      <c r="J898" s="764"/>
      <c r="K898" s="764"/>
      <c r="L898" s="764"/>
      <c r="M898" s="764"/>
      <c r="N898" s="764"/>
      <c r="O898" s="764"/>
      <c r="P898" s="764"/>
      <c r="Q898" s="764"/>
      <c r="R898" s="764"/>
      <c r="S898" s="764"/>
      <c r="T898" s="764"/>
      <c r="U898" s="764"/>
      <c r="V898" s="764"/>
      <c r="W898" s="764"/>
      <c r="X898" s="764"/>
      <c r="Y898" s="764"/>
      <c r="Z898" s="764"/>
    </row>
    <row r="899" ht="9.75" customHeight="1">
      <c r="A899" s="764"/>
      <c r="B899" s="764"/>
      <c r="C899" s="764"/>
      <c r="D899" s="764"/>
      <c r="E899" s="764"/>
      <c r="F899" s="763"/>
      <c r="G899" s="763"/>
      <c r="H899" s="763"/>
      <c r="I899" s="764"/>
      <c r="J899" s="764"/>
      <c r="K899" s="764"/>
      <c r="L899" s="764"/>
      <c r="M899" s="764"/>
      <c r="N899" s="764"/>
      <c r="O899" s="764"/>
      <c r="P899" s="764"/>
      <c r="Q899" s="764"/>
      <c r="R899" s="764"/>
      <c r="S899" s="764"/>
      <c r="T899" s="764"/>
      <c r="U899" s="764"/>
      <c r="V899" s="764"/>
      <c r="W899" s="764"/>
      <c r="X899" s="764"/>
      <c r="Y899" s="764"/>
      <c r="Z899" s="764"/>
    </row>
    <row r="900" ht="9.75" customHeight="1">
      <c r="A900" s="764"/>
      <c r="B900" s="764"/>
      <c r="C900" s="764"/>
      <c r="D900" s="764"/>
      <c r="E900" s="764"/>
      <c r="F900" s="763"/>
      <c r="G900" s="763"/>
      <c r="H900" s="763"/>
      <c r="I900" s="764"/>
      <c r="J900" s="764"/>
      <c r="K900" s="764"/>
      <c r="L900" s="764"/>
      <c r="M900" s="764"/>
      <c r="N900" s="764"/>
      <c r="O900" s="764"/>
      <c r="P900" s="764"/>
      <c r="Q900" s="764"/>
      <c r="R900" s="764"/>
      <c r="S900" s="764"/>
      <c r="T900" s="764"/>
      <c r="U900" s="764"/>
      <c r="V900" s="764"/>
      <c r="W900" s="764"/>
      <c r="X900" s="764"/>
      <c r="Y900" s="764"/>
      <c r="Z900" s="764"/>
    </row>
    <row r="901" ht="9.75" customHeight="1">
      <c r="A901" s="764"/>
      <c r="B901" s="764"/>
      <c r="C901" s="764"/>
      <c r="D901" s="764"/>
      <c r="E901" s="764"/>
      <c r="F901" s="763"/>
      <c r="G901" s="763"/>
      <c r="H901" s="763"/>
      <c r="I901" s="764"/>
      <c r="J901" s="764"/>
      <c r="K901" s="764"/>
      <c r="L901" s="764"/>
      <c r="M901" s="764"/>
      <c r="N901" s="764"/>
      <c r="O901" s="764"/>
      <c r="P901" s="764"/>
      <c r="Q901" s="764"/>
      <c r="R901" s="764"/>
      <c r="S901" s="764"/>
      <c r="T901" s="764"/>
      <c r="U901" s="764"/>
      <c r="V901" s="764"/>
      <c r="W901" s="764"/>
      <c r="X901" s="764"/>
      <c r="Y901" s="764"/>
      <c r="Z901" s="764"/>
    </row>
    <row r="902" ht="9.75" customHeight="1">
      <c r="A902" s="764"/>
      <c r="B902" s="764"/>
      <c r="C902" s="764"/>
      <c r="D902" s="764"/>
      <c r="E902" s="764"/>
      <c r="F902" s="763"/>
      <c r="G902" s="763"/>
      <c r="H902" s="763"/>
      <c r="I902" s="764"/>
      <c r="J902" s="764"/>
      <c r="K902" s="764"/>
      <c r="L902" s="764"/>
      <c r="M902" s="764"/>
      <c r="N902" s="764"/>
      <c r="O902" s="764"/>
      <c r="P902" s="764"/>
      <c r="Q902" s="764"/>
      <c r="R902" s="764"/>
      <c r="S902" s="764"/>
      <c r="T902" s="764"/>
      <c r="U902" s="764"/>
      <c r="V902" s="764"/>
      <c r="W902" s="764"/>
      <c r="X902" s="764"/>
      <c r="Y902" s="764"/>
      <c r="Z902" s="764"/>
    </row>
    <row r="903" ht="9.75" customHeight="1">
      <c r="A903" s="764"/>
      <c r="B903" s="764"/>
      <c r="C903" s="764"/>
      <c r="D903" s="764"/>
      <c r="E903" s="764"/>
      <c r="F903" s="763"/>
      <c r="G903" s="763"/>
      <c r="H903" s="763"/>
      <c r="I903" s="764"/>
      <c r="J903" s="764"/>
      <c r="K903" s="764"/>
      <c r="L903" s="764"/>
      <c r="M903" s="764"/>
      <c r="N903" s="764"/>
      <c r="O903" s="764"/>
      <c r="P903" s="764"/>
      <c r="Q903" s="764"/>
      <c r="R903" s="764"/>
      <c r="S903" s="764"/>
      <c r="T903" s="764"/>
      <c r="U903" s="764"/>
      <c r="V903" s="764"/>
      <c r="W903" s="764"/>
      <c r="X903" s="764"/>
      <c r="Y903" s="764"/>
      <c r="Z903" s="764"/>
    </row>
    <row r="904" ht="9.75" customHeight="1">
      <c r="A904" s="764"/>
      <c r="B904" s="764"/>
      <c r="C904" s="764"/>
      <c r="D904" s="764"/>
      <c r="E904" s="764"/>
      <c r="F904" s="763"/>
      <c r="G904" s="763"/>
      <c r="H904" s="763"/>
      <c r="I904" s="764"/>
      <c r="J904" s="764"/>
      <c r="K904" s="764"/>
      <c r="L904" s="764"/>
      <c r="M904" s="764"/>
      <c r="N904" s="764"/>
      <c r="O904" s="764"/>
      <c r="P904" s="764"/>
      <c r="Q904" s="764"/>
      <c r="R904" s="764"/>
      <c r="S904" s="764"/>
      <c r="T904" s="764"/>
      <c r="U904" s="764"/>
      <c r="V904" s="764"/>
      <c r="W904" s="764"/>
      <c r="X904" s="764"/>
      <c r="Y904" s="764"/>
      <c r="Z904" s="764"/>
    </row>
    <row r="905" ht="9.75" customHeight="1">
      <c r="A905" s="764"/>
      <c r="B905" s="764"/>
      <c r="C905" s="764"/>
      <c r="D905" s="764"/>
      <c r="E905" s="764"/>
      <c r="F905" s="763"/>
      <c r="G905" s="763"/>
      <c r="H905" s="763"/>
      <c r="I905" s="764"/>
      <c r="J905" s="764"/>
      <c r="K905" s="764"/>
      <c r="L905" s="764"/>
      <c r="M905" s="764"/>
      <c r="N905" s="764"/>
      <c r="O905" s="764"/>
      <c r="P905" s="764"/>
      <c r="Q905" s="764"/>
      <c r="R905" s="764"/>
      <c r="S905" s="764"/>
      <c r="T905" s="764"/>
      <c r="U905" s="764"/>
      <c r="V905" s="764"/>
      <c r="W905" s="764"/>
      <c r="X905" s="764"/>
      <c r="Y905" s="764"/>
      <c r="Z905" s="764"/>
    </row>
    <row r="906" ht="9.75" customHeight="1">
      <c r="A906" s="764"/>
      <c r="B906" s="764"/>
      <c r="C906" s="764"/>
      <c r="D906" s="764"/>
      <c r="E906" s="764"/>
      <c r="F906" s="763"/>
      <c r="G906" s="763"/>
      <c r="H906" s="763"/>
      <c r="I906" s="764"/>
      <c r="J906" s="764"/>
      <c r="K906" s="764"/>
      <c r="L906" s="764"/>
      <c r="M906" s="764"/>
      <c r="N906" s="764"/>
      <c r="O906" s="764"/>
      <c r="P906" s="764"/>
      <c r="Q906" s="764"/>
      <c r="R906" s="764"/>
      <c r="S906" s="764"/>
      <c r="T906" s="764"/>
      <c r="U906" s="764"/>
      <c r="V906" s="764"/>
      <c r="W906" s="764"/>
      <c r="X906" s="764"/>
      <c r="Y906" s="764"/>
      <c r="Z906" s="764"/>
    </row>
    <row r="907" ht="9.75" customHeight="1">
      <c r="A907" s="764"/>
      <c r="B907" s="764"/>
      <c r="C907" s="764"/>
      <c r="D907" s="764"/>
      <c r="E907" s="764"/>
      <c r="F907" s="763"/>
      <c r="G907" s="763"/>
      <c r="H907" s="763"/>
      <c r="I907" s="764"/>
      <c r="J907" s="764"/>
      <c r="K907" s="764"/>
      <c r="L907" s="764"/>
      <c r="M907" s="764"/>
      <c r="N907" s="764"/>
      <c r="O907" s="764"/>
      <c r="P907" s="764"/>
      <c r="Q907" s="764"/>
      <c r="R907" s="764"/>
      <c r="S907" s="764"/>
      <c r="T907" s="764"/>
      <c r="U907" s="764"/>
      <c r="V907" s="764"/>
      <c r="W907" s="764"/>
      <c r="X907" s="764"/>
      <c r="Y907" s="764"/>
      <c r="Z907" s="764"/>
    </row>
    <row r="908" ht="9.75" customHeight="1">
      <c r="A908" s="764"/>
      <c r="B908" s="764"/>
      <c r="C908" s="764"/>
      <c r="D908" s="764"/>
      <c r="E908" s="764"/>
      <c r="F908" s="763"/>
      <c r="G908" s="763"/>
      <c r="H908" s="763"/>
      <c r="I908" s="764"/>
      <c r="J908" s="764"/>
      <c r="K908" s="764"/>
      <c r="L908" s="764"/>
      <c r="M908" s="764"/>
      <c r="N908" s="764"/>
      <c r="O908" s="764"/>
      <c r="P908" s="764"/>
      <c r="Q908" s="764"/>
      <c r="R908" s="764"/>
      <c r="S908" s="764"/>
      <c r="T908" s="764"/>
      <c r="U908" s="764"/>
      <c r="V908" s="764"/>
      <c r="W908" s="764"/>
      <c r="X908" s="764"/>
      <c r="Y908" s="764"/>
      <c r="Z908" s="764"/>
    </row>
    <row r="909" ht="9.75" customHeight="1">
      <c r="A909" s="764"/>
      <c r="B909" s="764"/>
      <c r="C909" s="764"/>
      <c r="D909" s="764"/>
      <c r="E909" s="764"/>
      <c r="F909" s="763"/>
      <c r="G909" s="763"/>
      <c r="H909" s="763"/>
      <c r="I909" s="764"/>
      <c r="J909" s="764"/>
      <c r="K909" s="764"/>
      <c r="L909" s="764"/>
      <c r="M909" s="764"/>
      <c r="N909" s="764"/>
      <c r="O909" s="764"/>
      <c r="P909" s="764"/>
      <c r="Q909" s="764"/>
      <c r="R909" s="764"/>
      <c r="S909" s="764"/>
      <c r="T909" s="764"/>
      <c r="U909" s="764"/>
      <c r="V909" s="764"/>
      <c r="W909" s="764"/>
      <c r="X909" s="764"/>
      <c r="Y909" s="764"/>
      <c r="Z909" s="764"/>
    </row>
    <row r="910" ht="9.75" customHeight="1">
      <c r="A910" s="764"/>
      <c r="B910" s="764"/>
      <c r="C910" s="764"/>
      <c r="D910" s="764"/>
      <c r="E910" s="764"/>
      <c r="F910" s="763"/>
      <c r="G910" s="763"/>
      <c r="H910" s="763"/>
      <c r="I910" s="764"/>
      <c r="J910" s="764"/>
      <c r="K910" s="764"/>
      <c r="L910" s="764"/>
      <c r="M910" s="764"/>
      <c r="N910" s="764"/>
      <c r="O910" s="764"/>
      <c r="P910" s="764"/>
      <c r="Q910" s="764"/>
      <c r="R910" s="764"/>
      <c r="S910" s="764"/>
      <c r="T910" s="764"/>
      <c r="U910" s="764"/>
      <c r="V910" s="764"/>
      <c r="W910" s="764"/>
      <c r="X910" s="764"/>
      <c r="Y910" s="764"/>
      <c r="Z910" s="764"/>
    </row>
    <row r="911" ht="9.75" customHeight="1">
      <c r="A911" s="764"/>
      <c r="B911" s="764"/>
      <c r="C911" s="764"/>
      <c r="D911" s="764"/>
      <c r="E911" s="764"/>
      <c r="F911" s="763"/>
      <c r="G911" s="763"/>
      <c r="H911" s="763"/>
      <c r="I911" s="764"/>
      <c r="J911" s="764"/>
      <c r="K911" s="764"/>
      <c r="L911" s="764"/>
      <c r="M911" s="764"/>
      <c r="N911" s="764"/>
      <c r="O911" s="764"/>
      <c r="P911" s="764"/>
      <c r="Q911" s="764"/>
      <c r="R911" s="764"/>
      <c r="S911" s="764"/>
      <c r="T911" s="764"/>
      <c r="U911" s="764"/>
      <c r="V911" s="764"/>
      <c r="W911" s="764"/>
      <c r="X911" s="764"/>
      <c r="Y911" s="764"/>
      <c r="Z911" s="764"/>
    </row>
    <row r="912" ht="9.75" customHeight="1">
      <c r="A912" s="764"/>
      <c r="B912" s="764"/>
      <c r="C912" s="764"/>
      <c r="D912" s="764"/>
      <c r="E912" s="764"/>
      <c r="F912" s="763"/>
      <c r="G912" s="763"/>
      <c r="H912" s="763"/>
      <c r="I912" s="764"/>
      <c r="J912" s="764"/>
      <c r="K912" s="764"/>
      <c r="L912" s="764"/>
      <c r="M912" s="764"/>
      <c r="N912" s="764"/>
      <c r="O912" s="764"/>
      <c r="P912" s="764"/>
      <c r="Q912" s="764"/>
      <c r="R912" s="764"/>
      <c r="S912" s="764"/>
      <c r="T912" s="764"/>
      <c r="U912" s="764"/>
      <c r="V912" s="764"/>
      <c r="W912" s="764"/>
      <c r="X912" s="764"/>
      <c r="Y912" s="764"/>
      <c r="Z912" s="764"/>
    </row>
    <row r="913" ht="9.75" customHeight="1">
      <c r="A913" s="764"/>
      <c r="B913" s="764"/>
      <c r="C913" s="764"/>
      <c r="D913" s="764"/>
      <c r="E913" s="764"/>
      <c r="F913" s="763"/>
      <c r="G913" s="763"/>
      <c r="H913" s="763"/>
      <c r="I913" s="764"/>
      <c r="J913" s="764"/>
      <c r="K913" s="764"/>
      <c r="L913" s="764"/>
      <c r="M913" s="764"/>
      <c r="N913" s="764"/>
      <c r="O913" s="764"/>
      <c r="P913" s="764"/>
      <c r="Q913" s="764"/>
      <c r="R913" s="764"/>
      <c r="S913" s="764"/>
      <c r="T913" s="764"/>
      <c r="U913" s="764"/>
      <c r="V913" s="764"/>
      <c r="W913" s="764"/>
      <c r="X913" s="764"/>
      <c r="Y913" s="764"/>
      <c r="Z913" s="764"/>
    </row>
    <row r="914" ht="9.75" customHeight="1">
      <c r="A914" s="764"/>
      <c r="B914" s="764"/>
      <c r="C914" s="764"/>
      <c r="D914" s="764"/>
      <c r="E914" s="764"/>
      <c r="F914" s="763"/>
      <c r="G914" s="763"/>
      <c r="H914" s="763"/>
      <c r="I914" s="764"/>
      <c r="J914" s="764"/>
      <c r="K914" s="764"/>
      <c r="L914" s="764"/>
      <c r="M914" s="764"/>
      <c r="N914" s="764"/>
      <c r="O914" s="764"/>
      <c r="P914" s="764"/>
      <c r="Q914" s="764"/>
      <c r="R914" s="764"/>
      <c r="S914" s="764"/>
      <c r="T914" s="764"/>
      <c r="U914" s="764"/>
      <c r="V914" s="764"/>
      <c r="W914" s="764"/>
      <c r="X914" s="764"/>
      <c r="Y914" s="764"/>
      <c r="Z914" s="764"/>
    </row>
    <row r="915" ht="9.75" customHeight="1">
      <c r="A915" s="764"/>
      <c r="B915" s="764"/>
      <c r="C915" s="764"/>
      <c r="D915" s="764"/>
      <c r="E915" s="764"/>
      <c r="F915" s="763"/>
      <c r="G915" s="763"/>
      <c r="H915" s="763"/>
      <c r="I915" s="764"/>
      <c r="J915" s="764"/>
      <c r="K915" s="764"/>
      <c r="L915" s="764"/>
      <c r="M915" s="764"/>
      <c r="N915" s="764"/>
      <c r="O915" s="764"/>
      <c r="P915" s="764"/>
      <c r="Q915" s="764"/>
      <c r="R915" s="764"/>
      <c r="S915" s="764"/>
      <c r="T915" s="764"/>
      <c r="U915" s="764"/>
      <c r="V915" s="764"/>
      <c r="W915" s="764"/>
      <c r="X915" s="764"/>
      <c r="Y915" s="764"/>
      <c r="Z915" s="764"/>
    </row>
    <row r="916" ht="9.75" customHeight="1">
      <c r="A916" s="764"/>
      <c r="B916" s="764"/>
      <c r="C916" s="764"/>
      <c r="D916" s="764"/>
      <c r="E916" s="764"/>
      <c r="F916" s="763"/>
      <c r="G916" s="763"/>
      <c r="H916" s="763"/>
      <c r="I916" s="764"/>
      <c r="J916" s="764"/>
      <c r="K916" s="764"/>
      <c r="L916" s="764"/>
      <c r="M916" s="764"/>
      <c r="N916" s="764"/>
      <c r="O916" s="764"/>
      <c r="P916" s="764"/>
      <c r="Q916" s="764"/>
      <c r="R916" s="764"/>
      <c r="S916" s="764"/>
      <c r="T916" s="764"/>
      <c r="U916" s="764"/>
      <c r="V916" s="764"/>
      <c r="W916" s="764"/>
      <c r="X916" s="764"/>
      <c r="Y916" s="764"/>
      <c r="Z916" s="764"/>
    </row>
    <row r="917" ht="9.75" customHeight="1">
      <c r="A917" s="764"/>
      <c r="B917" s="764"/>
      <c r="C917" s="764"/>
      <c r="D917" s="764"/>
      <c r="E917" s="764"/>
      <c r="F917" s="763"/>
      <c r="G917" s="763"/>
      <c r="H917" s="763"/>
      <c r="I917" s="764"/>
      <c r="J917" s="764"/>
      <c r="K917" s="764"/>
      <c r="L917" s="764"/>
      <c r="M917" s="764"/>
      <c r="N917" s="764"/>
      <c r="O917" s="764"/>
      <c r="P917" s="764"/>
      <c r="Q917" s="764"/>
      <c r="R917" s="764"/>
      <c r="S917" s="764"/>
      <c r="T917" s="764"/>
      <c r="U917" s="764"/>
      <c r="V917" s="764"/>
      <c r="W917" s="764"/>
      <c r="X917" s="764"/>
      <c r="Y917" s="764"/>
      <c r="Z917" s="764"/>
    </row>
    <row r="918" ht="9.75" customHeight="1">
      <c r="A918" s="764"/>
      <c r="B918" s="764"/>
      <c r="C918" s="764"/>
      <c r="D918" s="764"/>
      <c r="E918" s="764"/>
      <c r="F918" s="763"/>
      <c r="G918" s="763"/>
      <c r="H918" s="763"/>
      <c r="I918" s="764"/>
      <c r="J918" s="764"/>
      <c r="K918" s="764"/>
      <c r="L918" s="764"/>
      <c r="M918" s="764"/>
      <c r="N918" s="764"/>
      <c r="O918" s="764"/>
      <c r="P918" s="764"/>
      <c r="Q918" s="764"/>
      <c r="R918" s="764"/>
      <c r="S918" s="764"/>
      <c r="T918" s="764"/>
      <c r="U918" s="764"/>
      <c r="V918" s="764"/>
      <c r="W918" s="764"/>
      <c r="X918" s="764"/>
      <c r="Y918" s="764"/>
      <c r="Z918" s="764"/>
    </row>
    <row r="919" ht="9.75" customHeight="1">
      <c r="A919" s="764"/>
      <c r="B919" s="764"/>
      <c r="C919" s="764"/>
      <c r="D919" s="764"/>
      <c r="E919" s="764"/>
      <c r="F919" s="763"/>
      <c r="G919" s="763"/>
      <c r="H919" s="763"/>
      <c r="I919" s="764"/>
      <c r="J919" s="764"/>
      <c r="K919" s="764"/>
      <c r="L919" s="764"/>
      <c r="M919" s="764"/>
      <c r="N919" s="764"/>
      <c r="O919" s="764"/>
      <c r="P919" s="764"/>
      <c r="Q919" s="764"/>
      <c r="R919" s="764"/>
      <c r="S919" s="764"/>
      <c r="T919" s="764"/>
      <c r="U919" s="764"/>
      <c r="V919" s="764"/>
      <c r="W919" s="764"/>
      <c r="X919" s="764"/>
      <c r="Y919" s="764"/>
      <c r="Z919" s="764"/>
    </row>
    <row r="920" ht="9.75" customHeight="1">
      <c r="A920" s="764"/>
      <c r="B920" s="764"/>
      <c r="C920" s="764"/>
      <c r="D920" s="764"/>
      <c r="E920" s="764"/>
      <c r="F920" s="763"/>
      <c r="G920" s="763"/>
      <c r="H920" s="763"/>
      <c r="I920" s="764"/>
      <c r="J920" s="764"/>
      <c r="K920" s="764"/>
      <c r="L920" s="764"/>
      <c r="M920" s="764"/>
      <c r="N920" s="764"/>
      <c r="O920" s="764"/>
      <c r="P920" s="764"/>
      <c r="Q920" s="764"/>
      <c r="R920" s="764"/>
      <c r="S920" s="764"/>
      <c r="T920" s="764"/>
      <c r="U920" s="764"/>
      <c r="V920" s="764"/>
      <c r="W920" s="764"/>
      <c r="X920" s="764"/>
      <c r="Y920" s="764"/>
      <c r="Z920" s="764"/>
    </row>
    <row r="921" ht="9.75" customHeight="1">
      <c r="A921" s="764"/>
      <c r="B921" s="764"/>
      <c r="C921" s="764"/>
      <c r="D921" s="764"/>
      <c r="E921" s="764"/>
      <c r="F921" s="763"/>
      <c r="G921" s="763"/>
      <c r="H921" s="763"/>
      <c r="I921" s="764"/>
      <c r="J921" s="764"/>
      <c r="K921" s="764"/>
      <c r="L921" s="764"/>
      <c r="M921" s="764"/>
      <c r="N921" s="764"/>
      <c r="O921" s="764"/>
      <c r="P921" s="764"/>
      <c r="Q921" s="764"/>
      <c r="R921" s="764"/>
      <c r="S921" s="764"/>
      <c r="T921" s="764"/>
      <c r="U921" s="764"/>
      <c r="V921" s="764"/>
      <c r="W921" s="764"/>
      <c r="X921" s="764"/>
      <c r="Y921" s="764"/>
      <c r="Z921" s="764"/>
    </row>
    <row r="922" ht="9.75" customHeight="1">
      <c r="A922" s="764"/>
      <c r="B922" s="764"/>
      <c r="C922" s="764"/>
      <c r="D922" s="764"/>
      <c r="E922" s="764"/>
      <c r="F922" s="763"/>
      <c r="G922" s="763"/>
      <c r="H922" s="763"/>
      <c r="I922" s="764"/>
      <c r="J922" s="764"/>
      <c r="K922" s="764"/>
      <c r="L922" s="764"/>
      <c r="M922" s="764"/>
      <c r="N922" s="764"/>
      <c r="O922" s="764"/>
      <c r="P922" s="764"/>
      <c r="Q922" s="764"/>
      <c r="R922" s="764"/>
      <c r="S922" s="764"/>
      <c r="T922" s="764"/>
      <c r="U922" s="764"/>
      <c r="V922" s="764"/>
      <c r="W922" s="764"/>
      <c r="X922" s="764"/>
      <c r="Y922" s="764"/>
      <c r="Z922" s="764"/>
    </row>
    <row r="923" ht="9.75" customHeight="1">
      <c r="A923" s="764"/>
      <c r="B923" s="764"/>
      <c r="C923" s="764"/>
      <c r="D923" s="764"/>
      <c r="E923" s="764"/>
      <c r="F923" s="763"/>
      <c r="G923" s="763"/>
      <c r="H923" s="763"/>
      <c r="I923" s="764"/>
      <c r="J923" s="764"/>
      <c r="K923" s="764"/>
      <c r="L923" s="764"/>
      <c r="M923" s="764"/>
      <c r="N923" s="764"/>
      <c r="O923" s="764"/>
      <c r="P923" s="764"/>
      <c r="Q923" s="764"/>
      <c r="R923" s="764"/>
      <c r="S923" s="764"/>
      <c r="T923" s="764"/>
      <c r="U923" s="764"/>
      <c r="V923" s="764"/>
      <c r="W923" s="764"/>
      <c r="X923" s="764"/>
      <c r="Y923" s="764"/>
      <c r="Z923" s="764"/>
    </row>
    <row r="924" ht="9.75" customHeight="1">
      <c r="A924" s="764"/>
      <c r="B924" s="764"/>
      <c r="C924" s="764"/>
      <c r="D924" s="764"/>
      <c r="E924" s="764"/>
      <c r="F924" s="763"/>
      <c r="G924" s="763"/>
      <c r="H924" s="763"/>
      <c r="I924" s="764"/>
      <c r="J924" s="764"/>
      <c r="K924" s="764"/>
      <c r="L924" s="764"/>
      <c r="M924" s="764"/>
      <c r="N924" s="764"/>
      <c r="O924" s="764"/>
      <c r="P924" s="764"/>
      <c r="Q924" s="764"/>
      <c r="R924" s="764"/>
      <c r="S924" s="764"/>
      <c r="T924" s="764"/>
      <c r="U924" s="764"/>
      <c r="V924" s="764"/>
      <c r="W924" s="764"/>
      <c r="X924" s="764"/>
      <c r="Y924" s="764"/>
      <c r="Z924" s="764"/>
    </row>
    <row r="925" ht="9.75" customHeight="1">
      <c r="A925" s="764"/>
      <c r="B925" s="764"/>
      <c r="C925" s="764"/>
      <c r="D925" s="764"/>
      <c r="E925" s="764"/>
      <c r="F925" s="763"/>
      <c r="G925" s="763"/>
      <c r="H925" s="763"/>
      <c r="I925" s="764"/>
      <c r="J925" s="764"/>
      <c r="K925" s="764"/>
      <c r="L925" s="764"/>
      <c r="M925" s="764"/>
      <c r="N925" s="764"/>
      <c r="O925" s="764"/>
      <c r="P925" s="764"/>
      <c r="Q925" s="764"/>
      <c r="R925" s="764"/>
      <c r="S925" s="764"/>
      <c r="T925" s="764"/>
      <c r="U925" s="764"/>
      <c r="V925" s="764"/>
      <c r="W925" s="764"/>
      <c r="X925" s="764"/>
      <c r="Y925" s="764"/>
      <c r="Z925" s="764"/>
    </row>
    <row r="926" ht="9.75" customHeight="1">
      <c r="A926" s="764"/>
      <c r="B926" s="764"/>
      <c r="C926" s="764"/>
      <c r="D926" s="764"/>
      <c r="E926" s="764"/>
      <c r="F926" s="763"/>
      <c r="G926" s="763"/>
      <c r="H926" s="763"/>
      <c r="I926" s="764"/>
      <c r="J926" s="764"/>
      <c r="K926" s="764"/>
      <c r="L926" s="764"/>
      <c r="M926" s="764"/>
      <c r="N926" s="764"/>
      <c r="O926" s="764"/>
      <c r="P926" s="764"/>
      <c r="Q926" s="764"/>
      <c r="R926" s="764"/>
      <c r="S926" s="764"/>
      <c r="T926" s="764"/>
      <c r="U926" s="764"/>
      <c r="V926" s="764"/>
      <c r="W926" s="764"/>
      <c r="X926" s="764"/>
      <c r="Y926" s="764"/>
      <c r="Z926" s="764"/>
    </row>
    <row r="927" ht="9.75" customHeight="1">
      <c r="A927" s="764"/>
      <c r="B927" s="764"/>
      <c r="C927" s="764"/>
      <c r="D927" s="764"/>
      <c r="E927" s="764"/>
      <c r="F927" s="763"/>
      <c r="G927" s="763"/>
      <c r="H927" s="763"/>
      <c r="I927" s="764"/>
      <c r="J927" s="764"/>
      <c r="K927" s="764"/>
      <c r="L927" s="764"/>
      <c r="M927" s="764"/>
      <c r="N927" s="764"/>
      <c r="O927" s="764"/>
      <c r="P927" s="764"/>
      <c r="Q927" s="764"/>
      <c r="R927" s="764"/>
      <c r="S927" s="764"/>
      <c r="T927" s="764"/>
      <c r="U927" s="764"/>
      <c r="V927" s="764"/>
      <c r="W927" s="764"/>
      <c r="X927" s="764"/>
      <c r="Y927" s="764"/>
      <c r="Z927" s="764"/>
    </row>
    <row r="928" ht="9.75" customHeight="1">
      <c r="A928" s="764"/>
      <c r="B928" s="764"/>
      <c r="C928" s="764"/>
      <c r="D928" s="764"/>
      <c r="E928" s="764"/>
      <c r="F928" s="763"/>
      <c r="G928" s="763"/>
      <c r="H928" s="763"/>
      <c r="I928" s="764"/>
      <c r="J928" s="764"/>
      <c r="K928" s="764"/>
      <c r="L928" s="764"/>
      <c r="M928" s="764"/>
      <c r="N928" s="764"/>
      <c r="O928" s="764"/>
      <c r="P928" s="764"/>
      <c r="Q928" s="764"/>
      <c r="R928" s="764"/>
      <c r="S928" s="764"/>
      <c r="T928" s="764"/>
      <c r="U928" s="764"/>
      <c r="V928" s="764"/>
      <c r="W928" s="764"/>
      <c r="X928" s="764"/>
      <c r="Y928" s="764"/>
      <c r="Z928" s="764"/>
    </row>
    <row r="929" ht="9.75" customHeight="1">
      <c r="A929" s="764"/>
      <c r="B929" s="764"/>
      <c r="C929" s="764"/>
      <c r="D929" s="764"/>
      <c r="E929" s="764"/>
      <c r="F929" s="763"/>
      <c r="G929" s="763"/>
      <c r="H929" s="763"/>
      <c r="I929" s="764"/>
      <c r="J929" s="764"/>
      <c r="K929" s="764"/>
      <c r="L929" s="764"/>
      <c r="M929" s="764"/>
      <c r="N929" s="764"/>
      <c r="O929" s="764"/>
      <c r="P929" s="764"/>
      <c r="Q929" s="764"/>
      <c r="R929" s="764"/>
      <c r="S929" s="764"/>
      <c r="T929" s="764"/>
      <c r="U929" s="764"/>
      <c r="V929" s="764"/>
      <c r="W929" s="764"/>
      <c r="X929" s="764"/>
      <c r="Y929" s="764"/>
      <c r="Z929" s="764"/>
    </row>
    <row r="930" ht="9.75" customHeight="1">
      <c r="A930" s="764"/>
      <c r="B930" s="764"/>
      <c r="C930" s="764"/>
      <c r="D930" s="764"/>
      <c r="E930" s="764"/>
      <c r="F930" s="763"/>
      <c r="G930" s="763"/>
      <c r="H930" s="763"/>
      <c r="I930" s="764"/>
      <c r="J930" s="764"/>
      <c r="K930" s="764"/>
      <c r="L930" s="764"/>
      <c r="M930" s="764"/>
      <c r="N930" s="764"/>
      <c r="O930" s="764"/>
      <c r="P930" s="764"/>
      <c r="Q930" s="764"/>
      <c r="R930" s="764"/>
      <c r="S930" s="764"/>
      <c r="T930" s="764"/>
      <c r="U930" s="764"/>
      <c r="V930" s="764"/>
      <c r="W930" s="764"/>
      <c r="X930" s="764"/>
      <c r="Y930" s="764"/>
      <c r="Z930" s="764"/>
    </row>
    <row r="931" ht="9.75" customHeight="1">
      <c r="A931" s="764"/>
      <c r="B931" s="764"/>
      <c r="C931" s="764"/>
      <c r="D931" s="764"/>
      <c r="E931" s="764"/>
      <c r="F931" s="763"/>
      <c r="G931" s="763"/>
      <c r="H931" s="763"/>
      <c r="I931" s="764"/>
      <c r="J931" s="764"/>
      <c r="K931" s="764"/>
      <c r="L931" s="764"/>
      <c r="M931" s="764"/>
      <c r="N931" s="764"/>
      <c r="O931" s="764"/>
      <c r="P931" s="764"/>
      <c r="Q931" s="764"/>
      <c r="R931" s="764"/>
      <c r="S931" s="764"/>
      <c r="T931" s="764"/>
      <c r="U931" s="764"/>
      <c r="V931" s="764"/>
      <c r="W931" s="764"/>
      <c r="X931" s="764"/>
      <c r="Y931" s="764"/>
      <c r="Z931" s="764"/>
    </row>
    <row r="932" ht="9.75" customHeight="1">
      <c r="A932" s="764"/>
      <c r="B932" s="764"/>
      <c r="C932" s="764"/>
      <c r="D932" s="764"/>
      <c r="E932" s="764"/>
      <c r="F932" s="763"/>
      <c r="G932" s="763"/>
      <c r="H932" s="763"/>
      <c r="I932" s="764"/>
      <c r="J932" s="764"/>
      <c r="K932" s="764"/>
      <c r="L932" s="764"/>
      <c r="M932" s="764"/>
      <c r="N932" s="764"/>
      <c r="O932" s="764"/>
      <c r="P932" s="764"/>
      <c r="Q932" s="764"/>
      <c r="R932" s="764"/>
      <c r="S932" s="764"/>
      <c r="T932" s="764"/>
      <c r="U932" s="764"/>
      <c r="V932" s="764"/>
      <c r="W932" s="764"/>
      <c r="X932" s="764"/>
      <c r="Y932" s="764"/>
      <c r="Z932" s="764"/>
    </row>
    <row r="933" ht="9.75" customHeight="1">
      <c r="A933" s="764"/>
      <c r="B933" s="764"/>
      <c r="C933" s="764"/>
      <c r="D933" s="764"/>
      <c r="E933" s="764"/>
      <c r="F933" s="763"/>
      <c r="G933" s="763"/>
      <c r="H933" s="763"/>
      <c r="I933" s="764"/>
      <c r="J933" s="764"/>
      <c r="K933" s="764"/>
      <c r="L933" s="764"/>
      <c r="M933" s="764"/>
      <c r="N933" s="764"/>
      <c r="O933" s="764"/>
      <c r="P933" s="764"/>
      <c r="Q933" s="764"/>
      <c r="R933" s="764"/>
      <c r="S933" s="764"/>
      <c r="T933" s="764"/>
      <c r="U933" s="764"/>
      <c r="V933" s="764"/>
      <c r="W933" s="764"/>
      <c r="X933" s="764"/>
      <c r="Y933" s="764"/>
      <c r="Z933" s="764"/>
    </row>
    <row r="934" ht="9.75" customHeight="1">
      <c r="A934" s="764"/>
      <c r="B934" s="764"/>
      <c r="C934" s="764"/>
      <c r="D934" s="764"/>
      <c r="E934" s="764"/>
      <c r="F934" s="763"/>
      <c r="G934" s="763"/>
      <c r="H934" s="763"/>
      <c r="I934" s="764"/>
      <c r="J934" s="764"/>
      <c r="K934" s="764"/>
      <c r="L934" s="764"/>
      <c r="M934" s="764"/>
      <c r="N934" s="764"/>
      <c r="O934" s="764"/>
      <c r="P934" s="764"/>
      <c r="Q934" s="764"/>
      <c r="R934" s="764"/>
      <c r="S934" s="764"/>
      <c r="T934" s="764"/>
      <c r="U934" s="764"/>
      <c r="V934" s="764"/>
      <c r="W934" s="764"/>
      <c r="X934" s="764"/>
      <c r="Y934" s="764"/>
      <c r="Z934" s="764"/>
    </row>
    <row r="935" ht="9.75" customHeight="1">
      <c r="A935" s="764"/>
      <c r="B935" s="764"/>
      <c r="C935" s="764"/>
      <c r="D935" s="764"/>
      <c r="E935" s="764"/>
      <c r="F935" s="763"/>
      <c r="G935" s="763"/>
      <c r="H935" s="763"/>
      <c r="I935" s="764"/>
      <c r="J935" s="764"/>
      <c r="K935" s="764"/>
      <c r="L935" s="764"/>
      <c r="M935" s="764"/>
      <c r="N935" s="764"/>
      <c r="O935" s="764"/>
      <c r="P935" s="764"/>
      <c r="Q935" s="764"/>
      <c r="R935" s="764"/>
      <c r="S935" s="764"/>
      <c r="T935" s="764"/>
      <c r="U935" s="764"/>
      <c r="V935" s="764"/>
      <c r="W935" s="764"/>
      <c r="X935" s="764"/>
      <c r="Y935" s="764"/>
      <c r="Z935" s="764"/>
    </row>
    <row r="936" ht="9.75" customHeight="1">
      <c r="A936" s="764"/>
      <c r="B936" s="764"/>
      <c r="C936" s="764"/>
      <c r="D936" s="764"/>
      <c r="E936" s="764"/>
      <c r="F936" s="763"/>
      <c r="G936" s="763"/>
      <c r="H936" s="763"/>
      <c r="I936" s="764"/>
      <c r="J936" s="764"/>
      <c r="K936" s="764"/>
      <c r="L936" s="764"/>
      <c r="M936" s="764"/>
      <c r="N936" s="764"/>
      <c r="O936" s="764"/>
      <c r="P936" s="764"/>
      <c r="Q936" s="764"/>
      <c r="R936" s="764"/>
      <c r="S936" s="764"/>
      <c r="T936" s="764"/>
      <c r="U936" s="764"/>
      <c r="V936" s="764"/>
      <c r="W936" s="764"/>
      <c r="X936" s="764"/>
      <c r="Y936" s="764"/>
      <c r="Z936" s="764"/>
    </row>
    <row r="937" ht="9.75" customHeight="1">
      <c r="A937" s="764"/>
      <c r="B937" s="764"/>
      <c r="C937" s="764"/>
      <c r="D937" s="764"/>
      <c r="E937" s="764"/>
      <c r="F937" s="763"/>
      <c r="G937" s="763"/>
      <c r="H937" s="763"/>
      <c r="I937" s="764"/>
      <c r="J937" s="764"/>
      <c r="K937" s="764"/>
      <c r="L937" s="764"/>
      <c r="M937" s="764"/>
      <c r="N937" s="764"/>
      <c r="O937" s="764"/>
      <c r="P937" s="764"/>
      <c r="Q937" s="764"/>
      <c r="R937" s="764"/>
      <c r="S937" s="764"/>
      <c r="T937" s="764"/>
      <c r="U937" s="764"/>
      <c r="V937" s="764"/>
      <c r="W937" s="764"/>
      <c r="X937" s="764"/>
      <c r="Y937" s="764"/>
      <c r="Z937" s="764"/>
    </row>
    <row r="938" ht="9.75" customHeight="1">
      <c r="A938" s="764"/>
      <c r="B938" s="764"/>
      <c r="C938" s="764"/>
      <c r="D938" s="764"/>
      <c r="E938" s="764"/>
      <c r="F938" s="763"/>
      <c r="G938" s="763"/>
      <c r="H938" s="763"/>
      <c r="I938" s="764"/>
      <c r="J938" s="764"/>
      <c r="K938" s="764"/>
      <c r="L938" s="764"/>
      <c r="M938" s="764"/>
      <c r="N938" s="764"/>
      <c r="O938" s="764"/>
      <c r="P938" s="764"/>
      <c r="Q938" s="764"/>
      <c r="R938" s="764"/>
      <c r="S938" s="764"/>
      <c r="T938" s="764"/>
      <c r="U938" s="764"/>
      <c r="V938" s="764"/>
      <c r="W938" s="764"/>
      <c r="X938" s="764"/>
      <c r="Y938" s="764"/>
      <c r="Z938" s="764"/>
    </row>
    <row r="939" ht="9.75" customHeight="1">
      <c r="A939" s="764"/>
      <c r="B939" s="764"/>
      <c r="C939" s="764"/>
      <c r="D939" s="764"/>
      <c r="E939" s="764"/>
      <c r="F939" s="763"/>
      <c r="G939" s="763"/>
      <c r="H939" s="763"/>
      <c r="I939" s="764"/>
      <c r="J939" s="764"/>
      <c r="K939" s="764"/>
      <c r="L939" s="764"/>
      <c r="M939" s="764"/>
      <c r="N939" s="764"/>
      <c r="O939" s="764"/>
      <c r="P939" s="764"/>
      <c r="Q939" s="764"/>
      <c r="R939" s="764"/>
      <c r="S939" s="764"/>
      <c r="T939" s="764"/>
      <c r="U939" s="764"/>
      <c r="V939" s="764"/>
      <c r="W939" s="764"/>
      <c r="X939" s="764"/>
      <c r="Y939" s="764"/>
      <c r="Z939" s="764"/>
    </row>
    <row r="940" ht="9.75" customHeight="1">
      <c r="A940" s="764"/>
      <c r="B940" s="764"/>
      <c r="C940" s="764"/>
      <c r="D940" s="764"/>
      <c r="E940" s="764"/>
      <c r="F940" s="763"/>
      <c r="G940" s="763"/>
      <c r="H940" s="763"/>
      <c r="I940" s="764"/>
      <c r="J940" s="764"/>
      <c r="K940" s="764"/>
      <c r="L940" s="764"/>
      <c r="M940" s="764"/>
      <c r="N940" s="764"/>
      <c r="O940" s="764"/>
      <c r="P940" s="764"/>
      <c r="Q940" s="764"/>
      <c r="R940" s="764"/>
      <c r="S940" s="764"/>
      <c r="T940" s="764"/>
      <c r="U940" s="764"/>
      <c r="V940" s="764"/>
      <c r="W940" s="764"/>
      <c r="X940" s="764"/>
      <c r="Y940" s="764"/>
      <c r="Z940" s="764"/>
    </row>
    <row r="941" ht="9.75" customHeight="1">
      <c r="A941" s="764"/>
      <c r="B941" s="764"/>
      <c r="C941" s="764"/>
      <c r="D941" s="764"/>
      <c r="E941" s="764"/>
      <c r="F941" s="763"/>
      <c r="G941" s="763"/>
      <c r="H941" s="763"/>
      <c r="I941" s="764"/>
      <c r="J941" s="764"/>
      <c r="K941" s="764"/>
      <c r="L941" s="764"/>
      <c r="M941" s="764"/>
      <c r="N941" s="764"/>
      <c r="O941" s="764"/>
      <c r="P941" s="764"/>
      <c r="Q941" s="764"/>
      <c r="R941" s="764"/>
      <c r="S941" s="764"/>
      <c r="T941" s="764"/>
      <c r="U941" s="764"/>
      <c r="V941" s="764"/>
      <c r="W941" s="764"/>
      <c r="X941" s="764"/>
      <c r="Y941" s="764"/>
      <c r="Z941" s="764"/>
    </row>
    <row r="942" ht="9.75" customHeight="1">
      <c r="A942" s="764"/>
      <c r="B942" s="764"/>
      <c r="C942" s="764"/>
      <c r="D942" s="764"/>
      <c r="E942" s="764"/>
      <c r="F942" s="763"/>
      <c r="G942" s="763"/>
      <c r="H942" s="763"/>
      <c r="I942" s="764"/>
      <c r="J942" s="764"/>
      <c r="K942" s="764"/>
      <c r="L942" s="764"/>
      <c r="M942" s="764"/>
      <c r="N942" s="764"/>
      <c r="O942" s="764"/>
      <c r="P942" s="764"/>
      <c r="Q942" s="764"/>
      <c r="R942" s="764"/>
      <c r="S942" s="764"/>
      <c r="T942" s="764"/>
      <c r="U942" s="764"/>
      <c r="V942" s="764"/>
      <c r="W942" s="764"/>
      <c r="X942" s="764"/>
      <c r="Y942" s="764"/>
      <c r="Z942" s="764"/>
    </row>
    <row r="943" ht="9.75" customHeight="1">
      <c r="A943" s="764"/>
      <c r="B943" s="764"/>
      <c r="C943" s="764"/>
      <c r="D943" s="764"/>
      <c r="E943" s="764"/>
      <c r="F943" s="763"/>
      <c r="G943" s="763"/>
      <c r="H943" s="763"/>
      <c r="I943" s="764"/>
      <c r="J943" s="764"/>
      <c r="K943" s="764"/>
      <c r="L943" s="764"/>
      <c r="M943" s="764"/>
      <c r="N943" s="764"/>
      <c r="O943" s="764"/>
      <c r="P943" s="764"/>
      <c r="Q943" s="764"/>
      <c r="R943" s="764"/>
      <c r="S943" s="764"/>
      <c r="T943" s="764"/>
      <c r="U943" s="764"/>
      <c r="V943" s="764"/>
      <c r="W943" s="764"/>
      <c r="X943" s="764"/>
      <c r="Y943" s="764"/>
      <c r="Z943" s="764"/>
    </row>
    <row r="944" ht="9.75" customHeight="1">
      <c r="A944" s="764"/>
      <c r="B944" s="764"/>
      <c r="C944" s="764"/>
      <c r="D944" s="764"/>
      <c r="E944" s="764"/>
      <c r="F944" s="763"/>
      <c r="G944" s="763"/>
      <c r="H944" s="763"/>
      <c r="I944" s="764"/>
      <c r="J944" s="764"/>
      <c r="K944" s="764"/>
      <c r="L944" s="764"/>
      <c r="M944" s="764"/>
      <c r="N944" s="764"/>
      <c r="O944" s="764"/>
      <c r="P944" s="764"/>
      <c r="Q944" s="764"/>
      <c r="R944" s="764"/>
      <c r="S944" s="764"/>
      <c r="T944" s="764"/>
      <c r="U944" s="764"/>
      <c r="V944" s="764"/>
      <c r="W944" s="764"/>
      <c r="X944" s="764"/>
      <c r="Y944" s="764"/>
      <c r="Z944" s="764"/>
    </row>
    <row r="945" ht="9.75" customHeight="1">
      <c r="A945" s="764"/>
      <c r="B945" s="764"/>
      <c r="C945" s="764"/>
      <c r="D945" s="764"/>
      <c r="E945" s="764"/>
      <c r="F945" s="763"/>
      <c r="G945" s="763"/>
      <c r="H945" s="763"/>
      <c r="I945" s="764"/>
      <c r="J945" s="764"/>
      <c r="K945" s="764"/>
      <c r="L945" s="764"/>
      <c r="M945" s="764"/>
      <c r="N945" s="764"/>
      <c r="O945" s="764"/>
      <c r="P945" s="764"/>
      <c r="Q945" s="764"/>
      <c r="R945" s="764"/>
      <c r="S945" s="764"/>
      <c r="T945" s="764"/>
      <c r="U945" s="764"/>
      <c r="V945" s="764"/>
      <c r="W945" s="764"/>
      <c r="X945" s="764"/>
      <c r="Y945" s="764"/>
      <c r="Z945" s="764"/>
    </row>
    <row r="946" ht="9.75" customHeight="1">
      <c r="A946" s="764"/>
      <c r="B946" s="764"/>
      <c r="C946" s="764"/>
      <c r="D946" s="764"/>
      <c r="E946" s="764"/>
      <c r="F946" s="763"/>
      <c r="G946" s="763"/>
      <c r="H946" s="763"/>
      <c r="I946" s="764"/>
      <c r="J946" s="764"/>
      <c r="K946" s="764"/>
      <c r="L946" s="764"/>
      <c r="M946" s="764"/>
      <c r="N946" s="764"/>
      <c r="O946" s="764"/>
      <c r="P946" s="764"/>
      <c r="Q946" s="764"/>
      <c r="R946" s="764"/>
      <c r="S946" s="764"/>
      <c r="T946" s="764"/>
      <c r="U946" s="764"/>
      <c r="V946" s="764"/>
      <c r="W946" s="764"/>
      <c r="X946" s="764"/>
      <c r="Y946" s="764"/>
      <c r="Z946" s="764"/>
    </row>
    <row r="947" ht="9.75" customHeight="1">
      <c r="A947" s="764"/>
      <c r="B947" s="764"/>
      <c r="C947" s="764"/>
      <c r="D947" s="764"/>
      <c r="E947" s="764"/>
      <c r="F947" s="763"/>
      <c r="G947" s="763"/>
      <c r="H947" s="763"/>
      <c r="I947" s="764"/>
      <c r="J947" s="764"/>
      <c r="K947" s="764"/>
      <c r="L947" s="764"/>
      <c r="M947" s="764"/>
      <c r="N947" s="764"/>
      <c r="O947" s="764"/>
      <c r="P947" s="764"/>
      <c r="Q947" s="764"/>
      <c r="R947" s="764"/>
      <c r="S947" s="764"/>
      <c r="T947" s="764"/>
      <c r="U947" s="764"/>
      <c r="V947" s="764"/>
      <c r="W947" s="764"/>
      <c r="X947" s="764"/>
      <c r="Y947" s="764"/>
      <c r="Z947" s="764"/>
    </row>
    <row r="948" ht="9.75" customHeight="1">
      <c r="A948" s="764"/>
      <c r="B948" s="764"/>
      <c r="C948" s="764"/>
      <c r="D948" s="764"/>
      <c r="E948" s="764"/>
      <c r="F948" s="763"/>
      <c r="G948" s="763"/>
      <c r="H948" s="763"/>
      <c r="I948" s="764"/>
      <c r="J948" s="764"/>
      <c r="K948" s="764"/>
      <c r="L948" s="764"/>
      <c r="M948" s="764"/>
      <c r="N948" s="764"/>
      <c r="O948" s="764"/>
      <c r="P948" s="764"/>
      <c r="Q948" s="764"/>
      <c r="R948" s="764"/>
      <c r="S948" s="764"/>
      <c r="T948" s="764"/>
      <c r="U948" s="764"/>
      <c r="V948" s="764"/>
      <c r="W948" s="764"/>
      <c r="X948" s="764"/>
      <c r="Y948" s="764"/>
      <c r="Z948" s="764"/>
    </row>
    <row r="949" ht="9.75" customHeight="1">
      <c r="A949" s="764"/>
      <c r="B949" s="764"/>
      <c r="C949" s="764"/>
      <c r="D949" s="764"/>
      <c r="E949" s="764"/>
      <c r="F949" s="763"/>
      <c r="G949" s="763"/>
      <c r="H949" s="763"/>
      <c r="I949" s="764"/>
      <c r="J949" s="764"/>
      <c r="K949" s="764"/>
      <c r="L949" s="764"/>
      <c r="M949" s="764"/>
      <c r="N949" s="764"/>
      <c r="O949" s="764"/>
      <c r="P949" s="764"/>
      <c r="Q949" s="764"/>
      <c r="R949" s="764"/>
      <c r="S949" s="764"/>
      <c r="T949" s="764"/>
      <c r="U949" s="764"/>
      <c r="V949" s="764"/>
      <c r="W949" s="764"/>
      <c r="X949" s="764"/>
      <c r="Y949" s="764"/>
      <c r="Z949" s="764"/>
    </row>
    <row r="950" ht="9.75" customHeight="1">
      <c r="A950" s="764"/>
      <c r="B950" s="764"/>
      <c r="C950" s="764"/>
      <c r="D950" s="764"/>
      <c r="E950" s="764"/>
      <c r="F950" s="763"/>
      <c r="G950" s="763"/>
      <c r="H950" s="763"/>
      <c r="I950" s="764"/>
      <c r="J950" s="764"/>
      <c r="K950" s="764"/>
      <c r="L950" s="764"/>
      <c r="M950" s="764"/>
      <c r="N950" s="764"/>
      <c r="O950" s="764"/>
      <c r="P950" s="764"/>
      <c r="Q950" s="764"/>
      <c r="R950" s="764"/>
      <c r="S950" s="764"/>
      <c r="T950" s="764"/>
      <c r="U950" s="764"/>
      <c r="V950" s="764"/>
      <c r="W950" s="764"/>
      <c r="X950" s="764"/>
      <c r="Y950" s="764"/>
      <c r="Z950" s="764"/>
    </row>
    <row r="951" ht="9.75" customHeight="1">
      <c r="A951" s="764"/>
      <c r="B951" s="764"/>
      <c r="C951" s="764"/>
      <c r="D951" s="764"/>
      <c r="E951" s="764"/>
      <c r="F951" s="763"/>
      <c r="G951" s="763"/>
      <c r="H951" s="763"/>
      <c r="I951" s="764"/>
      <c r="J951" s="764"/>
      <c r="K951" s="764"/>
      <c r="L951" s="764"/>
      <c r="M951" s="764"/>
      <c r="N951" s="764"/>
      <c r="O951" s="764"/>
      <c r="P951" s="764"/>
      <c r="Q951" s="764"/>
      <c r="R951" s="764"/>
      <c r="S951" s="764"/>
      <c r="T951" s="764"/>
      <c r="U951" s="764"/>
      <c r="V951" s="764"/>
      <c r="W951" s="764"/>
      <c r="X951" s="764"/>
      <c r="Y951" s="764"/>
      <c r="Z951" s="764"/>
    </row>
    <row r="952" ht="9.75" customHeight="1">
      <c r="A952" s="764"/>
      <c r="B952" s="764"/>
      <c r="C952" s="764"/>
      <c r="D952" s="764"/>
      <c r="E952" s="764"/>
      <c r="F952" s="763"/>
      <c r="G952" s="763"/>
      <c r="H952" s="763"/>
      <c r="I952" s="764"/>
      <c r="J952" s="764"/>
      <c r="K952" s="764"/>
      <c r="L952" s="764"/>
      <c r="M952" s="764"/>
      <c r="N952" s="764"/>
      <c r="O952" s="764"/>
      <c r="P952" s="764"/>
      <c r="Q952" s="764"/>
      <c r="R952" s="764"/>
      <c r="S952" s="764"/>
      <c r="T952" s="764"/>
      <c r="U952" s="764"/>
      <c r="V952" s="764"/>
      <c r="W952" s="764"/>
      <c r="X952" s="764"/>
      <c r="Y952" s="764"/>
      <c r="Z952" s="764"/>
    </row>
    <row r="953" ht="9.75" customHeight="1">
      <c r="A953" s="764"/>
      <c r="B953" s="764"/>
      <c r="C953" s="764"/>
      <c r="D953" s="764"/>
      <c r="E953" s="764"/>
      <c r="F953" s="763"/>
      <c r="G953" s="763"/>
      <c r="H953" s="763"/>
      <c r="I953" s="764"/>
      <c r="J953" s="764"/>
      <c r="K953" s="764"/>
      <c r="L953" s="764"/>
      <c r="M953" s="764"/>
      <c r="N953" s="764"/>
      <c r="O953" s="764"/>
      <c r="P953" s="764"/>
      <c r="Q953" s="764"/>
      <c r="R953" s="764"/>
      <c r="S953" s="764"/>
      <c r="T953" s="764"/>
      <c r="U953" s="764"/>
      <c r="V953" s="764"/>
      <c r="W953" s="764"/>
      <c r="X953" s="764"/>
      <c r="Y953" s="764"/>
      <c r="Z953" s="764"/>
    </row>
    <row r="954" ht="9.75" customHeight="1">
      <c r="A954" s="764"/>
      <c r="B954" s="764"/>
      <c r="C954" s="764"/>
      <c r="D954" s="764"/>
      <c r="E954" s="764"/>
      <c r="F954" s="763"/>
      <c r="G954" s="763"/>
      <c r="H954" s="763"/>
      <c r="I954" s="764"/>
      <c r="J954" s="764"/>
      <c r="K954" s="764"/>
      <c r="L954" s="764"/>
      <c r="M954" s="764"/>
      <c r="N954" s="764"/>
      <c r="O954" s="764"/>
      <c r="P954" s="764"/>
      <c r="Q954" s="764"/>
      <c r="R954" s="764"/>
      <c r="S954" s="764"/>
      <c r="T954" s="764"/>
      <c r="U954" s="764"/>
      <c r="V954" s="764"/>
      <c r="W954" s="764"/>
      <c r="X954" s="764"/>
      <c r="Y954" s="764"/>
      <c r="Z954" s="764"/>
    </row>
    <row r="955" ht="9.75" customHeight="1">
      <c r="A955" s="764"/>
      <c r="B955" s="764"/>
      <c r="C955" s="764"/>
      <c r="D955" s="764"/>
      <c r="E955" s="764"/>
      <c r="F955" s="763"/>
      <c r="G955" s="763"/>
      <c r="H955" s="763"/>
      <c r="I955" s="764"/>
      <c r="J955" s="764"/>
      <c r="K955" s="764"/>
      <c r="L955" s="764"/>
      <c r="M955" s="764"/>
      <c r="N955" s="764"/>
      <c r="O955" s="764"/>
      <c r="P955" s="764"/>
      <c r="Q955" s="764"/>
      <c r="R955" s="764"/>
      <c r="S955" s="764"/>
      <c r="T955" s="764"/>
      <c r="U955" s="764"/>
      <c r="V955" s="764"/>
      <c r="W955" s="764"/>
      <c r="X955" s="764"/>
      <c r="Y955" s="764"/>
      <c r="Z955" s="764"/>
    </row>
    <row r="956" ht="9.75" customHeight="1">
      <c r="A956" s="764"/>
      <c r="B956" s="764"/>
      <c r="C956" s="764"/>
      <c r="D956" s="764"/>
      <c r="E956" s="764"/>
      <c r="F956" s="763"/>
      <c r="G956" s="763"/>
      <c r="H956" s="763"/>
      <c r="I956" s="764"/>
      <c r="J956" s="764"/>
      <c r="K956" s="764"/>
      <c r="L956" s="764"/>
      <c r="M956" s="764"/>
      <c r="N956" s="764"/>
      <c r="O956" s="764"/>
      <c r="P956" s="764"/>
      <c r="Q956" s="764"/>
      <c r="R956" s="764"/>
      <c r="S956" s="764"/>
      <c r="T956" s="764"/>
      <c r="U956" s="764"/>
      <c r="V956" s="764"/>
      <c r="W956" s="764"/>
      <c r="X956" s="764"/>
      <c r="Y956" s="764"/>
      <c r="Z956" s="764"/>
    </row>
    <row r="957" ht="9.75" customHeight="1">
      <c r="A957" s="764"/>
      <c r="B957" s="764"/>
      <c r="C957" s="764"/>
      <c r="D957" s="764"/>
      <c r="E957" s="764"/>
      <c r="F957" s="763"/>
      <c r="G957" s="763"/>
      <c r="H957" s="763"/>
      <c r="I957" s="764"/>
      <c r="J957" s="764"/>
      <c r="K957" s="764"/>
      <c r="L957" s="764"/>
      <c r="M957" s="764"/>
      <c r="N957" s="764"/>
      <c r="O957" s="764"/>
      <c r="P957" s="764"/>
      <c r="Q957" s="764"/>
      <c r="R957" s="764"/>
      <c r="S957" s="764"/>
      <c r="T957" s="764"/>
      <c r="U957" s="764"/>
      <c r="V957" s="764"/>
      <c r="W957" s="764"/>
      <c r="X957" s="764"/>
      <c r="Y957" s="764"/>
      <c r="Z957" s="764"/>
    </row>
    <row r="958" ht="9.75" customHeight="1">
      <c r="A958" s="764"/>
      <c r="B958" s="764"/>
      <c r="C958" s="764"/>
      <c r="D958" s="764"/>
      <c r="E958" s="764"/>
      <c r="F958" s="763"/>
      <c r="G958" s="763"/>
      <c r="H958" s="763"/>
      <c r="I958" s="764"/>
      <c r="J958" s="764"/>
      <c r="K958" s="764"/>
      <c r="L958" s="764"/>
      <c r="M958" s="764"/>
      <c r="N958" s="764"/>
      <c r="O958" s="764"/>
      <c r="P958" s="764"/>
      <c r="Q958" s="764"/>
      <c r="R958" s="764"/>
      <c r="S958" s="764"/>
      <c r="T958" s="764"/>
      <c r="U958" s="764"/>
      <c r="V958" s="764"/>
      <c r="W958" s="764"/>
      <c r="X958" s="764"/>
      <c r="Y958" s="764"/>
      <c r="Z958" s="764"/>
    </row>
    <row r="959" ht="9.75" customHeight="1">
      <c r="A959" s="764"/>
      <c r="B959" s="764"/>
      <c r="C959" s="764"/>
      <c r="D959" s="764"/>
      <c r="E959" s="764"/>
      <c r="F959" s="763"/>
      <c r="G959" s="763"/>
      <c r="H959" s="763"/>
      <c r="I959" s="764"/>
      <c r="J959" s="764"/>
      <c r="K959" s="764"/>
      <c r="L959" s="764"/>
      <c r="M959" s="764"/>
      <c r="N959" s="764"/>
      <c r="O959" s="764"/>
      <c r="P959" s="764"/>
      <c r="Q959" s="764"/>
      <c r="R959" s="764"/>
      <c r="S959" s="764"/>
      <c r="T959" s="764"/>
      <c r="U959" s="764"/>
      <c r="V959" s="764"/>
      <c r="W959" s="764"/>
      <c r="X959" s="764"/>
      <c r="Y959" s="764"/>
      <c r="Z959" s="764"/>
    </row>
    <row r="960" ht="9.75" customHeight="1">
      <c r="A960" s="764"/>
      <c r="B960" s="764"/>
      <c r="C960" s="764"/>
      <c r="D960" s="764"/>
      <c r="E960" s="764"/>
      <c r="F960" s="763"/>
      <c r="G960" s="763"/>
      <c r="H960" s="763"/>
      <c r="I960" s="764"/>
      <c r="J960" s="764"/>
      <c r="K960" s="764"/>
      <c r="L960" s="764"/>
      <c r="M960" s="764"/>
      <c r="N960" s="764"/>
      <c r="O960" s="764"/>
      <c r="P960" s="764"/>
      <c r="Q960" s="764"/>
      <c r="R960" s="764"/>
      <c r="S960" s="764"/>
      <c r="T960" s="764"/>
      <c r="U960" s="764"/>
      <c r="V960" s="764"/>
      <c r="W960" s="764"/>
      <c r="X960" s="764"/>
      <c r="Y960" s="764"/>
      <c r="Z960" s="764"/>
    </row>
    <row r="961" ht="9.75" customHeight="1">
      <c r="A961" s="764"/>
      <c r="B961" s="764"/>
      <c r="C961" s="764"/>
      <c r="D961" s="764"/>
      <c r="E961" s="764"/>
      <c r="F961" s="763"/>
      <c r="G961" s="763"/>
      <c r="H961" s="763"/>
      <c r="I961" s="764"/>
      <c r="J961" s="764"/>
      <c r="K961" s="764"/>
      <c r="L961" s="764"/>
      <c r="M961" s="764"/>
      <c r="N961" s="764"/>
      <c r="O961" s="764"/>
      <c r="P961" s="764"/>
      <c r="Q961" s="764"/>
      <c r="R961" s="764"/>
      <c r="S961" s="764"/>
      <c r="T961" s="764"/>
      <c r="U961" s="764"/>
      <c r="V961" s="764"/>
      <c r="W961" s="764"/>
      <c r="X961" s="764"/>
      <c r="Y961" s="764"/>
      <c r="Z961" s="764"/>
    </row>
    <row r="962" ht="9.75" customHeight="1">
      <c r="A962" s="764"/>
      <c r="B962" s="764"/>
      <c r="C962" s="764"/>
      <c r="D962" s="764"/>
      <c r="E962" s="764"/>
      <c r="F962" s="763"/>
      <c r="G962" s="763"/>
      <c r="H962" s="763"/>
      <c r="I962" s="764"/>
      <c r="J962" s="764"/>
      <c r="K962" s="764"/>
      <c r="L962" s="764"/>
      <c r="M962" s="764"/>
      <c r="N962" s="764"/>
      <c r="O962" s="764"/>
      <c r="P962" s="764"/>
      <c r="Q962" s="764"/>
      <c r="R962" s="764"/>
      <c r="S962" s="764"/>
      <c r="T962" s="764"/>
      <c r="U962" s="764"/>
      <c r="V962" s="764"/>
      <c r="W962" s="764"/>
      <c r="X962" s="764"/>
      <c r="Y962" s="764"/>
      <c r="Z962" s="764"/>
    </row>
    <row r="963" ht="9.75" customHeight="1">
      <c r="A963" s="764"/>
      <c r="B963" s="764"/>
      <c r="C963" s="764"/>
      <c r="D963" s="764"/>
      <c r="E963" s="764"/>
      <c r="F963" s="763"/>
      <c r="G963" s="763"/>
      <c r="H963" s="763"/>
      <c r="I963" s="764"/>
      <c r="J963" s="764"/>
      <c r="K963" s="764"/>
      <c r="L963" s="764"/>
      <c r="M963" s="764"/>
      <c r="N963" s="764"/>
      <c r="O963" s="764"/>
      <c r="P963" s="764"/>
      <c r="Q963" s="764"/>
      <c r="R963" s="764"/>
      <c r="S963" s="764"/>
      <c r="T963" s="764"/>
      <c r="U963" s="764"/>
      <c r="V963" s="764"/>
      <c r="W963" s="764"/>
      <c r="X963" s="764"/>
      <c r="Y963" s="764"/>
      <c r="Z963" s="764"/>
    </row>
    <row r="964" ht="9.75" customHeight="1">
      <c r="A964" s="764"/>
      <c r="B964" s="764"/>
      <c r="C964" s="764"/>
      <c r="D964" s="764"/>
      <c r="E964" s="764"/>
      <c r="F964" s="763"/>
      <c r="G964" s="763"/>
      <c r="H964" s="763"/>
      <c r="I964" s="764"/>
      <c r="J964" s="764"/>
      <c r="K964" s="764"/>
      <c r="L964" s="764"/>
      <c r="M964" s="764"/>
      <c r="N964" s="764"/>
      <c r="O964" s="764"/>
      <c r="P964" s="764"/>
      <c r="Q964" s="764"/>
      <c r="R964" s="764"/>
      <c r="S964" s="764"/>
      <c r="T964" s="764"/>
      <c r="U964" s="764"/>
      <c r="V964" s="764"/>
      <c r="W964" s="764"/>
      <c r="X964" s="764"/>
      <c r="Y964" s="764"/>
      <c r="Z964" s="764"/>
    </row>
    <row r="965" ht="9.75" customHeight="1">
      <c r="A965" s="764"/>
      <c r="B965" s="764"/>
      <c r="C965" s="764"/>
      <c r="D965" s="764"/>
      <c r="E965" s="764"/>
      <c r="F965" s="763"/>
      <c r="G965" s="763"/>
      <c r="H965" s="763"/>
      <c r="I965" s="764"/>
      <c r="J965" s="764"/>
      <c r="K965" s="764"/>
      <c r="L965" s="764"/>
      <c r="M965" s="764"/>
      <c r="N965" s="764"/>
      <c r="O965" s="764"/>
      <c r="P965" s="764"/>
      <c r="Q965" s="764"/>
      <c r="R965" s="764"/>
      <c r="S965" s="764"/>
      <c r="T965" s="764"/>
      <c r="U965" s="764"/>
      <c r="V965" s="764"/>
      <c r="W965" s="764"/>
      <c r="X965" s="764"/>
      <c r="Y965" s="764"/>
      <c r="Z965" s="764"/>
    </row>
    <row r="966" ht="9.75" customHeight="1">
      <c r="A966" s="764"/>
      <c r="B966" s="764"/>
      <c r="C966" s="764"/>
      <c r="D966" s="764"/>
      <c r="E966" s="764"/>
      <c r="F966" s="763"/>
      <c r="G966" s="763"/>
      <c r="H966" s="763"/>
      <c r="I966" s="764"/>
      <c r="J966" s="764"/>
      <c r="K966" s="764"/>
      <c r="L966" s="764"/>
      <c r="M966" s="764"/>
      <c r="N966" s="764"/>
      <c r="O966" s="764"/>
      <c r="P966" s="764"/>
      <c r="Q966" s="764"/>
      <c r="R966" s="764"/>
      <c r="S966" s="764"/>
      <c r="T966" s="764"/>
      <c r="U966" s="764"/>
      <c r="V966" s="764"/>
      <c r="W966" s="764"/>
      <c r="X966" s="764"/>
      <c r="Y966" s="764"/>
      <c r="Z966" s="764"/>
    </row>
    <row r="967" ht="9.75" customHeight="1">
      <c r="A967" s="764"/>
      <c r="B967" s="764"/>
      <c r="C967" s="764"/>
      <c r="D967" s="764"/>
      <c r="E967" s="764"/>
      <c r="F967" s="763"/>
      <c r="G967" s="763"/>
      <c r="H967" s="763"/>
      <c r="I967" s="764"/>
      <c r="J967" s="764"/>
      <c r="K967" s="764"/>
      <c r="L967" s="764"/>
      <c r="M967" s="764"/>
      <c r="N967" s="764"/>
      <c r="O967" s="764"/>
      <c r="P967" s="764"/>
      <c r="Q967" s="764"/>
      <c r="R967" s="764"/>
      <c r="S967" s="764"/>
      <c r="T967" s="764"/>
      <c r="U967" s="764"/>
      <c r="V967" s="764"/>
      <c r="W967" s="764"/>
      <c r="X967" s="764"/>
      <c r="Y967" s="764"/>
      <c r="Z967" s="764"/>
    </row>
    <row r="968" ht="9.75" customHeight="1">
      <c r="A968" s="764"/>
      <c r="B968" s="764"/>
      <c r="C968" s="764"/>
      <c r="D968" s="764"/>
      <c r="E968" s="764"/>
      <c r="F968" s="763"/>
      <c r="G968" s="763"/>
      <c r="H968" s="763"/>
      <c r="I968" s="764"/>
      <c r="J968" s="764"/>
      <c r="K968" s="764"/>
      <c r="L968" s="764"/>
      <c r="M968" s="764"/>
      <c r="N968" s="764"/>
      <c r="O968" s="764"/>
      <c r="P968" s="764"/>
      <c r="Q968" s="764"/>
      <c r="R968" s="764"/>
      <c r="S968" s="764"/>
      <c r="T968" s="764"/>
      <c r="U968" s="764"/>
      <c r="V968" s="764"/>
      <c r="W968" s="764"/>
      <c r="X968" s="764"/>
      <c r="Y968" s="764"/>
      <c r="Z968" s="764"/>
    </row>
    <row r="969" ht="9.75" customHeight="1">
      <c r="A969" s="764"/>
      <c r="B969" s="764"/>
      <c r="C969" s="764"/>
      <c r="D969" s="764"/>
      <c r="E969" s="764"/>
      <c r="F969" s="763"/>
      <c r="G969" s="763"/>
      <c r="H969" s="763"/>
      <c r="I969" s="764"/>
      <c r="J969" s="764"/>
      <c r="K969" s="764"/>
      <c r="L969" s="764"/>
      <c r="M969" s="764"/>
      <c r="N969" s="764"/>
      <c r="O969" s="764"/>
      <c r="P969" s="764"/>
      <c r="Q969" s="764"/>
      <c r="R969" s="764"/>
      <c r="S969" s="764"/>
      <c r="T969" s="764"/>
      <c r="U969" s="764"/>
      <c r="V969" s="764"/>
      <c r="W969" s="764"/>
      <c r="X969" s="764"/>
      <c r="Y969" s="764"/>
      <c r="Z969" s="764"/>
    </row>
    <row r="970" ht="9.75" customHeight="1">
      <c r="A970" s="764"/>
      <c r="B970" s="764"/>
      <c r="C970" s="764"/>
      <c r="D970" s="764"/>
      <c r="E970" s="764"/>
      <c r="F970" s="763"/>
      <c r="G970" s="763"/>
      <c r="H970" s="763"/>
      <c r="I970" s="764"/>
      <c r="J970" s="764"/>
      <c r="K970" s="764"/>
      <c r="L970" s="764"/>
      <c r="M970" s="764"/>
      <c r="N970" s="764"/>
      <c r="O970" s="764"/>
      <c r="P970" s="764"/>
      <c r="Q970" s="764"/>
      <c r="R970" s="764"/>
      <c r="S970" s="764"/>
      <c r="T970" s="764"/>
      <c r="U970" s="764"/>
      <c r="V970" s="764"/>
      <c r="W970" s="764"/>
      <c r="X970" s="764"/>
      <c r="Y970" s="764"/>
      <c r="Z970" s="764"/>
    </row>
    <row r="971" ht="9.75" customHeight="1">
      <c r="A971" s="764"/>
      <c r="B971" s="764"/>
      <c r="C971" s="764"/>
      <c r="D971" s="764"/>
      <c r="E971" s="764"/>
      <c r="F971" s="763"/>
      <c r="G971" s="763"/>
      <c r="H971" s="763"/>
      <c r="I971" s="764"/>
      <c r="J971" s="764"/>
      <c r="K971" s="764"/>
      <c r="L971" s="764"/>
      <c r="M971" s="764"/>
      <c r="N971" s="764"/>
      <c r="O971" s="764"/>
      <c r="P971" s="764"/>
      <c r="Q971" s="764"/>
      <c r="R971" s="764"/>
      <c r="S971" s="764"/>
      <c r="T971" s="764"/>
      <c r="U971" s="764"/>
      <c r="V971" s="764"/>
      <c r="W971" s="764"/>
      <c r="X971" s="764"/>
      <c r="Y971" s="764"/>
      <c r="Z971" s="764"/>
    </row>
    <row r="972" ht="9.75" customHeight="1">
      <c r="A972" s="764"/>
      <c r="B972" s="764"/>
      <c r="C972" s="764"/>
      <c r="D972" s="764"/>
      <c r="E972" s="764"/>
      <c r="F972" s="763"/>
      <c r="G972" s="763"/>
      <c r="H972" s="763"/>
      <c r="I972" s="764"/>
      <c r="J972" s="764"/>
      <c r="K972" s="764"/>
      <c r="L972" s="764"/>
      <c r="M972" s="764"/>
      <c r="N972" s="764"/>
      <c r="O972" s="764"/>
      <c r="P972" s="764"/>
      <c r="Q972" s="764"/>
      <c r="R972" s="764"/>
      <c r="S972" s="764"/>
      <c r="T972" s="764"/>
      <c r="U972" s="764"/>
      <c r="V972" s="764"/>
      <c r="W972" s="764"/>
      <c r="X972" s="764"/>
      <c r="Y972" s="764"/>
      <c r="Z972" s="764"/>
    </row>
    <row r="973" ht="9.75" customHeight="1">
      <c r="A973" s="764"/>
      <c r="B973" s="764"/>
      <c r="C973" s="764"/>
      <c r="D973" s="764"/>
      <c r="E973" s="764"/>
      <c r="F973" s="763"/>
      <c r="G973" s="763"/>
      <c r="H973" s="763"/>
      <c r="I973" s="764"/>
      <c r="J973" s="764"/>
      <c r="K973" s="764"/>
      <c r="L973" s="764"/>
      <c r="M973" s="764"/>
      <c r="N973" s="764"/>
      <c r="O973" s="764"/>
      <c r="P973" s="764"/>
      <c r="Q973" s="764"/>
      <c r="R973" s="764"/>
      <c r="S973" s="764"/>
      <c r="T973" s="764"/>
      <c r="U973" s="764"/>
      <c r="V973" s="764"/>
      <c r="W973" s="764"/>
      <c r="X973" s="764"/>
      <c r="Y973" s="764"/>
      <c r="Z973" s="764"/>
    </row>
    <row r="974" ht="9.75" customHeight="1">
      <c r="A974" s="764"/>
      <c r="B974" s="764"/>
      <c r="C974" s="764"/>
      <c r="D974" s="764"/>
      <c r="E974" s="764"/>
      <c r="F974" s="763"/>
      <c r="G974" s="763"/>
      <c r="H974" s="763"/>
      <c r="I974" s="764"/>
      <c r="J974" s="764"/>
      <c r="K974" s="764"/>
      <c r="L974" s="764"/>
      <c r="M974" s="764"/>
      <c r="N974" s="764"/>
      <c r="O974" s="764"/>
      <c r="P974" s="764"/>
      <c r="Q974" s="764"/>
      <c r="R974" s="764"/>
      <c r="S974" s="764"/>
      <c r="T974" s="764"/>
      <c r="U974" s="764"/>
      <c r="V974" s="764"/>
      <c r="W974" s="764"/>
      <c r="X974" s="764"/>
      <c r="Y974" s="764"/>
      <c r="Z974" s="764"/>
    </row>
    <row r="975" ht="9.75" customHeight="1">
      <c r="A975" s="764"/>
      <c r="B975" s="764"/>
      <c r="C975" s="764"/>
      <c r="D975" s="764"/>
      <c r="E975" s="764"/>
      <c r="F975" s="763"/>
      <c r="G975" s="763"/>
      <c r="H975" s="763"/>
      <c r="I975" s="764"/>
      <c r="J975" s="764"/>
      <c r="K975" s="764"/>
      <c r="L975" s="764"/>
      <c r="M975" s="764"/>
      <c r="N975" s="764"/>
      <c r="O975" s="764"/>
      <c r="P975" s="764"/>
      <c r="Q975" s="764"/>
      <c r="R975" s="764"/>
      <c r="S975" s="764"/>
      <c r="T975" s="764"/>
      <c r="U975" s="764"/>
      <c r="V975" s="764"/>
      <c r="W975" s="764"/>
      <c r="X975" s="764"/>
      <c r="Y975" s="764"/>
      <c r="Z975" s="764"/>
    </row>
    <row r="976" ht="9.75" customHeight="1">
      <c r="A976" s="764"/>
      <c r="B976" s="764"/>
      <c r="C976" s="764"/>
      <c r="D976" s="764"/>
      <c r="E976" s="764"/>
      <c r="F976" s="763"/>
      <c r="G976" s="763"/>
      <c r="H976" s="763"/>
      <c r="I976" s="764"/>
      <c r="J976" s="764"/>
      <c r="K976" s="764"/>
      <c r="L976" s="764"/>
      <c r="M976" s="764"/>
      <c r="N976" s="764"/>
      <c r="O976" s="764"/>
      <c r="P976" s="764"/>
      <c r="Q976" s="764"/>
      <c r="R976" s="764"/>
      <c r="S976" s="764"/>
      <c r="T976" s="764"/>
      <c r="U976" s="764"/>
      <c r="V976" s="764"/>
      <c r="W976" s="764"/>
      <c r="X976" s="764"/>
      <c r="Y976" s="764"/>
      <c r="Z976" s="764"/>
    </row>
    <row r="977" ht="9.75" customHeight="1">
      <c r="A977" s="764"/>
      <c r="B977" s="764"/>
      <c r="C977" s="764"/>
      <c r="D977" s="764"/>
      <c r="E977" s="764"/>
      <c r="F977" s="763"/>
      <c r="G977" s="763"/>
      <c r="H977" s="763"/>
      <c r="I977" s="764"/>
      <c r="J977" s="764"/>
      <c r="K977" s="764"/>
      <c r="L977" s="764"/>
      <c r="M977" s="764"/>
      <c r="N977" s="764"/>
      <c r="O977" s="764"/>
      <c r="P977" s="764"/>
      <c r="Q977" s="764"/>
      <c r="R977" s="764"/>
      <c r="S977" s="764"/>
      <c r="T977" s="764"/>
      <c r="U977" s="764"/>
      <c r="V977" s="764"/>
      <c r="W977" s="764"/>
      <c r="X977" s="764"/>
      <c r="Y977" s="764"/>
      <c r="Z977" s="764"/>
    </row>
    <row r="978" ht="9.75" customHeight="1">
      <c r="A978" s="764"/>
      <c r="B978" s="764"/>
      <c r="C978" s="764"/>
      <c r="D978" s="764"/>
      <c r="E978" s="764"/>
      <c r="F978" s="763"/>
      <c r="G978" s="763"/>
      <c r="H978" s="763"/>
      <c r="I978" s="764"/>
      <c r="J978" s="764"/>
      <c r="K978" s="764"/>
      <c r="L978" s="764"/>
      <c r="M978" s="764"/>
      <c r="N978" s="764"/>
      <c r="O978" s="764"/>
      <c r="P978" s="764"/>
      <c r="Q978" s="764"/>
      <c r="R978" s="764"/>
      <c r="S978" s="764"/>
      <c r="T978" s="764"/>
      <c r="U978" s="764"/>
      <c r="V978" s="764"/>
      <c r="W978" s="764"/>
      <c r="X978" s="764"/>
      <c r="Y978" s="764"/>
      <c r="Z978" s="764"/>
    </row>
    <row r="979" ht="9.75" customHeight="1">
      <c r="A979" s="764"/>
      <c r="B979" s="764"/>
      <c r="C979" s="764"/>
      <c r="D979" s="764"/>
      <c r="E979" s="764"/>
      <c r="F979" s="763"/>
      <c r="G979" s="763"/>
      <c r="H979" s="763"/>
      <c r="I979" s="764"/>
      <c r="J979" s="764"/>
      <c r="K979" s="764"/>
      <c r="L979" s="764"/>
      <c r="M979" s="764"/>
      <c r="N979" s="764"/>
      <c r="O979" s="764"/>
      <c r="P979" s="764"/>
      <c r="Q979" s="764"/>
      <c r="R979" s="764"/>
      <c r="S979" s="764"/>
      <c r="T979" s="764"/>
      <c r="U979" s="764"/>
      <c r="V979" s="764"/>
      <c r="W979" s="764"/>
      <c r="X979" s="764"/>
      <c r="Y979" s="764"/>
      <c r="Z979" s="764"/>
    </row>
    <row r="980" ht="9.75" customHeight="1">
      <c r="A980" s="764"/>
      <c r="B980" s="764"/>
      <c r="C980" s="764"/>
      <c r="D980" s="764"/>
      <c r="E980" s="764"/>
      <c r="F980" s="763"/>
      <c r="G980" s="763"/>
      <c r="H980" s="763"/>
      <c r="I980" s="764"/>
      <c r="J980" s="764"/>
      <c r="K980" s="764"/>
      <c r="L980" s="764"/>
      <c r="M980" s="764"/>
      <c r="N980" s="764"/>
      <c r="O980" s="764"/>
      <c r="P980" s="764"/>
      <c r="Q980" s="764"/>
      <c r="R980" s="764"/>
      <c r="S980" s="764"/>
      <c r="T980" s="764"/>
      <c r="U980" s="764"/>
      <c r="V980" s="764"/>
      <c r="W980" s="764"/>
      <c r="X980" s="764"/>
      <c r="Y980" s="764"/>
      <c r="Z980" s="764"/>
    </row>
    <row r="981" ht="9.75" customHeight="1">
      <c r="A981" s="764"/>
      <c r="B981" s="764"/>
      <c r="C981" s="764"/>
      <c r="D981" s="764"/>
      <c r="E981" s="764"/>
      <c r="F981" s="763"/>
      <c r="G981" s="763"/>
      <c r="H981" s="763"/>
      <c r="I981" s="764"/>
      <c r="J981" s="764"/>
      <c r="K981" s="764"/>
      <c r="L981" s="764"/>
      <c r="M981" s="764"/>
      <c r="N981" s="764"/>
      <c r="O981" s="764"/>
      <c r="P981" s="764"/>
      <c r="Q981" s="764"/>
      <c r="R981" s="764"/>
      <c r="S981" s="764"/>
      <c r="T981" s="764"/>
      <c r="U981" s="764"/>
      <c r="V981" s="764"/>
      <c r="W981" s="764"/>
      <c r="X981" s="764"/>
      <c r="Y981" s="764"/>
      <c r="Z981" s="764"/>
    </row>
    <row r="982" ht="9.75" customHeight="1">
      <c r="A982" s="764"/>
      <c r="B982" s="764"/>
      <c r="C982" s="764"/>
      <c r="D982" s="764"/>
      <c r="E982" s="764"/>
      <c r="F982" s="763"/>
      <c r="G982" s="763"/>
      <c r="H982" s="763"/>
      <c r="I982" s="764"/>
      <c r="J982" s="764"/>
      <c r="K982" s="764"/>
      <c r="L982" s="764"/>
      <c r="M982" s="764"/>
      <c r="N982" s="764"/>
      <c r="O982" s="764"/>
      <c r="P982" s="764"/>
      <c r="Q982" s="764"/>
      <c r="R982" s="764"/>
      <c r="S982" s="764"/>
      <c r="T982" s="764"/>
      <c r="U982" s="764"/>
      <c r="V982" s="764"/>
      <c r="W982" s="764"/>
      <c r="X982" s="764"/>
      <c r="Y982" s="764"/>
      <c r="Z982" s="764"/>
    </row>
    <row r="983" ht="9.75" customHeight="1">
      <c r="A983" s="764"/>
      <c r="B983" s="764"/>
      <c r="C983" s="764"/>
      <c r="D983" s="764"/>
      <c r="E983" s="764"/>
      <c r="F983" s="763"/>
      <c r="G983" s="763"/>
      <c r="H983" s="763"/>
      <c r="I983" s="764"/>
      <c r="J983" s="764"/>
      <c r="K983" s="764"/>
      <c r="L983" s="764"/>
      <c r="M983" s="764"/>
      <c r="N983" s="764"/>
      <c r="O983" s="764"/>
      <c r="P983" s="764"/>
      <c r="Q983" s="764"/>
      <c r="R983" s="764"/>
      <c r="S983" s="764"/>
      <c r="T983" s="764"/>
      <c r="U983" s="764"/>
      <c r="V983" s="764"/>
      <c r="W983" s="764"/>
      <c r="X983" s="764"/>
      <c r="Y983" s="764"/>
      <c r="Z983" s="764"/>
    </row>
    <row r="984" ht="9.75" customHeight="1">
      <c r="A984" s="764"/>
      <c r="B984" s="764"/>
      <c r="C984" s="764"/>
      <c r="D984" s="764"/>
      <c r="E984" s="764"/>
      <c r="F984" s="763"/>
      <c r="G984" s="763"/>
      <c r="H984" s="763"/>
      <c r="I984" s="764"/>
      <c r="J984" s="764"/>
      <c r="K984" s="764"/>
      <c r="L984" s="764"/>
      <c r="M984" s="764"/>
      <c r="N984" s="764"/>
      <c r="O984" s="764"/>
      <c r="P984" s="764"/>
      <c r="Q984" s="764"/>
      <c r="R984" s="764"/>
      <c r="S984" s="764"/>
      <c r="T984" s="764"/>
      <c r="U984" s="764"/>
      <c r="V984" s="764"/>
      <c r="W984" s="764"/>
      <c r="X984" s="764"/>
      <c r="Y984" s="764"/>
      <c r="Z984" s="764"/>
    </row>
    <row r="985" ht="9.75" customHeight="1">
      <c r="A985" s="764"/>
      <c r="B985" s="764"/>
      <c r="C985" s="764"/>
      <c r="D985" s="764"/>
      <c r="E985" s="764"/>
      <c r="F985" s="763"/>
      <c r="G985" s="763"/>
      <c r="H985" s="763"/>
      <c r="I985" s="764"/>
      <c r="J985" s="764"/>
      <c r="K985" s="764"/>
      <c r="L985" s="764"/>
      <c r="M985" s="764"/>
      <c r="N985" s="764"/>
      <c r="O985" s="764"/>
      <c r="P985" s="764"/>
      <c r="Q985" s="764"/>
      <c r="R985" s="764"/>
      <c r="S985" s="764"/>
      <c r="T985" s="764"/>
      <c r="U985" s="764"/>
      <c r="V985" s="764"/>
      <c r="W985" s="764"/>
      <c r="X985" s="764"/>
      <c r="Y985" s="764"/>
      <c r="Z985" s="764"/>
    </row>
    <row r="986" ht="9.75" customHeight="1">
      <c r="A986" s="764"/>
      <c r="B986" s="764"/>
      <c r="C986" s="764"/>
      <c r="D986" s="764"/>
      <c r="E986" s="764"/>
      <c r="F986" s="763"/>
      <c r="G986" s="763"/>
      <c r="H986" s="763"/>
      <c r="I986" s="764"/>
      <c r="J986" s="764"/>
      <c r="K986" s="764"/>
      <c r="L986" s="764"/>
      <c r="M986" s="764"/>
      <c r="N986" s="764"/>
      <c r="O986" s="764"/>
      <c r="P986" s="764"/>
      <c r="Q986" s="764"/>
      <c r="R986" s="764"/>
      <c r="S986" s="764"/>
      <c r="T986" s="764"/>
      <c r="U986" s="764"/>
      <c r="V986" s="764"/>
      <c r="W986" s="764"/>
      <c r="X986" s="764"/>
      <c r="Y986" s="764"/>
      <c r="Z986" s="764"/>
    </row>
    <row r="987" ht="9.75" customHeight="1">
      <c r="A987" s="764"/>
      <c r="B987" s="764"/>
      <c r="C987" s="764"/>
      <c r="D987" s="764"/>
      <c r="E987" s="764"/>
      <c r="F987" s="763"/>
      <c r="G987" s="763"/>
      <c r="H987" s="763"/>
      <c r="I987" s="764"/>
      <c r="J987" s="764"/>
      <c r="K987" s="764"/>
      <c r="L987" s="764"/>
      <c r="M987" s="764"/>
      <c r="N987" s="764"/>
      <c r="O987" s="764"/>
      <c r="P987" s="764"/>
      <c r="Q987" s="764"/>
      <c r="R987" s="764"/>
      <c r="S987" s="764"/>
      <c r="T987" s="764"/>
      <c r="U987" s="764"/>
      <c r="V987" s="764"/>
      <c r="W987" s="764"/>
      <c r="X987" s="764"/>
      <c r="Y987" s="764"/>
      <c r="Z987" s="764"/>
    </row>
    <row r="988" ht="9.75" customHeight="1">
      <c r="A988" s="764"/>
      <c r="B988" s="764"/>
      <c r="C988" s="764"/>
      <c r="D988" s="764"/>
      <c r="E988" s="764"/>
      <c r="F988" s="763"/>
      <c r="G988" s="763"/>
      <c r="H988" s="763"/>
      <c r="I988" s="764"/>
      <c r="J988" s="764"/>
      <c r="K988" s="764"/>
      <c r="L988" s="764"/>
      <c r="M988" s="764"/>
      <c r="N988" s="764"/>
      <c r="O988" s="764"/>
      <c r="P988" s="764"/>
      <c r="Q988" s="764"/>
      <c r="R988" s="764"/>
      <c r="S988" s="764"/>
      <c r="T988" s="764"/>
      <c r="U988" s="764"/>
      <c r="V988" s="764"/>
      <c r="W988" s="764"/>
      <c r="X988" s="764"/>
      <c r="Y988" s="764"/>
      <c r="Z988" s="764"/>
    </row>
    <row r="989" ht="9.75" customHeight="1">
      <c r="A989" s="764"/>
      <c r="B989" s="764"/>
      <c r="C989" s="764"/>
      <c r="D989" s="764"/>
      <c r="E989" s="764"/>
      <c r="F989" s="763"/>
      <c r="G989" s="763"/>
      <c r="H989" s="763"/>
      <c r="I989" s="764"/>
      <c r="J989" s="764"/>
      <c r="K989" s="764"/>
      <c r="L989" s="764"/>
      <c r="M989" s="764"/>
      <c r="N989" s="764"/>
      <c r="O989" s="764"/>
      <c r="P989" s="764"/>
      <c r="Q989" s="764"/>
      <c r="R989" s="764"/>
      <c r="S989" s="764"/>
      <c r="T989" s="764"/>
      <c r="U989" s="764"/>
      <c r="V989" s="764"/>
      <c r="W989" s="764"/>
      <c r="X989" s="764"/>
      <c r="Y989" s="764"/>
      <c r="Z989" s="764"/>
    </row>
    <row r="990" ht="9.75" customHeight="1">
      <c r="A990" s="764"/>
      <c r="B990" s="764"/>
      <c r="C990" s="764"/>
      <c r="D990" s="764"/>
      <c r="E990" s="764"/>
      <c r="F990" s="763"/>
      <c r="G990" s="763"/>
      <c r="H990" s="763"/>
      <c r="I990" s="764"/>
      <c r="J990" s="764"/>
      <c r="K990" s="764"/>
      <c r="L990" s="764"/>
      <c r="M990" s="764"/>
      <c r="N990" s="764"/>
      <c r="O990" s="764"/>
      <c r="P990" s="764"/>
      <c r="Q990" s="764"/>
      <c r="R990" s="764"/>
      <c r="S990" s="764"/>
      <c r="T990" s="764"/>
      <c r="U990" s="764"/>
      <c r="V990" s="764"/>
      <c r="W990" s="764"/>
      <c r="X990" s="764"/>
      <c r="Y990" s="764"/>
      <c r="Z990" s="764"/>
    </row>
    <row r="991" ht="9.75" customHeight="1">
      <c r="A991" s="764"/>
      <c r="B991" s="764"/>
      <c r="C991" s="764"/>
      <c r="D991" s="764"/>
      <c r="E991" s="764"/>
      <c r="F991" s="763"/>
      <c r="G991" s="763"/>
      <c r="H991" s="763"/>
      <c r="I991" s="764"/>
      <c r="J991" s="764"/>
      <c r="K991" s="764"/>
      <c r="L991" s="764"/>
      <c r="M991" s="764"/>
      <c r="N991" s="764"/>
      <c r="O991" s="764"/>
      <c r="P991" s="764"/>
      <c r="Q991" s="764"/>
      <c r="R991" s="764"/>
      <c r="S991" s="764"/>
      <c r="T991" s="764"/>
      <c r="U991" s="764"/>
      <c r="V991" s="764"/>
      <c r="W991" s="764"/>
      <c r="X991" s="764"/>
      <c r="Y991" s="764"/>
      <c r="Z991" s="764"/>
    </row>
    <row r="992" ht="9.75" customHeight="1">
      <c r="A992" s="764"/>
      <c r="B992" s="764"/>
      <c r="C992" s="764"/>
      <c r="D992" s="764"/>
      <c r="E992" s="764"/>
      <c r="F992" s="763"/>
      <c r="G992" s="763"/>
      <c r="H992" s="763"/>
      <c r="I992" s="764"/>
      <c r="J992" s="764"/>
      <c r="K992" s="764"/>
      <c r="L992" s="764"/>
      <c r="M992" s="764"/>
      <c r="N992" s="764"/>
      <c r="O992" s="764"/>
      <c r="P992" s="764"/>
      <c r="Q992" s="764"/>
      <c r="R992" s="764"/>
      <c r="S992" s="764"/>
      <c r="T992" s="764"/>
      <c r="U992" s="764"/>
      <c r="V992" s="764"/>
      <c r="W992" s="764"/>
      <c r="X992" s="764"/>
      <c r="Y992" s="764"/>
      <c r="Z992" s="764"/>
    </row>
    <row r="993" ht="9.75" customHeight="1">
      <c r="A993" s="764"/>
      <c r="B993" s="764"/>
      <c r="C993" s="764"/>
      <c r="D993" s="764"/>
      <c r="E993" s="764"/>
      <c r="F993" s="763"/>
      <c r="G993" s="763"/>
      <c r="H993" s="763"/>
      <c r="I993" s="764"/>
      <c r="J993" s="764"/>
      <c r="K993" s="764"/>
      <c r="L993" s="764"/>
      <c r="M993" s="764"/>
      <c r="N993" s="764"/>
      <c r="O993" s="764"/>
      <c r="P993" s="764"/>
      <c r="Q993" s="764"/>
      <c r="R993" s="764"/>
      <c r="S993" s="764"/>
      <c r="T993" s="764"/>
      <c r="U993" s="764"/>
      <c r="V993" s="764"/>
      <c r="W993" s="764"/>
      <c r="X993" s="764"/>
      <c r="Y993" s="764"/>
      <c r="Z993" s="764"/>
    </row>
    <row r="994" ht="9.75" customHeight="1">
      <c r="A994" s="764"/>
      <c r="B994" s="764"/>
      <c r="C994" s="764"/>
      <c r="D994" s="764"/>
      <c r="E994" s="764"/>
      <c r="F994" s="763"/>
      <c r="G994" s="763"/>
      <c r="H994" s="763"/>
      <c r="I994" s="764"/>
      <c r="J994" s="764"/>
      <c r="K994" s="764"/>
      <c r="L994" s="764"/>
      <c r="M994" s="764"/>
      <c r="N994" s="764"/>
      <c r="O994" s="764"/>
      <c r="P994" s="764"/>
      <c r="Q994" s="764"/>
      <c r="R994" s="764"/>
      <c r="S994" s="764"/>
      <c r="T994" s="764"/>
      <c r="U994" s="764"/>
      <c r="V994" s="764"/>
      <c r="W994" s="764"/>
      <c r="X994" s="764"/>
      <c r="Y994" s="764"/>
      <c r="Z994" s="764"/>
    </row>
    <row r="995" ht="9.75" customHeight="1">
      <c r="A995" s="764"/>
      <c r="B995" s="764"/>
      <c r="C995" s="764"/>
      <c r="D995" s="764"/>
      <c r="E995" s="764"/>
      <c r="F995" s="763"/>
      <c r="G995" s="763"/>
      <c r="H995" s="763"/>
      <c r="I995" s="764"/>
      <c r="J995" s="764"/>
      <c r="K995" s="764"/>
      <c r="L995" s="764"/>
      <c r="M995" s="764"/>
      <c r="N995" s="764"/>
      <c r="O995" s="764"/>
      <c r="P995" s="764"/>
      <c r="Q995" s="764"/>
      <c r="R995" s="764"/>
      <c r="S995" s="764"/>
      <c r="T995" s="764"/>
      <c r="U995" s="764"/>
      <c r="V995" s="764"/>
      <c r="W995" s="764"/>
      <c r="X995" s="764"/>
      <c r="Y995" s="764"/>
      <c r="Z995" s="764"/>
    </row>
    <row r="996" ht="9.75" customHeight="1">
      <c r="A996" s="764"/>
      <c r="B996" s="764"/>
      <c r="C996" s="764"/>
      <c r="D996" s="764"/>
      <c r="E996" s="764"/>
      <c r="F996" s="763"/>
      <c r="G996" s="763"/>
      <c r="H996" s="763"/>
      <c r="I996" s="764"/>
      <c r="J996" s="764"/>
      <c r="K996" s="764"/>
      <c r="L996" s="764"/>
      <c r="M996" s="764"/>
      <c r="N996" s="764"/>
      <c r="O996" s="764"/>
      <c r="P996" s="764"/>
      <c r="Q996" s="764"/>
      <c r="R996" s="764"/>
      <c r="S996" s="764"/>
      <c r="T996" s="764"/>
      <c r="U996" s="764"/>
      <c r="V996" s="764"/>
      <c r="W996" s="764"/>
      <c r="X996" s="764"/>
      <c r="Y996" s="764"/>
      <c r="Z996" s="764"/>
    </row>
    <row r="997" ht="9.75" customHeight="1">
      <c r="A997" s="764"/>
      <c r="B997" s="764"/>
      <c r="C997" s="764"/>
      <c r="D997" s="764"/>
      <c r="E997" s="764"/>
      <c r="F997" s="763"/>
      <c r="G997" s="763"/>
      <c r="H997" s="763"/>
      <c r="I997" s="764"/>
      <c r="J997" s="764"/>
      <c r="K997" s="764"/>
      <c r="L997" s="764"/>
      <c r="M997" s="764"/>
      <c r="N997" s="764"/>
      <c r="O997" s="764"/>
      <c r="P997" s="764"/>
      <c r="Q997" s="764"/>
      <c r="R997" s="764"/>
      <c r="S997" s="764"/>
      <c r="T997" s="764"/>
      <c r="U997" s="764"/>
      <c r="V997" s="764"/>
      <c r="W997" s="764"/>
      <c r="X997" s="764"/>
      <c r="Y997" s="764"/>
      <c r="Z997" s="764"/>
    </row>
    <row r="998" ht="9.75" customHeight="1">
      <c r="A998" s="764"/>
      <c r="B998" s="764"/>
      <c r="C998" s="764"/>
      <c r="D998" s="764"/>
      <c r="E998" s="764"/>
      <c r="F998" s="763"/>
      <c r="G998" s="763"/>
      <c r="H998" s="763"/>
      <c r="I998" s="764"/>
      <c r="J998" s="764"/>
      <c r="K998" s="764"/>
      <c r="L998" s="764"/>
      <c r="M998" s="764"/>
      <c r="N998" s="764"/>
      <c r="O998" s="764"/>
      <c r="P998" s="764"/>
      <c r="Q998" s="764"/>
      <c r="R998" s="764"/>
      <c r="S998" s="764"/>
      <c r="T998" s="764"/>
      <c r="U998" s="764"/>
      <c r="V998" s="764"/>
      <c r="W998" s="764"/>
      <c r="X998" s="764"/>
      <c r="Y998" s="764"/>
      <c r="Z998" s="764"/>
    </row>
    <row r="999" ht="9.75" customHeight="1">
      <c r="A999" s="764"/>
      <c r="B999" s="764"/>
      <c r="C999" s="764"/>
      <c r="D999" s="764"/>
      <c r="E999" s="764"/>
      <c r="F999" s="763"/>
      <c r="G999" s="763"/>
      <c r="H999" s="763"/>
      <c r="I999" s="764"/>
      <c r="J999" s="764"/>
      <c r="K999" s="764"/>
      <c r="L999" s="764"/>
      <c r="M999" s="764"/>
      <c r="N999" s="764"/>
      <c r="O999" s="764"/>
      <c r="P999" s="764"/>
      <c r="Q999" s="764"/>
      <c r="R999" s="764"/>
      <c r="S999" s="764"/>
      <c r="T999" s="764"/>
      <c r="U999" s="764"/>
      <c r="V999" s="764"/>
      <c r="W999" s="764"/>
      <c r="X999" s="764"/>
      <c r="Y999" s="764"/>
      <c r="Z999" s="764"/>
    </row>
    <row r="1000" ht="9.75" customHeight="1">
      <c r="A1000" s="764"/>
      <c r="B1000" s="764"/>
      <c r="C1000" s="764"/>
      <c r="D1000" s="764"/>
      <c r="E1000" s="764"/>
      <c r="F1000" s="763"/>
      <c r="G1000" s="763"/>
      <c r="H1000" s="763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764"/>
      <c r="S1000" s="764"/>
      <c r="T1000" s="764"/>
      <c r="U1000" s="764"/>
      <c r="V1000" s="764"/>
      <c r="W1000" s="764"/>
      <c r="X1000" s="764"/>
      <c r="Y1000" s="764"/>
      <c r="Z1000" s="764"/>
    </row>
  </sheetData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8.86"/>
    <col customWidth="1" min="6" max="6" width="13.43"/>
    <col customWidth="1" min="7" max="7" width="10.43"/>
    <col customWidth="1" min="8" max="8" width="9.0"/>
    <col customWidth="1" min="9" max="9" width="6.43"/>
    <col customWidth="1" min="10" max="11" width="12.86"/>
    <col customWidth="1" min="12" max="12" width="15.29"/>
    <col customWidth="1" min="13" max="16" width="14.29"/>
    <col customWidth="1" min="17" max="26" width="8.86"/>
  </cols>
  <sheetData>
    <row r="1" ht="14.25" customHeight="1">
      <c r="N1" s="770"/>
      <c r="O1" s="770"/>
    </row>
    <row r="2" ht="14.25" customHeight="1">
      <c r="E2" s="771" t="s">
        <v>1253</v>
      </c>
      <c r="F2" s="772"/>
      <c r="G2" s="772"/>
      <c r="H2" s="772"/>
      <c r="I2" s="772"/>
      <c r="J2" s="772"/>
      <c r="K2" s="772"/>
      <c r="L2" s="772"/>
      <c r="M2" s="773" t="s">
        <v>1254</v>
      </c>
      <c r="N2" s="774"/>
      <c r="O2" s="774"/>
    </row>
    <row r="3" ht="14.25" customHeight="1">
      <c r="E3" s="653" t="s">
        <v>1255</v>
      </c>
      <c r="N3" s="775"/>
      <c r="O3" s="775"/>
    </row>
    <row r="4" ht="14.25" customHeight="1">
      <c r="E4" s="772" t="s">
        <v>1256</v>
      </c>
      <c r="F4" s="772"/>
      <c r="G4" s="772"/>
      <c r="H4" s="772"/>
      <c r="I4" s="772"/>
      <c r="J4" s="772"/>
      <c r="K4" s="772"/>
      <c r="L4" s="772"/>
      <c r="M4" s="772"/>
      <c r="N4" s="776"/>
      <c r="O4" s="776"/>
    </row>
    <row r="5" ht="14.25" customHeight="1">
      <c r="E5" s="772" t="s">
        <v>1257</v>
      </c>
      <c r="F5" s="772"/>
      <c r="G5" s="777" t="s">
        <v>1258</v>
      </c>
      <c r="H5" s="777"/>
      <c r="I5" s="772"/>
      <c r="J5" s="772"/>
      <c r="K5" s="772"/>
      <c r="L5" s="772"/>
      <c r="M5" s="772"/>
      <c r="N5" s="776"/>
      <c r="O5" s="776"/>
    </row>
    <row r="6" ht="14.25" customHeight="1">
      <c r="E6" s="772" t="s">
        <v>1259</v>
      </c>
      <c r="F6" s="772"/>
      <c r="G6" s="778">
        <v>5.0E8</v>
      </c>
      <c r="I6" s="772" t="s">
        <v>540</v>
      </c>
      <c r="J6" s="772"/>
      <c r="K6" s="772"/>
      <c r="L6" s="772"/>
      <c r="M6" s="772"/>
      <c r="N6" s="776"/>
      <c r="O6" s="776"/>
    </row>
    <row r="7" ht="14.25" customHeight="1">
      <c r="E7" s="772" t="s">
        <v>1260</v>
      </c>
      <c r="F7" s="772" t="s">
        <v>1261</v>
      </c>
      <c r="G7" s="779">
        <v>0.235</v>
      </c>
      <c r="I7" s="772"/>
      <c r="J7" s="772"/>
      <c r="K7" s="772"/>
      <c r="L7" s="772"/>
      <c r="M7" s="772"/>
      <c r="N7" s="776"/>
      <c r="O7" s="776"/>
    </row>
    <row r="8" ht="14.25" customHeight="1">
      <c r="E8" s="780" t="s">
        <v>109</v>
      </c>
      <c r="F8" s="780" t="s">
        <v>1262</v>
      </c>
      <c r="G8" s="781" t="s">
        <v>1263</v>
      </c>
      <c r="H8" s="158"/>
      <c r="I8" s="780" t="s">
        <v>1264</v>
      </c>
      <c r="J8" s="780" t="s">
        <v>1265</v>
      </c>
      <c r="K8" s="780" t="s">
        <v>1266</v>
      </c>
      <c r="L8" s="780" t="s">
        <v>1267</v>
      </c>
      <c r="M8" s="780" t="s">
        <v>90</v>
      </c>
      <c r="N8" s="782"/>
      <c r="O8" s="782"/>
    </row>
    <row r="9" ht="14.25" customHeight="1">
      <c r="E9" s="776">
        <v>1.0</v>
      </c>
      <c r="F9" s="783">
        <f>+G6</f>
        <v>500000000</v>
      </c>
      <c r="G9" s="784">
        <v>42451.0</v>
      </c>
      <c r="H9" s="784">
        <v>42650.0</v>
      </c>
      <c r="I9" s="785">
        <f t="shared" ref="I9:I11" si="1">H9-G9</f>
        <v>199</v>
      </c>
      <c r="J9" s="786">
        <f>60520547.93+2897260.27+1183561.64+1183561.64</f>
        <v>65784931.48</v>
      </c>
      <c r="K9" s="786">
        <f>60520547.93+2897260.27+1183561.64+578092.19</f>
        <v>65179462.03</v>
      </c>
      <c r="L9" s="787">
        <f>+F9</f>
        <v>500000000</v>
      </c>
      <c r="M9" s="783">
        <f t="shared" ref="M9:M10" si="2">+F9+J9-K9</f>
        <v>500605469.5</v>
      </c>
      <c r="N9" s="783"/>
      <c r="O9" s="783"/>
    </row>
    <row r="10" ht="14.25" customHeight="1">
      <c r="E10" s="776">
        <v>2.0</v>
      </c>
      <c r="F10" s="783">
        <f>M9</f>
        <v>500605469.5</v>
      </c>
      <c r="G10" s="784">
        <f t="shared" ref="G10:G11" si="3">H9+1</f>
        <v>42651</v>
      </c>
      <c r="H10" s="784">
        <v>42707.0</v>
      </c>
      <c r="I10" s="785">
        <f t="shared" si="1"/>
        <v>56</v>
      </c>
      <c r="J10" s="783">
        <f>5628725.61+2666238.45+8887461.49</f>
        <v>17182425.55</v>
      </c>
      <c r="K10" s="786"/>
      <c r="L10" s="787">
        <f>+F9</f>
        <v>500000000</v>
      </c>
      <c r="M10" s="783">
        <f t="shared" si="2"/>
        <v>517787895</v>
      </c>
      <c r="N10" s="783"/>
      <c r="O10" s="783"/>
      <c r="P10" s="763">
        <f>J10+J11-11243835.62-9657534.3</f>
        <v>4831406.509</v>
      </c>
    </row>
    <row r="11" ht="14.25" customHeight="1">
      <c r="E11" s="776">
        <v>3.0</v>
      </c>
      <c r="F11" s="783">
        <f>+M10</f>
        <v>517787895</v>
      </c>
      <c r="G11" s="784">
        <f t="shared" si="3"/>
        <v>42708</v>
      </c>
      <c r="H11" s="784">
        <v>42735.0</v>
      </c>
      <c r="I11" s="785">
        <f t="shared" si="1"/>
        <v>27</v>
      </c>
      <c r="J11" s="783">
        <f>F11*0.0611601131%*I11</f>
        <v>8550350.879</v>
      </c>
      <c r="K11" s="788">
        <v>0.0</v>
      </c>
      <c r="L11" s="787">
        <f>+F11</f>
        <v>517787895</v>
      </c>
      <c r="M11" s="783">
        <f>J11+K11</f>
        <v>8550350.879</v>
      </c>
      <c r="N11" s="783"/>
      <c r="O11" s="783"/>
    </row>
    <row r="12" ht="14.25" customHeight="1">
      <c r="E12" s="789" t="s">
        <v>1268</v>
      </c>
      <c r="F12" s="158"/>
      <c r="G12" s="158"/>
      <c r="H12" s="158"/>
      <c r="I12" s="790">
        <f t="shared" ref="I12:K12" si="4">SUM(I9:I11)</f>
        <v>282</v>
      </c>
      <c r="J12" s="791">
        <f t="shared" si="4"/>
        <v>91517707.91</v>
      </c>
      <c r="K12" s="791">
        <f t="shared" si="4"/>
        <v>65179462.03</v>
      </c>
      <c r="L12" s="791"/>
      <c r="M12" s="791">
        <f>SUM(M9:M11)</f>
        <v>1026943715</v>
      </c>
      <c r="N12" s="792"/>
      <c r="O12" s="792"/>
    </row>
    <row r="13" ht="14.25" customHeight="1">
      <c r="N13" s="770"/>
      <c r="O13" s="770"/>
    </row>
    <row r="14" ht="14.25" customHeight="1">
      <c r="E14" s="771" t="str">
        <f>+E2</f>
        <v>ХаанБанк</v>
      </c>
      <c r="F14" s="772"/>
      <c r="G14" s="772"/>
      <c r="H14" s="772"/>
      <c r="I14" s="772"/>
      <c r="J14" s="772"/>
      <c r="K14" s="772"/>
      <c r="L14" s="772"/>
      <c r="M14" s="773" t="str">
        <f>+M2</f>
        <v>2016.12.31</v>
      </c>
      <c r="N14" s="774"/>
      <c r="O14" s="774"/>
    </row>
    <row r="15" ht="14.25" customHeight="1">
      <c r="D15" s="793"/>
      <c r="E15" s="653" t="s">
        <v>1255</v>
      </c>
      <c r="N15" s="775"/>
      <c r="O15" s="775"/>
    </row>
    <row r="16" ht="14.25" customHeight="1">
      <c r="D16" s="793"/>
      <c r="E16" s="772" t="s">
        <v>1256</v>
      </c>
      <c r="F16" s="772"/>
      <c r="G16" s="772"/>
      <c r="H16" s="772"/>
      <c r="I16" s="772"/>
      <c r="J16" s="772"/>
      <c r="K16" s="772"/>
      <c r="L16" s="772"/>
      <c r="M16" s="772"/>
      <c r="N16" s="776"/>
      <c r="O16" s="776"/>
    </row>
    <row r="17" ht="14.25" customHeight="1">
      <c r="D17" s="793"/>
      <c r="E17" s="772" t="s">
        <v>1257</v>
      </c>
      <c r="F17" s="772"/>
      <c r="G17" s="777" t="s">
        <v>1258</v>
      </c>
      <c r="H17" s="777"/>
      <c r="I17" s="772"/>
      <c r="J17" s="772"/>
      <c r="K17" s="772"/>
      <c r="L17" s="772"/>
      <c r="M17" s="772"/>
      <c r="N17" s="776"/>
      <c r="O17" s="776"/>
    </row>
    <row r="18" ht="14.25" customHeight="1">
      <c r="D18" s="793"/>
      <c r="E18" s="772" t="s">
        <v>1259</v>
      </c>
      <c r="F18" s="772"/>
      <c r="G18" s="778">
        <v>5.8E8</v>
      </c>
      <c r="I18" s="772" t="s">
        <v>540</v>
      </c>
      <c r="J18" s="772"/>
      <c r="K18" s="772"/>
      <c r="L18" s="772"/>
      <c r="M18" s="772"/>
      <c r="N18" s="776"/>
      <c r="O18" s="776"/>
    </row>
    <row r="19" ht="14.25" customHeight="1">
      <c r="E19" s="772" t="s">
        <v>1260</v>
      </c>
      <c r="F19" s="772" t="s">
        <v>1261</v>
      </c>
      <c r="G19" s="779">
        <v>0.235</v>
      </c>
      <c r="I19" s="772"/>
      <c r="J19" s="772"/>
      <c r="K19" s="772"/>
      <c r="L19" s="772"/>
      <c r="M19" s="772"/>
      <c r="N19" s="776"/>
      <c r="O19" s="776"/>
    </row>
    <row r="20" ht="14.25" customHeight="1">
      <c r="E20" s="780" t="s">
        <v>109</v>
      </c>
      <c r="F20" s="780" t="s">
        <v>1262</v>
      </c>
      <c r="G20" s="781" t="s">
        <v>1263</v>
      </c>
      <c r="H20" s="158"/>
      <c r="I20" s="780" t="s">
        <v>1264</v>
      </c>
      <c r="J20" s="780" t="s">
        <v>1265</v>
      </c>
      <c r="K20" s="780" t="s">
        <v>1266</v>
      </c>
      <c r="L20" s="780" t="s">
        <v>1267</v>
      </c>
      <c r="M20" s="780" t="s">
        <v>90</v>
      </c>
      <c r="N20" s="782"/>
      <c r="O20" s="782"/>
    </row>
    <row r="21" ht="14.25" customHeight="1">
      <c r="E21" s="776">
        <v>1.0</v>
      </c>
      <c r="F21" s="783">
        <f>+G18</f>
        <v>580000000</v>
      </c>
      <c r="G21" s="784">
        <v>42657.0</v>
      </c>
      <c r="H21" s="784">
        <v>42709.0</v>
      </c>
      <c r="I21" s="785">
        <f t="shared" ref="I21:I22" si="5">H21-G21</f>
        <v>52</v>
      </c>
      <c r="J21" s="783">
        <v>1.457923288E7</v>
      </c>
      <c r="K21" s="786">
        <f>368270767.12+J21</f>
        <v>382850000</v>
      </c>
      <c r="L21" s="783">
        <f>+F21+J21-K21</f>
        <v>211729232.9</v>
      </c>
      <c r="M21" s="783">
        <f t="shared" ref="M21:M22" si="6">J21+K21</f>
        <v>397429232.9</v>
      </c>
      <c r="N21" s="783"/>
      <c r="O21" s="783"/>
    </row>
    <row r="22" ht="14.25" customHeight="1">
      <c r="E22" s="776">
        <v>2.0</v>
      </c>
      <c r="F22" s="783">
        <f>L21</f>
        <v>211729232.9</v>
      </c>
      <c r="G22" s="784">
        <f>H21+1</f>
        <v>42710</v>
      </c>
      <c r="H22" s="784">
        <v>42735.0</v>
      </c>
      <c r="I22" s="785">
        <f t="shared" si="5"/>
        <v>25</v>
      </c>
      <c r="J22" s="783">
        <f>F22*0.0644783983%*I22</f>
        <v>3412990.452</v>
      </c>
      <c r="K22" s="786"/>
      <c r="L22" s="783">
        <f>+F22-K22</f>
        <v>211729232.9</v>
      </c>
      <c r="M22" s="783">
        <f t="shared" si="6"/>
        <v>3412990.452</v>
      </c>
      <c r="N22" s="783"/>
      <c r="O22" s="783"/>
      <c r="P22" s="794">
        <f>+J22+P10+J35</f>
        <v>8677729.962</v>
      </c>
    </row>
    <row r="23" ht="14.25" customHeight="1">
      <c r="E23" s="789" t="s">
        <v>1268</v>
      </c>
      <c r="F23" s="158"/>
      <c r="G23" s="158"/>
      <c r="H23" s="158"/>
      <c r="I23" s="790">
        <f t="shared" ref="I23:K23" si="7">SUM(I21:I22)</f>
        <v>77</v>
      </c>
      <c r="J23" s="791">
        <f t="shared" si="7"/>
        <v>17992223.33</v>
      </c>
      <c r="K23" s="791">
        <f t="shared" si="7"/>
        <v>382850000</v>
      </c>
      <c r="L23" s="791"/>
      <c r="M23" s="791">
        <f>SUM(M21:M22)</f>
        <v>400842223.3</v>
      </c>
      <c r="N23" s="792"/>
      <c r="O23" s="792"/>
    </row>
    <row r="24" ht="14.25" customHeight="1">
      <c r="E24" s="772"/>
      <c r="F24" s="772"/>
      <c r="G24" s="795"/>
      <c r="H24" s="795"/>
      <c r="I24" s="772"/>
      <c r="J24" s="772"/>
      <c r="K24" s="772"/>
      <c r="L24" s="772"/>
      <c r="M24" s="772"/>
      <c r="N24" s="776"/>
      <c r="O24" s="776"/>
    </row>
    <row r="25" ht="14.25" customHeight="1">
      <c r="E25" s="772"/>
      <c r="F25" s="772"/>
      <c r="G25" s="772"/>
      <c r="H25" s="772"/>
      <c r="I25" s="772"/>
      <c r="J25" s="772"/>
      <c r="K25" s="772"/>
      <c r="L25" s="772"/>
      <c r="M25" s="772"/>
      <c r="N25" s="776"/>
      <c r="O25" s="776"/>
    </row>
    <row r="26" ht="14.25" customHeight="1">
      <c r="E26" s="772"/>
      <c r="F26" s="772"/>
      <c r="G26" s="772" t="s">
        <v>1269</v>
      </c>
      <c r="H26" s="505"/>
      <c r="I26" s="772"/>
      <c r="J26" s="772"/>
      <c r="K26" s="772"/>
      <c r="L26" s="772"/>
      <c r="M26" s="772"/>
      <c r="N26" s="776"/>
      <c r="O26" s="776"/>
    </row>
    <row r="27" ht="14.25" customHeight="1">
      <c r="E27" s="772"/>
      <c r="F27" s="772"/>
      <c r="G27" s="772"/>
      <c r="H27" s="772"/>
      <c r="I27" s="772"/>
      <c r="J27" s="772"/>
      <c r="K27" s="772"/>
      <c r="L27" s="772"/>
      <c r="M27" s="772"/>
      <c r="N27" s="776"/>
      <c r="O27" s="776"/>
    </row>
    <row r="28" ht="14.25" customHeight="1">
      <c r="E28" s="771" t="s">
        <v>1270</v>
      </c>
      <c r="M28" s="796" t="str">
        <f>+M14</f>
        <v>2016.12.31</v>
      </c>
      <c r="N28" s="770"/>
      <c r="O28" s="770"/>
    </row>
    <row r="29" ht="14.25" customHeight="1">
      <c r="D29" s="793"/>
      <c r="E29" s="653" t="s">
        <v>1255</v>
      </c>
      <c r="N29" s="775"/>
      <c r="O29" s="775"/>
    </row>
    <row r="30" ht="14.25" customHeight="1">
      <c r="D30" s="793"/>
      <c r="E30" s="772" t="s">
        <v>1256</v>
      </c>
      <c r="F30" s="772"/>
      <c r="G30" s="772"/>
      <c r="H30" s="772"/>
      <c r="I30" s="772"/>
      <c r="J30" s="772"/>
      <c r="K30" s="772"/>
      <c r="L30" s="772"/>
      <c r="M30" s="772"/>
      <c r="N30" s="776"/>
      <c r="O30" s="776"/>
    </row>
    <row r="31" ht="14.25" customHeight="1">
      <c r="D31" s="793"/>
      <c r="E31" s="772" t="s">
        <v>1257</v>
      </c>
      <c r="F31" s="772"/>
      <c r="G31" s="777" t="s">
        <v>1258</v>
      </c>
      <c r="H31" s="777"/>
      <c r="I31" s="772"/>
      <c r="J31" s="772"/>
      <c r="K31" s="772"/>
      <c r="L31" s="772"/>
      <c r="M31" s="772"/>
      <c r="N31" s="776"/>
      <c r="O31" s="776"/>
    </row>
    <row r="32" ht="14.25" customHeight="1">
      <c r="D32" s="793"/>
      <c r="E32" s="772" t="s">
        <v>1259</v>
      </c>
      <c r="F32" s="772"/>
      <c r="G32" s="778">
        <v>5.8E8</v>
      </c>
      <c r="I32" s="772" t="s">
        <v>540</v>
      </c>
      <c r="J32" s="772"/>
      <c r="K32" s="772"/>
      <c r="L32" s="772"/>
      <c r="M32" s="772"/>
      <c r="N32" s="776"/>
      <c r="O32" s="776"/>
    </row>
    <row r="33" ht="14.25" customHeight="1">
      <c r="E33" s="772" t="s">
        <v>1260</v>
      </c>
      <c r="F33" s="772" t="s">
        <v>1261</v>
      </c>
      <c r="G33" s="779">
        <v>0.235</v>
      </c>
      <c r="I33" s="772"/>
      <c r="J33" s="772"/>
      <c r="K33" s="772"/>
      <c r="L33" s="772"/>
      <c r="M33" s="772"/>
      <c r="N33" s="776"/>
      <c r="O33" s="776"/>
    </row>
    <row r="34" ht="14.25" customHeight="1">
      <c r="E34" s="780" t="s">
        <v>109</v>
      </c>
      <c r="F34" s="780" t="s">
        <v>1262</v>
      </c>
      <c r="G34" s="781" t="s">
        <v>1263</v>
      </c>
      <c r="H34" s="158"/>
      <c r="I34" s="780" t="s">
        <v>1264</v>
      </c>
      <c r="J34" s="780" t="s">
        <v>1265</v>
      </c>
      <c r="K34" s="780" t="s">
        <v>1266</v>
      </c>
      <c r="L34" s="780" t="s">
        <v>1267</v>
      </c>
      <c r="M34" s="780" t="s">
        <v>90</v>
      </c>
      <c r="N34" s="770"/>
      <c r="O34" s="770"/>
    </row>
    <row r="35" ht="14.25" customHeight="1">
      <c r="E35" s="763">
        <v>1.0</v>
      </c>
      <c r="F35" s="763">
        <v>3.0E7</v>
      </c>
      <c r="G35" s="797">
        <v>42712.0</v>
      </c>
      <c r="H35" s="797">
        <v>42735.0</v>
      </c>
      <c r="I35" s="763"/>
      <c r="J35" s="763">
        <v>433333.0</v>
      </c>
      <c r="K35" s="763"/>
      <c r="L35" s="763">
        <f>+F35</f>
        <v>30000000</v>
      </c>
      <c r="M35" s="763">
        <f>+J35+L35</f>
        <v>30433333</v>
      </c>
      <c r="N35" s="787"/>
      <c r="O35" s="787"/>
    </row>
    <row r="36" ht="14.25" customHeight="1">
      <c r="E36" s="789" t="s">
        <v>1268</v>
      </c>
      <c r="F36" s="158"/>
      <c r="G36" s="158"/>
      <c r="H36" s="158"/>
      <c r="I36" s="790">
        <f t="shared" ref="I36:K36" si="8">SUM(I34:I35)</f>
        <v>0</v>
      </c>
      <c r="J36" s="791">
        <f t="shared" si="8"/>
        <v>433333</v>
      </c>
      <c r="K36" s="791">
        <f t="shared" si="8"/>
        <v>0</v>
      </c>
      <c r="L36" s="791"/>
      <c r="M36" s="791">
        <f>SUM(M34:M35)</f>
        <v>30433333</v>
      </c>
      <c r="N36" s="770"/>
      <c r="O36" s="770"/>
    </row>
    <row r="37" ht="14.25" customHeight="1">
      <c r="N37" s="770"/>
      <c r="O37" s="770"/>
    </row>
    <row r="38" ht="14.25" customHeight="1">
      <c r="N38" s="770"/>
      <c r="O38" s="770"/>
    </row>
    <row r="39" ht="14.25" customHeight="1">
      <c r="N39" s="770"/>
      <c r="O39" s="770"/>
    </row>
    <row r="40" ht="14.25" customHeight="1">
      <c r="N40" s="770"/>
      <c r="O40" s="770"/>
    </row>
    <row r="41" ht="14.25" customHeight="1">
      <c r="N41" s="770"/>
      <c r="O41" s="770"/>
    </row>
    <row r="42" ht="14.25" customHeight="1">
      <c r="N42" s="770"/>
      <c r="O42" s="770"/>
    </row>
    <row r="43" ht="14.25" customHeight="1">
      <c r="N43" s="770"/>
      <c r="O43" s="770"/>
    </row>
    <row r="44" ht="14.25" customHeight="1">
      <c r="N44" s="770"/>
      <c r="O44" s="770"/>
    </row>
    <row r="45" ht="14.25" customHeight="1">
      <c r="N45" s="770"/>
      <c r="O45" s="770"/>
    </row>
    <row r="46" ht="14.25" customHeight="1">
      <c r="N46" s="770"/>
      <c r="O46" s="770"/>
    </row>
    <row r="47" ht="14.25" customHeight="1">
      <c r="N47" s="770"/>
      <c r="O47" s="770"/>
    </row>
    <row r="48" ht="14.25" customHeight="1">
      <c r="N48" s="770"/>
      <c r="O48" s="770"/>
    </row>
    <row r="49" ht="14.25" customHeight="1">
      <c r="N49" s="770"/>
      <c r="O49" s="770"/>
    </row>
    <row r="50" ht="14.25" customHeight="1">
      <c r="N50" s="770"/>
      <c r="O50" s="770"/>
    </row>
    <row r="51" ht="14.25" customHeight="1">
      <c r="N51" s="770"/>
      <c r="O51" s="770"/>
    </row>
    <row r="52" ht="14.25" customHeight="1">
      <c r="N52" s="770"/>
      <c r="O52" s="770"/>
    </row>
    <row r="53" ht="14.25" customHeight="1">
      <c r="N53" s="770"/>
      <c r="O53" s="770"/>
    </row>
    <row r="54" ht="14.25" customHeight="1">
      <c r="N54" s="770"/>
      <c r="O54" s="770"/>
    </row>
    <row r="55" ht="14.25" customHeight="1">
      <c r="N55" s="770"/>
      <c r="O55" s="770"/>
    </row>
    <row r="56" ht="14.25" customHeight="1">
      <c r="N56" s="770"/>
      <c r="O56" s="770"/>
    </row>
    <row r="57" ht="14.25" customHeight="1">
      <c r="N57" s="770"/>
      <c r="O57" s="770"/>
    </row>
    <row r="58" ht="14.25" customHeight="1">
      <c r="N58" s="770"/>
      <c r="O58" s="770"/>
    </row>
    <row r="59" ht="14.25" customHeight="1">
      <c r="N59" s="770"/>
      <c r="O59" s="770"/>
    </row>
    <row r="60" ht="14.25" customHeight="1">
      <c r="N60" s="770"/>
      <c r="O60" s="770"/>
    </row>
    <row r="61" ht="14.25" customHeight="1">
      <c r="N61" s="770"/>
      <c r="O61" s="770"/>
    </row>
    <row r="62" ht="14.25" customHeight="1">
      <c r="N62" s="770"/>
      <c r="O62" s="770"/>
    </row>
    <row r="63" ht="14.25" customHeight="1">
      <c r="N63" s="770"/>
      <c r="O63" s="770"/>
    </row>
    <row r="64" ht="14.25" customHeight="1">
      <c r="N64" s="770"/>
      <c r="O64" s="770"/>
    </row>
    <row r="65" ht="14.25" customHeight="1">
      <c r="N65" s="770"/>
      <c r="O65" s="770"/>
    </row>
    <row r="66" ht="14.25" customHeight="1">
      <c r="N66" s="770"/>
      <c r="O66" s="770"/>
    </row>
    <row r="67" ht="14.25" customHeight="1">
      <c r="N67" s="770"/>
      <c r="O67" s="770"/>
    </row>
    <row r="68" ht="14.25" customHeight="1">
      <c r="N68" s="770"/>
      <c r="O68" s="770"/>
    </row>
    <row r="69" ht="14.25" customHeight="1">
      <c r="N69" s="770"/>
      <c r="O69" s="770"/>
    </row>
    <row r="70" ht="14.25" customHeight="1">
      <c r="N70" s="770"/>
      <c r="O70" s="770"/>
    </row>
    <row r="71" ht="14.25" customHeight="1">
      <c r="N71" s="770"/>
      <c r="O71" s="770"/>
    </row>
    <row r="72" ht="14.25" customHeight="1">
      <c r="N72" s="770"/>
      <c r="O72" s="770"/>
    </row>
    <row r="73" ht="14.25" customHeight="1">
      <c r="N73" s="770"/>
      <c r="O73" s="770"/>
    </row>
    <row r="74" ht="14.25" customHeight="1">
      <c r="N74" s="770"/>
      <c r="O74" s="770"/>
    </row>
    <row r="75" ht="14.25" customHeight="1">
      <c r="N75" s="770"/>
      <c r="O75" s="770"/>
    </row>
    <row r="76" ht="14.25" customHeight="1">
      <c r="N76" s="770"/>
      <c r="O76" s="770"/>
    </row>
    <row r="77" ht="14.25" customHeight="1">
      <c r="N77" s="770"/>
      <c r="O77" s="770"/>
    </row>
    <row r="78" ht="14.25" customHeight="1">
      <c r="N78" s="770"/>
      <c r="O78" s="770"/>
    </row>
    <row r="79" ht="14.25" customHeight="1">
      <c r="N79" s="770"/>
      <c r="O79" s="770"/>
    </row>
    <row r="80" ht="14.25" customHeight="1">
      <c r="N80" s="770"/>
      <c r="O80" s="770"/>
    </row>
    <row r="81" ht="14.25" customHeight="1">
      <c r="N81" s="770"/>
      <c r="O81" s="770"/>
    </row>
    <row r="82" ht="14.25" customHeight="1">
      <c r="N82" s="770"/>
      <c r="O82" s="770"/>
    </row>
    <row r="83" ht="14.25" customHeight="1">
      <c r="N83" s="770"/>
      <c r="O83" s="770"/>
    </row>
    <row r="84" ht="14.25" customHeight="1">
      <c r="N84" s="770"/>
      <c r="O84" s="770"/>
    </row>
    <row r="85" ht="14.25" customHeight="1">
      <c r="N85" s="770"/>
      <c r="O85" s="770"/>
    </row>
    <row r="86" ht="14.25" customHeight="1">
      <c r="N86" s="770"/>
      <c r="O86" s="770"/>
    </row>
    <row r="87" ht="14.25" customHeight="1">
      <c r="N87" s="770"/>
      <c r="O87" s="770"/>
    </row>
    <row r="88" ht="14.25" customHeight="1">
      <c r="N88" s="770"/>
      <c r="O88" s="770"/>
    </row>
    <row r="89" ht="14.25" customHeight="1">
      <c r="N89" s="770"/>
      <c r="O89" s="770"/>
    </row>
    <row r="90" ht="14.25" customHeight="1">
      <c r="N90" s="770"/>
      <c r="O90" s="770"/>
    </row>
    <row r="91" ht="14.25" customHeight="1">
      <c r="N91" s="770"/>
      <c r="O91" s="770"/>
    </row>
    <row r="92" ht="14.25" customHeight="1">
      <c r="N92" s="770"/>
      <c r="O92" s="770"/>
    </row>
    <row r="93" ht="14.25" customHeight="1">
      <c r="N93" s="770"/>
      <c r="O93" s="770"/>
    </row>
    <row r="94" ht="14.25" customHeight="1">
      <c r="N94" s="770"/>
      <c r="O94" s="770"/>
    </row>
    <row r="95" ht="14.25" customHeight="1">
      <c r="N95" s="770"/>
      <c r="O95" s="770"/>
    </row>
    <row r="96" ht="14.25" customHeight="1">
      <c r="N96" s="770"/>
      <c r="O96" s="770"/>
    </row>
    <row r="97" ht="14.25" customHeight="1">
      <c r="N97" s="770"/>
      <c r="O97" s="770"/>
    </row>
    <row r="98" ht="14.25" customHeight="1">
      <c r="N98" s="770"/>
      <c r="O98" s="770"/>
    </row>
    <row r="99" ht="14.25" customHeight="1">
      <c r="N99" s="770"/>
      <c r="O99" s="770"/>
    </row>
    <row r="100" ht="14.25" customHeight="1">
      <c r="N100" s="770"/>
      <c r="O100" s="770"/>
    </row>
    <row r="101" ht="14.25" customHeight="1">
      <c r="N101" s="770"/>
      <c r="O101" s="770"/>
    </row>
    <row r="102" ht="14.25" customHeight="1">
      <c r="N102" s="770"/>
      <c r="O102" s="770"/>
    </row>
    <row r="103" ht="14.25" customHeight="1">
      <c r="N103" s="770"/>
      <c r="O103" s="770"/>
    </row>
    <row r="104" ht="14.25" customHeight="1">
      <c r="N104" s="770"/>
      <c r="O104" s="770"/>
    </row>
    <row r="105" ht="14.25" customHeight="1">
      <c r="N105" s="770"/>
      <c r="O105" s="770"/>
    </row>
    <row r="106" ht="14.25" customHeight="1">
      <c r="N106" s="770"/>
      <c r="O106" s="770"/>
    </row>
    <row r="107" ht="14.25" customHeight="1">
      <c r="N107" s="770"/>
      <c r="O107" s="770"/>
    </row>
    <row r="108" ht="14.25" customHeight="1">
      <c r="N108" s="770"/>
      <c r="O108" s="770"/>
    </row>
    <row r="109" ht="14.25" customHeight="1">
      <c r="N109" s="770"/>
      <c r="O109" s="770"/>
    </row>
    <row r="110" ht="14.25" customHeight="1">
      <c r="N110" s="770"/>
      <c r="O110" s="770"/>
    </row>
    <row r="111" ht="14.25" customHeight="1">
      <c r="N111" s="770"/>
      <c r="O111" s="770"/>
    </row>
    <row r="112" ht="14.25" customHeight="1">
      <c r="N112" s="770"/>
      <c r="O112" s="770"/>
    </row>
    <row r="113" ht="14.25" customHeight="1">
      <c r="N113" s="770"/>
      <c r="O113" s="770"/>
    </row>
    <row r="114" ht="14.25" customHeight="1">
      <c r="N114" s="770"/>
      <c r="O114" s="770"/>
    </row>
    <row r="115" ht="14.25" customHeight="1">
      <c r="N115" s="770"/>
      <c r="O115" s="770"/>
    </row>
    <row r="116" ht="14.25" customHeight="1">
      <c r="N116" s="770"/>
      <c r="O116" s="770"/>
    </row>
    <row r="117" ht="14.25" customHeight="1">
      <c r="N117" s="770"/>
      <c r="O117" s="770"/>
    </row>
    <row r="118" ht="14.25" customHeight="1">
      <c r="N118" s="770"/>
      <c r="O118" s="770"/>
    </row>
    <row r="119" ht="14.25" customHeight="1">
      <c r="N119" s="770"/>
      <c r="O119" s="770"/>
    </row>
    <row r="120" ht="14.25" customHeight="1">
      <c r="N120" s="770"/>
      <c r="O120" s="770"/>
    </row>
    <row r="121" ht="14.25" customHeight="1">
      <c r="N121" s="770"/>
      <c r="O121" s="770"/>
    </row>
    <row r="122" ht="14.25" customHeight="1">
      <c r="N122" s="770"/>
      <c r="O122" s="770"/>
    </row>
    <row r="123" ht="14.25" customHeight="1">
      <c r="N123" s="770"/>
      <c r="O123" s="770"/>
    </row>
    <row r="124" ht="14.25" customHeight="1">
      <c r="N124" s="770"/>
      <c r="O124" s="770"/>
    </row>
    <row r="125" ht="14.25" customHeight="1">
      <c r="N125" s="770"/>
      <c r="O125" s="770"/>
    </row>
    <row r="126" ht="14.25" customHeight="1">
      <c r="N126" s="770"/>
      <c r="O126" s="770"/>
    </row>
    <row r="127" ht="14.25" customHeight="1">
      <c r="N127" s="770"/>
      <c r="O127" s="770"/>
    </row>
    <row r="128" ht="14.25" customHeight="1">
      <c r="N128" s="770"/>
      <c r="O128" s="770"/>
    </row>
    <row r="129" ht="14.25" customHeight="1">
      <c r="N129" s="770"/>
      <c r="O129" s="770"/>
    </row>
    <row r="130" ht="14.25" customHeight="1">
      <c r="N130" s="770"/>
      <c r="O130" s="770"/>
    </row>
    <row r="131" ht="14.25" customHeight="1">
      <c r="N131" s="770"/>
      <c r="O131" s="770"/>
    </row>
    <row r="132" ht="14.25" customHeight="1">
      <c r="N132" s="770"/>
      <c r="O132" s="770"/>
    </row>
    <row r="133" ht="14.25" customHeight="1">
      <c r="N133" s="770"/>
      <c r="O133" s="770"/>
    </row>
    <row r="134" ht="14.25" customHeight="1">
      <c r="N134" s="770"/>
      <c r="O134" s="770"/>
    </row>
    <row r="135" ht="14.25" customHeight="1">
      <c r="N135" s="770"/>
      <c r="O135" s="770"/>
    </row>
    <row r="136" ht="14.25" customHeight="1">
      <c r="N136" s="770"/>
      <c r="O136" s="770"/>
    </row>
    <row r="137" ht="14.25" customHeight="1">
      <c r="N137" s="770"/>
      <c r="O137" s="770"/>
    </row>
    <row r="138" ht="14.25" customHeight="1">
      <c r="N138" s="770"/>
      <c r="O138" s="770"/>
    </row>
    <row r="139" ht="14.25" customHeight="1">
      <c r="N139" s="770"/>
      <c r="O139" s="770"/>
    </row>
    <row r="140" ht="14.25" customHeight="1">
      <c r="N140" s="770"/>
      <c r="O140" s="770"/>
    </row>
    <row r="141" ht="14.25" customHeight="1">
      <c r="N141" s="770"/>
      <c r="O141" s="770"/>
    </row>
    <row r="142" ht="14.25" customHeight="1">
      <c r="N142" s="770"/>
      <c r="O142" s="770"/>
    </row>
    <row r="143" ht="14.25" customHeight="1">
      <c r="N143" s="770"/>
      <c r="O143" s="770"/>
    </row>
    <row r="144" ht="14.25" customHeight="1">
      <c r="N144" s="770"/>
      <c r="O144" s="770"/>
    </row>
    <row r="145" ht="14.25" customHeight="1">
      <c r="N145" s="770"/>
      <c r="O145" s="770"/>
    </row>
    <row r="146" ht="14.25" customHeight="1">
      <c r="N146" s="770"/>
      <c r="O146" s="770"/>
    </row>
    <row r="147" ht="14.25" customHeight="1">
      <c r="N147" s="770"/>
      <c r="O147" s="770"/>
    </row>
    <row r="148" ht="14.25" customHeight="1">
      <c r="N148" s="770"/>
      <c r="O148" s="770"/>
    </row>
    <row r="149" ht="14.25" customHeight="1">
      <c r="N149" s="770"/>
      <c r="O149" s="770"/>
    </row>
    <row r="150" ht="14.25" customHeight="1">
      <c r="N150" s="770"/>
      <c r="O150" s="770"/>
    </row>
    <row r="151" ht="14.25" customHeight="1">
      <c r="N151" s="770"/>
      <c r="O151" s="770"/>
    </row>
    <row r="152" ht="14.25" customHeight="1">
      <c r="N152" s="770"/>
      <c r="O152" s="770"/>
    </row>
    <row r="153" ht="14.25" customHeight="1">
      <c r="N153" s="770"/>
      <c r="O153" s="770"/>
    </row>
    <row r="154" ht="14.25" customHeight="1">
      <c r="N154" s="770"/>
      <c r="O154" s="770"/>
    </row>
    <row r="155" ht="14.25" customHeight="1">
      <c r="N155" s="770"/>
      <c r="O155" s="770"/>
    </row>
    <row r="156" ht="14.25" customHeight="1">
      <c r="N156" s="770"/>
      <c r="O156" s="770"/>
    </row>
    <row r="157" ht="14.25" customHeight="1">
      <c r="N157" s="770"/>
      <c r="O157" s="770"/>
    </row>
    <row r="158" ht="14.25" customHeight="1">
      <c r="N158" s="770"/>
      <c r="O158" s="770"/>
    </row>
    <row r="159" ht="14.25" customHeight="1">
      <c r="N159" s="770"/>
      <c r="O159" s="770"/>
    </row>
    <row r="160" ht="14.25" customHeight="1">
      <c r="N160" s="770"/>
      <c r="O160" s="770"/>
    </row>
    <row r="161" ht="14.25" customHeight="1">
      <c r="N161" s="770"/>
      <c r="O161" s="770"/>
    </row>
    <row r="162" ht="14.25" customHeight="1">
      <c r="N162" s="770"/>
      <c r="O162" s="770"/>
    </row>
    <row r="163" ht="14.25" customHeight="1">
      <c r="N163" s="770"/>
      <c r="O163" s="770"/>
    </row>
    <row r="164" ht="14.25" customHeight="1">
      <c r="N164" s="770"/>
      <c r="O164" s="770"/>
    </row>
    <row r="165" ht="14.25" customHeight="1">
      <c r="N165" s="770"/>
      <c r="O165" s="770"/>
    </row>
    <row r="166" ht="14.25" customHeight="1">
      <c r="N166" s="770"/>
      <c r="O166" s="770"/>
    </row>
    <row r="167" ht="14.25" customHeight="1">
      <c r="N167" s="770"/>
      <c r="O167" s="770"/>
    </row>
    <row r="168" ht="14.25" customHeight="1">
      <c r="N168" s="770"/>
      <c r="O168" s="770"/>
    </row>
    <row r="169" ht="14.25" customHeight="1">
      <c r="N169" s="770"/>
      <c r="O169" s="770"/>
    </row>
    <row r="170" ht="14.25" customHeight="1">
      <c r="N170" s="770"/>
      <c r="O170" s="770"/>
    </row>
    <row r="171" ht="14.25" customHeight="1">
      <c r="N171" s="770"/>
      <c r="O171" s="770"/>
    </row>
    <row r="172" ht="14.25" customHeight="1">
      <c r="N172" s="770"/>
      <c r="O172" s="770"/>
    </row>
    <row r="173" ht="14.25" customHeight="1">
      <c r="N173" s="770"/>
      <c r="O173" s="770"/>
    </row>
    <row r="174" ht="14.25" customHeight="1">
      <c r="N174" s="770"/>
      <c r="O174" s="770"/>
    </row>
    <row r="175" ht="14.25" customHeight="1">
      <c r="N175" s="770"/>
      <c r="O175" s="770"/>
    </row>
    <row r="176" ht="14.25" customHeight="1">
      <c r="N176" s="770"/>
      <c r="O176" s="770"/>
    </row>
    <row r="177" ht="14.25" customHeight="1">
      <c r="N177" s="770"/>
      <c r="O177" s="770"/>
    </row>
    <row r="178" ht="14.25" customHeight="1">
      <c r="N178" s="770"/>
      <c r="O178" s="770"/>
    </row>
    <row r="179" ht="14.25" customHeight="1">
      <c r="N179" s="770"/>
      <c r="O179" s="770"/>
    </row>
    <row r="180" ht="14.25" customHeight="1">
      <c r="N180" s="770"/>
      <c r="O180" s="770"/>
    </row>
    <row r="181" ht="14.25" customHeight="1">
      <c r="N181" s="770"/>
      <c r="O181" s="770"/>
    </row>
    <row r="182" ht="14.25" customHeight="1">
      <c r="N182" s="770"/>
      <c r="O182" s="770"/>
    </row>
    <row r="183" ht="14.25" customHeight="1">
      <c r="N183" s="770"/>
      <c r="O183" s="770"/>
    </row>
    <row r="184" ht="14.25" customHeight="1">
      <c r="N184" s="770"/>
      <c r="O184" s="770"/>
    </row>
    <row r="185" ht="14.25" customHeight="1">
      <c r="N185" s="770"/>
      <c r="O185" s="770"/>
    </row>
    <row r="186" ht="14.25" customHeight="1">
      <c r="N186" s="770"/>
      <c r="O186" s="770"/>
    </row>
    <row r="187" ht="14.25" customHeight="1">
      <c r="N187" s="770"/>
      <c r="O187" s="770"/>
    </row>
    <row r="188" ht="14.25" customHeight="1">
      <c r="N188" s="770"/>
      <c r="O188" s="770"/>
    </row>
    <row r="189" ht="14.25" customHeight="1">
      <c r="N189" s="770"/>
      <c r="O189" s="770"/>
    </row>
    <row r="190" ht="14.25" customHeight="1">
      <c r="N190" s="770"/>
      <c r="O190" s="770"/>
    </row>
    <row r="191" ht="14.25" customHeight="1">
      <c r="N191" s="770"/>
      <c r="O191" s="770"/>
    </row>
    <row r="192" ht="14.25" customHeight="1">
      <c r="N192" s="770"/>
      <c r="O192" s="770"/>
    </row>
    <row r="193" ht="14.25" customHeight="1">
      <c r="N193" s="770"/>
      <c r="O193" s="770"/>
    </row>
    <row r="194" ht="14.25" customHeight="1">
      <c r="N194" s="770"/>
      <c r="O194" s="770"/>
    </row>
    <row r="195" ht="14.25" customHeight="1">
      <c r="N195" s="770"/>
      <c r="O195" s="770"/>
    </row>
    <row r="196" ht="14.25" customHeight="1">
      <c r="N196" s="770"/>
      <c r="O196" s="770"/>
    </row>
    <row r="197" ht="14.25" customHeight="1">
      <c r="N197" s="770"/>
      <c r="O197" s="770"/>
    </row>
    <row r="198" ht="14.25" customHeight="1">
      <c r="N198" s="770"/>
      <c r="O198" s="770"/>
    </row>
    <row r="199" ht="14.25" customHeight="1">
      <c r="N199" s="770"/>
      <c r="O199" s="770"/>
    </row>
    <row r="200" ht="14.25" customHeight="1">
      <c r="N200" s="770"/>
      <c r="O200" s="770"/>
    </row>
    <row r="201" ht="14.25" customHeight="1">
      <c r="N201" s="770"/>
      <c r="O201" s="770"/>
    </row>
    <row r="202" ht="14.25" customHeight="1">
      <c r="N202" s="770"/>
      <c r="O202" s="770"/>
    </row>
    <row r="203" ht="14.25" customHeight="1">
      <c r="N203" s="770"/>
      <c r="O203" s="770"/>
    </row>
    <row r="204" ht="14.25" customHeight="1">
      <c r="N204" s="770"/>
      <c r="O204" s="770"/>
    </row>
    <row r="205" ht="14.25" customHeight="1">
      <c r="N205" s="770"/>
      <c r="O205" s="770"/>
    </row>
    <row r="206" ht="14.25" customHeight="1">
      <c r="N206" s="770"/>
      <c r="O206" s="770"/>
    </row>
    <row r="207" ht="14.25" customHeight="1">
      <c r="N207" s="770"/>
      <c r="O207" s="770"/>
    </row>
    <row r="208" ht="14.25" customHeight="1">
      <c r="N208" s="770"/>
      <c r="O208" s="770"/>
    </row>
    <row r="209" ht="14.25" customHeight="1">
      <c r="N209" s="770"/>
      <c r="O209" s="770"/>
    </row>
    <row r="210" ht="14.25" customHeight="1">
      <c r="N210" s="770"/>
      <c r="O210" s="770"/>
    </row>
    <row r="211" ht="14.25" customHeight="1">
      <c r="N211" s="770"/>
      <c r="O211" s="770"/>
    </row>
    <row r="212" ht="14.25" customHeight="1">
      <c r="N212" s="770"/>
      <c r="O212" s="770"/>
    </row>
    <row r="213" ht="14.25" customHeight="1">
      <c r="N213" s="770"/>
      <c r="O213" s="770"/>
    </row>
    <row r="214" ht="14.25" customHeight="1">
      <c r="N214" s="770"/>
      <c r="O214" s="770"/>
    </row>
    <row r="215" ht="14.25" customHeight="1">
      <c r="N215" s="770"/>
      <c r="O215" s="770"/>
    </row>
    <row r="216" ht="14.25" customHeight="1">
      <c r="N216" s="770"/>
      <c r="O216" s="770"/>
    </row>
    <row r="217" ht="14.25" customHeight="1">
      <c r="N217" s="770"/>
      <c r="O217" s="770"/>
    </row>
    <row r="218" ht="14.25" customHeight="1">
      <c r="N218" s="770"/>
      <c r="O218" s="770"/>
    </row>
    <row r="219" ht="14.25" customHeight="1">
      <c r="N219" s="770"/>
      <c r="O219" s="770"/>
    </row>
    <row r="220" ht="14.25" customHeight="1">
      <c r="N220" s="770"/>
      <c r="O220" s="770"/>
    </row>
    <row r="221" ht="14.25" customHeight="1">
      <c r="N221" s="770"/>
      <c r="O221" s="770"/>
    </row>
    <row r="222" ht="14.25" customHeight="1">
      <c r="N222" s="770"/>
      <c r="O222" s="770"/>
    </row>
    <row r="223" ht="14.25" customHeight="1">
      <c r="N223" s="770"/>
      <c r="O223" s="770"/>
    </row>
    <row r="224" ht="14.25" customHeight="1">
      <c r="N224" s="770"/>
      <c r="O224" s="770"/>
    </row>
    <row r="225" ht="14.25" customHeight="1">
      <c r="N225" s="770"/>
      <c r="O225" s="770"/>
    </row>
    <row r="226" ht="14.25" customHeight="1">
      <c r="N226" s="770"/>
      <c r="O226" s="770"/>
    </row>
    <row r="227" ht="14.25" customHeight="1">
      <c r="N227" s="770"/>
      <c r="O227" s="770"/>
    </row>
    <row r="228" ht="14.25" customHeight="1">
      <c r="N228" s="770"/>
      <c r="O228" s="770"/>
    </row>
    <row r="229" ht="14.25" customHeight="1">
      <c r="N229" s="770"/>
      <c r="O229" s="770"/>
    </row>
    <row r="230" ht="14.25" customHeight="1">
      <c r="N230" s="770"/>
      <c r="O230" s="770"/>
    </row>
    <row r="231" ht="14.25" customHeight="1">
      <c r="N231" s="770"/>
      <c r="O231" s="770"/>
    </row>
    <row r="232" ht="14.25" customHeight="1">
      <c r="N232" s="770"/>
      <c r="O232" s="770"/>
    </row>
    <row r="233" ht="14.25" customHeight="1">
      <c r="N233" s="770"/>
      <c r="O233" s="770"/>
    </row>
    <row r="234" ht="14.25" customHeight="1">
      <c r="N234" s="770"/>
      <c r="O234" s="770"/>
    </row>
    <row r="235" ht="14.25" customHeight="1">
      <c r="N235" s="770"/>
      <c r="O235" s="770"/>
    </row>
    <row r="236" ht="14.25" customHeight="1">
      <c r="N236" s="770"/>
      <c r="O236" s="770"/>
    </row>
    <row r="237" ht="14.25" customHeight="1">
      <c r="N237" s="770"/>
      <c r="O237" s="770"/>
    </row>
    <row r="238" ht="14.25" customHeight="1">
      <c r="N238" s="770"/>
      <c r="O238" s="770"/>
    </row>
    <row r="239" ht="14.25" customHeight="1">
      <c r="N239" s="770"/>
      <c r="O239" s="770"/>
    </row>
    <row r="240" ht="14.25" customHeight="1">
      <c r="N240" s="770"/>
      <c r="O240" s="770"/>
    </row>
    <row r="241" ht="14.25" customHeight="1">
      <c r="N241" s="770"/>
      <c r="O241" s="770"/>
    </row>
    <row r="242" ht="14.25" customHeight="1">
      <c r="N242" s="770"/>
      <c r="O242" s="770"/>
    </row>
    <row r="243" ht="14.25" customHeight="1">
      <c r="N243" s="770"/>
      <c r="O243" s="770"/>
    </row>
    <row r="244" ht="14.25" customHeight="1">
      <c r="N244" s="770"/>
      <c r="O244" s="770"/>
    </row>
    <row r="245" ht="14.25" customHeight="1">
      <c r="N245" s="770"/>
      <c r="O245" s="770"/>
    </row>
    <row r="246" ht="14.25" customHeight="1">
      <c r="N246" s="770"/>
      <c r="O246" s="770"/>
    </row>
    <row r="247" ht="14.25" customHeight="1">
      <c r="N247" s="770"/>
      <c r="O247" s="770"/>
    </row>
    <row r="248" ht="14.25" customHeight="1">
      <c r="N248" s="770"/>
      <c r="O248" s="770"/>
    </row>
    <row r="249" ht="14.25" customHeight="1">
      <c r="N249" s="770"/>
      <c r="O249" s="770"/>
    </row>
    <row r="250" ht="14.25" customHeight="1">
      <c r="N250" s="770"/>
      <c r="O250" s="770"/>
    </row>
    <row r="251" ht="14.25" customHeight="1">
      <c r="N251" s="770"/>
      <c r="O251" s="770"/>
    </row>
    <row r="252" ht="14.25" customHeight="1">
      <c r="N252" s="770"/>
      <c r="O252" s="770"/>
    </row>
    <row r="253" ht="14.25" customHeight="1">
      <c r="N253" s="770"/>
      <c r="O253" s="770"/>
    </row>
    <row r="254" ht="14.25" customHeight="1">
      <c r="N254" s="770"/>
      <c r="O254" s="770"/>
    </row>
    <row r="255" ht="14.25" customHeight="1">
      <c r="N255" s="770"/>
      <c r="O255" s="770"/>
    </row>
    <row r="256" ht="14.25" customHeight="1">
      <c r="N256" s="770"/>
      <c r="O256" s="770"/>
    </row>
    <row r="257" ht="14.25" customHeight="1">
      <c r="N257" s="770"/>
      <c r="O257" s="770"/>
    </row>
    <row r="258" ht="14.25" customHeight="1">
      <c r="N258" s="770"/>
      <c r="O258" s="770"/>
    </row>
    <row r="259" ht="14.25" customHeight="1">
      <c r="N259" s="770"/>
      <c r="O259" s="770"/>
    </row>
    <row r="260" ht="14.25" customHeight="1">
      <c r="N260" s="770"/>
      <c r="O260" s="770"/>
    </row>
    <row r="261" ht="14.25" customHeight="1">
      <c r="N261" s="770"/>
      <c r="O261" s="770"/>
    </row>
    <row r="262" ht="14.25" customHeight="1">
      <c r="N262" s="770"/>
      <c r="O262" s="770"/>
    </row>
    <row r="263" ht="14.25" customHeight="1">
      <c r="N263" s="770"/>
      <c r="O263" s="770"/>
    </row>
    <row r="264" ht="14.25" customHeight="1">
      <c r="N264" s="770"/>
      <c r="O264" s="770"/>
    </row>
    <row r="265" ht="14.25" customHeight="1">
      <c r="N265" s="770"/>
      <c r="O265" s="770"/>
    </row>
    <row r="266" ht="14.25" customHeight="1">
      <c r="N266" s="770"/>
      <c r="O266" s="770"/>
    </row>
    <row r="267" ht="14.25" customHeight="1">
      <c r="N267" s="770"/>
      <c r="O267" s="770"/>
    </row>
    <row r="268" ht="14.25" customHeight="1">
      <c r="N268" s="770"/>
      <c r="O268" s="770"/>
    </row>
    <row r="269" ht="14.25" customHeight="1">
      <c r="N269" s="770"/>
      <c r="O269" s="770"/>
    </row>
    <row r="270" ht="14.25" customHeight="1">
      <c r="N270" s="770"/>
      <c r="O270" s="770"/>
    </row>
    <row r="271" ht="14.25" customHeight="1">
      <c r="N271" s="770"/>
      <c r="O271" s="770"/>
    </row>
    <row r="272" ht="14.25" customHeight="1">
      <c r="N272" s="770"/>
      <c r="O272" s="770"/>
    </row>
    <row r="273" ht="14.25" customHeight="1">
      <c r="N273" s="770"/>
      <c r="O273" s="770"/>
    </row>
    <row r="274" ht="14.25" customHeight="1">
      <c r="N274" s="770"/>
      <c r="O274" s="770"/>
    </row>
    <row r="275" ht="14.25" customHeight="1">
      <c r="N275" s="770"/>
      <c r="O275" s="770"/>
    </row>
    <row r="276" ht="14.25" customHeight="1">
      <c r="N276" s="770"/>
      <c r="O276" s="770"/>
    </row>
    <row r="277" ht="14.25" customHeight="1">
      <c r="N277" s="770"/>
      <c r="O277" s="770"/>
    </row>
    <row r="278" ht="14.25" customHeight="1">
      <c r="N278" s="770"/>
      <c r="O278" s="770"/>
    </row>
    <row r="279" ht="14.25" customHeight="1">
      <c r="N279" s="770"/>
      <c r="O279" s="770"/>
    </row>
    <row r="280" ht="14.25" customHeight="1">
      <c r="N280" s="770"/>
      <c r="O280" s="770"/>
    </row>
    <row r="281" ht="14.25" customHeight="1">
      <c r="N281" s="770"/>
      <c r="O281" s="770"/>
    </row>
    <row r="282" ht="14.25" customHeight="1">
      <c r="N282" s="770"/>
      <c r="O282" s="770"/>
    </row>
    <row r="283" ht="14.25" customHeight="1">
      <c r="N283" s="770"/>
      <c r="O283" s="770"/>
    </row>
    <row r="284" ht="14.25" customHeight="1">
      <c r="N284" s="770"/>
      <c r="O284" s="770"/>
    </row>
    <row r="285" ht="14.25" customHeight="1">
      <c r="N285" s="770"/>
      <c r="O285" s="770"/>
    </row>
    <row r="286" ht="14.25" customHeight="1">
      <c r="N286" s="770"/>
      <c r="O286" s="770"/>
    </row>
    <row r="287" ht="14.25" customHeight="1">
      <c r="N287" s="770"/>
      <c r="O287" s="770"/>
    </row>
    <row r="288" ht="14.25" customHeight="1">
      <c r="N288" s="770"/>
      <c r="O288" s="770"/>
    </row>
    <row r="289" ht="14.25" customHeight="1">
      <c r="N289" s="770"/>
      <c r="O289" s="770"/>
    </row>
    <row r="290" ht="14.25" customHeight="1">
      <c r="N290" s="770"/>
      <c r="O290" s="770"/>
    </row>
    <row r="291" ht="14.25" customHeight="1">
      <c r="N291" s="770"/>
      <c r="O291" s="770"/>
    </row>
    <row r="292" ht="14.25" customHeight="1">
      <c r="N292" s="770"/>
      <c r="O292" s="770"/>
    </row>
    <row r="293" ht="14.25" customHeight="1">
      <c r="N293" s="770"/>
      <c r="O293" s="770"/>
    </row>
    <row r="294" ht="14.25" customHeight="1">
      <c r="N294" s="770"/>
      <c r="O294" s="770"/>
    </row>
    <row r="295" ht="14.25" customHeight="1">
      <c r="N295" s="770"/>
      <c r="O295" s="770"/>
    </row>
    <row r="296" ht="14.25" customHeight="1">
      <c r="N296" s="770"/>
      <c r="O296" s="770"/>
    </row>
    <row r="297" ht="14.25" customHeight="1">
      <c r="N297" s="770"/>
      <c r="O297" s="770"/>
    </row>
    <row r="298" ht="14.25" customHeight="1">
      <c r="N298" s="770"/>
      <c r="O298" s="770"/>
    </row>
    <row r="299" ht="14.25" customHeight="1">
      <c r="N299" s="770"/>
      <c r="O299" s="770"/>
    </row>
    <row r="300" ht="14.25" customHeight="1">
      <c r="N300" s="770"/>
      <c r="O300" s="770"/>
    </row>
    <row r="301" ht="14.25" customHeight="1">
      <c r="N301" s="770"/>
      <c r="O301" s="770"/>
    </row>
    <row r="302" ht="14.25" customHeight="1">
      <c r="N302" s="770"/>
      <c r="O302" s="770"/>
    </row>
    <row r="303" ht="14.25" customHeight="1">
      <c r="N303" s="770"/>
      <c r="O303" s="770"/>
    </row>
    <row r="304" ht="14.25" customHeight="1">
      <c r="N304" s="770"/>
      <c r="O304" s="770"/>
    </row>
    <row r="305" ht="14.25" customHeight="1">
      <c r="N305" s="770"/>
      <c r="O305" s="770"/>
    </row>
    <row r="306" ht="14.25" customHeight="1">
      <c r="N306" s="770"/>
      <c r="O306" s="770"/>
    </row>
    <row r="307" ht="14.25" customHeight="1">
      <c r="N307" s="770"/>
      <c r="O307" s="770"/>
    </row>
    <row r="308" ht="14.25" customHeight="1">
      <c r="N308" s="770"/>
      <c r="O308" s="770"/>
    </row>
    <row r="309" ht="14.25" customHeight="1">
      <c r="N309" s="770"/>
      <c r="O309" s="770"/>
    </row>
    <row r="310" ht="14.25" customHeight="1">
      <c r="N310" s="770"/>
      <c r="O310" s="770"/>
    </row>
    <row r="311" ht="14.25" customHeight="1">
      <c r="N311" s="770"/>
      <c r="O311" s="770"/>
    </row>
    <row r="312" ht="14.25" customHeight="1">
      <c r="N312" s="770"/>
      <c r="O312" s="770"/>
    </row>
    <row r="313" ht="14.25" customHeight="1">
      <c r="N313" s="770"/>
      <c r="O313" s="770"/>
    </row>
    <row r="314" ht="14.25" customHeight="1">
      <c r="N314" s="770"/>
      <c r="O314" s="770"/>
    </row>
    <row r="315" ht="14.25" customHeight="1">
      <c r="N315" s="770"/>
      <c r="O315" s="770"/>
    </row>
    <row r="316" ht="14.25" customHeight="1">
      <c r="N316" s="770"/>
      <c r="O316" s="770"/>
    </row>
    <row r="317" ht="14.25" customHeight="1">
      <c r="N317" s="770"/>
      <c r="O317" s="770"/>
    </row>
    <row r="318" ht="14.25" customHeight="1">
      <c r="N318" s="770"/>
      <c r="O318" s="770"/>
    </row>
    <row r="319" ht="14.25" customHeight="1">
      <c r="N319" s="770"/>
      <c r="O319" s="770"/>
    </row>
    <row r="320" ht="14.25" customHeight="1">
      <c r="N320" s="770"/>
      <c r="O320" s="770"/>
    </row>
    <row r="321" ht="14.25" customHeight="1">
      <c r="N321" s="770"/>
      <c r="O321" s="770"/>
    </row>
    <row r="322" ht="14.25" customHeight="1">
      <c r="N322" s="770"/>
      <c r="O322" s="770"/>
    </row>
    <row r="323" ht="14.25" customHeight="1">
      <c r="N323" s="770"/>
      <c r="O323" s="770"/>
    </row>
    <row r="324" ht="14.25" customHeight="1">
      <c r="N324" s="770"/>
      <c r="O324" s="770"/>
    </row>
    <row r="325" ht="14.25" customHeight="1">
      <c r="N325" s="770"/>
      <c r="O325" s="770"/>
    </row>
    <row r="326" ht="14.25" customHeight="1">
      <c r="N326" s="770"/>
      <c r="O326" s="770"/>
    </row>
    <row r="327" ht="14.25" customHeight="1">
      <c r="N327" s="770"/>
      <c r="O327" s="770"/>
    </row>
    <row r="328" ht="14.25" customHeight="1">
      <c r="N328" s="770"/>
      <c r="O328" s="770"/>
    </row>
    <row r="329" ht="14.25" customHeight="1">
      <c r="N329" s="770"/>
      <c r="O329" s="770"/>
    </row>
    <row r="330" ht="14.25" customHeight="1">
      <c r="N330" s="770"/>
      <c r="O330" s="770"/>
    </row>
    <row r="331" ht="14.25" customHeight="1">
      <c r="N331" s="770"/>
      <c r="O331" s="770"/>
    </row>
    <row r="332" ht="14.25" customHeight="1">
      <c r="N332" s="770"/>
      <c r="O332" s="770"/>
    </row>
    <row r="333" ht="14.25" customHeight="1">
      <c r="N333" s="770"/>
      <c r="O333" s="770"/>
    </row>
    <row r="334" ht="14.25" customHeight="1">
      <c r="N334" s="770"/>
      <c r="O334" s="770"/>
    </row>
    <row r="335" ht="14.25" customHeight="1">
      <c r="N335" s="770"/>
      <c r="O335" s="770"/>
    </row>
    <row r="336" ht="14.25" customHeight="1">
      <c r="N336" s="770"/>
      <c r="O336" s="770"/>
    </row>
    <row r="337" ht="14.25" customHeight="1">
      <c r="N337" s="770"/>
      <c r="O337" s="770"/>
    </row>
    <row r="338" ht="14.25" customHeight="1">
      <c r="N338" s="770"/>
      <c r="O338" s="770"/>
    </row>
    <row r="339" ht="14.25" customHeight="1">
      <c r="N339" s="770"/>
      <c r="O339" s="770"/>
    </row>
    <row r="340" ht="14.25" customHeight="1">
      <c r="N340" s="770"/>
      <c r="O340" s="770"/>
    </row>
    <row r="341" ht="14.25" customHeight="1">
      <c r="N341" s="770"/>
      <c r="O341" s="770"/>
    </row>
    <row r="342" ht="14.25" customHeight="1">
      <c r="N342" s="770"/>
      <c r="O342" s="770"/>
    </row>
    <row r="343" ht="14.25" customHeight="1">
      <c r="N343" s="770"/>
      <c r="O343" s="770"/>
    </row>
    <row r="344" ht="14.25" customHeight="1">
      <c r="N344" s="770"/>
      <c r="O344" s="770"/>
    </row>
    <row r="345" ht="14.25" customHeight="1">
      <c r="N345" s="770"/>
      <c r="O345" s="770"/>
    </row>
    <row r="346" ht="14.25" customHeight="1">
      <c r="N346" s="770"/>
      <c r="O346" s="770"/>
    </row>
    <row r="347" ht="14.25" customHeight="1">
      <c r="N347" s="770"/>
      <c r="O347" s="770"/>
    </row>
    <row r="348" ht="14.25" customHeight="1">
      <c r="N348" s="770"/>
      <c r="O348" s="770"/>
    </row>
    <row r="349" ht="14.25" customHeight="1">
      <c r="N349" s="770"/>
      <c r="O349" s="770"/>
    </row>
    <row r="350" ht="14.25" customHeight="1">
      <c r="N350" s="770"/>
      <c r="O350" s="770"/>
    </row>
    <row r="351" ht="14.25" customHeight="1">
      <c r="N351" s="770"/>
      <c r="O351" s="770"/>
    </row>
    <row r="352" ht="14.25" customHeight="1">
      <c r="N352" s="770"/>
      <c r="O352" s="770"/>
    </row>
    <row r="353" ht="14.25" customHeight="1">
      <c r="N353" s="770"/>
      <c r="O353" s="770"/>
    </row>
    <row r="354" ht="14.25" customHeight="1">
      <c r="N354" s="770"/>
      <c r="O354" s="770"/>
    </row>
    <row r="355" ht="14.25" customHeight="1">
      <c r="N355" s="770"/>
      <c r="O355" s="770"/>
    </row>
    <row r="356" ht="14.25" customHeight="1">
      <c r="N356" s="770"/>
      <c r="O356" s="770"/>
    </row>
    <row r="357" ht="14.25" customHeight="1">
      <c r="N357" s="770"/>
      <c r="O357" s="770"/>
    </row>
    <row r="358" ht="14.25" customHeight="1">
      <c r="N358" s="770"/>
      <c r="O358" s="770"/>
    </row>
    <row r="359" ht="14.25" customHeight="1">
      <c r="N359" s="770"/>
      <c r="O359" s="770"/>
    </row>
    <row r="360" ht="14.25" customHeight="1">
      <c r="N360" s="770"/>
      <c r="O360" s="770"/>
    </row>
    <row r="361" ht="14.25" customHeight="1">
      <c r="N361" s="770"/>
      <c r="O361" s="770"/>
    </row>
    <row r="362" ht="14.25" customHeight="1">
      <c r="N362" s="770"/>
      <c r="O362" s="770"/>
    </row>
    <row r="363" ht="14.25" customHeight="1">
      <c r="N363" s="770"/>
      <c r="O363" s="770"/>
    </row>
    <row r="364" ht="14.25" customHeight="1">
      <c r="N364" s="770"/>
      <c r="O364" s="770"/>
    </row>
    <row r="365" ht="14.25" customHeight="1">
      <c r="N365" s="770"/>
      <c r="O365" s="770"/>
    </row>
    <row r="366" ht="14.25" customHeight="1">
      <c r="N366" s="770"/>
      <c r="O366" s="770"/>
    </row>
    <row r="367" ht="14.25" customHeight="1">
      <c r="N367" s="770"/>
      <c r="O367" s="770"/>
    </row>
    <row r="368" ht="14.25" customHeight="1">
      <c r="N368" s="770"/>
      <c r="O368" s="770"/>
    </row>
    <row r="369" ht="14.25" customHeight="1">
      <c r="N369" s="770"/>
      <c r="O369" s="770"/>
    </row>
    <row r="370" ht="14.25" customHeight="1">
      <c r="N370" s="770"/>
      <c r="O370" s="770"/>
    </row>
    <row r="371" ht="14.25" customHeight="1">
      <c r="N371" s="770"/>
      <c r="O371" s="770"/>
    </row>
    <row r="372" ht="14.25" customHeight="1">
      <c r="N372" s="770"/>
      <c r="O372" s="770"/>
    </row>
    <row r="373" ht="14.25" customHeight="1">
      <c r="N373" s="770"/>
      <c r="O373" s="770"/>
    </row>
    <row r="374" ht="14.25" customHeight="1">
      <c r="N374" s="770"/>
      <c r="O374" s="770"/>
    </row>
    <row r="375" ht="14.25" customHeight="1">
      <c r="N375" s="770"/>
      <c r="O375" s="770"/>
    </row>
    <row r="376" ht="14.25" customHeight="1">
      <c r="N376" s="770"/>
      <c r="O376" s="770"/>
    </row>
    <row r="377" ht="14.25" customHeight="1">
      <c r="N377" s="770"/>
      <c r="O377" s="770"/>
    </row>
    <row r="378" ht="14.25" customHeight="1">
      <c r="N378" s="770"/>
      <c r="O378" s="770"/>
    </row>
    <row r="379" ht="14.25" customHeight="1">
      <c r="N379" s="770"/>
      <c r="O379" s="770"/>
    </row>
    <row r="380" ht="14.25" customHeight="1">
      <c r="N380" s="770"/>
      <c r="O380" s="770"/>
    </row>
    <row r="381" ht="14.25" customHeight="1">
      <c r="N381" s="770"/>
      <c r="O381" s="770"/>
    </row>
    <row r="382" ht="14.25" customHeight="1">
      <c r="N382" s="770"/>
      <c r="O382" s="770"/>
    </row>
    <row r="383" ht="14.25" customHeight="1">
      <c r="N383" s="770"/>
      <c r="O383" s="770"/>
    </row>
    <row r="384" ht="14.25" customHeight="1">
      <c r="N384" s="770"/>
      <c r="O384" s="770"/>
    </row>
    <row r="385" ht="14.25" customHeight="1">
      <c r="N385" s="770"/>
      <c r="O385" s="770"/>
    </row>
    <row r="386" ht="14.25" customHeight="1">
      <c r="N386" s="770"/>
      <c r="O386" s="770"/>
    </row>
    <row r="387" ht="14.25" customHeight="1">
      <c r="N387" s="770"/>
      <c r="O387" s="770"/>
    </row>
    <row r="388" ht="14.25" customHeight="1">
      <c r="N388" s="770"/>
      <c r="O388" s="770"/>
    </row>
    <row r="389" ht="14.25" customHeight="1">
      <c r="N389" s="770"/>
      <c r="O389" s="770"/>
    </row>
    <row r="390" ht="14.25" customHeight="1">
      <c r="N390" s="770"/>
      <c r="O390" s="770"/>
    </row>
    <row r="391" ht="14.25" customHeight="1">
      <c r="N391" s="770"/>
      <c r="O391" s="770"/>
    </row>
    <row r="392" ht="14.25" customHeight="1">
      <c r="N392" s="770"/>
      <c r="O392" s="770"/>
    </row>
    <row r="393" ht="14.25" customHeight="1">
      <c r="N393" s="770"/>
      <c r="O393" s="770"/>
    </row>
    <row r="394" ht="14.25" customHeight="1">
      <c r="N394" s="770"/>
      <c r="O394" s="770"/>
    </row>
    <row r="395" ht="14.25" customHeight="1">
      <c r="N395" s="770"/>
      <c r="O395" s="770"/>
    </row>
    <row r="396" ht="14.25" customHeight="1">
      <c r="N396" s="770"/>
      <c r="O396" s="770"/>
    </row>
    <row r="397" ht="14.25" customHeight="1">
      <c r="N397" s="770"/>
      <c r="O397" s="770"/>
    </row>
    <row r="398" ht="14.25" customHeight="1">
      <c r="N398" s="770"/>
      <c r="O398" s="770"/>
    </row>
    <row r="399" ht="14.25" customHeight="1">
      <c r="N399" s="770"/>
      <c r="O399" s="770"/>
    </row>
    <row r="400" ht="14.25" customHeight="1">
      <c r="N400" s="770"/>
      <c r="O400" s="770"/>
    </row>
    <row r="401" ht="14.25" customHeight="1">
      <c r="N401" s="770"/>
      <c r="O401" s="770"/>
    </row>
    <row r="402" ht="14.25" customHeight="1">
      <c r="N402" s="770"/>
      <c r="O402" s="770"/>
    </row>
    <row r="403" ht="14.25" customHeight="1">
      <c r="N403" s="770"/>
      <c r="O403" s="770"/>
    </row>
    <row r="404" ht="14.25" customHeight="1">
      <c r="N404" s="770"/>
      <c r="O404" s="770"/>
    </row>
    <row r="405" ht="14.25" customHeight="1">
      <c r="N405" s="770"/>
      <c r="O405" s="770"/>
    </row>
    <row r="406" ht="14.25" customHeight="1">
      <c r="N406" s="770"/>
      <c r="O406" s="770"/>
    </row>
    <row r="407" ht="14.25" customHeight="1">
      <c r="N407" s="770"/>
      <c r="O407" s="770"/>
    </row>
    <row r="408" ht="14.25" customHeight="1">
      <c r="N408" s="770"/>
      <c r="O408" s="770"/>
    </row>
    <row r="409" ht="14.25" customHeight="1">
      <c r="N409" s="770"/>
      <c r="O409" s="770"/>
    </row>
    <row r="410" ht="14.25" customHeight="1">
      <c r="N410" s="770"/>
      <c r="O410" s="770"/>
    </row>
    <row r="411" ht="14.25" customHeight="1">
      <c r="N411" s="770"/>
      <c r="O411" s="770"/>
    </row>
    <row r="412" ht="14.25" customHeight="1">
      <c r="N412" s="770"/>
      <c r="O412" s="770"/>
    </row>
    <row r="413" ht="14.25" customHeight="1">
      <c r="N413" s="770"/>
      <c r="O413" s="770"/>
    </row>
    <row r="414" ht="14.25" customHeight="1">
      <c r="N414" s="770"/>
      <c r="O414" s="770"/>
    </row>
    <row r="415" ht="14.25" customHeight="1">
      <c r="N415" s="770"/>
      <c r="O415" s="770"/>
    </row>
    <row r="416" ht="14.25" customHeight="1">
      <c r="N416" s="770"/>
      <c r="O416" s="770"/>
    </row>
    <row r="417" ht="14.25" customHeight="1">
      <c r="N417" s="770"/>
      <c r="O417" s="770"/>
    </row>
    <row r="418" ht="14.25" customHeight="1">
      <c r="N418" s="770"/>
      <c r="O418" s="770"/>
    </row>
    <row r="419" ht="14.25" customHeight="1">
      <c r="N419" s="770"/>
      <c r="O419" s="770"/>
    </row>
    <row r="420" ht="14.25" customHeight="1">
      <c r="N420" s="770"/>
      <c r="O420" s="770"/>
    </row>
    <row r="421" ht="14.25" customHeight="1">
      <c r="N421" s="770"/>
      <c r="O421" s="770"/>
    </row>
    <row r="422" ht="14.25" customHeight="1">
      <c r="N422" s="770"/>
      <c r="O422" s="770"/>
    </row>
    <row r="423" ht="14.25" customHeight="1">
      <c r="N423" s="770"/>
      <c r="O423" s="770"/>
    </row>
    <row r="424" ht="14.25" customHeight="1">
      <c r="N424" s="770"/>
      <c r="O424" s="770"/>
    </row>
    <row r="425" ht="14.25" customHeight="1">
      <c r="N425" s="770"/>
      <c r="O425" s="770"/>
    </row>
    <row r="426" ht="14.25" customHeight="1">
      <c r="N426" s="770"/>
      <c r="O426" s="770"/>
    </row>
    <row r="427" ht="14.25" customHeight="1">
      <c r="N427" s="770"/>
      <c r="O427" s="770"/>
    </row>
    <row r="428" ht="14.25" customHeight="1">
      <c r="N428" s="770"/>
      <c r="O428" s="770"/>
    </row>
    <row r="429" ht="14.25" customHeight="1">
      <c r="N429" s="770"/>
      <c r="O429" s="770"/>
    </row>
    <row r="430" ht="14.25" customHeight="1">
      <c r="N430" s="770"/>
      <c r="O430" s="770"/>
    </row>
    <row r="431" ht="14.25" customHeight="1">
      <c r="N431" s="770"/>
      <c r="O431" s="770"/>
    </row>
    <row r="432" ht="14.25" customHeight="1">
      <c r="N432" s="770"/>
      <c r="O432" s="770"/>
    </row>
    <row r="433" ht="14.25" customHeight="1">
      <c r="N433" s="770"/>
      <c r="O433" s="770"/>
    </row>
    <row r="434" ht="14.25" customHeight="1">
      <c r="N434" s="770"/>
      <c r="O434" s="770"/>
    </row>
    <row r="435" ht="14.25" customHeight="1">
      <c r="N435" s="770"/>
      <c r="O435" s="770"/>
    </row>
    <row r="436" ht="14.25" customHeight="1">
      <c r="N436" s="770"/>
      <c r="O436" s="770"/>
    </row>
    <row r="437" ht="14.25" customHeight="1">
      <c r="N437" s="770"/>
      <c r="O437" s="770"/>
    </row>
    <row r="438" ht="14.25" customHeight="1">
      <c r="N438" s="770"/>
      <c r="O438" s="770"/>
    </row>
    <row r="439" ht="14.25" customHeight="1">
      <c r="N439" s="770"/>
      <c r="O439" s="770"/>
    </row>
    <row r="440" ht="14.25" customHeight="1">
      <c r="N440" s="770"/>
      <c r="O440" s="770"/>
    </row>
    <row r="441" ht="14.25" customHeight="1">
      <c r="N441" s="770"/>
      <c r="O441" s="770"/>
    </row>
    <row r="442" ht="14.25" customHeight="1">
      <c r="N442" s="770"/>
      <c r="O442" s="770"/>
    </row>
    <row r="443" ht="14.25" customHeight="1">
      <c r="N443" s="770"/>
      <c r="O443" s="770"/>
    </row>
    <row r="444" ht="14.25" customHeight="1">
      <c r="N444" s="770"/>
      <c r="O444" s="770"/>
    </row>
    <row r="445" ht="14.25" customHeight="1">
      <c r="N445" s="770"/>
      <c r="O445" s="770"/>
    </row>
    <row r="446" ht="14.25" customHeight="1">
      <c r="N446" s="770"/>
      <c r="O446" s="770"/>
    </row>
    <row r="447" ht="14.25" customHeight="1">
      <c r="N447" s="770"/>
      <c r="O447" s="770"/>
    </row>
    <row r="448" ht="14.25" customHeight="1">
      <c r="N448" s="770"/>
      <c r="O448" s="770"/>
    </row>
    <row r="449" ht="14.25" customHeight="1">
      <c r="N449" s="770"/>
      <c r="O449" s="770"/>
    </row>
    <row r="450" ht="14.25" customHeight="1">
      <c r="N450" s="770"/>
      <c r="O450" s="770"/>
    </row>
    <row r="451" ht="14.25" customHeight="1">
      <c r="N451" s="770"/>
      <c r="O451" s="770"/>
    </row>
    <row r="452" ht="14.25" customHeight="1">
      <c r="N452" s="770"/>
      <c r="O452" s="770"/>
    </row>
    <row r="453" ht="14.25" customHeight="1">
      <c r="N453" s="770"/>
      <c r="O453" s="770"/>
    </row>
    <row r="454" ht="14.25" customHeight="1">
      <c r="N454" s="770"/>
      <c r="O454" s="770"/>
    </row>
    <row r="455" ht="14.25" customHeight="1">
      <c r="N455" s="770"/>
      <c r="O455" s="770"/>
    </row>
    <row r="456" ht="14.25" customHeight="1">
      <c r="N456" s="770"/>
      <c r="O456" s="770"/>
    </row>
    <row r="457" ht="14.25" customHeight="1">
      <c r="N457" s="770"/>
      <c r="O457" s="770"/>
    </row>
    <row r="458" ht="14.25" customHeight="1">
      <c r="N458" s="770"/>
      <c r="O458" s="770"/>
    </row>
    <row r="459" ht="14.25" customHeight="1">
      <c r="N459" s="770"/>
      <c r="O459" s="770"/>
    </row>
    <row r="460" ht="14.25" customHeight="1">
      <c r="N460" s="770"/>
      <c r="O460" s="770"/>
    </row>
    <row r="461" ht="14.25" customHeight="1">
      <c r="N461" s="770"/>
      <c r="O461" s="770"/>
    </row>
    <row r="462" ht="14.25" customHeight="1">
      <c r="N462" s="770"/>
      <c r="O462" s="770"/>
    </row>
    <row r="463" ht="14.25" customHeight="1">
      <c r="N463" s="770"/>
      <c r="O463" s="770"/>
    </row>
    <row r="464" ht="14.25" customHeight="1">
      <c r="N464" s="770"/>
      <c r="O464" s="770"/>
    </row>
    <row r="465" ht="14.25" customHeight="1">
      <c r="N465" s="770"/>
      <c r="O465" s="770"/>
    </row>
    <row r="466" ht="14.25" customHeight="1">
      <c r="N466" s="770"/>
      <c r="O466" s="770"/>
    </row>
    <row r="467" ht="14.25" customHeight="1">
      <c r="N467" s="770"/>
      <c r="O467" s="770"/>
    </row>
    <row r="468" ht="14.25" customHeight="1">
      <c r="N468" s="770"/>
      <c r="O468" s="770"/>
    </row>
    <row r="469" ht="14.25" customHeight="1">
      <c r="N469" s="770"/>
      <c r="O469" s="770"/>
    </row>
    <row r="470" ht="14.25" customHeight="1">
      <c r="N470" s="770"/>
      <c r="O470" s="770"/>
    </row>
    <row r="471" ht="14.25" customHeight="1">
      <c r="N471" s="770"/>
      <c r="O471" s="770"/>
    </row>
    <row r="472" ht="14.25" customHeight="1">
      <c r="N472" s="770"/>
      <c r="O472" s="770"/>
    </row>
    <row r="473" ht="14.25" customHeight="1">
      <c r="N473" s="770"/>
      <c r="O473" s="770"/>
    </row>
    <row r="474" ht="14.25" customHeight="1">
      <c r="N474" s="770"/>
      <c r="O474" s="770"/>
    </row>
    <row r="475" ht="14.25" customHeight="1">
      <c r="N475" s="770"/>
      <c r="O475" s="770"/>
    </row>
    <row r="476" ht="14.25" customHeight="1">
      <c r="N476" s="770"/>
      <c r="O476" s="770"/>
    </row>
    <row r="477" ht="14.25" customHeight="1">
      <c r="N477" s="770"/>
      <c r="O477" s="770"/>
    </row>
    <row r="478" ht="14.25" customHeight="1">
      <c r="N478" s="770"/>
      <c r="O478" s="770"/>
    </row>
    <row r="479" ht="14.25" customHeight="1">
      <c r="N479" s="770"/>
      <c r="O479" s="770"/>
    </row>
    <row r="480" ht="14.25" customHeight="1">
      <c r="N480" s="770"/>
      <c r="O480" s="770"/>
    </row>
    <row r="481" ht="14.25" customHeight="1">
      <c r="N481" s="770"/>
      <c r="O481" s="770"/>
    </row>
    <row r="482" ht="14.25" customHeight="1">
      <c r="N482" s="770"/>
      <c r="O482" s="770"/>
    </row>
    <row r="483" ht="14.25" customHeight="1">
      <c r="N483" s="770"/>
      <c r="O483" s="770"/>
    </row>
    <row r="484" ht="14.25" customHeight="1">
      <c r="N484" s="770"/>
      <c r="O484" s="770"/>
    </row>
    <row r="485" ht="14.25" customHeight="1">
      <c r="N485" s="770"/>
      <c r="O485" s="770"/>
    </row>
    <row r="486" ht="14.25" customHeight="1">
      <c r="N486" s="770"/>
      <c r="O486" s="770"/>
    </row>
    <row r="487" ht="14.25" customHeight="1">
      <c r="N487" s="770"/>
      <c r="O487" s="770"/>
    </row>
    <row r="488" ht="14.25" customHeight="1">
      <c r="N488" s="770"/>
      <c r="O488" s="770"/>
    </row>
    <row r="489" ht="14.25" customHeight="1">
      <c r="N489" s="770"/>
      <c r="O489" s="770"/>
    </row>
    <row r="490" ht="14.25" customHeight="1">
      <c r="N490" s="770"/>
      <c r="O490" s="770"/>
    </row>
    <row r="491" ht="14.25" customHeight="1">
      <c r="N491" s="770"/>
      <c r="O491" s="770"/>
    </row>
    <row r="492" ht="14.25" customHeight="1">
      <c r="N492" s="770"/>
      <c r="O492" s="770"/>
    </row>
    <row r="493" ht="14.25" customHeight="1">
      <c r="N493" s="770"/>
      <c r="O493" s="770"/>
    </row>
    <row r="494" ht="14.25" customHeight="1">
      <c r="N494" s="770"/>
      <c r="O494" s="770"/>
    </row>
    <row r="495" ht="14.25" customHeight="1">
      <c r="N495" s="770"/>
      <c r="O495" s="770"/>
    </row>
    <row r="496" ht="14.25" customHeight="1">
      <c r="N496" s="770"/>
      <c r="O496" s="770"/>
    </row>
    <row r="497" ht="14.25" customHeight="1">
      <c r="N497" s="770"/>
      <c r="O497" s="770"/>
    </row>
    <row r="498" ht="14.25" customHeight="1">
      <c r="N498" s="770"/>
      <c r="O498" s="770"/>
    </row>
    <row r="499" ht="14.25" customHeight="1">
      <c r="N499" s="770"/>
      <c r="O499" s="770"/>
    </row>
    <row r="500" ht="14.25" customHeight="1">
      <c r="N500" s="770"/>
      <c r="O500" s="770"/>
    </row>
    <row r="501" ht="14.25" customHeight="1">
      <c r="N501" s="770"/>
      <c r="O501" s="770"/>
    </row>
    <row r="502" ht="14.25" customHeight="1">
      <c r="N502" s="770"/>
      <c r="O502" s="770"/>
    </row>
    <row r="503" ht="14.25" customHeight="1">
      <c r="N503" s="770"/>
      <c r="O503" s="770"/>
    </row>
    <row r="504" ht="14.25" customHeight="1">
      <c r="N504" s="770"/>
      <c r="O504" s="770"/>
    </row>
    <row r="505" ht="14.25" customHeight="1">
      <c r="N505" s="770"/>
      <c r="O505" s="770"/>
    </row>
    <row r="506" ht="14.25" customHeight="1">
      <c r="N506" s="770"/>
      <c r="O506" s="770"/>
    </row>
    <row r="507" ht="14.25" customHeight="1">
      <c r="N507" s="770"/>
      <c r="O507" s="770"/>
    </row>
    <row r="508" ht="14.25" customHeight="1">
      <c r="N508" s="770"/>
      <c r="O508" s="770"/>
    </row>
    <row r="509" ht="14.25" customHeight="1">
      <c r="N509" s="770"/>
      <c r="O509" s="770"/>
    </row>
    <row r="510" ht="14.25" customHeight="1">
      <c r="N510" s="770"/>
      <c r="O510" s="770"/>
    </row>
    <row r="511" ht="14.25" customHeight="1">
      <c r="N511" s="770"/>
      <c r="O511" s="770"/>
    </row>
    <row r="512" ht="14.25" customHeight="1">
      <c r="N512" s="770"/>
      <c r="O512" s="770"/>
    </row>
    <row r="513" ht="14.25" customHeight="1">
      <c r="N513" s="770"/>
      <c r="O513" s="770"/>
    </row>
    <row r="514" ht="14.25" customHeight="1">
      <c r="N514" s="770"/>
      <c r="O514" s="770"/>
    </row>
    <row r="515" ht="14.25" customHeight="1">
      <c r="N515" s="770"/>
      <c r="O515" s="770"/>
    </row>
    <row r="516" ht="14.25" customHeight="1">
      <c r="N516" s="770"/>
      <c r="O516" s="770"/>
    </row>
    <row r="517" ht="14.25" customHeight="1">
      <c r="N517" s="770"/>
      <c r="O517" s="770"/>
    </row>
    <row r="518" ht="14.25" customHeight="1">
      <c r="N518" s="770"/>
      <c r="O518" s="770"/>
    </row>
    <row r="519" ht="14.25" customHeight="1">
      <c r="N519" s="770"/>
      <c r="O519" s="770"/>
    </row>
    <row r="520" ht="14.25" customHeight="1">
      <c r="N520" s="770"/>
      <c r="O520" s="770"/>
    </row>
    <row r="521" ht="14.25" customHeight="1">
      <c r="N521" s="770"/>
      <c r="O521" s="770"/>
    </row>
    <row r="522" ht="14.25" customHeight="1">
      <c r="N522" s="770"/>
      <c r="O522" s="770"/>
    </row>
    <row r="523" ht="14.25" customHeight="1">
      <c r="N523" s="770"/>
      <c r="O523" s="770"/>
    </row>
    <row r="524" ht="14.25" customHeight="1">
      <c r="N524" s="770"/>
      <c r="O524" s="770"/>
    </row>
    <row r="525" ht="14.25" customHeight="1">
      <c r="N525" s="770"/>
      <c r="O525" s="770"/>
    </row>
    <row r="526" ht="14.25" customHeight="1">
      <c r="N526" s="770"/>
      <c r="O526" s="770"/>
    </row>
    <row r="527" ht="14.25" customHeight="1">
      <c r="N527" s="770"/>
      <c r="O527" s="770"/>
    </row>
    <row r="528" ht="14.25" customHeight="1">
      <c r="N528" s="770"/>
      <c r="O528" s="770"/>
    </row>
    <row r="529" ht="14.25" customHeight="1">
      <c r="N529" s="770"/>
      <c r="O529" s="770"/>
    </row>
    <row r="530" ht="14.25" customHeight="1">
      <c r="N530" s="770"/>
      <c r="O530" s="770"/>
    </row>
    <row r="531" ht="14.25" customHeight="1">
      <c r="N531" s="770"/>
      <c r="O531" s="770"/>
    </row>
    <row r="532" ht="14.25" customHeight="1">
      <c r="N532" s="770"/>
      <c r="O532" s="770"/>
    </row>
    <row r="533" ht="14.25" customHeight="1">
      <c r="N533" s="770"/>
      <c r="O533" s="770"/>
    </row>
    <row r="534" ht="14.25" customHeight="1">
      <c r="N534" s="770"/>
      <c r="O534" s="770"/>
    </row>
    <row r="535" ht="14.25" customHeight="1">
      <c r="N535" s="770"/>
      <c r="O535" s="770"/>
    </row>
    <row r="536" ht="14.25" customHeight="1">
      <c r="N536" s="770"/>
      <c r="O536" s="770"/>
    </row>
    <row r="537" ht="14.25" customHeight="1">
      <c r="N537" s="770"/>
      <c r="O537" s="770"/>
    </row>
    <row r="538" ht="14.25" customHeight="1">
      <c r="N538" s="770"/>
      <c r="O538" s="770"/>
    </row>
    <row r="539" ht="14.25" customHeight="1">
      <c r="N539" s="770"/>
      <c r="O539" s="770"/>
    </row>
    <row r="540" ht="14.25" customHeight="1">
      <c r="N540" s="770"/>
      <c r="O540" s="770"/>
    </row>
    <row r="541" ht="14.25" customHeight="1">
      <c r="N541" s="770"/>
      <c r="O541" s="770"/>
    </row>
    <row r="542" ht="14.25" customHeight="1">
      <c r="N542" s="770"/>
      <c r="O542" s="770"/>
    </row>
    <row r="543" ht="14.25" customHeight="1">
      <c r="N543" s="770"/>
      <c r="O543" s="770"/>
    </row>
    <row r="544" ht="14.25" customHeight="1">
      <c r="N544" s="770"/>
      <c r="O544" s="770"/>
    </row>
    <row r="545" ht="14.25" customHeight="1">
      <c r="N545" s="770"/>
      <c r="O545" s="770"/>
    </row>
    <row r="546" ht="14.25" customHeight="1">
      <c r="N546" s="770"/>
      <c r="O546" s="770"/>
    </row>
    <row r="547" ht="14.25" customHeight="1">
      <c r="N547" s="770"/>
      <c r="O547" s="770"/>
    </row>
    <row r="548" ht="14.25" customHeight="1">
      <c r="N548" s="770"/>
      <c r="O548" s="770"/>
    </row>
    <row r="549" ht="14.25" customHeight="1">
      <c r="N549" s="770"/>
      <c r="O549" s="770"/>
    </row>
    <row r="550" ht="14.25" customHeight="1">
      <c r="N550" s="770"/>
      <c r="O550" s="770"/>
    </row>
    <row r="551" ht="14.25" customHeight="1">
      <c r="N551" s="770"/>
      <c r="O551" s="770"/>
    </row>
    <row r="552" ht="14.25" customHeight="1">
      <c r="N552" s="770"/>
      <c r="O552" s="770"/>
    </row>
    <row r="553" ht="14.25" customHeight="1">
      <c r="N553" s="770"/>
      <c r="O553" s="770"/>
    </row>
    <row r="554" ht="14.25" customHeight="1">
      <c r="N554" s="770"/>
      <c r="O554" s="770"/>
    </row>
    <row r="555" ht="14.25" customHeight="1">
      <c r="N555" s="770"/>
      <c r="O555" s="770"/>
    </row>
    <row r="556" ht="14.25" customHeight="1">
      <c r="N556" s="770"/>
      <c r="O556" s="770"/>
    </row>
    <row r="557" ht="14.25" customHeight="1">
      <c r="N557" s="770"/>
      <c r="O557" s="770"/>
    </row>
    <row r="558" ht="14.25" customHeight="1">
      <c r="N558" s="770"/>
      <c r="O558" s="770"/>
    </row>
    <row r="559" ht="14.25" customHeight="1">
      <c r="N559" s="770"/>
      <c r="O559" s="770"/>
    </row>
    <row r="560" ht="14.25" customHeight="1">
      <c r="N560" s="770"/>
      <c r="O560" s="770"/>
    </row>
    <row r="561" ht="14.25" customHeight="1">
      <c r="N561" s="770"/>
      <c r="O561" s="770"/>
    </row>
    <row r="562" ht="14.25" customHeight="1">
      <c r="N562" s="770"/>
      <c r="O562" s="770"/>
    </row>
    <row r="563" ht="14.25" customHeight="1">
      <c r="N563" s="770"/>
      <c r="O563" s="770"/>
    </row>
    <row r="564" ht="14.25" customHeight="1">
      <c r="N564" s="770"/>
      <c r="O564" s="770"/>
    </row>
    <row r="565" ht="14.25" customHeight="1">
      <c r="N565" s="770"/>
      <c r="O565" s="770"/>
    </row>
    <row r="566" ht="14.25" customHeight="1">
      <c r="N566" s="770"/>
      <c r="O566" s="770"/>
    </row>
    <row r="567" ht="14.25" customHeight="1">
      <c r="N567" s="770"/>
      <c r="O567" s="770"/>
    </row>
    <row r="568" ht="14.25" customHeight="1">
      <c r="N568" s="770"/>
      <c r="O568" s="770"/>
    </row>
    <row r="569" ht="14.25" customHeight="1">
      <c r="N569" s="770"/>
      <c r="O569" s="770"/>
    </row>
    <row r="570" ht="14.25" customHeight="1">
      <c r="N570" s="770"/>
      <c r="O570" s="770"/>
    </row>
    <row r="571" ht="14.25" customHeight="1">
      <c r="N571" s="770"/>
      <c r="O571" s="770"/>
    </row>
    <row r="572" ht="14.25" customHeight="1">
      <c r="N572" s="770"/>
      <c r="O572" s="770"/>
    </row>
    <row r="573" ht="14.25" customHeight="1">
      <c r="N573" s="770"/>
      <c r="O573" s="770"/>
    </row>
    <row r="574" ht="14.25" customHeight="1">
      <c r="N574" s="770"/>
      <c r="O574" s="770"/>
    </row>
    <row r="575" ht="14.25" customHeight="1">
      <c r="N575" s="770"/>
      <c r="O575" s="770"/>
    </row>
    <row r="576" ht="14.25" customHeight="1">
      <c r="N576" s="770"/>
      <c r="O576" s="770"/>
    </row>
    <row r="577" ht="14.25" customHeight="1">
      <c r="N577" s="770"/>
      <c r="O577" s="770"/>
    </row>
    <row r="578" ht="14.25" customHeight="1">
      <c r="N578" s="770"/>
      <c r="O578" s="770"/>
    </row>
    <row r="579" ht="14.25" customHeight="1">
      <c r="N579" s="770"/>
      <c r="O579" s="770"/>
    </row>
    <row r="580" ht="14.25" customHeight="1">
      <c r="N580" s="770"/>
      <c r="O580" s="770"/>
    </row>
    <row r="581" ht="14.25" customHeight="1">
      <c r="N581" s="770"/>
      <c r="O581" s="770"/>
    </row>
    <row r="582" ht="14.25" customHeight="1">
      <c r="N582" s="770"/>
      <c r="O582" s="770"/>
    </row>
    <row r="583" ht="14.25" customHeight="1">
      <c r="N583" s="770"/>
      <c r="O583" s="770"/>
    </row>
    <row r="584" ht="14.25" customHeight="1">
      <c r="N584" s="770"/>
      <c r="O584" s="770"/>
    </row>
    <row r="585" ht="14.25" customHeight="1">
      <c r="N585" s="770"/>
      <c r="O585" s="770"/>
    </row>
    <row r="586" ht="14.25" customHeight="1">
      <c r="N586" s="770"/>
      <c r="O586" s="770"/>
    </row>
    <row r="587" ht="14.25" customHeight="1">
      <c r="N587" s="770"/>
      <c r="O587" s="770"/>
    </row>
    <row r="588" ht="14.25" customHeight="1">
      <c r="N588" s="770"/>
      <c r="O588" s="770"/>
    </row>
    <row r="589" ht="14.25" customHeight="1">
      <c r="N589" s="770"/>
      <c r="O589" s="770"/>
    </row>
    <row r="590" ht="14.25" customHeight="1">
      <c r="N590" s="770"/>
      <c r="O590" s="770"/>
    </row>
    <row r="591" ht="14.25" customHeight="1">
      <c r="N591" s="770"/>
      <c r="O591" s="770"/>
    </row>
    <row r="592" ht="14.25" customHeight="1">
      <c r="N592" s="770"/>
      <c r="O592" s="770"/>
    </row>
    <row r="593" ht="14.25" customHeight="1">
      <c r="N593" s="770"/>
      <c r="O593" s="770"/>
    </row>
    <row r="594" ht="14.25" customHeight="1">
      <c r="N594" s="770"/>
      <c r="O594" s="770"/>
    </row>
    <row r="595" ht="14.25" customHeight="1">
      <c r="N595" s="770"/>
      <c r="O595" s="770"/>
    </row>
    <row r="596" ht="14.25" customHeight="1">
      <c r="N596" s="770"/>
      <c r="O596" s="770"/>
    </row>
    <row r="597" ht="14.25" customHeight="1">
      <c r="N597" s="770"/>
      <c r="O597" s="770"/>
    </row>
    <row r="598" ht="14.25" customHeight="1">
      <c r="N598" s="770"/>
      <c r="O598" s="770"/>
    </row>
    <row r="599" ht="14.25" customHeight="1">
      <c r="N599" s="770"/>
      <c r="O599" s="770"/>
    </row>
    <row r="600" ht="14.25" customHeight="1">
      <c r="N600" s="770"/>
      <c r="O600" s="770"/>
    </row>
    <row r="601" ht="14.25" customHeight="1">
      <c r="N601" s="770"/>
      <c r="O601" s="770"/>
    </row>
    <row r="602" ht="14.25" customHeight="1">
      <c r="N602" s="770"/>
      <c r="O602" s="770"/>
    </row>
    <row r="603" ht="14.25" customHeight="1">
      <c r="N603" s="770"/>
      <c r="O603" s="770"/>
    </row>
    <row r="604" ht="14.25" customHeight="1">
      <c r="N604" s="770"/>
      <c r="O604" s="770"/>
    </row>
    <row r="605" ht="14.25" customHeight="1">
      <c r="N605" s="770"/>
      <c r="O605" s="770"/>
    </row>
    <row r="606" ht="14.25" customHeight="1">
      <c r="N606" s="770"/>
      <c r="O606" s="770"/>
    </row>
    <row r="607" ht="14.25" customHeight="1">
      <c r="N607" s="770"/>
      <c r="O607" s="770"/>
    </row>
    <row r="608" ht="14.25" customHeight="1">
      <c r="N608" s="770"/>
      <c r="O608" s="770"/>
    </row>
    <row r="609" ht="14.25" customHeight="1">
      <c r="N609" s="770"/>
      <c r="O609" s="770"/>
    </row>
    <row r="610" ht="14.25" customHeight="1">
      <c r="N610" s="770"/>
      <c r="O610" s="770"/>
    </row>
    <row r="611" ht="14.25" customHeight="1">
      <c r="N611" s="770"/>
      <c r="O611" s="770"/>
    </row>
    <row r="612" ht="14.25" customHeight="1">
      <c r="N612" s="770"/>
      <c r="O612" s="770"/>
    </row>
    <row r="613" ht="14.25" customHeight="1">
      <c r="N613" s="770"/>
      <c r="O613" s="770"/>
    </row>
    <row r="614" ht="14.25" customHeight="1">
      <c r="N614" s="770"/>
      <c r="O614" s="770"/>
    </row>
    <row r="615" ht="14.25" customHeight="1">
      <c r="N615" s="770"/>
      <c r="O615" s="770"/>
    </row>
    <row r="616" ht="14.25" customHeight="1">
      <c r="N616" s="770"/>
      <c r="O616" s="770"/>
    </row>
    <row r="617" ht="14.25" customHeight="1">
      <c r="N617" s="770"/>
      <c r="O617" s="770"/>
    </row>
    <row r="618" ht="14.25" customHeight="1">
      <c r="N618" s="770"/>
      <c r="O618" s="770"/>
    </row>
    <row r="619" ht="14.25" customHeight="1">
      <c r="N619" s="770"/>
      <c r="O619" s="770"/>
    </row>
    <row r="620" ht="14.25" customHeight="1">
      <c r="N620" s="770"/>
      <c r="O620" s="770"/>
    </row>
    <row r="621" ht="14.25" customHeight="1">
      <c r="N621" s="770"/>
      <c r="O621" s="770"/>
    </row>
    <row r="622" ht="14.25" customHeight="1">
      <c r="N622" s="770"/>
      <c r="O622" s="770"/>
    </row>
    <row r="623" ht="14.25" customHeight="1">
      <c r="N623" s="770"/>
      <c r="O623" s="770"/>
    </row>
    <row r="624" ht="14.25" customHeight="1">
      <c r="N624" s="770"/>
      <c r="O624" s="770"/>
    </row>
    <row r="625" ht="14.25" customHeight="1">
      <c r="N625" s="770"/>
      <c r="O625" s="770"/>
    </row>
    <row r="626" ht="14.25" customHeight="1">
      <c r="N626" s="770"/>
      <c r="O626" s="770"/>
    </row>
    <row r="627" ht="14.25" customHeight="1">
      <c r="N627" s="770"/>
      <c r="O627" s="770"/>
    </row>
    <row r="628" ht="14.25" customHeight="1">
      <c r="N628" s="770"/>
      <c r="O628" s="770"/>
    </row>
    <row r="629" ht="14.25" customHeight="1">
      <c r="N629" s="770"/>
      <c r="O629" s="770"/>
    </row>
    <row r="630" ht="14.25" customHeight="1">
      <c r="N630" s="770"/>
      <c r="O630" s="770"/>
    </row>
    <row r="631" ht="14.25" customHeight="1">
      <c r="N631" s="770"/>
      <c r="O631" s="770"/>
    </row>
    <row r="632" ht="14.25" customHeight="1">
      <c r="N632" s="770"/>
      <c r="O632" s="770"/>
    </row>
    <row r="633" ht="14.25" customHeight="1">
      <c r="N633" s="770"/>
      <c r="O633" s="770"/>
    </row>
    <row r="634" ht="14.25" customHeight="1">
      <c r="N634" s="770"/>
      <c r="O634" s="770"/>
    </row>
    <row r="635" ht="14.25" customHeight="1">
      <c r="N635" s="770"/>
      <c r="O635" s="770"/>
    </row>
    <row r="636" ht="14.25" customHeight="1">
      <c r="N636" s="770"/>
      <c r="O636" s="770"/>
    </row>
    <row r="637" ht="14.25" customHeight="1">
      <c r="N637" s="770"/>
      <c r="O637" s="770"/>
    </row>
    <row r="638" ht="14.25" customHeight="1">
      <c r="N638" s="770"/>
      <c r="O638" s="770"/>
    </row>
    <row r="639" ht="14.25" customHeight="1">
      <c r="N639" s="770"/>
      <c r="O639" s="770"/>
    </row>
    <row r="640" ht="14.25" customHeight="1">
      <c r="N640" s="770"/>
      <c r="O640" s="770"/>
    </row>
    <row r="641" ht="14.25" customHeight="1">
      <c r="N641" s="770"/>
      <c r="O641" s="770"/>
    </row>
    <row r="642" ht="14.25" customHeight="1">
      <c r="N642" s="770"/>
      <c r="O642" s="770"/>
    </row>
    <row r="643" ht="14.25" customHeight="1">
      <c r="N643" s="770"/>
      <c r="O643" s="770"/>
    </row>
    <row r="644" ht="14.25" customHeight="1">
      <c r="N644" s="770"/>
      <c r="O644" s="770"/>
    </row>
    <row r="645" ht="14.25" customHeight="1">
      <c r="N645" s="770"/>
      <c r="O645" s="770"/>
    </row>
    <row r="646" ht="14.25" customHeight="1">
      <c r="N646" s="770"/>
      <c r="O646" s="770"/>
    </row>
    <row r="647" ht="14.25" customHeight="1">
      <c r="N647" s="770"/>
      <c r="O647" s="770"/>
    </row>
    <row r="648" ht="14.25" customHeight="1">
      <c r="N648" s="770"/>
      <c r="O648" s="770"/>
    </row>
    <row r="649" ht="14.25" customHeight="1">
      <c r="N649" s="770"/>
      <c r="O649" s="770"/>
    </row>
    <row r="650" ht="14.25" customHeight="1">
      <c r="N650" s="770"/>
      <c r="O650" s="770"/>
    </row>
    <row r="651" ht="14.25" customHeight="1">
      <c r="N651" s="770"/>
      <c r="O651" s="770"/>
    </row>
    <row r="652" ht="14.25" customHeight="1">
      <c r="N652" s="770"/>
      <c r="O652" s="770"/>
    </row>
    <row r="653" ht="14.25" customHeight="1">
      <c r="N653" s="770"/>
      <c r="O653" s="770"/>
    </row>
    <row r="654" ht="14.25" customHeight="1">
      <c r="N654" s="770"/>
      <c r="O654" s="770"/>
    </row>
    <row r="655" ht="14.25" customHeight="1">
      <c r="N655" s="770"/>
      <c r="O655" s="770"/>
    </row>
    <row r="656" ht="14.25" customHeight="1">
      <c r="N656" s="770"/>
      <c r="O656" s="770"/>
    </row>
    <row r="657" ht="14.25" customHeight="1">
      <c r="N657" s="770"/>
      <c r="O657" s="770"/>
    </row>
    <row r="658" ht="14.25" customHeight="1">
      <c r="N658" s="770"/>
      <c r="O658" s="770"/>
    </row>
    <row r="659" ht="14.25" customHeight="1">
      <c r="N659" s="770"/>
      <c r="O659" s="770"/>
    </row>
    <row r="660" ht="14.25" customHeight="1">
      <c r="N660" s="770"/>
      <c r="O660" s="770"/>
    </row>
    <row r="661" ht="14.25" customHeight="1">
      <c r="N661" s="770"/>
      <c r="O661" s="770"/>
    </row>
    <row r="662" ht="14.25" customHeight="1">
      <c r="N662" s="770"/>
      <c r="O662" s="770"/>
    </row>
    <row r="663" ht="14.25" customHeight="1">
      <c r="N663" s="770"/>
      <c r="O663" s="770"/>
    </row>
    <row r="664" ht="14.25" customHeight="1">
      <c r="N664" s="770"/>
      <c r="O664" s="770"/>
    </row>
    <row r="665" ht="14.25" customHeight="1">
      <c r="N665" s="770"/>
      <c r="O665" s="770"/>
    </row>
    <row r="666" ht="14.25" customHeight="1">
      <c r="N666" s="770"/>
      <c r="O666" s="770"/>
    </row>
    <row r="667" ht="14.25" customHeight="1">
      <c r="N667" s="770"/>
      <c r="O667" s="770"/>
    </row>
    <row r="668" ht="14.25" customHeight="1">
      <c r="N668" s="770"/>
      <c r="O668" s="770"/>
    </row>
    <row r="669" ht="14.25" customHeight="1">
      <c r="N669" s="770"/>
      <c r="O669" s="770"/>
    </row>
    <row r="670" ht="14.25" customHeight="1">
      <c r="N670" s="770"/>
      <c r="O670" s="770"/>
    </row>
    <row r="671" ht="14.25" customHeight="1">
      <c r="N671" s="770"/>
      <c r="O671" s="770"/>
    </row>
    <row r="672" ht="14.25" customHeight="1">
      <c r="N672" s="770"/>
      <c r="O672" s="770"/>
    </row>
    <row r="673" ht="14.25" customHeight="1">
      <c r="N673" s="770"/>
      <c r="O673" s="770"/>
    </row>
    <row r="674" ht="14.25" customHeight="1">
      <c r="N674" s="770"/>
      <c r="O674" s="770"/>
    </row>
    <row r="675" ht="14.25" customHeight="1">
      <c r="N675" s="770"/>
      <c r="O675" s="770"/>
    </row>
    <row r="676" ht="14.25" customHeight="1">
      <c r="N676" s="770"/>
      <c r="O676" s="770"/>
    </row>
    <row r="677" ht="14.25" customHeight="1">
      <c r="N677" s="770"/>
      <c r="O677" s="770"/>
    </row>
    <row r="678" ht="14.25" customHeight="1">
      <c r="N678" s="770"/>
      <c r="O678" s="770"/>
    </row>
    <row r="679" ht="14.25" customHeight="1">
      <c r="N679" s="770"/>
      <c r="O679" s="770"/>
    </row>
    <row r="680" ht="14.25" customHeight="1">
      <c r="N680" s="770"/>
      <c r="O680" s="770"/>
    </row>
    <row r="681" ht="14.25" customHeight="1">
      <c r="N681" s="770"/>
      <c r="O681" s="770"/>
    </row>
    <row r="682" ht="14.25" customHeight="1">
      <c r="N682" s="770"/>
      <c r="O682" s="770"/>
    </row>
    <row r="683" ht="14.25" customHeight="1">
      <c r="N683" s="770"/>
      <c r="O683" s="770"/>
    </row>
    <row r="684" ht="14.25" customHeight="1">
      <c r="N684" s="770"/>
      <c r="O684" s="770"/>
    </row>
    <row r="685" ht="14.25" customHeight="1">
      <c r="N685" s="770"/>
      <c r="O685" s="770"/>
    </row>
    <row r="686" ht="14.25" customHeight="1">
      <c r="N686" s="770"/>
      <c r="O686" s="770"/>
    </row>
    <row r="687" ht="14.25" customHeight="1">
      <c r="N687" s="770"/>
      <c r="O687" s="770"/>
    </row>
    <row r="688" ht="14.25" customHeight="1">
      <c r="N688" s="770"/>
      <c r="O688" s="770"/>
    </row>
    <row r="689" ht="14.25" customHeight="1">
      <c r="N689" s="770"/>
      <c r="O689" s="770"/>
    </row>
    <row r="690" ht="14.25" customHeight="1">
      <c r="N690" s="770"/>
      <c r="O690" s="770"/>
    </row>
    <row r="691" ht="14.25" customHeight="1">
      <c r="N691" s="770"/>
      <c r="O691" s="770"/>
    </row>
    <row r="692" ht="14.25" customHeight="1">
      <c r="N692" s="770"/>
      <c r="O692" s="770"/>
    </row>
    <row r="693" ht="14.25" customHeight="1">
      <c r="N693" s="770"/>
      <c r="O693" s="770"/>
    </row>
    <row r="694" ht="14.25" customHeight="1">
      <c r="N694" s="770"/>
      <c r="O694" s="770"/>
    </row>
    <row r="695" ht="14.25" customHeight="1">
      <c r="N695" s="770"/>
      <c r="O695" s="770"/>
    </row>
    <row r="696" ht="14.25" customHeight="1">
      <c r="N696" s="770"/>
      <c r="O696" s="770"/>
    </row>
    <row r="697" ht="14.25" customHeight="1">
      <c r="N697" s="770"/>
      <c r="O697" s="770"/>
    </row>
    <row r="698" ht="14.25" customHeight="1">
      <c r="N698" s="770"/>
      <c r="O698" s="770"/>
    </row>
    <row r="699" ht="14.25" customHeight="1">
      <c r="N699" s="770"/>
      <c r="O699" s="770"/>
    </row>
    <row r="700" ht="14.25" customHeight="1">
      <c r="N700" s="770"/>
      <c r="O700" s="770"/>
    </row>
    <row r="701" ht="14.25" customHeight="1">
      <c r="N701" s="770"/>
      <c r="O701" s="770"/>
    </row>
    <row r="702" ht="14.25" customHeight="1">
      <c r="N702" s="770"/>
      <c r="O702" s="770"/>
    </row>
    <row r="703" ht="14.25" customHeight="1">
      <c r="N703" s="770"/>
      <c r="O703" s="770"/>
    </row>
    <row r="704" ht="14.25" customHeight="1">
      <c r="N704" s="770"/>
      <c r="O704" s="770"/>
    </row>
    <row r="705" ht="14.25" customHeight="1">
      <c r="N705" s="770"/>
      <c r="O705" s="770"/>
    </row>
    <row r="706" ht="14.25" customHeight="1">
      <c r="N706" s="770"/>
      <c r="O706" s="770"/>
    </row>
    <row r="707" ht="14.25" customHeight="1">
      <c r="N707" s="770"/>
      <c r="O707" s="770"/>
    </row>
    <row r="708" ht="14.25" customHeight="1">
      <c r="N708" s="770"/>
      <c r="O708" s="770"/>
    </row>
    <row r="709" ht="14.25" customHeight="1">
      <c r="N709" s="770"/>
      <c r="O709" s="770"/>
    </row>
    <row r="710" ht="14.25" customHeight="1">
      <c r="N710" s="770"/>
      <c r="O710" s="770"/>
    </row>
    <row r="711" ht="14.25" customHeight="1">
      <c r="N711" s="770"/>
      <c r="O711" s="770"/>
    </row>
    <row r="712" ht="14.25" customHeight="1">
      <c r="N712" s="770"/>
      <c r="O712" s="770"/>
    </row>
    <row r="713" ht="14.25" customHeight="1">
      <c r="N713" s="770"/>
      <c r="O713" s="770"/>
    </row>
    <row r="714" ht="14.25" customHeight="1">
      <c r="N714" s="770"/>
      <c r="O714" s="770"/>
    </row>
    <row r="715" ht="14.25" customHeight="1">
      <c r="N715" s="770"/>
      <c r="O715" s="770"/>
    </row>
    <row r="716" ht="14.25" customHeight="1">
      <c r="N716" s="770"/>
      <c r="O716" s="770"/>
    </row>
    <row r="717" ht="14.25" customHeight="1">
      <c r="N717" s="770"/>
      <c r="O717" s="770"/>
    </row>
    <row r="718" ht="14.25" customHeight="1">
      <c r="N718" s="770"/>
      <c r="O718" s="770"/>
    </row>
    <row r="719" ht="14.25" customHeight="1">
      <c r="N719" s="770"/>
      <c r="O719" s="770"/>
    </row>
    <row r="720" ht="14.25" customHeight="1">
      <c r="N720" s="770"/>
      <c r="O720" s="770"/>
    </row>
    <row r="721" ht="14.25" customHeight="1">
      <c r="N721" s="770"/>
      <c r="O721" s="770"/>
    </row>
    <row r="722" ht="14.25" customHeight="1">
      <c r="N722" s="770"/>
      <c r="O722" s="770"/>
    </row>
    <row r="723" ht="14.25" customHeight="1">
      <c r="N723" s="770"/>
      <c r="O723" s="770"/>
    </row>
    <row r="724" ht="14.25" customHeight="1">
      <c r="N724" s="770"/>
      <c r="O724" s="770"/>
    </row>
    <row r="725" ht="14.25" customHeight="1">
      <c r="N725" s="770"/>
      <c r="O725" s="770"/>
    </row>
    <row r="726" ht="14.25" customHeight="1">
      <c r="N726" s="770"/>
      <c r="O726" s="770"/>
    </row>
    <row r="727" ht="14.25" customHeight="1">
      <c r="N727" s="770"/>
      <c r="O727" s="770"/>
    </row>
    <row r="728" ht="14.25" customHeight="1">
      <c r="N728" s="770"/>
      <c r="O728" s="770"/>
    </row>
    <row r="729" ht="14.25" customHeight="1">
      <c r="N729" s="770"/>
      <c r="O729" s="770"/>
    </row>
    <row r="730" ht="14.25" customHeight="1">
      <c r="N730" s="770"/>
      <c r="O730" s="770"/>
    </row>
    <row r="731" ht="14.25" customHeight="1">
      <c r="N731" s="770"/>
      <c r="O731" s="770"/>
    </row>
    <row r="732" ht="14.25" customHeight="1">
      <c r="N732" s="770"/>
      <c r="O732" s="770"/>
    </row>
    <row r="733" ht="14.25" customHeight="1">
      <c r="N733" s="770"/>
      <c r="O733" s="770"/>
    </row>
    <row r="734" ht="14.25" customHeight="1">
      <c r="N734" s="770"/>
      <c r="O734" s="770"/>
    </row>
    <row r="735" ht="14.25" customHeight="1">
      <c r="N735" s="770"/>
      <c r="O735" s="770"/>
    </row>
    <row r="736" ht="14.25" customHeight="1">
      <c r="N736" s="770"/>
      <c r="O736" s="770"/>
    </row>
    <row r="737" ht="14.25" customHeight="1">
      <c r="N737" s="770"/>
      <c r="O737" s="770"/>
    </row>
    <row r="738" ht="14.25" customHeight="1">
      <c r="N738" s="770"/>
      <c r="O738" s="770"/>
    </row>
    <row r="739" ht="14.25" customHeight="1">
      <c r="N739" s="770"/>
      <c r="O739" s="770"/>
    </row>
    <row r="740" ht="14.25" customHeight="1">
      <c r="N740" s="770"/>
      <c r="O740" s="770"/>
    </row>
    <row r="741" ht="14.25" customHeight="1">
      <c r="N741" s="770"/>
      <c r="O741" s="770"/>
    </row>
    <row r="742" ht="14.25" customHeight="1">
      <c r="N742" s="770"/>
      <c r="O742" s="770"/>
    </row>
    <row r="743" ht="14.25" customHeight="1">
      <c r="N743" s="770"/>
      <c r="O743" s="770"/>
    </row>
    <row r="744" ht="14.25" customHeight="1">
      <c r="N744" s="770"/>
      <c r="O744" s="770"/>
    </row>
    <row r="745" ht="14.25" customHeight="1">
      <c r="N745" s="770"/>
      <c r="O745" s="770"/>
    </row>
    <row r="746" ht="14.25" customHeight="1">
      <c r="N746" s="770"/>
      <c r="O746" s="770"/>
    </row>
    <row r="747" ht="14.25" customHeight="1">
      <c r="N747" s="770"/>
      <c r="O747" s="770"/>
    </row>
    <row r="748" ht="14.25" customHeight="1">
      <c r="N748" s="770"/>
      <c r="O748" s="770"/>
    </row>
    <row r="749" ht="14.25" customHeight="1">
      <c r="N749" s="770"/>
      <c r="O749" s="770"/>
    </row>
    <row r="750" ht="14.25" customHeight="1">
      <c r="N750" s="770"/>
      <c r="O750" s="770"/>
    </row>
    <row r="751" ht="14.25" customHeight="1">
      <c r="N751" s="770"/>
      <c r="O751" s="770"/>
    </row>
    <row r="752" ht="14.25" customHeight="1">
      <c r="N752" s="770"/>
      <c r="O752" s="770"/>
    </row>
    <row r="753" ht="14.25" customHeight="1">
      <c r="N753" s="770"/>
      <c r="O753" s="770"/>
    </row>
    <row r="754" ht="14.25" customHeight="1">
      <c r="N754" s="770"/>
      <c r="O754" s="770"/>
    </row>
    <row r="755" ht="14.25" customHeight="1">
      <c r="N755" s="770"/>
      <c r="O755" s="770"/>
    </row>
    <row r="756" ht="14.25" customHeight="1">
      <c r="N756" s="770"/>
      <c r="O756" s="770"/>
    </row>
    <row r="757" ht="14.25" customHeight="1">
      <c r="N757" s="770"/>
      <c r="O757" s="770"/>
    </row>
    <row r="758" ht="14.25" customHeight="1">
      <c r="N758" s="770"/>
      <c r="O758" s="770"/>
    </row>
    <row r="759" ht="14.25" customHeight="1">
      <c r="N759" s="770"/>
      <c r="O759" s="770"/>
    </row>
    <row r="760" ht="14.25" customHeight="1">
      <c r="N760" s="770"/>
      <c r="O760" s="770"/>
    </row>
    <row r="761" ht="14.25" customHeight="1">
      <c r="N761" s="770"/>
      <c r="O761" s="770"/>
    </row>
    <row r="762" ht="14.25" customHeight="1">
      <c r="N762" s="770"/>
      <c r="O762" s="770"/>
    </row>
    <row r="763" ht="14.25" customHeight="1">
      <c r="N763" s="770"/>
      <c r="O763" s="770"/>
    </row>
    <row r="764" ht="14.25" customHeight="1">
      <c r="N764" s="770"/>
      <c r="O764" s="770"/>
    </row>
    <row r="765" ht="14.25" customHeight="1">
      <c r="N765" s="770"/>
      <c r="O765" s="770"/>
    </row>
    <row r="766" ht="14.25" customHeight="1">
      <c r="N766" s="770"/>
      <c r="O766" s="770"/>
    </row>
    <row r="767" ht="14.25" customHeight="1">
      <c r="N767" s="770"/>
      <c r="O767" s="770"/>
    </row>
    <row r="768" ht="14.25" customHeight="1">
      <c r="N768" s="770"/>
      <c r="O768" s="770"/>
    </row>
    <row r="769" ht="14.25" customHeight="1">
      <c r="N769" s="770"/>
      <c r="O769" s="770"/>
    </row>
    <row r="770" ht="14.25" customHeight="1">
      <c r="N770" s="770"/>
      <c r="O770" s="770"/>
    </row>
    <row r="771" ht="14.25" customHeight="1">
      <c r="N771" s="770"/>
      <c r="O771" s="770"/>
    </row>
    <row r="772" ht="14.25" customHeight="1">
      <c r="N772" s="770"/>
      <c r="O772" s="770"/>
    </row>
    <row r="773" ht="14.25" customHeight="1">
      <c r="N773" s="770"/>
      <c r="O773" s="770"/>
    </row>
    <row r="774" ht="14.25" customHeight="1">
      <c r="N774" s="770"/>
      <c r="O774" s="770"/>
    </row>
    <row r="775" ht="14.25" customHeight="1">
      <c r="N775" s="770"/>
      <c r="O775" s="770"/>
    </row>
    <row r="776" ht="14.25" customHeight="1">
      <c r="N776" s="770"/>
      <c r="O776" s="770"/>
    </row>
    <row r="777" ht="14.25" customHeight="1">
      <c r="N777" s="770"/>
      <c r="O777" s="770"/>
    </row>
    <row r="778" ht="14.25" customHeight="1">
      <c r="N778" s="770"/>
      <c r="O778" s="770"/>
    </row>
    <row r="779" ht="14.25" customHeight="1">
      <c r="N779" s="770"/>
      <c r="O779" s="770"/>
    </row>
    <row r="780" ht="14.25" customHeight="1">
      <c r="N780" s="770"/>
      <c r="O780" s="770"/>
    </row>
    <row r="781" ht="14.25" customHeight="1">
      <c r="N781" s="770"/>
      <c r="O781" s="770"/>
    </row>
    <row r="782" ht="14.25" customHeight="1">
      <c r="N782" s="770"/>
      <c r="O782" s="770"/>
    </row>
    <row r="783" ht="14.25" customHeight="1">
      <c r="N783" s="770"/>
      <c r="O783" s="770"/>
    </row>
    <row r="784" ht="14.25" customHeight="1">
      <c r="N784" s="770"/>
      <c r="O784" s="770"/>
    </row>
    <row r="785" ht="14.25" customHeight="1">
      <c r="N785" s="770"/>
      <c r="O785" s="770"/>
    </row>
    <row r="786" ht="14.25" customHeight="1">
      <c r="N786" s="770"/>
      <c r="O786" s="770"/>
    </row>
    <row r="787" ht="14.25" customHeight="1">
      <c r="N787" s="770"/>
      <c r="O787" s="770"/>
    </row>
    <row r="788" ht="14.25" customHeight="1">
      <c r="N788" s="770"/>
      <c r="O788" s="770"/>
    </row>
    <row r="789" ht="14.25" customHeight="1">
      <c r="N789" s="770"/>
      <c r="O789" s="770"/>
    </row>
    <row r="790" ht="14.25" customHeight="1">
      <c r="N790" s="770"/>
      <c r="O790" s="770"/>
    </row>
    <row r="791" ht="14.25" customHeight="1">
      <c r="N791" s="770"/>
      <c r="O791" s="770"/>
    </row>
    <row r="792" ht="14.25" customHeight="1">
      <c r="N792" s="770"/>
      <c r="O792" s="770"/>
    </row>
    <row r="793" ht="14.25" customHeight="1">
      <c r="N793" s="770"/>
      <c r="O793" s="770"/>
    </row>
    <row r="794" ht="14.25" customHeight="1">
      <c r="N794" s="770"/>
      <c r="O794" s="770"/>
    </row>
    <row r="795" ht="14.25" customHeight="1">
      <c r="N795" s="770"/>
      <c r="O795" s="770"/>
    </row>
    <row r="796" ht="14.25" customHeight="1">
      <c r="N796" s="770"/>
      <c r="O796" s="770"/>
    </row>
    <row r="797" ht="14.25" customHeight="1">
      <c r="N797" s="770"/>
      <c r="O797" s="770"/>
    </row>
    <row r="798" ht="14.25" customHeight="1">
      <c r="N798" s="770"/>
      <c r="O798" s="770"/>
    </row>
    <row r="799" ht="14.25" customHeight="1">
      <c r="N799" s="770"/>
      <c r="O799" s="770"/>
    </row>
    <row r="800" ht="14.25" customHeight="1">
      <c r="N800" s="770"/>
      <c r="O800" s="770"/>
    </row>
    <row r="801" ht="14.25" customHeight="1">
      <c r="N801" s="770"/>
      <c r="O801" s="770"/>
    </row>
    <row r="802" ht="14.25" customHeight="1">
      <c r="N802" s="770"/>
      <c r="O802" s="770"/>
    </row>
    <row r="803" ht="14.25" customHeight="1">
      <c r="N803" s="770"/>
      <c r="O803" s="770"/>
    </row>
    <row r="804" ht="14.25" customHeight="1">
      <c r="N804" s="770"/>
      <c r="O804" s="770"/>
    </row>
    <row r="805" ht="14.25" customHeight="1">
      <c r="N805" s="770"/>
      <c r="O805" s="770"/>
    </row>
    <row r="806" ht="14.25" customHeight="1">
      <c r="N806" s="770"/>
      <c r="O806" s="770"/>
    </row>
    <row r="807" ht="14.25" customHeight="1">
      <c r="N807" s="770"/>
      <c r="O807" s="770"/>
    </row>
    <row r="808" ht="14.25" customHeight="1">
      <c r="N808" s="770"/>
      <c r="O808" s="770"/>
    </row>
    <row r="809" ht="14.25" customHeight="1">
      <c r="N809" s="770"/>
      <c r="O809" s="770"/>
    </row>
    <row r="810" ht="14.25" customHeight="1">
      <c r="N810" s="770"/>
      <c r="O810" s="770"/>
    </row>
    <row r="811" ht="14.25" customHeight="1">
      <c r="N811" s="770"/>
      <c r="O811" s="770"/>
    </row>
    <row r="812" ht="14.25" customHeight="1">
      <c r="N812" s="770"/>
      <c r="O812" s="770"/>
    </row>
    <row r="813" ht="14.25" customHeight="1">
      <c r="N813" s="770"/>
      <c r="O813" s="770"/>
    </row>
    <row r="814" ht="14.25" customHeight="1">
      <c r="N814" s="770"/>
      <c r="O814" s="770"/>
    </row>
    <row r="815" ht="14.25" customHeight="1">
      <c r="N815" s="770"/>
      <c r="O815" s="770"/>
    </row>
    <row r="816" ht="14.25" customHeight="1">
      <c r="N816" s="770"/>
      <c r="O816" s="770"/>
    </row>
    <row r="817" ht="14.25" customHeight="1">
      <c r="N817" s="770"/>
      <c r="O817" s="770"/>
    </row>
    <row r="818" ht="14.25" customHeight="1">
      <c r="N818" s="770"/>
      <c r="O818" s="770"/>
    </row>
    <row r="819" ht="14.25" customHeight="1">
      <c r="N819" s="770"/>
      <c r="O819" s="770"/>
    </row>
    <row r="820" ht="14.25" customHeight="1">
      <c r="N820" s="770"/>
      <c r="O820" s="770"/>
    </row>
    <row r="821" ht="14.25" customHeight="1">
      <c r="N821" s="770"/>
      <c r="O821" s="770"/>
    </row>
    <row r="822" ht="14.25" customHeight="1">
      <c r="N822" s="770"/>
      <c r="O822" s="770"/>
    </row>
    <row r="823" ht="14.25" customHeight="1">
      <c r="N823" s="770"/>
      <c r="O823" s="770"/>
    </row>
    <row r="824" ht="14.25" customHeight="1">
      <c r="N824" s="770"/>
      <c r="O824" s="770"/>
    </row>
    <row r="825" ht="14.25" customHeight="1">
      <c r="N825" s="770"/>
      <c r="O825" s="770"/>
    </row>
    <row r="826" ht="14.25" customHeight="1">
      <c r="N826" s="770"/>
      <c r="O826" s="770"/>
    </row>
    <row r="827" ht="14.25" customHeight="1">
      <c r="N827" s="770"/>
      <c r="O827" s="770"/>
    </row>
    <row r="828" ht="14.25" customHeight="1">
      <c r="N828" s="770"/>
      <c r="O828" s="770"/>
    </row>
    <row r="829" ht="14.25" customHeight="1">
      <c r="N829" s="770"/>
      <c r="O829" s="770"/>
    </row>
    <row r="830" ht="14.25" customHeight="1">
      <c r="N830" s="770"/>
      <c r="O830" s="770"/>
    </row>
    <row r="831" ht="14.25" customHeight="1">
      <c r="N831" s="770"/>
      <c r="O831" s="770"/>
    </row>
    <row r="832" ht="14.25" customHeight="1">
      <c r="N832" s="770"/>
      <c r="O832" s="770"/>
    </row>
    <row r="833" ht="14.25" customHeight="1">
      <c r="N833" s="770"/>
      <c r="O833" s="770"/>
    </row>
    <row r="834" ht="14.25" customHeight="1">
      <c r="N834" s="770"/>
      <c r="O834" s="770"/>
    </row>
    <row r="835" ht="14.25" customHeight="1">
      <c r="N835" s="770"/>
      <c r="O835" s="770"/>
    </row>
    <row r="836" ht="14.25" customHeight="1">
      <c r="N836" s="770"/>
      <c r="O836" s="770"/>
    </row>
    <row r="837" ht="14.25" customHeight="1">
      <c r="N837" s="770"/>
      <c r="O837" s="770"/>
    </row>
    <row r="838" ht="14.25" customHeight="1">
      <c r="N838" s="770"/>
      <c r="O838" s="770"/>
    </row>
    <row r="839" ht="14.25" customHeight="1">
      <c r="N839" s="770"/>
      <c r="O839" s="770"/>
    </row>
    <row r="840" ht="14.25" customHeight="1">
      <c r="N840" s="770"/>
      <c r="O840" s="770"/>
    </row>
    <row r="841" ht="14.25" customHeight="1">
      <c r="N841" s="770"/>
      <c r="O841" s="770"/>
    </row>
    <row r="842" ht="14.25" customHeight="1">
      <c r="N842" s="770"/>
      <c r="O842" s="770"/>
    </row>
    <row r="843" ht="14.25" customHeight="1">
      <c r="N843" s="770"/>
      <c r="O843" s="770"/>
    </row>
    <row r="844" ht="14.25" customHeight="1">
      <c r="N844" s="770"/>
      <c r="O844" s="770"/>
    </row>
    <row r="845" ht="14.25" customHeight="1">
      <c r="N845" s="770"/>
      <c r="O845" s="770"/>
    </row>
    <row r="846" ht="14.25" customHeight="1">
      <c r="N846" s="770"/>
      <c r="O846" s="770"/>
    </row>
    <row r="847" ht="14.25" customHeight="1">
      <c r="N847" s="770"/>
      <c r="O847" s="770"/>
    </row>
    <row r="848" ht="14.25" customHeight="1">
      <c r="N848" s="770"/>
      <c r="O848" s="770"/>
    </row>
    <row r="849" ht="14.25" customHeight="1">
      <c r="N849" s="770"/>
      <c r="O849" s="770"/>
    </row>
    <row r="850" ht="14.25" customHeight="1">
      <c r="N850" s="770"/>
      <c r="O850" s="770"/>
    </row>
    <row r="851" ht="14.25" customHeight="1">
      <c r="N851" s="770"/>
      <c r="O851" s="770"/>
    </row>
    <row r="852" ht="14.25" customHeight="1">
      <c r="N852" s="770"/>
      <c r="O852" s="770"/>
    </row>
    <row r="853" ht="14.25" customHeight="1">
      <c r="N853" s="770"/>
      <c r="O853" s="770"/>
    </row>
    <row r="854" ht="14.25" customHeight="1">
      <c r="N854" s="770"/>
      <c r="O854" s="770"/>
    </row>
    <row r="855" ht="14.25" customHeight="1">
      <c r="N855" s="770"/>
      <c r="O855" s="770"/>
    </row>
    <row r="856" ht="14.25" customHeight="1">
      <c r="N856" s="770"/>
      <c r="O856" s="770"/>
    </row>
    <row r="857" ht="14.25" customHeight="1">
      <c r="N857" s="770"/>
      <c r="O857" s="770"/>
    </row>
    <row r="858" ht="14.25" customHeight="1">
      <c r="N858" s="770"/>
      <c r="O858" s="770"/>
    </row>
    <row r="859" ht="14.25" customHeight="1">
      <c r="N859" s="770"/>
      <c r="O859" s="770"/>
    </row>
    <row r="860" ht="14.25" customHeight="1">
      <c r="N860" s="770"/>
      <c r="O860" s="770"/>
    </row>
    <row r="861" ht="14.25" customHeight="1">
      <c r="N861" s="770"/>
      <c r="O861" s="770"/>
    </row>
    <row r="862" ht="14.25" customHeight="1">
      <c r="N862" s="770"/>
      <c r="O862" s="770"/>
    </row>
    <row r="863" ht="14.25" customHeight="1">
      <c r="N863" s="770"/>
      <c r="O863" s="770"/>
    </row>
    <row r="864" ht="14.25" customHeight="1">
      <c r="N864" s="770"/>
      <c r="O864" s="770"/>
    </row>
    <row r="865" ht="14.25" customHeight="1">
      <c r="N865" s="770"/>
      <c r="O865" s="770"/>
    </row>
    <row r="866" ht="14.25" customHeight="1">
      <c r="N866" s="770"/>
      <c r="O866" s="770"/>
    </row>
    <row r="867" ht="14.25" customHeight="1">
      <c r="N867" s="770"/>
      <c r="O867" s="770"/>
    </row>
    <row r="868" ht="14.25" customHeight="1">
      <c r="N868" s="770"/>
      <c r="O868" s="770"/>
    </row>
    <row r="869" ht="14.25" customHeight="1">
      <c r="N869" s="770"/>
      <c r="O869" s="770"/>
    </row>
    <row r="870" ht="14.25" customHeight="1">
      <c r="N870" s="770"/>
      <c r="O870" s="770"/>
    </row>
    <row r="871" ht="14.25" customHeight="1">
      <c r="N871" s="770"/>
      <c r="O871" s="770"/>
    </row>
    <row r="872" ht="14.25" customHeight="1">
      <c r="N872" s="770"/>
      <c r="O872" s="770"/>
    </row>
    <row r="873" ht="14.25" customHeight="1">
      <c r="N873" s="770"/>
      <c r="O873" s="770"/>
    </row>
    <row r="874" ht="14.25" customHeight="1">
      <c r="N874" s="770"/>
      <c r="O874" s="770"/>
    </row>
    <row r="875" ht="14.25" customHeight="1">
      <c r="N875" s="770"/>
      <c r="O875" s="770"/>
    </row>
    <row r="876" ht="14.25" customHeight="1">
      <c r="N876" s="770"/>
      <c r="O876" s="770"/>
    </row>
    <row r="877" ht="14.25" customHeight="1">
      <c r="N877" s="770"/>
      <c r="O877" s="770"/>
    </row>
    <row r="878" ht="14.25" customHeight="1">
      <c r="N878" s="770"/>
      <c r="O878" s="770"/>
    </row>
    <row r="879" ht="14.25" customHeight="1">
      <c r="N879" s="770"/>
      <c r="O879" s="770"/>
    </row>
    <row r="880" ht="14.25" customHeight="1">
      <c r="N880" s="770"/>
      <c r="O880" s="770"/>
    </row>
    <row r="881" ht="14.25" customHeight="1">
      <c r="N881" s="770"/>
      <c r="O881" s="770"/>
    </row>
    <row r="882" ht="14.25" customHeight="1">
      <c r="N882" s="770"/>
      <c r="O882" s="770"/>
    </row>
    <row r="883" ht="14.25" customHeight="1">
      <c r="N883" s="770"/>
      <c r="O883" s="770"/>
    </row>
    <row r="884" ht="14.25" customHeight="1">
      <c r="N884" s="770"/>
      <c r="O884" s="770"/>
    </row>
    <row r="885" ht="14.25" customHeight="1">
      <c r="N885" s="770"/>
      <c r="O885" s="770"/>
    </row>
    <row r="886" ht="14.25" customHeight="1">
      <c r="N886" s="770"/>
      <c r="O886" s="770"/>
    </row>
    <row r="887" ht="14.25" customHeight="1">
      <c r="N887" s="770"/>
      <c r="O887" s="770"/>
    </row>
    <row r="888" ht="14.25" customHeight="1">
      <c r="N888" s="770"/>
      <c r="O888" s="770"/>
    </row>
    <row r="889" ht="14.25" customHeight="1">
      <c r="N889" s="770"/>
      <c r="O889" s="770"/>
    </row>
    <row r="890" ht="14.25" customHeight="1">
      <c r="N890" s="770"/>
      <c r="O890" s="770"/>
    </row>
    <row r="891" ht="14.25" customHeight="1">
      <c r="N891" s="770"/>
      <c r="O891" s="770"/>
    </row>
    <row r="892" ht="14.25" customHeight="1">
      <c r="N892" s="770"/>
      <c r="O892" s="770"/>
    </row>
    <row r="893" ht="14.25" customHeight="1">
      <c r="N893" s="770"/>
      <c r="O893" s="770"/>
    </row>
    <row r="894" ht="14.25" customHeight="1">
      <c r="N894" s="770"/>
      <c r="O894" s="770"/>
    </row>
    <row r="895" ht="14.25" customHeight="1">
      <c r="N895" s="770"/>
      <c r="O895" s="770"/>
    </row>
    <row r="896" ht="14.25" customHeight="1">
      <c r="N896" s="770"/>
      <c r="O896" s="770"/>
    </row>
    <row r="897" ht="14.25" customHeight="1">
      <c r="N897" s="770"/>
      <c r="O897" s="770"/>
    </row>
    <row r="898" ht="14.25" customHeight="1">
      <c r="N898" s="770"/>
      <c r="O898" s="770"/>
    </row>
    <row r="899" ht="14.25" customHeight="1">
      <c r="N899" s="770"/>
      <c r="O899" s="770"/>
    </row>
    <row r="900" ht="14.25" customHeight="1">
      <c r="N900" s="770"/>
      <c r="O900" s="770"/>
    </row>
    <row r="901" ht="14.25" customHeight="1">
      <c r="N901" s="770"/>
      <c r="O901" s="770"/>
    </row>
    <row r="902" ht="14.25" customHeight="1">
      <c r="N902" s="770"/>
      <c r="O902" s="770"/>
    </row>
    <row r="903" ht="14.25" customHeight="1">
      <c r="N903" s="770"/>
      <c r="O903" s="770"/>
    </row>
    <row r="904" ht="14.25" customHeight="1">
      <c r="N904" s="770"/>
      <c r="O904" s="770"/>
    </row>
    <row r="905" ht="14.25" customHeight="1">
      <c r="N905" s="770"/>
      <c r="O905" s="770"/>
    </row>
    <row r="906" ht="14.25" customHeight="1">
      <c r="N906" s="770"/>
      <c r="O906" s="770"/>
    </row>
    <row r="907" ht="14.25" customHeight="1">
      <c r="N907" s="770"/>
      <c r="O907" s="770"/>
    </row>
    <row r="908" ht="14.25" customHeight="1">
      <c r="N908" s="770"/>
      <c r="O908" s="770"/>
    </row>
    <row r="909" ht="14.25" customHeight="1">
      <c r="N909" s="770"/>
      <c r="O909" s="770"/>
    </row>
    <row r="910" ht="14.25" customHeight="1">
      <c r="N910" s="770"/>
      <c r="O910" s="770"/>
    </row>
    <row r="911" ht="14.25" customHeight="1">
      <c r="N911" s="770"/>
      <c r="O911" s="770"/>
    </row>
    <row r="912" ht="14.25" customHeight="1">
      <c r="N912" s="770"/>
      <c r="O912" s="770"/>
    </row>
    <row r="913" ht="14.25" customHeight="1">
      <c r="N913" s="770"/>
      <c r="O913" s="770"/>
    </row>
    <row r="914" ht="14.25" customHeight="1">
      <c r="N914" s="770"/>
      <c r="O914" s="770"/>
    </row>
    <row r="915" ht="14.25" customHeight="1">
      <c r="N915" s="770"/>
      <c r="O915" s="770"/>
    </row>
    <row r="916" ht="14.25" customHeight="1">
      <c r="N916" s="770"/>
      <c r="O916" s="770"/>
    </row>
    <row r="917" ht="14.25" customHeight="1">
      <c r="N917" s="770"/>
      <c r="O917" s="770"/>
    </row>
    <row r="918" ht="14.25" customHeight="1">
      <c r="N918" s="770"/>
      <c r="O918" s="770"/>
    </row>
    <row r="919" ht="14.25" customHeight="1">
      <c r="N919" s="770"/>
      <c r="O919" s="770"/>
    </row>
    <row r="920" ht="14.25" customHeight="1">
      <c r="N920" s="770"/>
      <c r="O920" s="770"/>
    </row>
    <row r="921" ht="14.25" customHeight="1">
      <c r="N921" s="770"/>
      <c r="O921" s="770"/>
    </row>
    <row r="922" ht="14.25" customHeight="1">
      <c r="N922" s="770"/>
      <c r="O922" s="770"/>
    </row>
    <row r="923" ht="14.25" customHeight="1">
      <c r="N923" s="770"/>
      <c r="O923" s="770"/>
    </row>
    <row r="924" ht="14.25" customHeight="1">
      <c r="N924" s="770"/>
      <c r="O924" s="770"/>
    </row>
    <row r="925" ht="14.25" customHeight="1">
      <c r="N925" s="770"/>
      <c r="O925" s="770"/>
    </row>
    <row r="926" ht="14.25" customHeight="1">
      <c r="N926" s="770"/>
      <c r="O926" s="770"/>
    </row>
    <row r="927" ht="14.25" customHeight="1">
      <c r="N927" s="770"/>
      <c r="O927" s="770"/>
    </row>
    <row r="928" ht="14.25" customHeight="1">
      <c r="N928" s="770"/>
      <c r="O928" s="770"/>
    </row>
    <row r="929" ht="14.25" customHeight="1">
      <c r="N929" s="770"/>
      <c r="O929" s="770"/>
    </row>
    <row r="930" ht="14.25" customHeight="1">
      <c r="N930" s="770"/>
      <c r="O930" s="770"/>
    </row>
    <row r="931" ht="14.25" customHeight="1">
      <c r="N931" s="770"/>
      <c r="O931" s="770"/>
    </row>
    <row r="932" ht="14.25" customHeight="1">
      <c r="N932" s="770"/>
      <c r="O932" s="770"/>
    </row>
    <row r="933" ht="14.25" customHeight="1">
      <c r="N933" s="770"/>
      <c r="O933" s="770"/>
    </row>
    <row r="934" ht="14.25" customHeight="1">
      <c r="N934" s="770"/>
      <c r="O934" s="770"/>
    </row>
    <row r="935" ht="14.25" customHeight="1">
      <c r="N935" s="770"/>
      <c r="O935" s="770"/>
    </row>
    <row r="936" ht="14.25" customHeight="1">
      <c r="N936" s="770"/>
      <c r="O936" s="770"/>
    </row>
    <row r="937" ht="14.25" customHeight="1">
      <c r="N937" s="770"/>
      <c r="O937" s="770"/>
    </row>
    <row r="938" ht="14.25" customHeight="1">
      <c r="N938" s="770"/>
      <c r="O938" s="770"/>
    </row>
    <row r="939" ht="14.25" customHeight="1">
      <c r="N939" s="770"/>
      <c r="O939" s="770"/>
    </row>
    <row r="940" ht="14.25" customHeight="1">
      <c r="N940" s="770"/>
      <c r="O940" s="770"/>
    </row>
    <row r="941" ht="14.25" customHeight="1">
      <c r="N941" s="770"/>
      <c r="O941" s="770"/>
    </row>
    <row r="942" ht="14.25" customHeight="1">
      <c r="N942" s="770"/>
      <c r="O942" s="770"/>
    </row>
    <row r="943" ht="14.25" customHeight="1">
      <c r="N943" s="770"/>
      <c r="O943" s="770"/>
    </row>
    <row r="944" ht="14.25" customHeight="1">
      <c r="N944" s="770"/>
      <c r="O944" s="770"/>
    </row>
    <row r="945" ht="14.25" customHeight="1">
      <c r="N945" s="770"/>
      <c r="O945" s="770"/>
    </row>
    <row r="946" ht="14.25" customHeight="1">
      <c r="N946" s="770"/>
      <c r="O946" s="770"/>
    </row>
    <row r="947" ht="14.25" customHeight="1">
      <c r="N947" s="770"/>
      <c r="O947" s="770"/>
    </row>
    <row r="948" ht="14.25" customHeight="1">
      <c r="N948" s="770"/>
      <c r="O948" s="770"/>
    </row>
    <row r="949" ht="14.25" customHeight="1">
      <c r="N949" s="770"/>
      <c r="O949" s="770"/>
    </row>
    <row r="950" ht="14.25" customHeight="1">
      <c r="N950" s="770"/>
      <c r="O950" s="770"/>
    </row>
    <row r="951" ht="14.25" customHeight="1">
      <c r="N951" s="770"/>
      <c r="O951" s="770"/>
    </row>
    <row r="952" ht="14.25" customHeight="1">
      <c r="N952" s="770"/>
      <c r="O952" s="770"/>
    </row>
    <row r="953" ht="14.25" customHeight="1">
      <c r="N953" s="770"/>
      <c r="O953" s="770"/>
    </row>
    <row r="954" ht="14.25" customHeight="1">
      <c r="N954" s="770"/>
      <c r="O954" s="770"/>
    </row>
    <row r="955" ht="14.25" customHeight="1">
      <c r="N955" s="770"/>
      <c r="O955" s="770"/>
    </row>
    <row r="956" ht="14.25" customHeight="1">
      <c r="N956" s="770"/>
      <c r="O956" s="770"/>
    </row>
    <row r="957" ht="14.25" customHeight="1">
      <c r="N957" s="770"/>
      <c r="O957" s="770"/>
    </row>
    <row r="958" ht="14.25" customHeight="1">
      <c r="N958" s="770"/>
      <c r="O958" s="770"/>
    </row>
    <row r="959" ht="14.25" customHeight="1">
      <c r="N959" s="770"/>
      <c r="O959" s="770"/>
    </row>
    <row r="960" ht="14.25" customHeight="1">
      <c r="N960" s="770"/>
      <c r="O960" s="770"/>
    </row>
    <row r="961" ht="14.25" customHeight="1">
      <c r="N961" s="770"/>
      <c r="O961" s="770"/>
    </row>
    <row r="962" ht="14.25" customHeight="1">
      <c r="N962" s="770"/>
      <c r="O962" s="770"/>
    </row>
    <row r="963" ht="14.25" customHeight="1">
      <c r="N963" s="770"/>
      <c r="O963" s="770"/>
    </row>
    <row r="964" ht="14.25" customHeight="1">
      <c r="N964" s="770"/>
      <c r="O964" s="770"/>
    </row>
    <row r="965" ht="14.25" customHeight="1">
      <c r="N965" s="770"/>
      <c r="O965" s="770"/>
    </row>
    <row r="966" ht="14.25" customHeight="1">
      <c r="N966" s="770"/>
      <c r="O966" s="770"/>
    </row>
    <row r="967" ht="14.25" customHeight="1">
      <c r="N967" s="770"/>
      <c r="O967" s="770"/>
    </row>
    <row r="968" ht="14.25" customHeight="1">
      <c r="N968" s="770"/>
      <c r="O968" s="770"/>
    </row>
    <row r="969" ht="14.25" customHeight="1">
      <c r="N969" s="770"/>
      <c r="O969" s="770"/>
    </row>
    <row r="970" ht="14.25" customHeight="1">
      <c r="N970" s="770"/>
      <c r="O970" s="770"/>
    </row>
    <row r="971" ht="14.25" customHeight="1">
      <c r="N971" s="770"/>
      <c r="O971" s="770"/>
    </row>
    <row r="972" ht="14.25" customHeight="1">
      <c r="N972" s="770"/>
      <c r="O972" s="770"/>
    </row>
    <row r="973" ht="14.25" customHeight="1">
      <c r="N973" s="770"/>
      <c r="O973" s="770"/>
    </row>
    <row r="974" ht="14.25" customHeight="1">
      <c r="N974" s="770"/>
      <c r="O974" s="770"/>
    </row>
    <row r="975" ht="14.25" customHeight="1">
      <c r="N975" s="770"/>
      <c r="O975" s="770"/>
    </row>
    <row r="976" ht="14.25" customHeight="1">
      <c r="N976" s="770"/>
      <c r="O976" s="770"/>
    </row>
    <row r="977" ht="14.25" customHeight="1">
      <c r="N977" s="770"/>
      <c r="O977" s="770"/>
    </row>
    <row r="978" ht="14.25" customHeight="1">
      <c r="N978" s="770"/>
      <c r="O978" s="770"/>
    </row>
    <row r="979" ht="14.25" customHeight="1">
      <c r="N979" s="770"/>
      <c r="O979" s="770"/>
    </row>
    <row r="980" ht="14.25" customHeight="1">
      <c r="N980" s="770"/>
      <c r="O980" s="770"/>
    </row>
    <row r="981" ht="14.25" customHeight="1">
      <c r="N981" s="770"/>
      <c r="O981" s="770"/>
    </row>
    <row r="982" ht="14.25" customHeight="1">
      <c r="N982" s="770"/>
      <c r="O982" s="770"/>
    </row>
    <row r="983" ht="14.25" customHeight="1">
      <c r="N983" s="770"/>
      <c r="O983" s="770"/>
    </row>
    <row r="984" ht="14.25" customHeight="1">
      <c r="N984" s="770"/>
      <c r="O984" s="770"/>
    </row>
    <row r="985" ht="14.25" customHeight="1">
      <c r="N985" s="770"/>
      <c r="O985" s="770"/>
    </row>
    <row r="986" ht="14.25" customHeight="1">
      <c r="N986" s="770"/>
      <c r="O986" s="770"/>
    </row>
    <row r="987" ht="14.25" customHeight="1">
      <c r="N987" s="770"/>
      <c r="O987" s="770"/>
    </row>
    <row r="988" ht="14.25" customHeight="1">
      <c r="N988" s="770"/>
      <c r="O988" s="770"/>
    </row>
    <row r="989" ht="14.25" customHeight="1">
      <c r="N989" s="770"/>
      <c r="O989" s="770"/>
    </row>
    <row r="990" ht="14.25" customHeight="1">
      <c r="N990" s="770"/>
      <c r="O990" s="770"/>
    </row>
    <row r="991" ht="14.25" customHeight="1">
      <c r="N991" s="770"/>
      <c r="O991" s="770"/>
    </row>
    <row r="992" ht="14.25" customHeight="1">
      <c r="N992" s="770"/>
      <c r="O992" s="770"/>
    </row>
    <row r="993" ht="14.25" customHeight="1">
      <c r="N993" s="770"/>
      <c r="O993" s="770"/>
    </row>
    <row r="994" ht="14.25" customHeight="1">
      <c r="N994" s="770"/>
      <c r="O994" s="770"/>
    </row>
    <row r="995" ht="14.25" customHeight="1">
      <c r="N995" s="770"/>
      <c r="O995" s="770"/>
    </row>
    <row r="996" ht="14.25" customHeight="1">
      <c r="N996" s="770"/>
      <c r="O996" s="770"/>
    </row>
    <row r="997" ht="14.25" customHeight="1">
      <c r="N997" s="770"/>
      <c r="O997" s="770"/>
    </row>
    <row r="998" ht="14.25" customHeight="1">
      <c r="N998" s="770"/>
      <c r="O998" s="770"/>
    </row>
    <row r="999" ht="14.25" customHeight="1">
      <c r="N999" s="770"/>
      <c r="O999" s="770"/>
    </row>
    <row r="1000" ht="14.25" customHeight="1">
      <c r="N1000" s="770"/>
      <c r="O1000" s="770"/>
    </row>
  </sheetData>
  <mergeCells count="15">
    <mergeCell ref="G19:H19"/>
    <mergeCell ref="G20:H20"/>
    <mergeCell ref="E23:H23"/>
    <mergeCell ref="E29:M29"/>
    <mergeCell ref="G32:H32"/>
    <mergeCell ref="G33:H33"/>
    <mergeCell ref="G34:H34"/>
    <mergeCell ref="E36:H36"/>
    <mergeCell ref="E3:M3"/>
    <mergeCell ref="G6:H6"/>
    <mergeCell ref="G7:H7"/>
    <mergeCell ref="G8:H8"/>
    <mergeCell ref="E12:H12"/>
    <mergeCell ref="E15:M15"/>
    <mergeCell ref="G18:H18"/>
  </mergeCells>
  <printOptions/>
  <pageMargins bottom="0.75" footer="0.0" header="0.0" left="0.7" right="0.7" top="0.75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86"/>
    <col customWidth="1" min="3" max="3" width="14.29"/>
    <col customWidth="1" min="4" max="4" width="13.0"/>
    <col customWidth="1" min="5" max="5" width="8.71"/>
    <col customWidth="1" min="6" max="6" width="6.43"/>
    <col customWidth="1" min="7" max="8" width="12.86"/>
    <col customWidth="1" min="9" max="9" width="14.0"/>
    <col customWidth="1" min="10" max="10" width="14.29"/>
    <col customWidth="1" min="11" max="12" width="8.86"/>
    <col customWidth="1" min="13" max="14" width="14.29"/>
    <col customWidth="1" min="15" max="26" width="8.86"/>
  </cols>
  <sheetData>
    <row r="1" ht="14.25" customHeight="1"/>
    <row r="2" ht="14.25" customHeight="1"/>
    <row r="3" ht="14.25" customHeight="1">
      <c r="B3" s="771" t="s">
        <v>1271</v>
      </c>
      <c r="C3" s="772"/>
      <c r="D3" s="772"/>
      <c r="E3" s="772"/>
      <c r="F3" s="772"/>
      <c r="G3" s="772"/>
      <c r="H3" s="772"/>
      <c r="I3" s="772"/>
      <c r="J3" s="773" t="s">
        <v>1254</v>
      </c>
    </row>
    <row r="4" ht="14.25" customHeight="1">
      <c r="B4" s="653" t="s">
        <v>1255</v>
      </c>
    </row>
    <row r="5" ht="14.25" customHeight="1">
      <c r="B5" s="772" t="s">
        <v>1256</v>
      </c>
      <c r="C5" s="772"/>
      <c r="D5" s="772"/>
      <c r="E5" s="772"/>
      <c r="F5" s="772"/>
      <c r="G5" s="772"/>
      <c r="H5" s="772"/>
      <c r="I5" s="772"/>
      <c r="J5" s="772"/>
    </row>
    <row r="6" ht="14.25" customHeight="1">
      <c r="B6" s="772" t="s">
        <v>1257</v>
      </c>
      <c r="C6" s="772"/>
      <c r="D6" s="777" t="s">
        <v>1272</v>
      </c>
      <c r="E6" s="777"/>
      <c r="F6" s="772"/>
      <c r="G6" s="772"/>
      <c r="H6" s="772"/>
      <c r="I6" s="772"/>
      <c r="J6" s="772"/>
    </row>
    <row r="7" ht="14.25" customHeight="1">
      <c r="B7" s="772" t="s">
        <v>1259</v>
      </c>
      <c r="C7" s="772"/>
      <c r="D7" s="778">
        <v>1.5795396183E9</v>
      </c>
      <c r="F7" s="772" t="s">
        <v>540</v>
      </c>
      <c r="G7" s="772"/>
      <c r="H7" s="772"/>
      <c r="I7" s="772"/>
      <c r="J7" s="772"/>
    </row>
    <row r="8" ht="14.25" customHeight="1">
      <c r="B8" s="772" t="s">
        <v>1273</v>
      </c>
      <c r="C8" s="772"/>
      <c r="D8" s="798">
        <v>0.08</v>
      </c>
      <c r="F8" s="772"/>
      <c r="G8" s="772"/>
      <c r="H8" s="772"/>
      <c r="I8" s="772"/>
      <c r="J8" s="772"/>
    </row>
    <row r="9" ht="14.25" customHeight="1">
      <c r="B9" s="780" t="s">
        <v>109</v>
      </c>
      <c r="C9" s="780" t="s">
        <v>1262</v>
      </c>
      <c r="D9" s="781" t="s">
        <v>1263</v>
      </c>
      <c r="E9" s="158"/>
      <c r="F9" s="780" t="s">
        <v>1264</v>
      </c>
      <c r="G9" s="780" t="s">
        <v>1265</v>
      </c>
      <c r="H9" s="780" t="s">
        <v>1274</v>
      </c>
      <c r="I9" s="780" t="s">
        <v>1267</v>
      </c>
      <c r="J9" s="780" t="s">
        <v>90</v>
      </c>
    </row>
    <row r="10" ht="14.25" customHeight="1">
      <c r="B10" s="785">
        <v>1.0</v>
      </c>
      <c r="C10" s="783">
        <f>+D7</f>
        <v>1579539618</v>
      </c>
      <c r="D10" s="784">
        <v>42710.0</v>
      </c>
      <c r="E10" s="784">
        <v>42735.0</v>
      </c>
      <c r="F10" s="785">
        <f>E10-D10</f>
        <v>25</v>
      </c>
      <c r="G10" s="786">
        <f>+C10*D8/365*F10</f>
        <v>8655011.607</v>
      </c>
      <c r="H10" s="786"/>
      <c r="I10" s="787">
        <f>+C10</f>
        <v>1579539618</v>
      </c>
      <c r="J10" s="783">
        <f>+C10+G10-H10</f>
        <v>1588194630</v>
      </c>
    </row>
    <row r="11" ht="14.25" customHeight="1">
      <c r="B11" s="789" t="s">
        <v>1268</v>
      </c>
      <c r="C11" s="158"/>
      <c r="D11" s="158"/>
      <c r="E11" s="158"/>
      <c r="F11" s="790">
        <f t="shared" ref="F11:H11" si="1">SUM(F10)</f>
        <v>25</v>
      </c>
      <c r="G11" s="791">
        <f t="shared" si="1"/>
        <v>8655011.607</v>
      </c>
      <c r="H11" s="791">
        <f t="shared" si="1"/>
        <v>0</v>
      </c>
      <c r="I11" s="791"/>
      <c r="J11" s="791">
        <f>SUM(J10)</f>
        <v>1588194630</v>
      </c>
    </row>
    <row r="12" ht="14.25" customHeight="1"/>
    <row r="13" ht="14.25" customHeight="1">
      <c r="B13" s="771" t="str">
        <f>+B3</f>
        <v>Техник Технологийн Дээд Сургууль</v>
      </c>
      <c r="C13" s="772"/>
      <c r="D13" s="772"/>
      <c r="E13" s="772"/>
      <c r="F13" s="772"/>
      <c r="G13" s="772"/>
      <c r="H13" s="772"/>
      <c r="I13" s="772"/>
      <c r="J13" s="773" t="str">
        <f>+J3</f>
        <v>2016.12.31</v>
      </c>
    </row>
    <row r="14" ht="14.25" customHeight="1">
      <c r="B14" s="653" t="s">
        <v>1255</v>
      </c>
    </row>
    <row r="15" ht="14.25" customHeight="1">
      <c r="B15" s="772" t="s">
        <v>1256</v>
      </c>
      <c r="C15" s="772"/>
      <c r="D15" s="772"/>
      <c r="E15" s="772"/>
      <c r="F15" s="772"/>
      <c r="G15" s="772"/>
      <c r="H15" s="772"/>
      <c r="I15" s="772"/>
      <c r="J15" s="772"/>
    </row>
    <row r="16" ht="14.25" customHeight="1">
      <c r="B16" s="772" t="s">
        <v>1257</v>
      </c>
      <c r="C16" s="772"/>
      <c r="D16" s="777" t="s">
        <v>1272</v>
      </c>
      <c r="E16" s="777"/>
      <c r="F16" s="772"/>
      <c r="G16" s="772"/>
      <c r="H16" s="772"/>
      <c r="I16" s="772"/>
      <c r="J16" s="772"/>
    </row>
    <row r="17" ht="14.25" customHeight="1">
      <c r="B17" s="772" t="s">
        <v>1259</v>
      </c>
      <c r="C17" s="772"/>
      <c r="D17" s="778">
        <v>697695.0</v>
      </c>
      <c r="F17" s="799" t="s">
        <v>1275</v>
      </c>
      <c r="G17" s="772"/>
      <c r="H17" s="772"/>
      <c r="I17" s="772"/>
      <c r="J17" s="772"/>
    </row>
    <row r="18" ht="14.25" customHeight="1">
      <c r="B18" s="772" t="s">
        <v>1273</v>
      </c>
      <c r="C18" s="772"/>
      <c r="D18" s="798">
        <v>0.12</v>
      </c>
      <c r="F18" s="772"/>
      <c r="G18" s="772"/>
      <c r="H18" s="772"/>
      <c r="I18" s="800" t="s">
        <v>108</v>
      </c>
      <c r="J18" s="801">
        <f>+'Loan port'!O6</f>
        <v>2463.23</v>
      </c>
    </row>
    <row r="19" ht="14.25" customHeight="1">
      <c r="B19" s="780" t="s">
        <v>109</v>
      </c>
      <c r="C19" s="780" t="s">
        <v>1262</v>
      </c>
      <c r="D19" s="781" t="s">
        <v>1263</v>
      </c>
      <c r="E19" s="158"/>
      <c r="F19" s="780" t="s">
        <v>1264</v>
      </c>
      <c r="G19" s="780" t="s">
        <v>1265</v>
      </c>
      <c r="H19" s="780" t="s">
        <v>1274</v>
      </c>
      <c r="I19" s="780" t="s">
        <v>1267</v>
      </c>
      <c r="J19" s="780" t="s">
        <v>90</v>
      </c>
    </row>
    <row r="20" ht="14.25" customHeight="1">
      <c r="B20" s="785">
        <v>1.0</v>
      </c>
      <c r="C20" s="783">
        <f>+D17</f>
        <v>697695</v>
      </c>
      <c r="D20" s="784">
        <v>42710.0</v>
      </c>
      <c r="E20" s="784">
        <v>42735.0</v>
      </c>
      <c r="F20" s="785">
        <f>E20-D20</f>
        <v>25</v>
      </c>
      <c r="G20" s="783">
        <f>+C20*D18/365*F20</f>
        <v>5734.479452</v>
      </c>
      <c r="H20" s="786"/>
      <c r="I20" s="783">
        <f>+C20+G20-H20</f>
        <v>703429.4795</v>
      </c>
      <c r="J20" s="783">
        <f>G20+H20</f>
        <v>5734.479452</v>
      </c>
    </row>
    <row r="21" ht="14.25" customHeight="1">
      <c r="B21" s="789" t="s">
        <v>1268</v>
      </c>
      <c r="C21" s="158"/>
      <c r="D21" s="158"/>
      <c r="E21" s="158"/>
      <c r="F21" s="790">
        <f t="shared" ref="F21:H21" si="2">SUM(F20)</f>
        <v>25</v>
      </c>
      <c r="G21" s="791">
        <f t="shared" si="2"/>
        <v>5734.479452</v>
      </c>
      <c r="H21" s="791">
        <f t="shared" si="2"/>
        <v>0</v>
      </c>
      <c r="I21" s="791"/>
      <c r="J21" s="791">
        <f>SUM(J20)</f>
        <v>5734.479452</v>
      </c>
      <c r="M21" s="802">
        <f>J21*J18</f>
        <v>14125341.82</v>
      </c>
      <c r="N21" s="793">
        <f>+M21+G11</f>
        <v>22780353.43</v>
      </c>
    </row>
    <row r="22" ht="14.25" customHeight="1">
      <c r="B22" s="772"/>
      <c r="C22" s="772"/>
      <c r="D22" s="795"/>
      <c r="E22" s="795"/>
      <c r="F22" s="772"/>
      <c r="G22" s="772"/>
      <c r="H22" s="772"/>
      <c r="I22" s="772"/>
      <c r="J22" s="772"/>
    </row>
    <row r="23" ht="14.25" customHeight="1">
      <c r="B23" s="772"/>
      <c r="C23" s="772"/>
      <c r="D23" s="795"/>
      <c r="E23" s="795"/>
      <c r="F23" s="772"/>
      <c r="G23" s="772"/>
      <c r="H23" s="772"/>
      <c r="I23" s="772"/>
      <c r="J23" s="772"/>
    </row>
    <row r="24" ht="14.25" customHeight="1">
      <c r="B24" s="771" t="s">
        <v>123</v>
      </c>
      <c r="C24" s="772"/>
      <c r="D24" s="772"/>
      <c r="E24" s="772"/>
      <c r="F24" s="772"/>
      <c r="G24" s="772"/>
      <c r="H24" s="772"/>
      <c r="I24" s="772"/>
      <c r="J24" s="773" t="str">
        <f>+J3</f>
        <v>2016.12.31</v>
      </c>
    </row>
    <row r="25" ht="14.25" customHeight="1">
      <c r="B25" s="653" t="s">
        <v>1255</v>
      </c>
    </row>
    <row r="26" ht="14.25" customHeight="1">
      <c r="B26" s="772" t="s">
        <v>1256</v>
      </c>
      <c r="C26" s="772"/>
      <c r="D26" s="772"/>
      <c r="E26" s="772"/>
      <c r="F26" s="772"/>
      <c r="G26" s="772"/>
      <c r="H26" s="772"/>
      <c r="I26" s="772"/>
      <c r="J26" s="772"/>
    </row>
    <row r="27" ht="14.25" customHeight="1">
      <c r="B27" s="772" t="s">
        <v>1257</v>
      </c>
      <c r="C27" s="772"/>
      <c r="D27" s="777" t="s">
        <v>1258</v>
      </c>
      <c r="E27" s="777"/>
      <c r="F27" s="772"/>
      <c r="G27" s="772"/>
      <c r="H27" s="772"/>
      <c r="I27" s="772"/>
      <c r="J27" s="772"/>
    </row>
    <row r="28" ht="14.25" customHeight="1">
      <c r="B28" s="772" t="s">
        <v>1259</v>
      </c>
      <c r="C28" s="772"/>
      <c r="D28" s="778">
        <v>1.73320822E8</v>
      </c>
      <c r="F28" s="772" t="s">
        <v>540</v>
      </c>
      <c r="G28" s="772"/>
      <c r="H28" s="772"/>
      <c r="I28" s="772"/>
      <c r="J28" s="772"/>
    </row>
    <row r="29" ht="14.25" customHeight="1">
      <c r="B29" s="772" t="s">
        <v>1260</v>
      </c>
      <c r="C29" s="772" t="s">
        <v>1261</v>
      </c>
      <c r="D29" s="779">
        <v>0.12</v>
      </c>
      <c r="F29" s="772"/>
      <c r="G29" s="772"/>
      <c r="H29" s="772"/>
      <c r="I29" s="772"/>
      <c r="J29" s="772"/>
    </row>
    <row r="30" ht="14.25" customHeight="1">
      <c r="B30" s="780" t="s">
        <v>109</v>
      </c>
      <c r="C30" s="780" t="s">
        <v>1262</v>
      </c>
      <c r="D30" s="781" t="s">
        <v>1263</v>
      </c>
      <c r="E30" s="158"/>
      <c r="F30" s="780" t="s">
        <v>1264</v>
      </c>
      <c r="G30" s="780" t="s">
        <v>1265</v>
      </c>
      <c r="H30" s="780" t="s">
        <v>1274</v>
      </c>
      <c r="I30" s="780" t="s">
        <v>1267</v>
      </c>
      <c r="J30" s="780" t="s">
        <v>90</v>
      </c>
    </row>
    <row r="31" ht="14.25" customHeight="1">
      <c r="B31" s="776">
        <v>1.0</v>
      </c>
      <c r="C31" s="783">
        <f>+D28</f>
        <v>173320822</v>
      </c>
      <c r="D31" s="784">
        <v>42643.0</v>
      </c>
      <c r="E31" s="784">
        <v>42735.0</v>
      </c>
      <c r="F31" s="785">
        <f>E31-D31</f>
        <v>92</v>
      </c>
      <c r="G31" s="783">
        <f>+D28*D29/365*F31</f>
        <v>5242361.301</v>
      </c>
      <c r="H31" s="786"/>
      <c r="I31" s="783">
        <f>+C31+G31-H31</f>
        <v>178563183.3</v>
      </c>
      <c r="J31" s="783">
        <f>G31+H31</f>
        <v>5242361.301</v>
      </c>
    </row>
    <row r="32" ht="14.25" customHeight="1">
      <c r="B32" s="789" t="s">
        <v>1268</v>
      </c>
      <c r="C32" s="158"/>
      <c r="D32" s="158"/>
      <c r="E32" s="158"/>
      <c r="F32" s="790">
        <f t="shared" ref="F32:H32" si="3">SUM(F31)</f>
        <v>92</v>
      </c>
      <c r="G32" s="791">
        <f t="shared" si="3"/>
        <v>5242361.301</v>
      </c>
      <c r="H32" s="791">
        <f t="shared" si="3"/>
        <v>0</v>
      </c>
      <c r="I32" s="791"/>
      <c r="J32" s="791">
        <f>SUM(J31)</f>
        <v>5242361.301</v>
      </c>
    </row>
    <row r="33" ht="14.25" customHeight="1">
      <c r="B33" s="772"/>
      <c r="C33" s="772"/>
      <c r="D33" s="772"/>
      <c r="E33" s="772"/>
      <c r="F33" s="772"/>
      <c r="G33" s="772"/>
      <c r="H33" s="772"/>
      <c r="I33" s="772"/>
      <c r="J33" s="772"/>
    </row>
    <row r="34" ht="14.25" customHeight="1">
      <c r="B34" s="772"/>
      <c r="C34" s="772"/>
      <c r="D34" s="772"/>
      <c r="E34" s="772"/>
      <c r="F34" s="772"/>
      <c r="G34" s="772"/>
      <c r="H34" s="772"/>
      <c r="I34" s="772"/>
      <c r="J34" s="772"/>
    </row>
    <row r="35" ht="14.25" customHeight="1">
      <c r="B35" s="772"/>
      <c r="C35" s="772"/>
      <c r="D35" s="772"/>
      <c r="E35" s="772"/>
      <c r="F35" s="772"/>
      <c r="G35" s="772"/>
      <c r="H35" s="772"/>
      <c r="I35" s="772"/>
      <c r="J35" s="772"/>
    </row>
    <row r="36" ht="14.25" customHeight="1">
      <c r="B36" s="803"/>
      <c r="C36" s="803"/>
      <c r="D36" s="803"/>
      <c r="E36" s="803"/>
      <c r="F36" s="803"/>
      <c r="G36" s="792"/>
      <c r="H36" s="792"/>
      <c r="I36" s="792"/>
      <c r="J36" s="792"/>
      <c r="K36" s="770"/>
    </row>
    <row r="37" ht="14.25" customHeight="1">
      <c r="B37" s="803"/>
      <c r="C37" s="803"/>
      <c r="D37" s="803"/>
      <c r="E37" s="803"/>
      <c r="F37" s="803"/>
      <c r="G37" s="792"/>
      <c r="H37" s="792"/>
      <c r="I37" s="792"/>
      <c r="J37" s="792"/>
      <c r="K37" s="770"/>
    </row>
    <row r="38" ht="14.25" customHeight="1">
      <c r="B38" s="772"/>
      <c r="C38" s="772"/>
      <c r="D38" s="772" t="s">
        <v>1269</v>
      </c>
      <c r="E38" s="505"/>
      <c r="F38" s="772"/>
      <c r="G38" s="772"/>
      <c r="H38" s="772"/>
      <c r="I38" s="772"/>
      <c r="J38" s="772"/>
    </row>
    <row r="39" ht="14.25" customHeight="1">
      <c r="B39" s="772"/>
      <c r="C39" s="772"/>
      <c r="D39" s="772"/>
      <c r="E39" s="772"/>
      <c r="F39" s="772"/>
      <c r="G39" s="772"/>
      <c r="H39" s="772"/>
      <c r="I39" s="772"/>
      <c r="J39" s="772"/>
    </row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5">
    <mergeCell ref="D18:E18"/>
    <mergeCell ref="D19:E19"/>
    <mergeCell ref="B21:E21"/>
    <mergeCell ref="B25:J25"/>
    <mergeCell ref="D28:E28"/>
    <mergeCell ref="D29:E29"/>
    <mergeCell ref="D30:E30"/>
    <mergeCell ref="B32:E32"/>
    <mergeCell ref="B4:J4"/>
    <mergeCell ref="D7:E7"/>
    <mergeCell ref="D8:E8"/>
    <mergeCell ref="D9:E9"/>
    <mergeCell ref="B11:E11"/>
    <mergeCell ref="B14:J14"/>
    <mergeCell ref="D17:E17"/>
  </mergeCells>
  <printOptions/>
  <pageMargins bottom="0.75" footer="0.0" header="0.0" left="0.7" right="0.7" top="0.75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43"/>
    <col customWidth="1" min="2" max="2" width="36.0"/>
    <col customWidth="1" hidden="1" min="3" max="4" width="13.43"/>
    <col customWidth="1" hidden="1" min="5" max="5" width="11.43"/>
    <col customWidth="1" hidden="1" min="6" max="6" width="12.71"/>
    <col customWidth="1" hidden="1" min="7" max="7" width="13.0"/>
    <col customWidth="1" hidden="1" min="8" max="8" width="12.71"/>
    <col customWidth="1" hidden="1" min="9" max="9" width="13.71"/>
    <col customWidth="1" hidden="1" min="10" max="10" width="12.71"/>
    <col customWidth="1" min="11" max="11" width="13.0"/>
    <col customWidth="1" min="12" max="12" width="12.71"/>
    <col customWidth="1" min="13" max="13" width="13.71"/>
    <col customWidth="1" min="14" max="14" width="12.71"/>
    <col customWidth="1" min="15" max="15" width="8.86"/>
    <col customWidth="1" min="16" max="16" width="18.86"/>
    <col customWidth="1" hidden="1" min="17" max="17" width="13.43"/>
    <col customWidth="1" hidden="1" min="18" max="18" width="9.14"/>
    <col customWidth="1" min="19" max="19" width="9.14"/>
    <col customWidth="1" hidden="1" min="20" max="20" width="14.0"/>
    <col customWidth="1" hidden="1" min="21" max="21" width="7.29"/>
    <col customWidth="1" hidden="1" min="22" max="22" width="15.43"/>
    <col customWidth="1" hidden="1" min="23" max="23" width="3.0"/>
    <col customWidth="1" hidden="1" min="24" max="24" width="33.71"/>
    <col customWidth="1" hidden="1" min="25" max="25" width="16.43"/>
    <col customWidth="1" hidden="1" min="26" max="27" width="13.43"/>
    <col customWidth="1" hidden="1" min="28" max="28" width="13.0"/>
    <col customWidth="1" hidden="1" min="29" max="29" width="13.71"/>
    <col customWidth="1" hidden="1" min="30" max="30" width="10.29"/>
    <col customWidth="1" hidden="1" min="31" max="31" width="13.0"/>
    <col customWidth="1" hidden="1" min="32" max="32" width="36.0"/>
  </cols>
  <sheetData>
    <row r="1" ht="12.0" customHeight="1">
      <c r="A1" s="175"/>
      <c r="B1" s="175"/>
      <c r="C1" s="597"/>
      <c r="D1" s="597"/>
      <c r="E1" s="597"/>
      <c r="F1" s="597"/>
      <c r="G1" s="181"/>
      <c r="H1" s="597"/>
      <c r="I1" s="175"/>
      <c r="J1" s="804">
        <v>42450.0</v>
      </c>
      <c r="K1" s="181"/>
      <c r="L1" s="597"/>
      <c r="M1" s="175"/>
      <c r="N1" s="804">
        <v>42450.0</v>
      </c>
      <c r="O1" s="805"/>
      <c r="P1" s="175"/>
      <c r="Q1" s="175"/>
      <c r="R1" s="175"/>
      <c r="S1" s="175"/>
      <c r="T1" s="597"/>
      <c r="U1" s="597"/>
      <c r="V1" s="597"/>
      <c r="W1" s="175"/>
      <c r="X1" s="175"/>
      <c r="Y1" s="175"/>
      <c r="Z1" s="175"/>
      <c r="AA1" s="175"/>
      <c r="AB1" s="175"/>
      <c r="AC1" s="175"/>
      <c r="AD1" s="804">
        <v>42450.0</v>
      </c>
      <c r="AE1" s="175"/>
      <c r="AF1" s="175"/>
    </row>
    <row r="2" ht="12.0" customHeight="1">
      <c r="A2" s="175"/>
      <c r="B2" s="806" t="s">
        <v>1276</v>
      </c>
      <c r="C2" s="597"/>
      <c r="D2" s="597"/>
      <c r="E2" s="597"/>
      <c r="F2" s="597"/>
      <c r="G2" s="597"/>
      <c r="H2" s="597"/>
      <c r="I2" s="806" t="s">
        <v>1277</v>
      </c>
      <c r="J2" s="807">
        <v>1950.0</v>
      </c>
      <c r="K2" s="597"/>
      <c r="L2" s="597"/>
      <c r="M2" s="806" t="s">
        <v>1277</v>
      </c>
      <c r="N2" s="807">
        <v>1950.0</v>
      </c>
      <c r="O2" s="805"/>
      <c r="P2" s="175"/>
      <c r="Q2" s="175"/>
      <c r="R2" s="175"/>
      <c r="S2" s="175"/>
      <c r="T2" s="597"/>
      <c r="U2" s="597"/>
      <c r="V2" s="597"/>
      <c r="W2" s="175"/>
      <c r="X2" s="806" t="s">
        <v>1278</v>
      </c>
      <c r="Y2" s="806"/>
      <c r="Z2" s="806"/>
      <c r="AA2" s="806"/>
      <c r="AB2" s="806"/>
      <c r="AC2" s="806" t="s">
        <v>1277</v>
      </c>
      <c r="AD2" s="808">
        <v>2000.0</v>
      </c>
      <c r="AE2" s="175"/>
      <c r="AF2" s="175"/>
    </row>
    <row r="3" ht="12.0" customHeight="1">
      <c r="A3" s="175"/>
      <c r="B3" s="806"/>
      <c r="C3" s="597"/>
      <c r="D3" s="597"/>
      <c r="E3" s="597"/>
      <c r="F3" s="597"/>
      <c r="G3" s="597"/>
      <c r="H3" s="597"/>
      <c r="I3" s="175"/>
      <c r="J3" s="175"/>
      <c r="K3" s="597"/>
      <c r="L3" s="597"/>
      <c r="M3" s="175"/>
      <c r="N3" s="175"/>
      <c r="O3" s="805"/>
      <c r="P3" s="175"/>
      <c r="Q3" s="175"/>
      <c r="R3" s="175"/>
      <c r="S3" s="175"/>
      <c r="T3" s="597"/>
      <c r="U3" s="597"/>
      <c r="V3" s="597"/>
      <c r="W3" s="175"/>
      <c r="X3" s="806"/>
      <c r="Y3" s="597"/>
      <c r="Z3" s="597"/>
      <c r="AA3" s="597"/>
      <c r="AB3" s="597"/>
      <c r="AC3" s="175"/>
      <c r="AD3" s="175"/>
      <c r="AE3" s="175"/>
      <c r="AF3" s="175"/>
    </row>
    <row r="4" ht="12.0" customHeight="1">
      <c r="A4" s="175"/>
      <c r="B4" s="809" t="s">
        <v>1279</v>
      </c>
      <c r="C4" s="810" t="s">
        <v>1280</v>
      </c>
      <c r="D4" s="810" t="s">
        <v>1280</v>
      </c>
      <c r="E4" s="811" t="s">
        <v>145</v>
      </c>
      <c r="F4" s="812"/>
      <c r="G4" s="813" t="s">
        <v>1281</v>
      </c>
      <c r="H4" s="812"/>
      <c r="I4" s="811" t="s">
        <v>1282</v>
      </c>
      <c r="J4" s="812"/>
      <c r="K4" s="813" t="s">
        <v>1283</v>
      </c>
      <c r="L4" s="812"/>
      <c r="M4" s="811" t="s">
        <v>588</v>
      </c>
      <c r="N4" s="812"/>
      <c r="O4" s="814" t="s">
        <v>1284</v>
      </c>
      <c r="P4" s="175"/>
      <c r="Q4" s="175"/>
      <c r="R4" s="175"/>
      <c r="S4" s="175"/>
      <c r="T4" s="597"/>
      <c r="U4" s="597"/>
      <c r="V4" s="597"/>
      <c r="W4" s="175"/>
      <c r="X4" s="809" t="s">
        <v>1279</v>
      </c>
      <c r="Y4" s="815" t="s">
        <v>1280</v>
      </c>
      <c r="Z4" s="815" t="s">
        <v>1280</v>
      </c>
      <c r="AA4" s="811" t="s">
        <v>145</v>
      </c>
      <c r="AB4" s="812"/>
      <c r="AC4" s="816" t="s">
        <v>1282</v>
      </c>
      <c r="AD4" s="814" t="s">
        <v>1284</v>
      </c>
      <c r="AE4" s="175"/>
      <c r="AF4" s="175"/>
    </row>
    <row r="5" ht="12.0" customHeight="1">
      <c r="A5" s="175"/>
      <c r="B5" s="182"/>
      <c r="C5" s="817" t="s">
        <v>1285</v>
      </c>
      <c r="D5" s="817" t="s">
        <v>1285</v>
      </c>
      <c r="E5" s="817" t="s">
        <v>66</v>
      </c>
      <c r="F5" s="817" t="s">
        <v>1286</v>
      </c>
      <c r="G5" s="817" t="s">
        <v>90</v>
      </c>
      <c r="H5" s="817" t="s">
        <v>1286</v>
      </c>
      <c r="I5" s="817" t="s">
        <v>1287</v>
      </c>
      <c r="J5" s="817" t="s">
        <v>1286</v>
      </c>
      <c r="K5" s="817" t="s">
        <v>90</v>
      </c>
      <c r="L5" s="817"/>
      <c r="M5" s="817" t="s">
        <v>1287</v>
      </c>
      <c r="N5" s="817" t="s">
        <v>1286</v>
      </c>
      <c r="O5" s="818"/>
      <c r="P5" s="181">
        <f>P6</f>
        <v>447008400</v>
      </c>
      <c r="Q5" s="175"/>
      <c r="R5" s="175"/>
      <c r="S5" s="175"/>
      <c r="T5" s="597"/>
      <c r="U5" s="597"/>
      <c r="V5" s="597"/>
      <c r="W5" s="175"/>
      <c r="X5" s="182"/>
      <c r="Y5" s="817" t="s">
        <v>1285</v>
      </c>
      <c r="Z5" s="817" t="s">
        <v>1285</v>
      </c>
      <c r="AA5" s="817" t="s">
        <v>66</v>
      </c>
      <c r="AB5" s="817" t="s">
        <v>1285</v>
      </c>
      <c r="AC5" s="817" t="s">
        <v>66</v>
      </c>
      <c r="AD5" s="818"/>
      <c r="AE5" s="175"/>
      <c r="AF5" s="175"/>
    </row>
    <row r="6" ht="12.0" customHeight="1">
      <c r="A6" s="806"/>
      <c r="B6" s="819" t="s">
        <v>1288</v>
      </c>
      <c r="C6" s="820">
        <f t="shared" ref="C6:E6" si="1">C11+C20+C7</f>
        <v>83750000</v>
      </c>
      <c r="D6" s="820">
        <f t="shared" si="1"/>
        <v>83750000</v>
      </c>
      <c r="E6" s="820">
        <f t="shared" si="1"/>
        <v>787929972.7</v>
      </c>
      <c r="F6" s="820">
        <f t="shared" ref="F6:F8" si="4">+E6/12</f>
        <v>65660831.06</v>
      </c>
      <c r="G6" s="820">
        <f>G11+G20+G7</f>
        <v>446310985.5</v>
      </c>
      <c r="H6" s="820">
        <f t="shared" ref="H6:H26" si="5">+G6/12</f>
        <v>37192582.12</v>
      </c>
      <c r="I6" s="820">
        <f>I11+I20+I7</f>
        <v>596011200</v>
      </c>
      <c r="J6" s="820">
        <f>J11+J20</f>
        <v>49667600</v>
      </c>
      <c r="K6" s="820">
        <f>K11+K20+K7</f>
        <v>446310985.5</v>
      </c>
      <c r="L6" s="820">
        <f t="shared" ref="L6:L26" si="7">+K6/12</f>
        <v>37192582.12</v>
      </c>
      <c r="M6" s="820">
        <f>M11+M20+M7</f>
        <v>596011200</v>
      </c>
      <c r="N6" s="820">
        <f>N11+N20</f>
        <v>49667600</v>
      </c>
      <c r="O6" s="821"/>
      <c r="P6" s="808">
        <f>J6*9</f>
        <v>447008400</v>
      </c>
      <c r="Q6" s="806">
        <f>+I6*1.1</f>
        <v>655612320</v>
      </c>
      <c r="R6" s="806" t="str">
        <f>+Q6-[9]cash2016!R6</f>
        <v>#ERROR!</v>
      </c>
      <c r="S6" s="806"/>
      <c r="T6" s="807"/>
      <c r="U6" s="807"/>
      <c r="V6" s="807"/>
      <c r="W6" s="806"/>
      <c r="X6" s="819" t="s">
        <v>1288</v>
      </c>
      <c r="Y6" s="820"/>
      <c r="Z6" s="820">
        <f t="shared" ref="Z6:AA6" si="2">+D6</f>
        <v>83750000</v>
      </c>
      <c r="AA6" s="820">
        <f t="shared" si="2"/>
        <v>787929972.7</v>
      </c>
      <c r="AB6" s="820">
        <f t="shared" ref="AB6:AB31" si="10">+G6</f>
        <v>446310985.5</v>
      </c>
      <c r="AC6" s="822">
        <f t="shared" ref="AC6:AC34" si="11">+I6</f>
        <v>596011200</v>
      </c>
      <c r="AD6" s="821"/>
      <c r="AE6" s="806"/>
      <c r="AF6" s="806"/>
    </row>
    <row r="7" ht="12.0" customHeight="1">
      <c r="A7" s="806"/>
      <c r="B7" s="819" t="s">
        <v>73</v>
      </c>
      <c r="C7" s="820">
        <f t="shared" ref="C7:E7" si="3">SUM(C8:C10)</f>
        <v>0</v>
      </c>
      <c r="D7" s="820">
        <f t="shared" si="3"/>
        <v>0</v>
      </c>
      <c r="E7" s="820">
        <f t="shared" si="3"/>
        <v>132500000</v>
      </c>
      <c r="F7" s="820">
        <f t="shared" si="4"/>
        <v>11041666.67</v>
      </c>
      <c r="G7" s="823">
        <f>SUM(G8:G10)</f>
        <v>206528986</v>
      </c>
      <c r="H7" s="820">
        <f t="shared" si="5"/>
        <v>17210748.83</v>
      </c>
      <c r="I7" s="820">
        <f t="shared" ref="I7:J7" si="6">I8+I10</f>
        <v>0</v>
      </c>
      <c r="J7" s="820">
        <f t="shared" si="6"/>
        <v>0</v>
      </c>
      <c r="K7" s="823">
        <f>SUM(K8:K10)</f>
        <v>206528986</v>
      </c>
      <c r="L7" s="820">
        <f t="shared" si="7"/>
        <v>17210748.83</v>
      </c>
      <c r="M7" s="820">
        <f t="shared" ref="M7:N7" si="8">M8+M10</f>
        <v>0</v>
      </c>
      <c r="N7" s="820">
        <f t="shared" si="8"/>
        <v>0</v>
      </c>
      <c r="O7" s="824" t="str">
        <f>+I7/I34</f>
        <v>#ERROR!</v>
      </c>
      <c r="P7" s="808">
        <f t="shared" ref="P7:P34" si="12">J7*11</f>
        <v>0</v>
      </c>
      <c r="Q7" s="806"/>
      <c r="R7" s="806"/>
      <c r="S7" s="806"/>
      <c r="T7" s="807"/>
      <c r="U7" s="807"/>
      <c r="V7" s="807"/>
      <c r="W7" s="806"/>
      <c r="X7" s="819" t="s">
        <v>73</v>
      </c>
      <c r="Y7" s="820"/>
      <c r="Z7" s="820">
        <f t="shared" ref="Z7:AA7" si="9">+D7</f>
        <v>0</v>
      </c>
      <c r="AA7" s="820">
        <f t="shared" si="9"/>
        <v>132500000</v>
      </c>
      <c r="AB7" s="820">
        <f t="shared" si="10"/>
        <v>206528986</v>
      </c>
      <c r="AC7" s="822">
        <f t="shared" si="11"/>
        <v>0</v>
      </c>
      <c r="AD7" s="824" t="str">
        <f>+AC7/AC34</f>
        <v>#ERROR!</v>
      </c>
      <c r="AE7" s="806"/>
      <c r="AF7" s="806"/>
    </row>
    <row r="8" ht="12.0" customHeight="1">
      <c r="A8" s="175"/>
      <c r="B8" s="825" t="s">
        <v>1289</v>
      </c>
      <c r="C8" s="826">
        <v>0.0</v>
      </c>
      <c r="D8" s="826">
        <v>0.0</v>
      </c>
      <c r="E8" s="826">
        <v>8.25E7</v>
      </c>
      <c r="F8" s="826">
        <f t="shared" si="4"/>
        <v>6875000</v>
      </c>
      <c r="G8" s="826">
        <f>106528986</f>
        <v>106528986</v>
      </c>
      <c r="H8" s="826">
        <f t="shared" si="5"/>
        <v>8877415.5</v>
      </c>
      <c r="I8" s="826">
        <v>0.0</v>
      </c>
      <c r="J8" s="826"/>
      <c r="K8" s="826">
        <f>106528986</f>
        <v>106528986</v>
      </c>
      <c r="L8" s="826">
        <f t="shared" si="7"/>
        <v>8877415.5</v>
      </c>
      <c r="M8" s="826">
        <v>0.0</v>
      </c>
      <c r="N8" s="826"/>
      <c r="O8" s="827">
        <f>M8/L8</f>
        <v>0</v>
      </c>
      <c r="P8" s="808">
        <f t="shared" si="12"/>
        <v>0</v>
      </c>
      <c r="Q8" s="175"/>
      <c r="R8" s="175"/>
      <c r="S8" s="175"/>
      <c r="T8" s="597"/>
      <c r="U8" s="597"/>
      <c r="V8" s="597"/>
      <c r="W8" s="175"/>
      <c r="X8" s="825" t="s">
        <v>1289</v>
      </c>
      <c r="Y8" s="826"/>
      <c r="Z8" s="826">
        <f t="shared" ref="Z8:AA8" si="13">+D8</f>
        <v>0</v>
      </c>
      <c r="AA8" s="826">
        <f t="shared" si="13"/>
        <v>82500000</v>
      </c>
      <c r="AB8" s="826">
        <f t="shared" si="10"/>
        <v>106528986</v>
      </c>
      <c r="AC8" s="828">
        <f t="shared" si="11"/>
        <v>0</v>
      </c>
      <c r="AD8" s="827"/>
      <c r="AE8" s="175"/>
      <c r="AF8" s="175"/>
    </row>
    <row r="9" ht="12.0" customHeight="1">
      <c r="A9" s="175"/>
      <c r="B9" s="825" t="s">
        <v>1290</v>
      </c>
      <c r="C9" s="826"/>
      <c r="D9" s="826"/>
      <c r="E9" s="826"/>
      <c r="F9" s="826"/>
      <c r="G9" s="826">
        <f>22500000+10000000+15000000+2500000</f>
        <v>50000000</v>
      </c>
      <c r="H9" s="826">
        <f t="shared" si="5"/>
        <v>4166666.667</v>
      </c>
      <c r="I9" s="826">
        <v>0.0</v>
      </c>
      <c r="J9" s="826"/>
      <c r="K9" s="826">
        <f>22500000+10000000+15000000+2500000</f>
        <v>50000000</v>
      </c>
      <c r="L9" s="826">
        <f t="shared" si="7"/>
        <v>4166666.667</v>
      </c>
      <c r="M9" s="826">
        <v>0.0</v>
      </c>
      <c r="N9" s="826"/>
      <c r="O9" s="827"/>
      <c r="P9" s="808">
        <f t="shared" si="12"/>
        <v>0</v>
      </c>
      <c r="Q9" s="175"/>
      <c r="R9" s="175"/>
      <c r="S9" s="175"/>
      <c r="T9" s="597">
        <v>6600000.0</v>
      </c>
      <c r="U9" s="597"/>
      <c r="V9" s="597"/>
      <c r="W9" s="175"/>
      <c r="X9" s="825" t="s">
        <v>1290</v>
      </c>
      <c r="Y9" s="826"/>
      <c r="Z9" s="826" t="str">
        <f t="shared" ref="Z9:AA9" si="14">+D9</f>
        <v/>
      </c>
      <c r="AA9" s="826" t="str">
        <f t="shared" si="14"/>
        <v/>
      </c>
      <c r="AB9" s="826">
        <f t="shared" si="10"/>
        <v>50000000</v>
      </c>
      <c r="AC9" s="828">
        <f t="shared" si="11"/>
        <v>0</v>
      </c>
      <c r="AD9" s="827"/>
      <c r="AE9" s="175"/>
      <c r="AF9" s="175"/>
    </row>
    <row r="10" ht="12.0" customHeight="1">
      <c r="A10" s="175"/>
      <c r="B10" s="825" t="s">
        <v>347</v>
      </c>
      <c r="C10" s="826">
        <v>0.0</v>
      </c>
      <c r="D10" s="826">
        <v>0.0</v>
      </c>
      <c r="E10" s="826">
        <v>5.0E7</v>
      </c>
      <c r="F10" s="826">
        <f t="shared" ref="F10:F31" si="17">+E10/12</f>
        <v>4166666.667</v>
      </c>
      <c r="G10" s="826">
        <v>5.0E7</v>
      </c>
      <c r="H10" s="826">
        <f t="shared" si="5"/>
        <v>4166666.667</v>
      </c>
      <c r="I10" s="826">
        <v>0.0</v>
      </c>
      <c r="J10" s="826"/>
      <c r="K10" s="826">
        <v>5.0E7</v>
      </c>
      <c r="L10" s="826">
        <f t="shared" si="7"/>
        <v>4166666.667</v>
      </c>
      <c r="M10" s="826">
        <v>0.0</v>
      </c>
      <c r="N10" s="826"/>
      <c r="O10" s="827"/>
      <c r="P10" s="808">
        <f t="shared" si="12"/>
        <v>0</v>
      </c>
      <c r="Q10" s="175"/>
      <c r="R10" s="175"/>
      <c r="S10" s="175"/>
      <c r="T10" s="597"/>
      <c r="U10" s="597"/>
      <c r="V10" s="597"/>
      <c r="W10" s="175"/>
      <c r="X10" s="825" t="s">
        <v>347</v>
      </c>
      <c r="Y10" s="826"/>
      <c r="Z10" s="826">
        <f t="shared" ref="Z10:AA10" si="15">+D10</f>
        <v>0</v>
      </c>
      <c r="AA10" s="826">
        <f t="shared" si="15"/>
        <v>50000000</v>
      </c>
      <c r="AB10" s="826">
        <f t="shared" si="10"/>
        <v>50000000</v>
      </c>
      <c r="AC10" s="828">
        <f t="shared" si="11"/>
        <v>0</v>
      </c>
      <c r="AD10" s="827"/>
      <c r="AE10" s="175"/>
      <c r="AF10" s="175"/>
    </row>
    <row r="11" ht="12.0" customHeight="1">
      <c r="A11" s="806"/>
      <c r="B11" s="829" t="s">
        <v>1291</v>
      </c>
      <c r="C11" s="820">
        <f t="shared" ref="C11:E11" si="16">SUM(C12:C19)</f>
        <v>83750000</v>
      </c>
      <c r="D11" s="820">
        <f t="shared" si="16"/>
        <v>83750000</v>
      </c>
      <c r="E11" s="820">
        <f t="shared" si="16"/>
        <v>229618772.7</v>
      </c>
      <c r="F11" s="820">
        <f t="shared" si="17"/>
        <v>19134897.73</v>
      </c>
      <c r="G11" s="823">
        <f>SUM(G12:G19)</f>
        <v>109170799.5</v>
      </c>
      <c r="H11" s="820">
        <f t="shared" si="5"/>
        <v>9097566.624</v>
      </c>
      <c r="I11" s="820">
        <f t="shared" ref="I11:K11" si="18">SUM(I12:I19)</f>
        <v>253200000</v>
      </c>
      <c r="J11" s="820">
        <f t="shared" si="18"/>
        <v>21100000</v>
      </c>
      <c r="K11" s="823">
        <f t="shared" si="18"/>
        <v>109170799.5</v>
      </c>
      <c r="L11" s="820">
        <f t="shared" si="7"/>
        <v>9097566.624</v>
      </c>
      <c r="M11" s="820">
        <f t="shared" ref="M11:N11" si="19">SUM(M12:M19)</f>
        <v>253200000</v>
      </c>
      <c r="N11" s="820">
        <f t="shared" si="19"/>
        <v>21100000</v>
      </c>
      <c r="O11" s="824" t="str">
        <f>I11/I34</f>
        <v>#ERROR!</v>
      </c>
      <c r="P11" s="808">
        <f t="shared" si="12"/>
        <v>232100000</v>
      </c>
      <c r="Q11" s="806">
        <f>+I11*1.1</f>
        <v>278520000</v>
      </c>
      <c r="R11" s="806" t="str">
        <f>+Q11-[9]cash2016!R7</f>
        <v>#ERROR!</v>
      </c>
      <c r="S11" s="808"/>
      <c r="T11" s="807"/>
      <c r="U11" s="807"/>
      <c r="V11" s="807"/>
      <c r="W11" s="806"/>
      <c r="X11" s="829" t="s">
        <v>1291</v>
      </c>
      <c r="Y11" s="820"/>
      <c r="Z11" s="820">
        <f t="shared" ref="Z11:AA11" si="20">+D11</f>
        <v>83750000</v>
      </c>
      <c r="AA11" s="820">
        <f t="shared" si="20"/>
        <v>229618772.7</v>
      </c>
      <c r="AB11" s="820">
        <f t="shared" si="10"/>
        <v>109170799.5</v>
      </c>
      <c r="AC11" s="822">
        <f t="shared" si="11"/>
        <v>253200000</v>
      </c>
      <c r="AD11" s="824" t="str">
        <f>AC11/AC34</f>
        <v>#ERROR!</v>
      </c>
      <c r="AE11" s="806"/>
      <c r="AF11" s="806"/>
    </row>
    <row r="12" ht="12.0" customHeight="1">
      <c r="A12" s="175"/>
      <c r="B12" s="825" t="s">
        <v>1289</v>
      </c>
      <c r="C12" s="828">
        <v>2.7E7</v>
      </c>
      <c r="D12" s="828">
        <v>2.7E7</v>
      </c>
      <c r="E12" s="828">
        <v>3.6E7</v>
      </c>
      <c r="F12" s="826">
        <f t="shared" si="17"/>
        <v>3000000</v>
      </c>
      <c r="G12" s="828">
        <f>3000000*12</f>
        <v>36000000</v>
      </c>
      <c r="H12" s="826">
        <f t="shared" si="5"/>
        <v>3000000</v>
      </c>
      <c r="I12" s="828">
        <f>4000000*12</f>
        <v>48000000</v>
      </c>
      <c r="J12" s="828">
        <f t="shared" ref="J12:J26" si="22">I12/12</f>
        <v>4000000</v>
      </c>
      <c r="K12" s="828">
        <f>3000000*12</f>
        <v>36000000</v>
      </c>
      <c r="L12" s="826">
        <f t="shared" si="7"/>
        <v>3000000</v>
      </c>
      <c r="M12" s="828">
        <f>4000000*12</f>
        <v>48000000</v>
      </c>
      <c r="N12" s="828">
        <f t="shared" ref="N12:N26" si="23">M12/12</f>
        <v>4000000</v>
      </c>
      <c r="O12" s="827"/>
      <c r="P12" s="808">
        <f t="shared" si="12"/>
        <v>44000000</v>
      </c>
      <c r="Q12" s="175"/>
      <c r="R12" s="175"/>
      <c r="S12" s="175"/>
      <c r="T12" s="597"/>
      <c r="U12" s="597"/>
      <c r="V12" s="597"/>
      <c r="W12" s="175"/>
      <c r="X12" s="825" t="s">
        <v>1289</v>
      </c>
      <c r="Y12" s="826"/>
      <c r="Z12" s="826">
        <f t="shared" ref="Z12:AA12" si="21">+D12</f>
        <v>27000000</v>
      </c>
      <c r="AA12" s="826">
        <f t="shared" si="21"/>
        <v>36000000</v>
      </c>
      <c r="AB12" s="826">
        <f t="shared" si="10"/>
        <v>36000000</v>
      </c>
      <c r="AC12" s="828">
        <f t="shared" si="11"/>
        <v>48000000</v>
      </c>
      <c r="AD12" s="827"/>
      <c r="AE12" s="175"/>
      <c r="AF12" s="175"/>
    </row>
    <row r="13" ht="12.0" customHeight="1">
      <c r="A13" s="175"/>
      <c r="B13" s="825" t="s">
        <v>347</v>
      </c>
      <c r="C13" s="828">
        <v>9000000.0</v>
      </c>
      <c r="D13" s="828">
        <v>9000000.0</v>
      </c>
      <c r="E13" s="828">
        <v>2.4E7</v>
      </c>
      <c r="F13" s="826">
        <f t="shared" si="17"/>
        <v>2000000</v>
      </c>
      <c r="G13" s="828">
        <f>2000000*12</f>
        <v>24000000</v>
      </c>
      <c r="H13" s="826">
        <f t="shared" si="5"/>
        <v>2000000</v>
      </c>
      <c r="I13" s="828">
        <f>3000000*12</f>
        <v>36000000</v>
      </c>
      <c r="J13" s="828">
        <f t="shared" si="22"/>
        <v>3000000</v>
      </c>
      <c r="K13" s="828">
        <f>2000000*12</f>
        <v>24000000</v>
      </c>
      <c r="L13" s="826">
        <f t="shared" si="7"/>
        <v>2000000</v>
      </c>
      <c r="M13" s="828">
        <f>3000000*12</f>
        <v>36000000</v>
      </c>
      <c r="N13" s="828">
        <f t="shared" si="23"/>
        <v>3000000</v>
      </c>
      <c r="O13" s="827"/>
      <c r="P13" s="808">
        <f t="shared" si="12"/>
        <v>33000000</v>
      </c>
      <c r="Q13" s="175"/>
      <c r="R13" s="175"/>
      <c r="S13" s="175"/>
      <c r="T13" s="597"/>
      <c r="U13" s="597"/>
      <c r="V13" s="597"/>
      <c r="W13" s="175"/>
      <c r="X13" s="825" t="s">
        <v>347</v>
      </c>
      <c r="Y13" s="826"/>
      <c r="Z13" s="826">
        <f t="shared" ref="Z13:AA13" si="24">+D13</f>
        <v>9000000</v>
      </c>
      <c r="AA13" s="826">
        <f t="shared" si="24"/>
        <v>24000000</v>
      </c>
      <c r="AB13" s="826">
        <f t="shared" si="10"/>
        <v>24000000</v>
      </c>
      <c r="AC13" s="828">
        <f t="shared" si="11"/>
        <v>36000000</v>
      </c>
      <c r="AD13" s="827"/>
      <c r="AE13" s="175"/>
      <c r="AF13" s="175"/>
    </row>
    <row r="14" ht="12.0" customHeight="1">
      <c r="A14" s="175"/>
      <c r="B14" s="825" t="s">
        <v>1290</v>
      </c>
      <c r="C14" s="828">
        <v>9000000.0</v>
      </c>
      <c r="D14" s="828">
        <v>9000000.0</v>
      </c>
      <c r="E14" s="828">
        <v>1.2E7</v>
      </c>
      <c r="F14" s="826">
        <f t="shared" si="17"/>
        <v>1000000</v>
      </c>
      <c r="G14" s="828">
        <f>1000000*12</f>
        <v>12000000</v>
      </c>
      <c r="H14" s="826">
        <f t="shared" si="5"/>
        <v>1000000</v>
      </c>
      <c r="I14" s="828">
        <f>2000000*12</f>
        <v>24000000</v>
      </c>
      <c r="J14" s="828">
        <f t="shared" si="22"/>
        <v>2000000</v>
      </c>
      <c r="K14" s="828">
        <f>1000000*12</f>
        <v>12000000</v>
      </c>
      <c r="L14" s="826">
        <f t="shared" si="7"/>
        <v>1000000</v>
      </c>
      <c r="M14" s="828">
        <f>2000000*12</f>
        <v>24000000</v>
      </c>
      <c r="N14" s="828">
        <f t="shared" si="23"/>
        <v>2000000</v>
      </c>
      <c r="O14" s="827"/>
      <c r="P14" s="808">
        <f t="shared" si="12"/>
        <v>22000000</v>
      </c>
      <c r="Q14" s="175"/>
      <c r="R14" s="175"/>
      <c r="S14" s="175"/>
      <c r="T14" s="597"/>
      <c r="U14" s="597"/>
      <c r="V14" s="597"/>
      <c r="W14" s="175"/>
      <c r="X14" s="825" t="s">
        <v>1290</v>
      </c>
      <c r="Y14" s="826"/>
      <c r="Z14" s="826">
        <f t="shared" ref="Z14:AA14" si="25">+D14</f>
        <v>9000000</v>
      </c>
      <c r="AA14" s="826">
        <f t="shared" si="25"/>
        <v>12000000</v>
      </c>
      <c r="AB14" s="826">
        <f t="shared" si="10"/>
        <v>12000000</v>
      </c>
      <c r="AC14" s="828">
        <f t="shared" si="11"/>
        <v>24000000</v>
      </c>
      <c r="AD14" s="827"/>
      <c r="AE14" s="175"/>
      <c r="AF14" s="175"/>
    </row>
    <row r="15" ht="12.0" customHeight="1">
      <c r="A15" s="175"/>
      <c r="B15" s="825" t="s">
        <v>348</v>
      </c>
      <c r="C15" s="828">
        <v>0.0</v>
      </c>
      <c r="D15" s="828">
        <v>0.0</v>
      </c>
      <c r="E15" s="828">
        <v>1.2E7</v>
      </c>
      <c r="F15" s="826">
        <f t="shared" si="17"/>
        <v>1000000</v>
      </c>
      <c r="G15" s="828">
        <v>0.0</v>
      </c>
      <c r="H15" s="826">
        <f t="shared" si="5"/>
        <v>0</v>
      </c>
      <c r="I15" s="828">
        <f>1000000*12</f>
        <v>12000000</v>
      </c>
      <c r="J15" s="828">
        <f t="shared" si="22"/>
        <v>1000000</v>
      </c>
      <c r="K15" s="828">
        <v>0.0</v>
      </c>
      <c r="L15" s="826">
        <f t="shared" si="7"/>
        <v>0</v>
      </c>
      <c r="M15" s="828">
        <f>1000000*12</f>
        <v>12000000</v>
      </c>
      <c r="N15" s="828">
        <f t="shared" si="23"/>
        <v>1000000</v>
      </c>
      <c r="O15" s="827"/>
      <c r="P15" s="808">
        <f t="shared" si="12"/>
        <v>11000000</v>
      </c>
      <c r="Q15" s="175"/>
      <c r="R15" s="175"/>
      <c r="S15" s="175"/>
      <c r="T15" s="597"/>
      <c r="U15" s="597"/>
      <c r="V15" s="597"/>
      <c r="W15" s="175"/>
      <c r="X15" s="825" t="s">
        <v>348</v>
      </c>
      <c r="Y15" s="826"/>
      <c r="Z15" s="826">
        <f t="shared" ref="Z15:AA15" si="26">+D15</f>
        <v>0</v>
      </c>
      <c r="AA15" s="826">
        <f t="shared" si="26"/>
        <v>12000000</v>
      </c>
      <c r="AB15" s="826">
        <f t="shared" si="10"/>
        <v>0</v>
      </c>
      <c r="AC15" s="828">
        <f t="shared" si="11"/>
        <v>12000000</v>
      </c>
      <c r="AD15" s="827"/>
      <c r="AE15" s="175"/>
      <c r="AF15" s="175"/>
    </row>
    <row r="16" ht="12.0" customHeight="1">
      <c r="A16" s="175"/>
      <c r="B16" s="825" t="s">
        <v>1292</v>
      </c>
      <c r="C16" s="828">
        <v>3.71E7</v>
      </c>
      <c r="D16" s="828">
        <v>3.71E7</v>
      </c>
      <c r="E16" s="828">
        <v>1.2581877273E8</v>
      </c>
      <c r="F16" s="826">
        <f t="shared" si="17"/>
        <v>10484897.73</v>
      </c>
      <c r="G16" s="828">
        <f>(113185794.6-98731675.01-1314000)+18000000-1651130.1</f>
        <v>29488989.49</v>
      </c>
      <c r="H16" s="826">
        <f t="shared" si="5"/>
        <v>2457415.791</v>
      </c>
      <c r="I16" s="828">
        <f>6600000*3+8600000*3+10600000*3+12000000*3</f>
        <v>113400000</v>
      </c>
      <c r="J16" s="828">
        <f t="shared" si="22"/>
        <v>9450000</v>
      </c>
      <c r="K16" s="828">
        <f>(113185794.6-98731675.01-1314000)+18000000-1651130.1</f>
        <v>29488989.49</v>
      </c>
      <c r="L16" s="826">
        <f t="shared" si="7"/>
        <v>2457415.791</v>
      </c>
      <c r="M16" s="828">
        <f>6600000*3+8600000*3+10600000*3+12000000*3</f>
        <v>113400000</v>
      </c>
      <c r="N16" s="828">
        <f t="shared" si="23"/>
        <v>9450000</v>
      </c>
      <c r="O16" s="827"/>
      <c r="P16" s="808">
        <f t="shared" si="12"/>
        <v>103950000</v>
      </c>
      <c r="Q16" s="175"/>
      <c r="R16" s="175"/>
      <c r="S16" s="175"/>
      <c r="T16" s="597"/>
      <c r="U16" s="597"/>
      <c r="V16" s="597"/>
      <c r="W16" s="175"/>
      <c r="X16" s="825" t="s">
        <v>1292</v>
      </c>
      <c r="Y16" s="826"/>
      <c r="Z16" s="826">
        <f t="shared" ref="Z16:AA16" si="27">+D16</f>
        <v>37100000</v>
      </c>
      <c r="AA16" s="826">
        <f t="shared" si="27"/>
        <v>125818772.7</v>
      </c>
      <c r="AB16" s="826">
        <f t="shared" si="10"/>
        <v>29488989.49</v>
      </c>
      <c r="AC16" s="828">
        <f t="shared" si="11"/>
        <v>113400000</v>
      </c>
      <c r="AD16" s="827"/>
      <c r="AE16" s="175"/>
      <c r="AF16" s="175"/>
    </row>
    <row r="17" ht="12.0" customHeight="1">
      <c r="A17" s="175"/>
      <c r="B17" s="825" t="s">
        <v>227</v>
      </c>
      <c r="C17" s="828">
        <v>0.0</v>
      </c>
      <c r="D17" s="828">
        <v>0.0</v>
      </c>
      <c r="E17" s="828">
        <v>7800000.0</v>
      </c>
      <c r="F17" s="826">
        <f t="shared" si="17"/>
        <v>650000</v>
      </c>
      <c r="G17" s="828">
        <v>1181810.0</v>
      </c>
      <c r="H17" s="826">
        <f t="shared" si="5"/>
        <v>98484.16667</v>
      </c>
      <c r="I17" s="828">
        <f>650000*12</f>
        <v>7800000</v>
      </c>
      <c r="J17" s="828">
        <f t="shared" si="22"/>
        <v>650000</v>
      </c>
      <c r="K17" s="828">
        <v>1181810.0</v>
      </c>
      <c r="L17" s="826">
        <f t="shared" si="7"/>
        <v>98484.16667</v>
      </c>
      <c r="M17" s="828">
        <f>650000*12</f>
        <v>7800000</v>
      </c>
      <c r="N17" s="828">
        <f t="shared" si="23"/>
        <v>650000</v>
      </c>
      <c r="O17" s="827"/>
      <c r="P17" s="808">
        <f t="shared" si="12"/>
        <v>7150000</v>
      </c>
      <c r="Q17" s="175"/>
      <c r="R17" s="175"/>
      <c r="S17" s="175"/>
      <c r="T17" s="597"/>
      <c r="U17" s="597"/>
      <c r="V17" s="597"/>
      <c r="W17" s="175"/>
      <c r="X17" s="825" t="s">
        <v>227</v>
      </c>
      <c r="Y17" s="826"/>
      <c r="Z17" s="826">
        <f t="shared" ref="Z17:AA17" si="28">+D17</f>
        <v>0</v>
      </c>
      <c r="AA17" s="826">
        <f t="shared" si="28"/>
        <v>7800000</v>
      </c>
      <c r="AB17" s="826">
        <f t="shared" si="10"/>
        <v>1181810</v>
      </c>
      <c r="AC17" s="828">
        <f t="shared" si="11"/>
        <v>7800000</v>
      </c>
      <c r="AD17" s="827"/>
      <c r="AE17" s="175"/>
      <c r="AF17" s="175"/>
    </row>
    <row r="18" ht="12.0" customHeight="1">
      <c r="A18" s="175"/>
      <c r="B18" s="825" t="s">
        <v>195</v>
      </c>
      <c r="C18" s="828">
        <v>1650000.0</v>
      </c>
      <c r="D18" s="828">
        <v>1650000.0</v>
      </c>
      <c r="E18" s="828">
        <v>6000000.0</v>
      </c>
      <c r="F18" s="826">
        <f t="shared" si="17"/>
        <v>500000</v>
      </c>
      <c r="G18" s="828">
        <f>500000*9</f>
        <v>4500000</v>
      </c>
      <c r="H18" s="826">
        <f t="shared" si="5"/>
        <v>375000</v>
      </c>
      <c r="I18" s="828">
        <f t="shared" ref="I18:I19" si="30">500000*12</f>
        <v>6000000</v>
      </c>
      <c r="J18" s="828">
        <f t="shared" si="22"/>
        <v>500000</v>
      </c>
      <c r="K18" s="828">
        <f>500000*9</f>
        <v>4500000</v>
      </c>
      <c r="L18" s="826">
        <f t="shared" si="7"/>
        <v>375000</v>
      </c>
      <c r="M18" s="828">
        <f t="shared" ref="M18:M19" si="31">500000*12</f>
        <v>6000000</v>
      </c>
      <c r="N18" s="828">
        <f t="shared" si="23"/>
        <v>500000</v>
      </c>
      <c r="O18" s="827"/>
      <c r="P18" s="808">
        <f t="shared" si="12"/>
        <v>5500000</v>
      </c>
      <c r="Q18" s="175"/>
      <c r="R18" s="175"/>
      <c r="S18" s="175"/>
      <c r="T18" s="597"/>
      <c r="U18" s="597"/>
      <c r="V18" s="597"/>
      <c r="W18" s="175"/>
      <c r="X18" s="825" t="s">
        <v>195</v>
      </c>
      <c r="Y18" s="826"/>
      <c r="Z18" s="826">
        <f t="shared" ref="Z18:AA18" si="29">+D18</f>
        <v>1650000</v>
      </c>
      <c r="AA18" s="826">
        <f t="shared" si="29"/>
        <v>6000000</v>
      </c>
      <c r="AB18" s="826">
        <f t="shared" si="10"/>
        <v>4500000</v>
      </c>
      <c r="AC18" s="828">
        <f t="shared" si="11"/>
        <v>6000000</v>
      </c>
      <c r="AD18" s="827"/>
      <c r="AE18" s="175"/>
      <c r="AF18" s="175"/>
    </row>
    <row r="19" ht="12.0" customHeight="1">
      <c r="A19" s="175"/>
      <c r="B19" s="825" t="s">
        <v>1293</v>
      </c>
      <c r="C19" s="828">
        <v>0.0</v>
      </c>
      <c r="D19" s="828">
        <v>0.0</v>
      </c>
      <c r="E19" s="828">
        <v>6000000.0</v>
      </c>
      <c r="F19" s="826">
        <f t="shared" si="17"/>
        <v>500000</v>
      </c>
      <c r="G19" s="828">
        <f>500000*4</f>
        <v>2000000</v>
      </c>
      <c r="H19" s="826">
        <f t="shared" si="5"/>
        <v>166666.6667</v>
      </c>
      <c r="I19" s="828">
        <f t="shared" si="30"/>
        <v>6000000</v>
      </c>
      <c r="J19" s="828">
        <f t="shared" si="22"/>
        <v>500000</v>
      </c>
      <c r="K19" s="828">
        <f>500000*4</f>
        <v>2000000</v>
      </c>
      <c r="L19" s="826">
        <f t="shared" si="7"/>
        <v>166666.6667</v>
      </c>
      <c r="M19" s="828">
        <f t="shared" si="31"/>
        <v>6000000</v>
      </c>
      <c r="N19" s="828">
        <f t="shared" si="23"/>
        <v>500000</v>
      </c>
      <c r="O19" s="827"/>
      <c r="P19" s="808">
        <f t="shared" si="12"/>
        <v>5500000</v>
      </c>
      <c r="Q19" s="175"/>
      <c r="R19" s="175"/>
      <c r="S19" s="175"/>
      <c r="T19" s="597"/>
      <c r="U19" s="597"/>
      <c r="V19" s="597"/>
      <c r="W19" s="175"/>
      <c r="X19" s="825" t="s">
        <v>1293</v>
      </c>
      <c r="Y19" s="826"/>
      <c r="Z19" s="826">
        <f t="shared" ref="Z19:AA19" si="32">+D19</f>
        <v>0</v>
      </c>
      <c r="AA19" s="826">
        <f t="shared" si="32"/>
        <v>6000000</v>
      </c>
      <c r="AB19" s="826">
        <f t="shared" si="10"/>
        <v>2000000</v>
      </c>
      <c r="AC19" s="828">
        <f t="shared" si="11"/>
        <v>6000000</v>
      </c>
      <c r="AD19" s="827"/>
      <c r="AE19" s="175"/>
      <c r="AF19" s="175"/>
    </row>
    <row r="20" ht="12.0" customHeight="1">
      <c r="A20" s="806"/>
      <c r="B20" s="829" t="s">
        <v>74</v>
      </c>
      <c r="C20" s="822">
        <f t="shared" ref="C20:E20" si="33">SUM(C21:C28)</f>
        <v>0</v>
      </c>
      <c r="D20" s="822">
        <f t="shared" si="33"/>
        <v>0</v>
      </c>
      <c r="E20" s="822">
        <f t="shared" si="33"/>
        <v>425811200</v>
      </c>
      <c r="F20" s="820">
        <f t="shared" si="17"/>
        <v>35484266.67</v>
      </c>
      <c r="G20" s="822">
        <f>SUM(G21:G28)</f>
        <v>130611200</v>
      </c>
      <c r="H20" s="820">
        <f t="shared" si="5"/>
        <v>10884266.67</v>
      </c>
      <c r="I20" s="822">
        <f>SUM(I21:I28)</f>
        <v>342811200</v>
      </c>
      <c r="J20" s="822">
        <f t="shared" si="22"/>
        <v>28567600</v>
      </c>
      <c r="K20" s="822">
        <f>SUM(K21:K28)</f>
        <v>130611200</v>
      </c>
      <c r="L20" s="820">
        <f t="shared" si="7"/>
        <v>10884266.67</v>
      </c>
      <c r="M20" s="822">
        <f>SUM(M21:M28)</f>
        <v>342811200</v>
      </c>
      <c r="N20" s="822">
        <f t="shared" si="23"/>
        <v>28567600</v>
      </c>
      <c r="O20" s="824" t="str">
        <f>I20/I34</f>
        <v>#ERROR!</v>
      </c>
      <c r="P20" s="808">
        <f t="shared" si="12"/>
        <v>314243600</v>
      </c>
      <c r="Q20" s="806">
        <f>+I20*1.1</f>
        <v>377092320</v>
      </c>
      <c r="R20" s="806" t="str">
        <f>+Q20-[9]cash2016!R16</f>
        <v>#ERROR!</v>
      </c>
      <c r="S20" s="808"/>
      <c r="T20" s="807"/>
      <c r="U20" s="807"/>
      <c r="V20" s="807"/>
      <c r="W20" s="806"/>
      <c r="X20" s="829" t="s">
        <v>74</v>
      </c>
      <c r="Y20" s="820"/>
      <c r="Z20" s="820">
        <f t="shared" ref="Z20:AA20" si="34">+D20</f>
        <v>0</v>
      </c>
      <c r="AA20" s="820">
        <f t="shared" si="34"/>
        <v>425811200</v>
      </c>
      <c r="AB20" s="820">
        <f t="shared" si="10"/>
        <v>130611200</v>
      </c>
      <c r="AC20" s="822">
        <f t="shared" si="11"/>
        <v>342811200</v>
      </c>
      <c r="AD20" s="824" t="str">
        <f>AC20/AC34</f>
        <v>#ERROR!</v>
      </c>
      <c r="AE20" s="806"/>
      <c r="AF20" s="806"/>
    </row>
    <row r="21" ht="12.0" customHeight="1">
      <c r="A21" s="175"/>
      <c r="B21" s="825" t="s">
        <v>1289</v>
      </c>
      <c r="C21" s="828">
        <v>0.0</v>
      </c>
      <c r="D21" s="828">
        <v>0.0</v>
      </c>
      <c r="E21" s="828">
        <v>8.18112E7</v>
      </c>
      <c r="F21" s="826">
        <f t="shared" si="17"/>
        <v>6817600</v>
      </c>
      <c r="G21" s="828">
        <f>6817600*12</f>
        <v>81811200</v>
      </c>
      <c r="H21" s="826">
        <f t="shared" si="5"/>
        <v>6817600</v>
      </c>
      <c r="I21" s="828">
        <f>6817600*12</f>
        <v>81811200</v>
      </c>
      <c r="J21" s="828">
        <f t="shared" si="22"/>
        <v>6817600</v>
      </c>
      <c r="K21" s="828">
        <f>6817600*12</f>
        <v>81811200</v>
      </c>
      <c r="L21" s="826">
        <f t="shared" si="7"/>
        <v>6817600</v>
      </c>
      <c r="M21" s="828">
        <f>6817600*12</f>
        <v>81811200</v>
      </c>
      <c r="N21" s="828">
        <f t="shared" si="23"/>
        <v>6817600</v>
      </c>
      <c r="O21" s="827"/>
      <c r="P21" s="808">
        <f t="shared" si="12"/>
        <v>74993600</v>
      </c>
      <c r="Q21" s="175"/>
      <c r="R21" s="175"/>
      <c r="S21" s="175"/>
      <c r="T21" s="597"/>
      <c r="U21" s="597"/>
      <c r="V21" s="597"/>
      <c r="W21" s="175"/>
      <c r="X21" s="825" t="s">
        <v>1289</v>
      </c>
      <c r="Y21" s="826"/>
      <c r="Z21" s="826">
        <f t="shared" ref="Z21:AA21" si="35">+D21</f>
        <v>0</v>
      </c>
      <c r="AA21" s="826">
        <f t="shared" si="35"/>
        <v>81811200</v>
      </c>
      <c r="AB21" s="826">
        <f t="shared" si="10"/>
        <v>81811200</v>
      </c>
      <c r="AC21" s="828">
        <f t="shared" si="11"/>
        <v>81811200</v>
      </c>
      <c r="AD21" s="827"/>
      <c r="AE21" s="175"/>
      <c r="AF21" s="175"/>
    </row>
    <row r="22" ht="12.0" customHeight="1">
      <c r="A22" s="175"/>
      <c r="B22" s="825" t="s">
        <v>347</v>
      </c>
      <c r="C22" s="828">
        <v>0.0</v>
      </c>
      <c r="D22" s="828">
        <v>0.0</v>
      </c>
      <c r="E22" s="828">
        <v>1.8E7</v>
      </c>
      <c r="F22" s="826">
        <f t="shared" si="17"/>
        <v>1500000</v>
      </c>
      <c r="G22" s="828">
        <f>1500000*12</f>
        <v>18000000</v>
      </c>
      <c r="H22" s="826">
        <f t="shared" si="5"/>
        <v>1500000</v>
      </c>
      <c r="I22" s="828">
        <f>1500000*12</f>
        <v>18000000</v>
      </c>
      <c r="J22" s="828">
        <f t="shared" si="22"/>
        <v>1500000</v>
      </c>
      <c r="K22" s="828">
        <f>1500000*12</f>
        <v>18000000</v>
      </c>
      <c r="L22" s="826">
        <f t="shared" si="7"/>
        <v>1500000</v>
      </c>
      <c r="M22" s="828">
        <f>1500000*12</f>
        <v>18000000</v>
      </c>
      <c r="N22" s="828">
        <f t="shared" si="23"/>
        <v>1500000</v>
      </c>
      <c r="O22" s="827"/>
      <c r="P22" s="808">
        <f t="shared" si="12"/>
        <v>16500000</v>
      </c>
      <c r="Q22" s="175"/>
      <c r="R22" s="175"/>
      <c r="S22" s="175"/>
      <c r="T22" s="597"/>
      <c r="U22" s="597"/>
      <c r="V22" s="597"/>
      <c r="W22" s="175"/>
      <c r="X22" s="825" t="s">
        <v>347</v>
      </c>
      <c r="Y22" s="826"/>
      <c r="Z22" s="826">
        <f t="shared" ref="Z22:AA22" si="36">+D22</f>
        <v>0</v>
      </c>
      <c r="AA22" s="826">
        <f t="shared" si="36"/>
        <v>18000000</v>
      </c>
      <c r="AB22" s="826">
        <f t="shared" si="10"/>
        <v>18000000</v>
      </c>
      <c r="AC22" s="828">
        <f t="shared" si="11"/>
        <v>18000000</v>
      </c>
      <c r="AD22" s="827"/>
      <c r="AE22" s="175"/>
      <c r="AF22" s="175"/>
    </row>
    <row r="23" ht="12.0" customHeight="1">
      <c r="A23" s="175"/>
      <c r="B23" s="825" t="s">
        <v>1293</v>
      </c>
      <c r="C23" s="828">
        <v>0.0</v>
      </c>
      <c r="D23" s="828">
        <v>0.0</v>
      </c>
      <c r="E23" s="828">
        <v>9000000.0</v>
      </c>
      <c r="F23" s="826">
        <f t="shared" si="17"/>
        <v>750000</v>
      </c>
      <c r="G23" s="828">
        <f>750000*9</f>
        <v>6750000</v>
      </c>
      <c r="H23" s="826">
        <f t="shared" si="5"/>
        <v>562500</v>
      </c>
      <c r="I23" s="828">
        <f t="shared" ref="I23:I25" si="38">1000000*12</f>
        <v>12000000</v>
      </c>
      <c r="J23" s="828">
        <f t="shared" si="22"/>
        <v>1000000</v>
      </c>
      <c r="K23" s="828">
        <f>750000*9</f>
        <v>6750000</v>
      </c>
      <c r="L23" s="826">
        <f t="shared" si="7"/>
        <v>562500</v>
      </c>
      <c r="M23" s="828">
        <f t="shared" ref="M23:M25" si="39">1000000*12</f>
        <v>12000000</v>
      </c>
      <c r="N23" s="828">
        <f t="shared" si="23"/>
        <v>1000000</v>
      </c>
      <c r="O23" s="827"/>
      <c r="P23" s="808">
        <f t="shared" si="12"/>
        <v>11000000</v>
      </c>
      <c r="Q23" s="175"/>
      <c r="R23" s="175"/>
      <c r="S23" s="175"/>
      <c r="T23" s="597"/>
      <c r="U23" s="597"/>
      <c r="V23" s="597"/>
      <c r="W23" s="175"/>
      <c r="X23" s="825" t="s">
        <v>1293</v>
      </c>
      <c r="Y23" s="826"/>
      <c r="Z23" s="826">
        <f t="shared" ref="Z23:AA23" si="37">+D23</f>
        <v>0</v>
      </c>
      <c r="AA23" s="826">
        <f t="shared" si="37"/>
        <v>9000000</v>
      </c>
      <c r="AB23" s="826">
        <f t="shared" si="10"/>
        <v>6750000</v>
      </c>
      <c r="AC23" s="828">
        <f t="shared" si="11"/>
        <v>12000000</v>
      </c>
      <c r="AD23" s="827"/>
      <c r="AE23" s="175"/>
      <c r="AF23" s="175"/>
    </row>
    <row r="24" ht="12.0" customHeight="1">
      <c r="A24" s="175"/>
      <c r="B24" s="825" t="s">
        <v>348</v>
      </c>
      <c r="C24" s="828">
        <v>0.0</v>
      </c>
      <c r="D24" s="828">
        <v>0.0</v>
      </c>
      <c r="E24" s="828">
        <v>3.12E7</v>
      </c>
      <c r="F24" s="826">
        <f t="shared" si="17"/>
        <v>2600000</v>
      </c>
      <c r="G24" s="828"/>
      <c r="H24" s="826">
        <f t="shared" si="5"/>
        <v>0</v>
      </c>
      <c r="I24" s="828">
        <f t="shared" si="38"/>
        <v>12000000</v>
      </c>
      <c r="J24" s="828">
        <f t="shared" si="22"/>
        <v>1000000</v>
      </c>
      <c r="K24" s="828"/>
      <c r="L24" s="826">
        <f t="shared" si="7"/>
        <v>0</v>
      </c>
      <c r="M24" s="828">
        <f t="shared" si="39"/>
        <v>12000000</v>
      </c>
      <c r="N24" s="828">
        <f t="shared" si="23"/>
        <v>1000000</v>
      </c>
      <c r="O24" s="827"/>
      <c r="P24" s="808">
        <f t="shared" si="12"/>
        <v>11000000</v>
      </c>
      <c r="Q24" s="175"/>
      <c r="R24" s="175"/>
      <c r="S24" s="175"/>
      <c r="T24" s="597"/>
      <c r="U24" s="597"/>
      <c r="V24" s="597"/>
      <c r="W24" s="175"/>
      <c r="X24" s="825" t="s">
        <v>348</v>
      </c>
      <c r="Y24" s="826"/>
      <c r="Z24" s="826">
        <f t="shared" ref="Z24:AA24" si="40">+D24</f>
        <v>0</v>
      </c>
      <c r="AA24" s="826">
        <f t="shared" si="40"/>
        <v>31200000</v>
      </c>
      <c r="AB24" s="826" t="str">
        <f t="shared" si="10"/>
        <v/>
      </c>
      <c r="AC24" s="828">
        <f t="shared" si="11"/>
        <v>12000000</v>
      </c>
      <c r="AD24" s="827"/>
      <c r="AE24" s="175"/>
      <c r="AF24" s="175"/>
    </row>
    <row r="25" ht="12.0" customHeight="1">
      <c r="A25" s="175"/>
      <c r="B25" s="825" t="s">
        <v>227</v>
      </c>
      <c r="C25" s="828">
        <v>0.0</v>
      </c>
      <c r="D25" s="828">
        <v>0.0</v>
      </c>
      <c r="E25" s="828">
        <v>7800000.0</v>
      </c>
      <c r="F25" s="826">
        <f t="shared" si="17"/>
        <v>650000</v>
      </c>
      <c r="G25" s="828">
        <f>650000*3</f>
        <v>1950000</v>
      </c>
      <c r="H25" s="826">
        <f t="shared" si="5"/>
        <v>162500</v>
      </c>
      <c r="I25" s="828">
        <f t="shared" si="38"/>
        <v>12000000</v>
      </c>
      <c r="J25" s="828">
        <f t="shared" si="22"/>
        <v>1000000</v>
      </c>
      <c r="K25" s="828">
        <f>650000*3</f>
        <v>1950000</v>
      </c>
      <c r="L25" s="826">
        <f t="shared" si="7"/>
        <v>162500</v>
      </c>
      <c r="M25" s="828">
        <f t="shared" si="39"/>
        <v>12000000</v>
      </c>
      <c r="N25" s="828">
        <f t="shared" si="23"/>
        <v>1000000</v>
      </c>
      <c r="O25" s="827"/>
      <c r="P25" s="808">
        <f t="shared" si="12"/>
        <v>11000000</v>
      </c>
      <c r="Q25" s="175"/>
      <c r="R25" s="175"/>
      <c r="S25" s="175"/>
      <c r="T25" s="597"/>
      <c r="U25" s="597"/>
      <c r="V25" s="597"/>
      <c r="W25" s="175"/>
      <c r="X25" s="825" t="s">
        <v>227</v>
      </c>
      <c r="Y25" s="826"/>
      <c r="Z25" s="826">
        <f t="shared" ref="Z25:AA25" si="41">+D25</f>
        <v>0</v>
      </c>
      <c r="AA25" s="826">
        <f t="shared" si="41"/>
        <v>7800000</v>
      </c>
      <c r="AB25" s="826">
        <f t="shared" si="10"/>
        <v>1950000</v>
      </c>
      <c r="AC25" s="828">
        <f t="shared" si="11"/>
        <v>12000000</v>
      </c>
      <c r="AD25" s="827"/>
      <c r="AE25" s="175"/>
      <c r="AF25" s="175"/>
    </row>
    <row r="26" ht="12.0" customHeight="1">
      <c r="A26" s="175"/>
      <c r="B26" s="825" t="s">
        <v>195</v>
      </c>
      <c r="C26" s="828">
        <v>0.0</v>
      </c>
      <c r="D26" s="828">
        <v>0.0</v>
      </c>
      <c r="E26" s="828">
        <v>1.8E7</v>
      </c>
      <c r="F26" s="826">
        <f t="shared" si="17"/>
        <v>1500000</v>
      </c>
      <c r="G26" s="828">
        <f>1500000*9</f>
        <v>13500000</v>
      </c>
      <c r="H26" s="826">
        <f t="shared" si="5"/>
        <v>1125000</v>
      </c>
      <c r="I26" s="828">
        <f>1500000*12</f>
        <v>18000000</v>
      </c>
      <c r="J26" s="828">
        <f t="shared" si="22"/>
        <v>1500000</v>
      </c>
      <c r="K26" s="828">
        <f>1500000*9</f>
        <v>13500000</v>
      </c>
      <c r="L26" s="826">
        <f t="shared" si="7"/>
        <v>1125000</v>
      </c>
      <c r="M26" s="828">
        <f>1500000*12</f>
        <v>18000000</v>
      </c>
      <c r="N26" s="828">
        <f t="shared" si="23"/>
        <v>1500000</v>
      </c>
      <c r="O26" s="827"/>
      <c r="P26" s="808">
        <f t="shared" si="12"/>
        <v>16500000</v>
      </c>
      <c r="Q26" s="175"/>
      <c r="R26" s="175"/>
      <c r="S26" s="175"/>
      <c r="T26" s="597"/>
      <c r="U26" s="597"/>
      <c r="V26" s="597"/>
      <c r="W26" s="175"/>
      <c r="X26" s="825" t="s">
        <v>195</v>
      </c>
      <c r="Y26" s="826"/>
      <c r="Z26" s="826">
        <f t="shared" ref="Z26:AA26" si="42">+D26</f>
        <v>0</v>
      </c>
      <c r="AA26" s="826">
        <f t="shared" si="42"/>
        <v>18000000</v>
      </c>
      <c r="AB26" s="826">
        <f t="shared" si="10"/>
        <v>13500000</v>
      </c>
      <c r="AC26" s="828">
        <f t="shared" si="11"/>
        <v>18000000</v>
      </c>
      <c r="AD26" s="827"/>
      <c r="AE26" s="175"/>
      <c r="AF26" s="175"/>
    </row>
    <row r="27" ht="12.0" customHeight="1">
      <c r="A27" s="175"/>
      <c r="B27" s="825" t="s">
        <v>1294</v>
      </c>
      <c r="C27" s="828">
        <v>0.0</v>
      </c>
      <c r="D27" s="828">
        <v>0.0</v>
      </c>
      <c r="E27" s="828">
        <v>6.8E7</v>
      </c>
      <c r="F27" s="826">
        <f t="shared" si="17"/>
        <v>5666666.667</v>
      </c>
      <c r="G27" s="828">
        <f>1000000*8</f>
        <v>8000000</v>
      </c>
      <c r="H27" s="826">
        <f>+G27/8</f>
        <v>1000000</v>
      </c>
      <c r="I27" s="828">
        <f>1000000*3*9</f>
        <v>27000000</v>
      </c>
      <c r="J27" s="828">
        <f t="shared" ref="J27:J28" si="44">I27/9</f>
        <v>3000000</v>
      </c>
      <c r="K27" s="828">
        <f>1000000*8</f>
        <v>8000000</v>
      </c>
      <c r="L27" s="826">
        <f>+K27/8</f>
        <v>1000000</v>
      </c>
      <c r="M27" s="828">
        <f>1000000*3*9</f>
        <v>27000000</v>
      </c>
      <c r="N27" s="828">
        <f t="shared" ref="N27:N28" si="45">M27/9</f>
        <v>3000000</v>
      </c>
      <c r="O27" s="827"/>
      <c r="P27" s="808">
        <f t="shared" si="12"/>
        <v>33000000</v>
      </c>
      <c r="Q27" s="175"/>
      <c r="R27" s="175"/>
      <c r="S27" s="175"/>
      <c r="T27" s="597"/>
      <c r="U27" s="597"/>
      <c r="V27" s="597"/>
      <c r="W27" s="175"/>
      <c r="X27" s="825" t="s">
        <v>1294</v>
      </c>
      <c r="Y27" s="826"/>
      <c r="Z27" s="826">
        <f t="shared" ref="Z27:AA27" si="43">+D27</f>
        <v>0</v>
      </c>
      <c r="AA27" s="826">
        <f t="shared" si="43"/>
        <v>68000000</v>
      </c>
      <c r="AB27" s="826">
        <f t="shared" si="10"/>
        <v>8000000</v>
      </c>
      <c r="AC27" s="828">
        <f t="shared" si="11"/>
        <v>27000000</v>
      </c>
      <c r="AD27" s="827"/>
      <c r="AE27" s="175"/>
      <c r="AF27" s="175"/>
    </row>
    <row r="28" ht="12.0" customHeight="1">
      <c r="A28" s="175"/>
      <c r="B28" s="825" t="s">
        <v>1295</v>
      </c>
      <c r="C28" s="828">
        <v>0.0</v>
      </c>
      <c r="D28" s="828">
        <v>0.0</v>
      </c>
      <c r="E28" s="828">
        <v>1.92E8</v>
      </c>
      <c r="F28" s="826">
        <f t="shared" si="17"/>
        <v>16000000</v>
      </c>
      <c r="G28" s="828">
        <v>600000.0</v>
      </c>
      <c r="H28" s="826">
        <f>+G28/2</f>
        <v>300000</v>
      </c>
      <c r="I28" s="828">
        <f>(300000*60)*9</f>
        <v>162000000</v>
      </c>
      <c r="J28" s="828">
        <f t="shared" si="44"/>
        <v>18000000</v>
      </c>
      <c r="K28" s="828">
        <v>600000.0</v>
      </c>
      <c r="L28" s="826">
        <f>+K28/2</f>
        <v>300000</v>
      </c>
      <c r="M28" s="828">
        <f>(300000*60)*9</f>
        <v>162000000</v>
      </c>
      <c r="N28" s="828">
        <f t="shared" si="45"/>
        <v>18000000</v>
      </c>
      <c r="O28" s="827"/>
      <c r="P28" s="808">
        <f t="shared" si="12"/>
        <v>198000000</v>
      </c>
      <c r="Q28" s="175"/>
      <c r="R28" s="175"/>
      <c r="S28" s="175"/>
      <c r="T28" s="597"/>
      <c r="U28" s="597"/>
      <c r="V28" s="597"/>
      <c r="W28" s="175"/>
      <c r="X28" s="825" t="s">
        <v>1295</v>
      </c>
      <c r="Y28" s="826"/>
      <c r="Z28" s="826">
        <f t="shared" ref="Z28:AA28" si="46">+D28</f>
        <v>0</v>
      </c>
      <c r="AA28" s="826">
        <f t="shared" si="46"/>
        <v>192000000</v>
      </c>
      <c r="AB28" s="826">
        <f t="shared" si="10"/>
        <v>600000</v>
      </c>
      <c r="AC28" s="828">
        <f t="shared" si="11"/>
        <v>162000000</v>
      </c>
      <c r="AD28" s="827"/>
      <c r="AE28" s="175"/>
      <c r="AF28" s="175"/>
    </row>
    <row r="29" ht="12.0" customHeight="1">
      <c r="A29" s="806"/>
      <c r="B29" s="829" t="s">
        <v>1296</v>
      </c>
      <c r="C29" s="822">
        <v>3.639383251E7</v>
      </c>
      <c r="D29" s="822">
        <v>3.639383251E7</v>
      </c>
      <c r="E29" s="822">
        <v>2.0E7</v>
      </c>
      <c r="F29" s="820">
        <f t="shared" si="17"/>
        <v>1666666.667</v>
      </c>
      <c r="G29" s="822">
        <v>7136000.0</v>
      </c>
      <c r="H29" s="820">
        <f t="shared" ref="H29:H31" si="49">+G29/12</f>
        <v>594666.6667</v>
      </c>
      <c r="I29" s="822">
        <v>0.0</v>
      </c>
      <c r="J29" s="822">
        <f>I29/12</f>
        <v>0</v>
      </c>
      <c r="K29" s="822">
        <v>7136000.0</v>
      </c>
      <c r="L29" s="820">
        <f t="shared" ref="L29:L31" si="51">+K29/12</f>
        <v>594666.6667</v>
      </c>
      <c r="M29" s="822">
        <v>0.0</v>
      </c>
      <c r="N29" s="822">
        <f>M29/12</f>
        <v>0</v>
      </c>
      <c r="O29" s="824" t="str">
        <f>I29/I34</f>
        <v>#ERROR!</v>
      </c>
      <c r="P29" s="808">
        <f t="shared" si="12"/>
        <v>0</v>
      </c>
      <c r="Q29" s="806"/>
      <c r="R29" s="806"/>
      <c r="S29" s="806"/>
      <c r="T29" s="807"/>
      <c r="U29" s="807"/>
      <c r="V29" s="807"/>
      <c r="W29" s="806"/>
      <c r="X29" s="829" t="s">
        <v>1296</v>
      </c>
      <c r="Y29" s="820"/>
      <c r="Z29" s="820">
        <f t="shared" ref="Z29:AA29" si="47">+D29</f>
        <v>36393832.51</v>
      </c>
      <c r="AA29" s="820">
        <f t="shared" si="47"/>
        <v>20000000</v>
      </c>
      <c r="AB29" s="820">
        <f t="shared" si="10"/>
        <v>7136000</v>
      </c>
      <c r="AC29" s="822">
        <f t="shared" si="11"/>
        <v>0</v>
      </c>
      <c r="AD29" s="824" t="str">
        <f>AC29/AC34</f>
        <v>#ERROR!</v>
      </c>
      <c r="AE29" s="806"/>
      <c r="AF29" s="806"/>
    </row>
    <row r="30" ht="12.0" customHeight="1">
      <c r="A30" s="806"/>
      <c r="B30" s="829" t="s">
        <v>1297</v>
      </c>
      <c r="C30" s="822">
        <f t="shared" ref="C30:E30" si="48">SUM(C31:C33)</f>
        <v>156611340.3</v>
      </c>
      <c r="D30" s="822">
        <f t="shared" si="48"/>
        <v>156611340.3</v>
      </c>
      <c r="E30" s="822">
        <f t="shared" si="48"/>
        <v>93198865.25</v>
      </c>
      <c r="F30" s="820">
        <f t="shared" si="17"/>
        <v>7766572.104</v>
      </c>
      <c r="G30" s="822">
        <f>SUM(G31:G33)</f>
        <v>217945821.6</v>
      </c>
      <c r="H30" s="820">
        <f t="shared" si="49"/>
        <v>18162151.8</v>
      </c>
      <c r="I30" s="822" t="str">
        <f t="shared" ref="I30:K30" si="50">SUM(I31:I33)</f>
        <v>#ERROR!</v>
      </c>
      <c r="J30" s="822" t="str">
        <f t="shared" si="50"/>
        <v>#ERROR!</v>
      </c>
      <c r="K30" s="822">
        <f t="shared" si="50"/>
        <v>217945821.6</v>
      </c>
      <c r="L30" s="820">
        <f t="shared" si="51"/>
        <v>18162151.8</v>
      </c>
      <c r="M30" s="822" t="str">
        <f t="shared" ref="M30:N30" si="52">SUM(M31:M33)</f>
        <v>#ERROR!</v>
      </c>
      <c r="N30" s="822" t="str">
        <f t="shared" si="52"/>
        <v>#ERROR!</v>
      </c>
      <c r="O30" s="824" t="str">
        <f>I30/I34</f>
        <v>#ERROR!</v>
      </c>
      <c r="P30" s="808" t="str">
        <f t="shared" si="12"/>
        <v>#ERROR!</v>
      </c>
      <c r="Q30" s="808" t="str">
        <f>+I30</f>
        <v>#ERROR!</v>
      </c>
      <c r="R30" s="806"/>
      <c r="S30" s="806"/>
      <c r="T30" s="807"/>
      <c r="U30" s="807"/>
      <c r="V30" s="807"/>
      <c r="W30" s="806"/>
      <c r="X30" s="829" t="s">
        <v>1297</v>
      </c>
      <c r="Y30" s="820"/>
      <c r="Z30" s="820">
        <f t="shared" ref="Z30:AA30" si="53">+D30</f>
        <v>156611340.3</v>
      </c>
      <c r="AA30" s="820">
        <f t="shared" si="53"/>
        <v>93198865.25</v>
      </c>
      <c r="AB30" s="820">
        <f t="shared" si="10"/>
        <v>217945821.6</v>
      </c>
      <c r="AC30" s="822" t="str">
        <f t="shared" si="11"/>
        <v>#ERROR!</v>
      </c>
      <c r="AD30" s="824" t="str">
        <f>AC30/AC34</f>
        <v>#ERROR!</v>
      </c>
      <c r="AE30" s="806"/>
      <c r="AF30" s="806"/>
    </row>
    <row r="31" ht="12.0" customHeight="1">
      <c r="A31" s="175"/>
      <c r="B31" s="830" t="s">
        <v>1298</v>
      </c>
      <c r="C31" s="828">
        <v>1.1955751172E8</v>
      </c>
      <c r="D31" s="828">
        <v>1.1955751172E8</v>
      </c>
      <c r="E31" s="828">
        <f>60645919.25+8172467+6366499+10083332</f>
        <v>85268217.25</v>
      </c>
      <c r="F31" s="826">
        <f t="shared" si="17"/>
        <v>7105684.771</v>
      </c>
      <c r="G31" s="828">
        <f>351167.68-47143.06+1753938.14+195672528.09+8022831.07+5031180</f>
        <v>210784501.9</v>
      </c>
      <c r="H31" s="826">
        <f t="shared" si="49"/>
        <v>17565375.16</v>
      </c>
      <c r="I31" s="828" t="str">
        <f>+[9]cash2016!R29</f>
        <v>#ERROR!</v>
      </c>
      <c r="J31" s="828" t="str">
        <f t="shared" ref="J31:J33" si="55">I31/12</f>
        <v>#ERROR!</v>
      </c>
      <c r="K31" s="828">
        <f>351167.68-47143.06+1753938.14+195672528.09+8022831.07+5031180</f>
        <v>210784501.9</v>
      </c>
      <c r="L31" s="826">
        <f t="shared" si="51"/>
        <v>17565375.16</v>
      </c>
      <c r="M31" s="828" t="str">
        <f>+[9]cash2016!V29</f>
        <v>#ERROR!</v>
      </c>
      <c r="N31" s="828" t="str">
        <f t="shared" ref="N31:N33" si="56">M31/12</f>
        <v>#ERROR!</v>
      </c>
      <c r="O31" s="827"/>
      <c r="P31" s="808" t="str">
        <f t="shared" si="12"/>
        <v>#ERROR!</v>
      </c>
      <c r="Q31" s="175"/>
      <c r="R31" s="175"/>
      <c r="S31" s="175"/>
      <c r="T31" s="597"/>
      <c r="U31" s="597"/>
      <c r="V31" s="597"/>
      <c r="W31" s="175"/>
      <c r="X31" s="830" t="s">
        <v>1298</v>
      </c>
      <c r="Y31" s="826" t="str">
        <f t="shared" ref="Y31:Y33" si="57">+B31</f>
        <v>Зээлийн хүү</v>
      </c>
      <c r="Z31" s="826">
        <f t="shared" ref="Z31:AA31" si="54">+D31</f>
        <v>119557511.7</v>
      </c>
      <c r="AA31" s="826">
        <f t="shared" si="54"/>
        <v>85268217.25</v>
      </c>
      <c r="AB31" s="826">
        <f t="shared" si="10"/>
        <v>210784501.9</v>
      </c>
      <c r="AC31" s="828" t="str">
        <f t="shared" si="11"/>
        <v>#ERROR!</v>
      </c>
      <c r="AD31" s="827"/>
      <c r="AE31" s="175"/>
      <c r="AF31" s="175"/>
    </row>
    <row r="32" ht="12.0" customHeight="1">
      <c r="A32" s="175"/>
      <c r="B32" s="830" t="s">
        <v>1299</v>
      </c>
      <c r="C32" s="828"/>
      <c r="D32" s="828"/>
      <c r="E32" s="828"/>
      <c r="F32" s="826"/>
      <c r="G32" s="828"/>
      <c r="H32" s="826"/>
      <c r="I32" s="828" t="str">
        <f>+[9]cash2016!R34</f>
        <v>#ERROR!</v>
      </c>
      <c r="J32" s="828" t="str">
        <f t="shared" si="55"/>
        <v>#ERROR!</v>
      </c>
      <c r="K32" s="828"/>
      <c r="L32" s="826"/>
      <c r="M32" s="828" t="str">
        <f>+[9]cash2016!V34</f>
        <v>#ERROR!</v>
      </c>
      <c r="N32" s="828" t="str">
        <f t="shared" si="56"/>
        <v>#ERROR!</v>
      </c>
      <c r="O32" s="827"/>
      <c r="P32" s="808" t="str">
        <f t="shared" si="12"/>
        <v>#ERROR!</v>
      </c>
      <c r="Q32" s="175"/>
      <c r="R32" s="175"/>
      <c r="S32" s="175"/>
      <c r="T32" s="597"/>
      <c r="U32" s="597"/>
      <c r="V32" s="597"/>
      <c r="W32" s="175"/>
      <c r="X32" s="830" t="s">
        <v>1299</v>
      </c>
      <c r="Y32" s="826" t="str">
        <f t="shared" si="57"/>
        <v>ЗГ Бонд</v>
      </c>
      <c r="Z32" s="826" t="str">
        <f t="shared" ref="Z32:AA32" si="58">+D32</f>
        <v/>
      </c>
      <c r="AA32" s="826" t="str">
        <f t="shared" si="58"/>
        <v/>
      </c>
      <c r="AB32" s="826">
        <v>0.0</v>
      </c>
      <c r="AC32" s="828" t="str">
        <f t="shared" si="11"/>
        <v>#ERROR!</v>
      </c>
      <c r="AD32" s="827"/>
      <c r="AE32" s="175"/>
      <c r="AF32" s="175"/>
    </row>
    <row r="33" ht="12.0" customHeight="1">
      <c r="A33" s="175"/>
      <c r="B33" s="830" t="s">
        <v>1300</v>
      </c>
      <c r="C33" s="828">
        <f t="shared" ref="C33:D33" si="59">21023333+16030495.62</f>
        <v>37053828.62</v>
      </c>
      <c r="D33" s="828">
        <f t="shared" si="59"/>
        <v>37053828.62</v>
      </c>
      <c r="E33" s="828">
        <f>4437500+3493148</f>
        <v>7930648</v>
      </c>
      <c r="F33" s="826">
        <f>+E33/12</f>
        <v>660887.3333</v>
      </c>
      <c r="G33" s="828">
        <v>7161319.64</v>
      </c>
      <c r="H33" s="826">
        <f>+G33/12</f>
        <v>596776.6367</v>
      </c>
      <c r="I33" s="828" t="str">
        <f>+[9]cash2016!R25</f>
        <v>#ERROR!</v>
      </c>
      <c r="J33" s="828" t="str">
        <f t="shared" si="55"/>
        <v>#ERROR!</v>
      </c>
      <c r="K33" s="828">
        <v>7161319.64</v>
      </c>
      <c r="L33" s="826">
        <f>+K33/12</f>
        <v>596776.6367</v>
      </c>
      <c r="M33" s="828" t="str">
        <f>+[9]cash2016!V25</f>
        <v>#ERROR!</v>
      </c>
      <c r="N33" s="828" t="str">
        <f t="shared" si="56"/>
        <v>#ERROR!</v>
      </c>
      <c r="O33" s="827"/>
      <c r="P33" s="808" t="str">
        <f t="shared" si="12"/>
        <v>#ERROR!</v>
      </c>
      <c r="Q33" s="175"/>
      <c r="R33" s="175"/>
      <c r="S33" s="175"/>
      <c r="T33" s="597"/>
      <c r="U33" s="597"/>
      <c r="V33" s="597"/>
      <c r="W33" s="175"/>
      <c r="X33" s="830" t="s">
        <v>1300</v>
      </c>
      <c r="Y33" s="826" t="str">
        <f t="shared" si="57"/>
        <v>Хадгаламжийн хүү</v>
      </c>
      <c r="Z33" s="826">
        <f t="shared" ref="Z33:AA33" si="60">+D33</f>
        <v>37053828.62</v>
      </c>
      <c r="AA33" s="826">
        <f t="shared" si="60"/>
        <v>7930648</v>
      </c>
      <c r="AB33" s="826">
        <f t="shared" ref="AB33:AB34" si="63">+G33</f>
        <v>7161319.64</v>
      </c>
      <c r="AC33" s="828" t="str">
        <f t="shared" si="11"/>
        <v>#ERROR!</v>
      </c>
      <c r="AD33" s="827"/>
      <c r="AE33" s="175"/>
      <c r="AF33" s="175"/>
    </row>
    <row r="34" ht="12.0" customHeight="1">
      <c r="A34" s="806"/>
      <c r="B34" s="831" t="s">
        <v>1301</v>
      </c>
      <c r="C34" s="832">
        <f t="shared" ref="C34:N34" si="61">C30+C6+C29</f>
        <v>276755172.9</v>
      </c>
      <c r="D34" s="832">
        <f t="shared" si="61"/>
        <v>276755172.9</v>
      </c>
      <c r="E34" s="832">
        <f t="shared" si="61"/>
        <v>901128838</v>
      </c>
      <c r="F34" s="832">
        <f t="shared" si="61"/>
        <v>75094069.83</v>
      </c>
      <c r="G34" s="832">
        <f t="shared" si="61"/>
        <v>671392807.1</v>
      </c>
      <c r="H34" s="832">
        <f t="shared" si="61"/>
        <v>55949400.59</v>
      </c>
      <c r="I34" s="832" t="str">
        <f t="shared" si="61"/>
        <v>#ERROR!</v>
      </c>
      <c r="J34" s="832" t="str">
        <f t="shared" si="61"/>
        <v>#ERROR!</v>
      </c>
      <c r="K34" s="832">
        <f t="shared" si="61"/>
        <v>671392807.1</v>
      </c>
      <c r="L34" s="832">
        <f t="shared" si="61"/>
        <v>55949400.59</v>
      </c>
      <c r="M34" s="832" t="str">
        <f t="shared" si="61"/>
        <v>#ERROR!</v>
      </c>
      <c r="N34" s="832" t="str">
        <f t="shared" si="61"/>
        <v>#ERROR!</v>
      </c>
      <c r="O34" s="833" t="str">
        <f>SUM(O7:O33)</f>
        <v>#ERROR!</v>
      </c>
      <c r="P34" s="807" t="str">
        <f t="shared" si="12"/>
        <v>#ERROR!</v>
      </c>
      <c r="Q34" s="808" t="str">
        <f>+I34+I67-[9]cash2016!R5</f>
        <v>#ERROR!</v>
      </c>
      <c r="R34" s="806"/>
      <c r="S34" s="808"/>
      <c r="T34" s="807"/>
      <c r="U34" s="807"/>
      <c r="V34" s="807"/>
      <c r="W34" s="806"/>
      <c r="X34" s="831" t="s">
        <v>1301</v>
      </c>
      <c r="Y34" s="834"/>
      <c r="Z34" s="834">
        <f t="shared" ref="Z34:AA34" si="62">+D34</f>
        <v>276755172.9</v>
      </c>
      <c r="AA34" s="834">
        <f t="shared" si="62"/>
        <v>901128838</v>
      </c>
      <c r="AB34" s="834">
        <f t="shared" si="63"/>
        <v>671392807.1</v>
      </c>
      <c r="AC34" s="832" t="str">
        <f t="shared" si="11"/>
        <v>#ERROR!</v>
      </c>
      <c r="AD34" s="833" t="str">
        <f>SUM(AD7:AD33)</f>
        <v>#ERROR!</v>
      </c>
      <c r="AE34" s="807" t="str">
        <f>+AC34/12</f>
        <v>#ERROR!</v>
      </c>
      <c r="AF34" s="807" t="str">
        <f>+AE34*5</f>
        <v>#ERROR!</v>
      </c>
    </row>
    <row r="35" ht="12.0" customHeight="1">
      <c r="A35" s="835"/>
      <c r="B35" s="836"/>
      <c r="C35" s="837"/>
      <c r="D35" s="837"/>
      <c r="E35" s="837"/>
      <c r="F35" s="838"/>
      <c r="G35" s="837"/>
      <c r="H35" s="838"/>
      <c r="I35" s="837" t="str">
        <f>I34/12*9</f>
        <v>#ERROR!</v>
      </c>
      <c r="J35" s="837"/>
      <c r="K35" s="837"/>
      <c r="L35" s="838"/>
      <c r="M35" s="837" t="str">
        <f>M34/12*9</f>
        <v>#ERROR!</v>
      </c>
      <c r="N35" s="837"/>
      <c r="O35" s="839"/>
      <c r="P35" s="835"/>
      <c r="Q35" s="835"/>
      <c r="R35" s="835"/>
      <c r="S35" s="835"/>
      <c r="T35" s="589"/>
      <c r="U35" s="589"/>
      <c r="V35" s="589"/>
      <c r="W35" s="835"/>
      <c r="X35" s="835"/>
      <c r="Y35" s="835"/>
      <c r="Z35" s="835"/>
      <c r="AA35" s="835"/>
      <c r="AB35" s="835"/>
      <c r="AC35" s="835"/>
      <c r="AD35" s="835"/>
      <c r="AE35" s="835"/>
      <c r="AF35" s="835"/>
    </row>
    <row r="36" ht="12.0" customHeight="1">
      <c r="A36" s="840"/>
      <c r="B36" s="809" t="s">
        <v>1302</v>
      </c>
      <c r="C36" s="810" t="s">
        <v>1280</v>
      </c>
      <c r="D36" s="810" t="s">
        <v>1280</v>
      </c>
      <c r="E36" s="841" t="s">
        <v>1303</v>
      </c>
      <c r="F36" s="812"/>
      <c r="G36" s="813" t="s">
        <v>1304</v>
      </c>
      <c r="H36" s="812"/>
      <c r="I36" s="841" t="s">
        <v>1305</v>
      </c>
      <c r="J36" s="812"/>
      <c r="K36" s="813" t="s">
        <v>1304</v>
      </c>
      <c r="L36" s="812"/>
      <c r="M36" s="841" t="s">
        <v>1305</v>
      </c>
      <c r="N36" s="812"/>
      <c r="O36" s="814" t="s">
        <v>1284</v>
      </c>
      <c r="P36" s="840"/>
      <c r="Q36" s="840"/>
      <c r="R36" s="840"/>
      <c r="S36" s="840"/>
      <c r="T36" s="842"/>
      <c r="U36" s="842"/>
      <c r="V36" s="842"/>
      <c r="W36" s="840"/>
      <c r="X36" s="809" t="s">
        <v>1302</v>
      </c>
      <c r="Y36" s="815" t="s">
        <v>1280</v>
      </c>
      <c r="Z36" s="815" t="s">
        <v>1280</v>
      </c>
      <c r="AA36" s="811" t="s">
        <v>145</v>
      </c>
      <c r="AB36" s="812"/>
      <c r="AC36" s="816" t="s">
        <v>1282</v>
      </c>
      <c r="AD36" s="814" t="s">
        <v>1284</v>
      </c>
      <c r="AE36" s="840"/>
      <c r="AF36" s="840"/>
    </row>
    <row r="37" ht="15.0" customHeight="1">
      <c r="A37" s="840"/>
      <c r="B37" s="182"/>
      <c r="C37" s="817" t="s">
        <v>1285</v>
      </c>
      <c r="D37" s="817" t="s">
        <v>1285</v>
      </c>
      <c r="E37" s="817" t="s">
        <v>66</v>
      </c>
      <c r="F37" s="817" t="s">
        <v>1286</v>
      </c>
      <c r="G37" s="817" t="s">
        <v>90</v>
      </c>
      <c r="H37" s="817" t="s">
        <v>1286</v>
      </c>
      <c r="I37" s="843" t="s">
        <v>1287</v>
      </c>
      <c r="J37" s="843" t="s">
        <v>1286</v>
      </c>
      <c r="K37" s="817" t="s">
        <v>90</v>
      </c>
      <c r="L37" s="817" t="s">
        <v>1286</v>
      </c>
      <c r="M37" s="843" t="s">
        <v>1287</v>
      </c>
      <c r="N37" s="843" t="s">
        <v>1286</v>
      </c>
      <c r="O37" s="818"/>
      <c r="P37" s="840"/>
      <c r="Q37" s="840"/>
      <c r="R37" s="840"/>
      <c r="S37" s="840"/>
      <c r="T37" s="842"/>
      <c r="U37" s="842"/>
      <c r="V37" s="842"/>
      <c r="W37" s="840"/>
      <c r="X37" s="182"/>
      <c r="Y37" s="817" t="s">
        <v>1285</v>
      </c>
      <c r="Z37" s="817" t="s">
        <v>1285</v>
      </c>
      <c r="AA37" s="817" t="s">
        <v>66</v>
      </c>
      <c r="AB37" s="817" t="s">
        <v>1285</v>
      </c>
      <c r="AC37" s="817" t="s">
        <v>66</v>
      </c>
      <c r="AD37" s="818"/>
      <c r="AE37" s="840"/>
      <c r="AF37" s="840"/>
    </row>
    <row r="38" ht="12.0" customHeight="1">
      <c r="A38" s="840"/>
      <c r="B38" s="844" t="s">
        <v>1306</v>
      </c>
      <c r="C38" s="845"/>
      <c r="D38" s="845"/>
      <c r="E38" s="845"/>
      <c r="F38" s="845"/>
      <c r="G38" s="845">
        <v>8.0</v>
      </c>
      <c r="H38" s="845"/>
      <c r="I38" s="845">
        <v>12.0</v>
      </c>
      <c r="J38" s="845"/>
      <c r="K38" s="845">
        <v>8.0</v>
      </c>
      <c r="L38" s="845"/>
      <c r="M38" s="845">
        <v>12.0</v>
      </c>
      <c r="N38" s="845"/>
      <c r="O38" s="846"/>
      <c r="P38" s="840"/>
      <c r="Q38" s="840"/>
      <c r="R38" s="840"/>
      <c r="S38" s="840"/>
      <c r="T38" s="842"/>
      <c r="U38" s="842"/>
      <c r="V38" s="842"/>
      <c r="W38" s="840"/>
      <c r="X38" s="847" t="str">
        <f t="shared" ref="X38:X41" si="65">+B38</f>
        <v>Ажилтны тоо</v>
      </c>
      <c r="Y38" s="845"/>
      <c r="Z38" s="845" t="str">
        <f t="shared" ref="Z38:Z40" si="66">+D38</f>
        <v/>
      </c>
      <c r="AA38" s="845">
        <v>5.0</v>
      </c>
      <c r="AB38" s="845">
        <f t="shared" ref="AB38:AB40" si="67">+G38</f>
        <v>8</v>
      </c>
      <c r="AC38" s="845">
        <f t="shared" ref="AC38:AC40" si="68">+I38</f>
        <v>12</v>
      </c>
      <c r="AD38" s="846"/>
      <c r="AE38" s="840"/>
      <c r="AF38" s="840"/>
    </row>
    <row r="39" ht="12.0" customHeight="1">
      <c r="A39" s="175"/>
      <c r="B39" s="847" t="s">
        <v>1307</v>
      </c>
      <c r="C39" s="826">
        <f t="shared" ref="C39:D39" si="64">386402161+22815705</f>
        <v>409217866</v>
      </c>
      <c r="D39" s="826">
        <f t="shared" si="64"/>
        <v>409217866</v>
      </c>
      <c r="E39" s="826">
        <f>224020299+9000000</f>
        <v>233020299</v>
      </c>
      <c r="F39" s="826">
        <f t="shared" ref="F39:F59" si="69">+E39/12</f>
        <v>19418358.25</v>
      </c>
      <c r="G39" s="826">
        <f>220774419.32+25222029.7</f>
        <v>245996449</v>
      </c>
      <c r="H39" s="826">
        <f t="shared" ref="H39:H58" si="70">+G39/12</f>
        <v>20499704.09</v>
      </c>
      <c r="I39" s="848" t="str">
        <f>+[9]HR2016!O11</f>
        <v>#ERROR!</v>
      </c>
      <c r="J39" s="845" t="str">
        <f t="shared" ref="J39:J57" si="71">I39/12</f>
        <v>#ERROR!</v>
      </c>
      <c r="K39" s="826">
        <f>220774419.32+25222029.7</f>
        <v>245996449</v>
      </c>
      <c r="L39" s="826">
        <f t="shared" ref="L39:L58" si="72">+K39/12</f>
        <v>20499704.09</v>
      </c>
      <c r="M39" s="848" t="str">
        <f>+[9]HR2016!S11</f>
        <v>#ERROR!</v>
      </c>
      <c r="N39" s="845" t="str">
        <f t="shared" ref="N39:N57" si="73">M39/12</f>
        <v>#ERROR!</v>
      </c>
      <c r="O39" s="849" t="str">
        <f t="shared" ref="O39:O58" si="74">I39/$I$65</f>
        <v>#ERROR!</v>
      </c>
      <c r="P39" s="807" t="str">
        <f t="shared" ref="P39:P58" si="75">J39*11</f>
        <v>#ERROR!</v>
      </c>
      <c r="Q39" s="175"/>
      <c r="R39" s="175"/>
      <c r="S39" s="175"/>
      <c r="T39" s="597"/>
      <c r="U39" s="597"/>
      <c r="V39" s="597"/>
      <c r="W39" s="175">
        <v>1.0</v>
      </c>
      <c r="X39" s="847" t="str">
        <f t="shared" si="65"/>
        <v>Цалин+ НДШ+ТНД</v>
      </c>
      <c r="Y39" s="845"/>
      <c r="Z39" s="845">
        <f t="shared" si="66"/>
        <v>409217866</v>
      </c>
      <c r="AA39" s="845">
        <f t="shared" ref="AA39:AA40" si="76">+E39</f>
        <v>233020299</v>
      </c>
      <c r="AB39" s="845">
        <f t="shared" si="67"/>
        <v>245996449</v>
      </c>
      <c r="AC39" s="845" t="str">
        <f t="shared" si="68"/>
        <v>#ERROR!</v>
      </c>
      <c r="AD39" s="849" t="str">
        <f t="shared" ref="AD39:AD49" si="77">AC39/$AC$56</f>
        <v>#ERROR!</v>
      </c>
      <c r="AE39" s="175"/>
      <c r="AF39" s="175" t="str">
        <f t="shared" ref="AF39:AF40" si="78">+X39</f>
        <v>Цалин+ НДШ+ТНД</v>
      </c>
    </row>
    <row r="40" ht="12.0" customHeight="1">
      <c r="A40" s="175"/>
      <c r="B40" s="850" t="s">
        <v>91</v>
      </c>
      <c r="C40" s="826">
        <v>1.9436013E7</v>
      </c>
      <c r="D40" s="826">
        <v>1.9436013E7</v>
      </c>
      <c r="E40" s="826">
        <v>3.18220813E8</v>
      </c>
      <c r="F40" s="826">
        <f t="shared" si="69"/>
        <v>26518401.08</v>
      </c>
      <c r="G40" s="826">
        <v>2.8677307848E8</v>
      </c>
      <c r="H40" s="826">
        <f t="shared" si="70"/>
        <v>23897756.54</v>
      </c>
      <c r="I40" s="848">
        <f>28750000*12</f>
        <v>345000000</v>
      </c>
      <c r="J40" s="845">
        <f t="shared" si="71"/>
        <v>28750000</v>
      </c>
      <c r="K40" s="826">
        <v>2.8677307848E8</v>
      </c>
      <c r="L40" s="826">
        <f t="shared" si="72"/>
        <v>23897756.54</v>
      </c>
      <c r="M40" s="848">
        <f>28750000*12</f>
        <v>345000000</v>
      </c>
      <c r="N40" s="845">
        <f t="shared" si="73"/>
        <v>28750000</v>
      </c>
      <c r="O40" s="849" t="str">
        <f t="shared" si="74"/>
        <v>#ERROR!</v>
      </c>
      <c r="P40" s="807">
        <f t="shared" si="75"/>
        <v>316250000</v>
      </c>
      <c r="Q40" s="175"/>
      <c r="R40" s="175"/>
      <c r="S40" s="175"/>
      <c r="T40" s="597">
        <v>4.70373656E8</v>
      </c>
      <c r="U40" s="597">
        <v>60.0</v>
      </c>
      <c r="V40" s="597">
        <f t="shared" ref="V40:V44" si="79">+T40/U40</f>
        <v>7839560.933</v>
      </c>
      <c r="W40" s="175">
        <v>2.0</v>
      </c>
      <c r="X40" s="847" t="str">
        <f t="shared" si="65"/>
        <v>Түрээсийн зардал</v>
      </c>
      <c r="Y40" s="845"/>
      <c r="Z40" s="845">
        <f t="shared" si="66"/>
        <v>19436013</v>
      </c>
      <c r="AA40" s="845">
        <f t="shared" si="76"/>
        <v>318220813</v>
      </c>
      <c r="AB40" s="845">
        <f t="shared" si="67"/>
        <v>286773078.5</v>
      </c>
      <c r="AC40" s="845">
        <f t="shared" si="68"/>
        <v>345000000</v>
      </c>
      <c r="AD40" s="849" t="str">
        <f t="shared" si="77"/>
        <v>#ERROR!</v>
      </c>
      <c r="AE40" s="175"/>
      <c r="AF40" s="175" t="str">
        <f t="shared" si="78"/>
        <v>Түрээсийн зардал</v>
      </c>
    </row>
    <row r="41" ht="12.0" customHeight="1">
      <c r="A41" s="175"/>
      <c r="B41" s="850" t="s">
        <v>1308</v>
      </c>
      <c r="C41" s="826">
        <v>1.5272859E7</v>
      </c>
      <c r="D41" s="826">
        <f>15272859+5798397</f>
        <v>21071256</v>
      </c>
      <c r="E41" s="826">
        <f>30000000+30000000</f>
        <v>60000000</v>
      </c>
      <c r="F41" s="826">
        <f t="shared" si="69"/>
        <v>5000000</v>
      </c>
      <c r="G41" s="826">
        <f>19470008.38+350000+63156.61+4276314.35+10000000</f>
        <v>34159479.34</v>
      </c>
      <c r="H41" s="826">
        <f t="shared" si="70"/>
        <v>2846623.278</v>
      </c>
      <c r="I41" s="848">
        <f>5250000*12</f>
        <v>63000000</v>
      </c>
      <c r="J41" s="845">
        <f t="shared" si="71"/>
        <v>5250000</v>
      </c>
      <c r="K41" s="826">
        <f>19470008.38+350000+63156.61+4276314.35+10000000</f>
        <v>34159479.34</v>
      </c>
      <c r="L41" s="826">
        <f t="shared" si="72"/>
        <v>2846623.278</v>
      </c>
      <c r="M41" s="848">
        <f>5250000*12</f>
        <v>63000000</v>
      </c>
      <c r="N41" s="845">
        <f t="shared" si="73"/>
        <v>5250000</v>
      </c>
      <c r="O41" s="849" t="str">
        <f t="shared" si="74"/>
        <v>#ERROR!</v>
      </c>
      <c r="P41" s="807">
        <f t="shared" si="75"/>
        <v>57750000</v>
      </c>
      <c r="Q41" s="175"/>
      <c r="R41" s="175"/>
      <c r="S41" s="175"/>
      <c r="T41" s="597">
        <v>6.75148432E8</v>
      </c>
      <c r="U41" s="597">
        <f>40*12</f>
        <v>480</v>
      </c>
      <c r="V41" s="597">
        <f t="shared" si="79"/>
        <v>1406559.233</v>
      </c>
      <c r="W41" s="175">
        <v>3.0</v>
      </c>
      <c r="X41" s="847" t="str">
        <f t="shared" si="65"/>
        <v>Ашиглалт, хэрэглээний зардал</v>
      </c>
      <c r="Y41" s="828"/>
      <c r="Z41" s="828">
        <f>+D41+D46+D47+D56</f>
        <v>51894002</v>
      </c>
      <c r="AA41" s="828">
        <f>+E41+E46+E47+E56+E42</f>
        <v>103160000</v>
      </c>
      <c r="AB41" s="828">
        <f>+G41+G46+G47+G56</f>
        <v>73437504.35</v>
      </c>
      <c r="AC41" s="828">
        <f>+I41+I46+I47+I56+I42</f>
        <v>103000000</v>
      </c>
      <c r="AD41" s="849" t="str">
        <f t="shared" si="77"/>
        <v>#ERROR!</v>
      </c>
      <c r="AE41" s="175"/>
      <c r="AF41" s="175" t="s">
        <v>1309</v>
      </c>
    </row>
    <row r="42" ht="12.0" customHeight="1">
      <c r="A42" s="175"/>
      <c r="B42" s="850" t="s">
        <v>1310</v>
      </c>
      <c r="C42" s="826">
        <v>0.0</v>
      </c>
      <c r="D42" s="826">
        <v>0.0</v>
      </c>
      <c r="E42" s="826">
        <v>1.2E7</v>
      </c>
      <c r="F42" s="826">
        <f t="shared" si="69"/>
        <v>1000000</v>
      </c>
      <c r="G42" s="826">
        <v>0.0</v>
      </c>
      <c r="H42" s="826">
        <f t="shared" si="70"/>
        <v>0</v>
      </c>
      <c r="I42" s="848">
        <v>1.2E7</v>
      </c>
      <c r="J42" s="845">
        <f t="shared" si="71"/>
        <v>1000000</v>
      </c>
      <c r="K42" s="826">
        <v>0.0</v>
      </c>
      <c r="L42" s="826">
        <f t="shared" si="72"/>
        <v>0</v>
      </c>
      <c r="M42" s="848">
        <v>1.2E7</v>
      </c>
      <c r="N42" s="845">
        <f t="shared" si="73"/>
        <v>1000000</v>
      </c>
      <c r="O42" s="849" t="str">
        <f t="shared" si="74"/>
        <v>#ERROR!</v>
      </c>
      <c r="P42" s="807">
        <f t="shared" si="75"/>
        <v>11000000</v>
      </c>
      <c r="Q42" s="175"/>
      <c r="R42" s="175"/>
      <c r="S42" s="175"/>
      <c r="T42" s="597">
        <v>2.6E8</v>
      </c>
      <c r="U42" s="597">
        <v>120.0</v>
      </c>
      <c r="V42" s="597">
        <f t="shared" si="79"/>
        <v>2166666.667</v>
      </c>
      <c r="W42" s="175">
        <v>4.0</v>
      </c>
      <c r="X42" s="847" t="str">
        <f t="shared" ref="X42:X44" si="81">+B43</f>
        <v>Албан томилолтын зардал</v>
      </c>
      <c r="Y42" s="845"/>
      <c r="Z42" s="845">
        <f t="shared" ref="Z42:AA42" si="80">+D43</f>
        <v>86536375</v>
      </c>
      <c r="AA42" s="845">
        <f t="shared" si="80"/>
        <v>20000000</v>
      </c>
      <c r="AB42" s="845">
        <f t="shared" ref="AB42:AB44" si="83">+G43</f>
        <v>41949331.8</v>
      </c>
      <c r="AC42" s="845">
        <f t="shared" ref="AC42:AC44" si="84">+I43</f>
        <v>25000000</v>
      </c>
      <c r="AD42" s="849" t="str">
        <f t="shared" si="77"/>
        <v>#ERROR!</v>
      </c>
      <c r="AE42" s="175"/>
      <c r="AF42" s="175" t="str">
        <f>+X42</f>
        <v>Албан томилолтын зардал</v>
      </c>
    </row>
    <row r="43" ht="12.0" customHeight="1">
      <c r="A43" s="175"/>
      <c r="B43" s="850" t="s">
        <v>1311</v>
      </c>
      <c r="C43" s="826">
        <v>8.6536375E7</v>
      </c>
      <c r="D43" s="826">
        <v>8.6536375E7</v>
      </c>
      <c r="E43" s="826">
        <v>2.0E7</v>
      </c>
      <c r="F43" s="826">
        <f t="shared" si="69"/>
        <v>1666666.667</v>
      </c>
      <c r="G43" s="826">
        <v>4.19493318E7</v>
      </c>
      <c r="H43" s="826">
        <f t="shared" si="70"/>
        <v>3495777.65</v>
      </c>
      <c r="I43" s="848">
        <v>2.5E7</v>
      </c>
      <c r="J43" s="845">
        <f t="shared" si="71"/>
        <v>2083333.333</v>
      </c>
      <c r="K43" s="826">
        <v>4.19493318E7</v>
      </c>
      <c r="L43" s="826">
        <f t="shared" si="72"/>
        <v>3495777.65</v>
      </c>
      <c r="M43" s="848">
        <v>2.5E7</v>
      </c>
      <c r="N43" s="845">
        <f t="shared" si="73"/>
        <v>2083333.333</v>
      </c>
      <c r="O43" s="849" t="str">
        <f t="shared" si="74"/>
        <v>#ERROR!</v>
      </c>
      <c r="P43" s="807">
        <f t="shared" si="75"/>
        <v>22916666.67</v>
      </c>
      <c r="Q43" s="175"/>
      <c r="R43" s="175"/>
      <c r="S43" s="175"/>
      <c r="T43" s="597">
        <v>4.847484306E7</v>
      </c>
      <c r="U43" s="597">
        <v>120.0</v>
      </c>
      <c r="V43" s="597">
        <f t="shared" si="79"/>
        <v>403957.0255</v>
      </c>
      <c r="W43" s="175">
        <v>5.0</v>
      </c>
      <c r="X43" s="847" t="str">
        <f t="shared" si="81"/>
        <v>Үндсэн хөрөнгийн элэгдлийн зардал</v>
      </c>
      <c r="Y43" s="845"/>
      <c r="Z43" s="845">
        <f t="shared" ref="Z43:AA43" si="82">+D44</f>
        <v>40592992</v>
      </c>
      <c r="AA43" s="845">
        <f t="shared" si="82"/>
        <v>44783333</v>
      </c>
      <c r="AB43" s="845">
        <f t="shared" si="83"/>
        <v>126248934.5</v>
      </c>
      <c r="AC43" s="845">
        <f t="shared" si="84"/>
        <v>149906517</v>
      </c>
      <c r="AD43" s="849" t="str">
        <f t="shared" si="77"/>
        <v>#ERROR!</v>
      </c>
      <c r="AE43" s="175"/>
      <c r="AF43" s="175" t="s">
        <v>1312</v>
      </c>
    </row>
    <row r="44" ht="12.0" customHeight="1">
      <c r="A44" s="175"/>
      <c r="B44" s="850" t="s">
        <v>1313</v>
      </c>
      <c r="C44" s="826">
        <v>4.0592992E7</v>
      </c>
      <c r="D44" s="826">
        <v>4.0592992E7</v>
      </c>
      <c r="E44" s="826">
        <v>4.4783333E7</v>
      </c>
      <c r="F44" s="826">
        <f t="shared" si="69"/>
        <v>3731944.417</v>
      </c>
      <c r="G44" s="826">
        <f>123772525.16+2476409.33</f>
        <v>126248934.5</v>
      </c>
      <c r="H44" s="826">
        <f t="shared" si="70"/>
        <v>10520744.54</v>
      </c>
      <c r="I44" s="845">
        <f>+V45*12</f>
        <v>149906517</v>
      </c>
      <c r="J44" s="845">
        <f t="shared" si="71"/>
        <v>12492209.75</v>
      </c>
      <c r="K44" s="826">
        <f>123772525.16+2476409.33</f>
        <v>126248934.5</v>
      </c>
      <c r="L44" s="826">
        <f t="shared" si="72"/>
        <v>10520744.54</v>
      </c>
      <c r="M44" s="845">
        <f>+Z45*12</f>
        <v>805253580</v>
      </c>
      <c r="N44" s="845">
        <f t="shared" si="73"/>
        <v>67104465</v>
      </c>
      <c r="O44" s="849" t="str">
        <f t="shared" si="74"/>
        <v>#ERROR!</v>
      </c>
      <c r="P44" s="807">
        <f t="shared" si="75"/>
        <v>137414307.2</v>
      </c>
      <c r="Q44" s="175"/>
      <c r="R44" s="175"/>
      <c r="S44" s="175"/>
      <c r="T44" s="597">
        <v>2.4316772E7</v>
      </c>
      <c r="U44" s="597">
        <v>36.0</v>
      </c>
      <c r="V44" s="597">
        <f t="shared" si="79"/>
        <v>675465.8889</v>
      </c>
      <c r="W44" s="175">
        <v>6.0</v>
      </c>
      <c r="X44" s="847" t="str">
        <f t="shared" si="81"/>
        <v>Маркетинг, Зар сурталчилгааны зардал</v>
      </c>
      <c r="Y44" s="845"/>
      <c r="Z44" s="845">
        <f t="shared" ref="Z44:AA44" si="85">+D45</f>
        <v>47259956</v>
      </c>
      <c r="AA44" s="845">
        <f t="shared" si="85"/>
        <v>54000000</v>
      </c>
      <c r="AB44" s="845">
        <f t="shared" si="83"/>
        <v>114582276.1</v>
      </c>
      <c r="AC44" s="845">
        <f t="shared" si="84"/>
        <v>100000000</v>
      </c>
      <c r="AD44" s="849" t="str">
        <f t="shared" si="77"/>
        <v>#ERROR!</v>
      </c>
      <c r="AE44" s="175"/>
      <c r="AF44" s="175" t="str">
        <f t="shared" ref="AF44:AF46" si="87">+X46</f>
        <v>Мэргэжлийн байгууллагад төлөх төлбөр</v>
      </c>
    </row>
    <row r="45" ht="12.0" customHeight="1">
      <c r="A45" s="175"/>
      <c r="B45" s="850" t="s">
        <v>1314</v>
      </c>
      <c r="C45" s="826">
        <v>4.7259956E7</v>
      </c>
      <c r="D45" s="826">
        <v>4.7259956E7</v>
      </c>
      <c r="E45" s="826">
        <v>5.4E7</v>
      </c>
      <c r="F45" s="826">
        <f t="shared" si="69"/>
        <v>4500000</v>
      </c>
      <c r="G45" s="826">
        <f>5399812.72+28087140.76+81095322.61</f>
        <v>114582276.1</v>
      </c>
      <c r="H45" s="826">
        <f t="shared" si="70"/>
        <v>9548523.008</v>
      </c>
      <c r="I45" s="848">
        <v>1.0E8</v>
      </c>
      <c r="J45" s="845">
        <f t="shared" si="71"/>
        <v>8333333.333</v>
      </c>
      <c r="K45" s="826">
        <f>5399812.72+28087140.76+81095322.61</f>
        <v>114582276.1</v>
      </c>
      <c r="L45" s="826">
        <f t="shared" si="72"/>
        <v>9548523.008</v>
      </c>
      <c r="M45" s="848">
        <v>1.0E8</v>
      </c>
      <c r="N45" s="845">
        <f t="shared" si="73"/>
        <v>8333333.333</v>
      </c>
      <c r="O45" s="849" t="str">
        <f t="shared" si="74"/>
        <v>#ERROR!</v>
      </c>
      <c r="P45" s="807">
        <f t="shared" si="75"/>
        <v>91666666.67</v>
      </c>
      <c r="Q45" s="175"/>
      <c r="R45" s="175"/>
      <c r="S45" s="175"/>
      <c r="T45" s="597"/>
      <c r="U45" s="597"/>
      <c r="V45" s="597">
        <f>SUM(V40:V44)</f>
        <v>12492209.75</v>
      </c>
      <c r="W45" s="175">
        <v>7.0</v>
      </c>
      <c r="X45" s="825" t="s">
        <v>1315</v>
      </c>
      <c r="Y45" s="828"/>
      <c r="Z45" s="828">
        <f t="shared" ref="Z45:AA45" si="86">+D51+D52</f>
        <v>67104465</v>
      </c>
      <c r="AA45" s="828">
        <f t="shared" si="86"/>
        <v>40000000</v>
      </c>
      <c r="AB45" s="828">
        <f>+G51+G52</f>
        <v>147206940.7</v>
      </c>
      <c r="AC45" s="828">
        <f>+I51+I52</f>
        <v>100000000</v>
      </c>
      <c r="AD45" s="849" t="str">
        <f t="shared" si="77"/>
        <v>#ERROR!</v>
      </c>
      <c r="AE45" s="175"/>
      <c r="AF45" s="175" t="str">
        <f t="shared" si="87"/>
        <v>Тээвэр шатахуун</v>
      </c>
    </row>
    <row r="46" ht="12.0" customHeight="1">
      <c r="A46" s="175"/>
      <c r="B46" s="850" t="s">
        <v>1316</v>
      </c>
      <c r="C46" s="826">
        <v>1.5433411E7</v>
      </c>
      <c r="D46" s="826">
        <v>1.5433411E7</v>
      </c>
      <c r="E46" s="826">
        <v>1.56E7</v>
      </c>
      <c r="F46" s="826">
        <f t="shared" si="69"/>
        <v>1300000</v>
      </c>
      <c r="G46" s="826">
        <v>1.540145092E7</v>
      </c>
      <c r="H46" s="826">
        <f t="shared" si="70"/>
        <v>1283454.243</v>
      </c>
      <c r="I46" s="848">
        <f>1000000*12</f>
        <v>12000000</v>
      </c>
      <c r="J46" s="845">
        <f t="shared" si="71"/>
        <v>1000000</v>
      </c>
      <c r="K46" s="826">
        <v>1.540145092E7</v>
      </c>
      <c r="L46" s="826">
        <f t="shared" si="72"/>
        <v>1283454.243</v>
      </c>
      <c r="M46" s="848">
        <f>1000000*12</f>
        <v>12000000</v>
      </c>
      <c r="N46" s="845">
        <f t="shared" si="73"/>
        <v>1000000</v>
      </c>
      <c r="O46" s="849" t="str">
        <f t="shared" si="74"/>
        <v>#ERROR!</v>
      </c>
      <c r="P46" s="807">
        <f t="shared" si="75"/>
        <v>11000000</v>
      </c>
      <c r="Q46" s="175"/>
      <c r="R46" s="175"/>
      <c r="S46" s="175"/>
      <c r="T46" s="597"/>
      <c r="U46" s="597"/>
      <c r="V46" s="597"/>
      <c r="W46" s="175">
        <v>8.0</v>
      </c>
      <c r="X46" s="825" t="str">
        <f>+B50</f>
        <v>Мэргэжлийн байгууллагад төлөх төлбөр</v>
      </c>
      <c r="Y46" s="845"/>
      <c r="Z46" s="845">
        <f>+D50+D49</f>
        <v>131915869</v>
      </c>
      <c r="AA46" s="845">
        <f>+E49+E50</f>
        <v>61400000</v>
      </c>
      <c r="AB46" s="845">
        <f>+G49+G50</f>
        <v>83493802</v>
      </c>
      <c r="AC46" s="845">
        <f>+I49+I50</f>
        <v>50000000</v>
      </c>
      <c r="AD46" s="849" t="str">
        <f t="shared" si="77"/>
        <v>#ERROR!</v>
      </c>
      <c r="AE46" s="175"/>
      <c r="AF46" s="175" t="str">
        <f t="shared" si="87"/>
        <v>Үл хөдлөх хөрөнгийн татварын зардал</v>
      </c>
    </row>
    <row r="47" ht="12.0" customHeight="1">
      <c r="A47" s="175"/>
      <c r="B47" s="850" t="s">
        <v>1317</v>
      </c>
      <c r="C47" s="826">
        <v>1.3255484E7</v>
      </c>
      <c r="D47" s="826">
        <v>1.3255484E7</v>
      </c>
      <c r="E47" s="826">
        <v>1.34E7</v>
      </c>
      <c r="F47" s="826">
        <f t="shared" si="69"/>
        <v>1116666.667</v>
      </c>
      <c r="G47" s="826">
        <v>1.344045327E7</v>
      </c>
      <c r="H47" s="826">
        <f t="shared" si="70"/>
        <v>1120037.773</v>
      </c>
      <c r="I47" s="848">
        <f>833333.3333*12</f>
        <v>10000000</v>
      </c>
      <c r="J47" s="845">
        <f t="shared" si="71"/>
        <v>833333.3333</v>
      </c>
      <c r="K47" s="826">
        <v>1.344045327E7</v>
      </c>
      <c r="L47" s="826">
        <f t="shared" si="72"/>
        <v>1120037.773</v>
      </c>
      <c r="M47" s="848">
        <f>833333.3333*12</f>
        <v>10000000</v>
      </c>
      <c r="N47" s="845">
        <f t="shared" si="73"/>
        <v>833333.3333</v>
      </c>
      <c r="O47" s="849" t="str">
        <f t="shared" si="74"/>
        <v>#ERROR!</v>
      </c>
      <c r="P47" s="807">
        <f t="shared" si="75"/>
        <v>9166666.666</v>
      </c>
      <c r="Q47" s="175"/>
      <c r="R47" s="175"/>
      <c r="S47" s="175"/>
      <c r="T47" s="597"/>
      <c r="U47" s="597"/>
      <c r="V47" s="597"/>
      <c r="W47" s="175">
        <v>9.0</v>
      </c>
      <c r="X47" s="825" t="s">
        <v>1318</v>
      </c>
      <c r="Y47" s="828"/>
      <c r="Z47" s="828">
        <f t="shared" ref="Z47:AA47" si="88">+D48+D53+D54+D55</f>
        <v>14211704</v>
      </c>
      <c r="AA47" s="828">
        <f t="shared" si="88"/>
        <v>22000000</v>
      </c>
      <c r="AB47" s="828">
        <f>+G48+G53+G54+G55</f>
        <v>20722234.98</v>
      </c>
      <c r="AC47" s="828">
        <f>+I48+I53+I54+I55</f>
        <v>17500000</v>
      </c>
      <c r="AD47" s="849" t="str">
        <f t="shared" si="77"/>
        <v>#ERROR!</v>
      </c>
      <c r="AE47" s="175"/>
      <c r="AF47" s="175"/>
    </row>
    <row r="48" ht="12.0" customHeight="1">
      <c r="A48" s="175"/>
      <c r="B48" s="850" t="s">
        <v>1319</v>
      </c>
      <c r="C48" s="826">
        <v>1.3686104E7</v>
      </c>
      <c r="D48" s="826">
        <v>1.3686104E7</v>
      </c>
      <c r="E48" s="826">
        <v>1.56E7</v>
      </c>
      <c r="F48" s="826">
        <f t="shared" si="69"/>
        <v>1300000</v>
      </c>
      <c r="G48" s="826">
        <v>1.527009952E7</v>
      </c>
      <c r="H48" s="826">
        <f t="shared" si="70"/>
        <v>1272508.293</v>
      </c>
      <c r="I48" s="848">
        <f>1100000*12</f>
        <v>13200000</v>
      </c>
      <c r="J48" s="845">
        <f t="shared" si="71"/>
        <v>1100000</v>
      </c>
      <c r="K48" s="826">
        <v>1.527009952E7</v>
      </c>
      <c r="L48" s="826">
        <f t="shared" si="72"/>
        <v>1272508.293</v>
      </c>
      <c r="M48" s="848">
        <f>1100000*12</f>
        <v>13200000</v>
      </c>
      <c r="N48" s="845">
        <f t="shared" si="73"/>
        <v>1100000</v>
      </c>
      <c r="O48" s="849" t="str">
        <f t="shared" si="74"/>
        <v>#ERROR!</v>
      </c>
      <c r="P48" s="807">
        <f t="shared" si="75"/>
        <v>12100000</v>
      </c>
      <c r="Q48" s="175"/>
      <c r="R48" s="175"/>
      <c r="S48" s="175"/>
      <c r="T48" s="597"/>
      <c r="U48" s="597"/>
      <c r="V48" s="597"/>
      <c r="W48" s="175">
        <v>10.0</v>
      </c>
      <c r="X48" s="825" t="str">
        <f>+B57</f>
        <v>Үл хөдлөх хөрөнгийн татварын зардал</v>
      </c>
      <c r="Y48" s="828"/>
      <c r="Z48" s="828">
        <f t="shared" ref="Z48:AA48" si="89">+D57</f>
        <v>836242</v>
      </c>
      <c r="AA48" s="828">
        <f t="shared" si="89"/>
        <v>3500000</v>
      </c>
      <c r="AB48" s="828"/>
      <c r="AC48" s="828">
        <f>+I57</f>
        <v>6751484.32</v>
      </c>
      <c r="AD48" s="849" t="str">
        <f t="shared" si="77"/>
        <v>#ERROR!</v>
      </c>
      <c r="AE48" s="175"/>
      <c r="AF48" s="175"/>
    </row>
    <row r="49" ht="12.0" customHeight="1">
      <c r="A49" s="175"/>
      <c r="B49" s="850" t="s">
        <v>1320</v>
      </c>
      <c r="C49" s="826">
        <v>1.0E7</v>
      </c>
      <c r="D49" s="826">
        <v>1.0E7</v>
      </c>
      <c r="E49" s="826">
        <v>2.14E7</v>
      </c>
      <c r="F49" s="826">
        <f t="shared" si="69"/>
        <v>1783333.333</v>
      </c>
      <c r="G49" s="826">
        <v>8.3493802E7</v>
      </c>
      <c r="H49" s="826">
        <f t="shared" si="70"/>
        <v>6957816.833</v>
      </c>
      <c r="I49" s="848">
        <v>1.804E7</v>
      </c>
      <c r="J49" s="845">
        <f t="shared" si="71"/>
        <v>1503333.333</v>
      </c>
      <c r="K49" s="826">
        <v>8.3493802E7</v>
      </c>
      <c r="L49" s="826">
        <f t="shared" si="72"/>
        <v>6957816.833</v>
      </c>
      <c r="M49" s="848">
        <v>1.804E7</v>
      </c>
      <c r="N49" s="845">
        <f t="shared" si="73"/>
        <v>1503333.333</v>
      </c>
      <c r="O49" s="849" t="str">
        <f t="shared" si="74"/>
        <v>#ERROR!</v>
      </c>
      <c r="P49" s="807">
        <f t="shared" si="75"/>
        <v>16536666.67</v>
      </c>
      <c r="Q49" s="175"/>
      <c r="R49" s="175"/>
      <c r="S49" s="175"/>
      <c r="T49" s="597"/>
      <c r="U49" s="597"/>
      <c r="V49" s="597"/>
      <c r="W49" s="175">
        <v>11.0</v>
      </c>
      <c r="X49" s="851" t="s">
        <v>1321</v>
      </c>
      <c r="Y49" s="852">
        <f t="shared" ref="Y49:AC49" si="90">SUM(Y39:Y48)</f>
        <v>0</v>
      </c>
      <c r="Z49" s="852">
        <f t="shared" si="90"/>
        <v>869005484</v>
      </c>
      <c r="AA49" s="852">
        <f t="shared" si="90"/>
        <v>900084445</v>
      </c>
      <c r="AB49" s="852">
        <f t="shared" si="90"/>
        <v>1140410552</v>
      </c>
      <c r="AC49" s="852" t="str">
        <f t="shared" si="90"/>
        <v>#ERROR!</v>
      </c>
      <c r="AD49" s="853" t="str">
        <f t="shared" si="77"/>
        <v>#ERROR!</v>
      </c>
      <c r="AE49" s="807" t="str">
        <f>+AC49/12</f>
        <v>#ERROR!</v>
      </c>
      <c r="AF49" s="807" t="str">
        <f>+AE49*5</f>
        <v>#ERROR!</v>
      </c>
    </row>
    <row r="50" ht="12.0" customHeight="1">
      <c r="A50" s="175"/>
      <c r="B50" s="850" t="s">
        <v>1322</v>
      </c>
      <c r="C50" s="826">
        <v>1.21915869E8</v>
      </c>
      <c r="D50" s="826">
        <v>1.21915869E8</v>
      </c>
      <c r="E50" s="826">
        <v>4.0E7</v>
      </c>
      <c r="F50" s="826">
        <f t="shared" si="69"/>
        <v>3333333.333</v>
      </c>
      <c r="G50" s="826"/>
      <c r="H50" s="826">
        <f t="shared" si="70"/>
        <v>0</v>
      </c>
      <c r="I50" s="848">
        <f>50000000-18040000</f>
        <v>31960000</v>
      </c>
      <c r="J50" s="845">
        <f t="shared" si="71"/>
        <v>2663333.333</v>
      </c>
      <c r="K50" s="826"/>
      <c r="L50" s="826">
        <f t="shared" si="72"/>
        <v>0</v>
      </c>
      <c r="M50" s="848">
        <f>50000000-18040000</f>
        <v>31960000</v>
      </c>
      <c r="N50" s="845">
        <f t="shared" si="73"/>
        <v>2663333.333</v>
      </c>
      <c r="O50" s="849" t="str">
        <f t="shared" si="74"/>
        <v>#ERROR!</v>
      </c>
      <c r="P50" s="807">
        <f t="shared" si="75"/>
        <v>29296666.67</v>
      </c>
      <c r="Q50" s="175"/>
      <c r="R50" s="175"/>
      <c r="S50" s="175"/>
      <c r="T50" s="597"/>
      <c r="U50" s="597"/>
      <c r="V50" s="597"/>
      <c r="W50" s="175"/>
      <c r="X50" s="175"/>
      <c r="Y50" s="181"/>
      <c r="Z50" s="181">
        <f t="shared" ref="Z50:AA50" si="91">+Z49-D58</f>
        <v>0</v>
      </c>
      <c r="AA50" s="181">
        <f t="shared" si="91"/>
        <v>0</v>
      </c>
      <c r="AB50" s="181">
        <f>+AB49-G58</f>
        <v>0.0000002384185791</v>
      </c>
      <c r="AC50" s="181" t="str">
        <f>+AC49-I58</f>
        <v>#ERROR!</v>
      </c>
      <c r="AD50" s="175"/>
      <c r="AE50" s="175"/>
      <c r="AF50" s="175"/>
    </row>
    <row r="51" ht="12.0" customHeight="1">
      <c r="A51" s="175"/>
      <c r="B51" s="850" t="s">
        <v>1323</v>
      </c>
      <c r="C51" s="826">
        <v>1.8725885E7</v>
      </c>
      <c r="D51" s="826">
        <v>1.8725885E7</v>
      </c>
      <c r="E51" s="826">
        <v>2.0E7</v>
      </c>
      <c r="F51" s="826">
        <f t="shared" si="69"/>
        <v>1666666.667</v>
      </c>
      <c r="G51" s="826"/>
      <c r="H51" s="826">
        <f t="shared" si="70"/>
        <v>0</v>
      </c>
      <c r="I51" s="848">
        <v>5.0E7</v>
      </c>
      <c r="J51" s="845">
        <f t="shared" si="71"/>
        <v>4166666.667</v>
      </c>
      <c r="K51" s="826"/>
      <c r="L51" s="826">
        <f t="shared" si="72"/>
        <v>0</v>
      </c>
      <c r="M51" s="848">
        <v>5.0E7</v>
      </c>
      <c r="N51" s="845">
        <f t="shared" si="73"/>
        <v>4166666.667</v>
      </c>
      <c r="O51" s="849" t="str">
        <f t="shared" si="74"/>
        <v>#ERROR!</v>
      </c>
      <c r="P51" s="807">
        <f t="shared" si="75"/>
        <v>45833333.33</v>
      </c>
      <c r="Q51" s="175"/>
      <c r="R51" s="175"/>
      <c r="S51" s="175"/>
      <c r="T51" s="597"/>
      <c r="U51" s="597"/>
      <c r="V51" s="597"/>
      <c r="W51" s="175"/>
      <c r="X51" s="854" t="s">
        <v>81</v>
      </c>
      <c r="Y51" s="815" t="s">
        <v>1280</v>
      </c>
      <c r="Z51" s="815" t="s">
        <v>1280</v>
      </c>
      <c r="AA51" s="811" t="s">
        <v>145</v>
      </c>
      <c r="AB51" s="812"/>
      <c r="AC51" s="816" t="s">
        <v>1282</v>
      </c>
      <c r="AD51" s="855" t="s">
        <v>1284</v>
      </c>
      <c r="AE51" s="175"/>
      <c r="AF51" s="175"/>
    </row>
    <row r="52" ht="12.0" customHeight="1">
      <c r="A52" s="175"/>
      <c r="B52" s="850" t="s">
        <v>1324</v>
      </c>
      <c r="C52" s="826">
        <v>4.837858E7</v>
      </c>
      <c r="D52" s="826">
        <v>4.837858E7</v>
      </c>
      <c r="E52" s="826">
        <v>2.0E7</v>
      </c>
      <c r="F52" s="826">
        <f t="shared" si="69"/>
        <v>1666666.667</v>
      </c>
      <c r="G52" s="826">
        <v>1.4720694068E8</v>
      </c>
      <c r="H52" s="826">
        <f t="shared" si="70"/>
        <v>12267245.06</v>
      </c>
      <c r="I52" s="848">
        <v>5.0E7</v>
      </c>
      <c r="J52" s="845">
        <f t="shared" si="71"/>
        <v>4166666.667</v>
      </c>
      <c r="K52" s="826">
        <v>1.4720694068E8</v>
      </c>
      <c r="L52" s="826">
        <f t="shared" si="72"/>
        <v>12267245.06</v>
      </c>
      <c r="M52" s="848">
        <v>5.0E7</v>
      </c>
      <c r="N52" s="845">
        <f t="shared" si="73"/>
        <v>4166666.667</v>
      </c>
      <c r="O52" s="849" t="str">
        <f t="shared" si="74"/>
        <v>#ERROR!</v>
      </c>
      <c r="P52" s="807">
        <f t="shared" si="75"/>
        <v>45833333.33</v>
      </c>
      <c r="Q52" s="175"/>
      <c r="R52" s="175"/>
      <c r="S52" s="175"/>
      <c r="T52" s="597">
        <v>1.5E7</v>
      </c>
      <c r="U52" s="597" t="str">
        <f t="shared" ref="U52:U53" si="92">+V52*1%*#REF!</f>
        <v>#REF!</v>
      </c>
      <c r="V52" s="597">
        <v>750000.0</v>
      </c>
      <c r="W52" s="175"/>
      <c r="X52" s="844"/>
      <c r="Y52" s="817" t="s">
        <v>1285</v>
      </c>
      <c r="Z52" s="817" t="s">
        <v>1285</v>
      </c>
      <c r="AA52" s="817" t="s">
        <v>66</v>
      </c>
      <c r="AB52" s="817" t="s">
        <v>1285</v>
      </c>
      <c r="AC52" s="817" t="s">
        <v>66</v>
      </c>
      <c r="AD52" s="856"/>
      <c r="AE52" s="175"/>
      <c r="AF52" s="175"/>
    </row>
    <row r="53" ht="15.0" customHeight="1">
      <c r="A53" s="175"/>
      <c r="B53" s="850" t="s">
        <v>1325</v>
      </c>
      <c r="C53" s="826">
        <v>194000.0</v>
      </c>
      <c r="D53" s="826">
        <v>194000.0</v>
      </c>
      <c r="E53" s="826">
        <v>200000.0</v>
      </c>
      <c r="F53" s="826">
        <f t="shared" si="69"/>
        <v>16666.66667</v>
      </c>
      <c r="G53" s="826">
        <v>224800.0</v>
      </c>
      <c r="H53" s="826">
        <f t="shared" si="70"/>
        <v>18733.33333</v>
      </c>
      <c r="I53" s="848">
        <f>250000*2</f>
        <v>500000</v>
      </c>
      <c r="J53" s="845">
        <f t="shared" si="71"/>
        <v>41666.66667</v>
      </c>
      <c r="K53" s="826">
        <v>224800.0</v>
      </c>
      <c r="L53" s="826">
        <f t="shared" si="72"/>
        <v>18733.33333</v>
      </c>
      <c r="M53" s="848">
        <f>250000*2</f>
        <v>500000</v>
      </c>
      <c r="N53" s="845">
        <f t="shared" si="73"/>
        <v>41666.66667</v>
      </c>
      <c r="O53" s="849" t="str">
        <f t="shared" si="74"/>
        <v>#ERROR!</v>
      </c>
      <c r="P53" s="807">
        <f t="shared" si="75"/>
        <v>458333.3333</v>
      </c>
      <c r="Q53" s="175"/>
      <c r="R53" s="175"/>
      <c r="S53" s="175"/>
      <c r="T53" s="597"/>
      <c r="U53" s="597" t="str">
        <f t="shared" si="92"/>
        <v>#REF!</v>
      </c>
      <c r="V53" s="597">
        <v>1000000.0</v>
      </c>
      <c r="W53" s="175"/>
      <c r="X53" s="825" t="s">
        <v>1326</v>
      </c>
      <c r="Y53" s="828"/>
      <c r="Z53" s="828">
        <f t="shared" ref="Z53:AA53" si="93">+D62</f>
        <v>57629564.68</v>
      </c>
      <c r="AA53" s="828">
        <f t="shared" si="93"/>
        <v>15268980</v>
      </c>
      <c r="AB53" s="828">
        <f t="shared" ref="AB53:AB55" si="95">+G62</f>
        <v>77608550.36</v>
      </c>
      <c r="AC53" s="828">
        <f t="shared" ref="AC53:AC55" si="96">+I62</f>
        <v>0</v>
      </c>
      <c r="AD53" s="857"/>
      <c r="AE53" s="175"/>
      <c r="AF53" s="175"/>
    </row>
    <row r="54" ht="12.0" customHeight="1">
      <c r="A54" s="175"/>
      <c r="B54" s="850" t="s">
        <v>1327</v>
      </c>
      <c r="C54" s="826">
        <v>89100.0</v>
      </c>
      <c r="D54" s="826">
        <v>89100.0</v>
      </c>
      <c r="E54" s="826">
        <v>5000000.0</v>
      </c>
      <c r="F54" s="826">
        <f t="shared" si="69"/>
        <v>416666.6667</v>
      </c>
      <c r="G54" s="826">
        <v>2438200.0</v>
      </c>
      <c r="H54" s="826">
        <f t="shared" si="70"/>
        <v>203183.3333</v>
      </c>
      <c r="I54" s="848">
        <v>2600000.0</v>
      </c>
      <c r="J54" s="845">
        <f t="shared" si="71"/>
        <v>216666.6667</v>
      </c>
      <c r="K54" s="826">
        <v>2438200.0</v>
      </c>
      <c r="L54" s="826">
        <f t="shared" si="72"/>
        <v>203183.3333</v>
      </c>
      <c r="M54" s="848">
        <v>2600000.0</v>
      </c>
      <c r="N54" s="845">
        <f t="shared" si="73"/>
        <v>216666.6667</v>
      </c>
      <c r="O54" s="849" t="str">
        <f t="shared" si="74"/>
        <v>#ERROR!</v>
      </c>
      <c r="P54" s="807">
        <f t="shared" si="75"/>
        <v>2383333.333</v>
      </c>
      <c r="Q54" s="175"/>
      <c r="R54" s="175"/>
      <c r="S54" s="175"/>
      <c r="T54" s="597"/>
      <c r="U54" s="597"/>
      <c r="V54" s="597"/>
      <c r="W54" s="175"/>
      <c r="X54" s="825" t="s">
        <v>1328</v>
      </c>
      <c r="Y54" s="828"/>
      <c r="Z54" s="828">
        <f t="shared" ref="Z54:AA54" si="94">+D63</f>
        <v>489909779.6</v>
      </c>
      <c r="AA54" s="828">
        <f t="shared" si="94"/>
        <v>2908888</v>
      </c>
      <c r="AB54" s="828">
        <f t="shared" si="95"/>
        <v>5292550.31</v>
      </c>
      <c r="AC54" s="828">
        <f t="shared" si="96"/>
        <v>60000</v>
      </c>
      <c r="AD54" s="857"/>
      <c r="AE54" s="175"/>
      <c r="AF54" s="175"/>
    </row>
    <row r="55" ht="12.0" customHeight="1">
      <c r="A55" s="175"/>
      <c r="B55" s="850" t="s">
        <v>1329</v>
      </c>
      <c r="C55" s="826">
        <v>242500.0</v>
      </c>
      <c r="D55" s="826">
        <f>242500</f>
        <v>242500</v>
      </c>
      <c r="E55" s="826">
        <v>1200000.0</v>
      </c>
      <c r="F55" s="826">
        <f t="shared" si="69"/>
        <v>100000</v>
      </c>
      <c r="G55" s="826">
        <v>2789135.46</v>
      </c>
      <c r="H55" s="826">
        <f t="shared" si="70"/>
        <v>232427.955</v>
      </c>
      <c r="I55" s="848">
        <f>100000*12</f>
        <v>1200000</v>
      </c>
      <c r="J55" s="845">
        <f t="shared" si="71"/>
        <v>100000</v>
      </c>
      <c r="K55" s="826">
        <v>2789135.46</v>
      </c>
      <c r="L55" s="826">
        <f t="shared" si="72"/>
        <v>232427.955</v>
      </c>
      <c r="M55" s="848">
        <f>100000*12</f>
        <v>1200000</v>
      </c>
      <c r="N55" s="845">
        <f t="shared" si="73"/>
        <v>100000</v>
      </c>
      <c r="O55" s="849" t="str">
        <f t="shared" si="74"/>
        <v>#ERROR!</v>
      </c>
      <c r="P55" s="807">
        <f t="shared" si="75"/>
        <v>1100000</v>
      </c>
      <c r="Q55" s="175"/>
      <c r="R55" s="175"/>
      <c r="S55" s="175"/>
      <c r="T55" s="597"/>
      <c r="U55" s="597"/>
      <c r="V55" s="597"/>
      <c r="W55" s="175"/>
      <c r="X55" s="829" t="s">
        <v>1330</v>
      </c>
      <c r="Y55" s="822"/>
      <c r="Z55" s="822">
        <f t="shared" ref="Z55:AA55" si="97">+D64</f>
        <v>547539344.3</v>
      </c>
      <c r="AA55" s="822">
        <f t="shared" si="97"/>
        <v>18177868</v>
      </c>
      <c r="AB55" s="822">
        <f t="shared" si="95"/>
        <v>82901100.67</v>
      </c>
      <c r="AC55" s="822">
        <f t="shared" si="96"/>
        <v>60000</v>
      </c>
      <c r="AD55" s="858"/>
      <c r="AE55" s="175"/>
      <c r="AF55" s="175"/>
    </row>
    <row r="56" ht="12.0" customHeight="1">
      <c r="A56" s="175"/>
      <c r="B56" s="850" t="s">
        <v>1331</v>
      </c>
      <c r="C56" s="826">
        <f t="shared" ref="C56:D56" si="98">484030+1649821</f>
        <v>2133851</v>
      </c>
      <c r="D56" s="826">
        <f t="shared" si="98"/>
        <v>2133851</v>
      </c>
      <c r="E56" s="826">
        <f>960000+1200000</f>
        <v>2160000</v>
      </c>
      <c r="F56" s="826">
        <f t="shared" si="69"/>
        <v>180000</v>
      </c>
      <c r="G56" s="826">
        <f>1512386.27+8923734.55</f>
        <v>10436120.82</v>
      </c>
      <c r="H56" s="826">
        <f t="shared" si="70"/>
        <v>869676.735</v>
      </c>
      <c r="I56" s="848">
        <f>500000*12</f>
        <v>6000000</v>
      </c>
      <c r="J56" s="845">
        <f t="shared" si="71"/>
        <v>500000</v>
      </c>
      <c r="K56" s="826">
        <f>1512386.27+8923734.55</f>
        <v>10436120.82</v>
      </c>
      <c r="L56" s="826">
        <f t="shared" si="72"/>
        <v>869676.735</v>
      </c>
      <c r="M56" s="848">
        <f>500000*12</f>
        <v>6000000</v>
      </c>
      <c r="N56" s="845">
        <f t="shared" si="73"/>
        <v>500000</v>
      </c>
      <c r="O56" s="849" t="str">
        <f t="shared" si="74"/>
        <v>#ERROR!</v>
      </c>
      <c r="P56" s="807">
        <f t="shared" si="75"/>
        <v>5500000</v>
      </c>
      <c r="Q56" s="175"/>
      <c r="R56" s="175"/>
      <c r="S56" s="175"/>
      <c r="T56" s="597"/>
      <c r="U56" s="597"/>
      <c r="V56" s="597"/>
      <c r="W56" s="175"/>
      <c r="X56" s="859" t="s">
        <v>1332</v>
      </c>
      <c r="Y56" s="860">
        <f t="shared" ref="Y56:Z56" si="99">+Y49+Y55</f>
        <v>0</v>
      </c>
      <c r="Z56" s="860">
        <f t="shared" si="99"/>
        <v>1416544828</v>
      </c>
      <c r="AA56" s="860">
        <f>+E65</f>
        <v>918262313</v>
      </c>
      <c r="AB56" s="860">
        <f t="shared" ref="AB56:AC56" si="100">+AB49+AB55</f>
        <v>1223311653</v>
      </c>
      <c r="AC56" s="860" t="str">
        <f t="shared" si="100"/>
        <v>#ERROR!</v>
      </c>
      <c r="AD56" s="861"/>
      <c r="AE56" s="175"/>
      <c r="AF56" s="175"/>
    </row>
    <row r="57" ht="12.0" customHeight="1">
      <c r="A57" s="175"/>
      <c r="B57" s="850" t="s">
        <v>1333</v>
      </c>
      <c r="C57" s="826">
        <v>836242.0</v>
      </c>
      <c r="D57" s="826">
        <v>836242.0</v>
      </c>
      <c r="E57" s="826">
        <v>3500000.0</v>
      </c>
      <c r="F57" s="826">
        <f t="shared" si="69"/>
        <v>291666.6667</v>
      </c>
      <c r="G57" s="826"/>
      <c r="H57" s="826">
        <f t="shared" si="70"/>
        <v>0</v>
      </c>
      <c r="I57" s="848">
        <f>+T41*1%</f>
        <v>6751484.32</v>
      </c>
      <c r="J57" s="845">
        <f t="shared" si="71"/>
        <v>562623.6933</v>
      </c>
      <c r="K57" s="826"/>
      <c r="L57" s="826">
        <f t="shared" si="72"/>
        <v>0</v>
      </c>
      <c r="M57" s="848" t="str">
        <f>+X41*1%</f>
        <v>#VALUE!</v>
      </c>
      <c r="N57" s="845" t="str">
        <f t="shared" si="73"/>
        <v>#VALUE!</v>
      </c>
      <c r="O57" s="849" t="str">
        <f t="shared" si="74"/>
        <v>#ERROR!</v>
      </c>
      <c r="P57" s="807">
        <f t="shared" si="75"/>
        <v>6188860.627</v>
      </c>
      <c r="Q57" s="175"/>
      <c r="R57" s="175"/>
      <c r="S57" s="175"/>
      <c r="T57" s="597">
        <f>10503500+3769000+1152000</f>
        <v>15424500</v>
      </c>
      <c r="U57" s="597"/>
      <c r="V57" s="597"/>
      <c r="W57" s="175"/>
      <c r="X57" s="862" t="s">
        <v>1334</v>
      </c>
      <c r="Y57" s="863">
        <f t="shared" ref="Y57:AC57" si="101">+Y34-Y56</f>
        <v>0</v>
      </c>
      <c r="Z57" s="863">
        <f t="shared" si="101"/>
        <v>-1139789655</v>
      </c>
      <c r="AA57" s="863">
        <f t="shared" si="101"/>
        <v>-17133475.02</v>
      </c>
      <c r="AB57" s="863">
        <f t="shared" si="101"/>
        <v>-551918845.5</v>
      </c>
      <c r="AC57" s="863" t="str">
        <f t="shared" si="101"/>
        <v>#ERROR!</v>
      </c>
      <c r="AD57" s="864"/>
      <c r="AE57" s="175"/>
      <c r="AF57" s="175"/>
    </row>
    <row r="58" ht="12.0" customHeight="1">
      <c r="A58" s="175"/>
      <c r="B58" s="851" t="s">
        <v>1321</v>
      </c>
      <c r="C58" s="865">
        <f t="shared" ref="C58:E58" si="102">SUM(C39:C57)</f>
        <v>863207087</v>
      </c>
      <c r="D58" s="865">
        <f t="shared" si="102"/>
        <v>869005484</v>
      </c>
      <c r="E58" s="865">
        <f t="shared" si="102"/>
        <v>900084445</v>
      </c>
      <c r="F58" s="866">
        <f t="shared" si="69"/>
        <v>75007037.08</v>
      </c>
      <c r="G58" s="865">
        <f>SUM(G39:G57)</f>
        <v>1140410552</v>
      </c>
      <c r="H58" s="866">
        <f t="shared" si="70"/>
        <v>95034212.66</v>
      </c>
      <c r="I58" s="865" t="str">
        <f t="shared" ref="I58:K58" si="103">SUM(I39:I57)</f>
        <v>#ERROR!</v>
      </c>
      <c r="J58" s="865" t="str">
        <f t="shared" si="103"/>
        <v>#ERROR!</v>
      </c>
      <c r="K58" s="865">
        <f t="shared" si="103"/>
        <v>1140410552</v>
      </c>
      <c r="L58" s="866">
        <f t="shared" si="72"/>
        <v>95034212.66</v>
      </c>
      <c r="M58" s="865" t="str">
        <f t="shared" ref="M58:N58" si="104">SUM(M39:M57)</f>
        <v>#ERROR!</v>
      </c>
      <c r="N58" s="865" t="str">
        <f t="shared" si="104"/>
        <v>#ERROR!</v>
      </c>
      <c r="O58" s="853" t="str">
        <f t="shared" si="74"/>
        <v>#ERROR!</v>
      </c>
      <c r="P58" s="807" t="str">
        <f t="shared" si="75"/>
        <v>#ERROR!</v>
      </c>
      <c r="Q58" s="181" t="str">
        <f>+I58-I44</f>
        <v>#ERROR!</v>
      </c>
      <c r="R58" s="175"/>
      <c r="S58" s="175"/>
      <c r="T58" s="597"/>
      <c r="U58" s="597"/>
      <c r="V58" s="597"/>
      <c r="W58" s="175"/>
      <c r="X58" s="825" t="s">
        <v>1335</v>
      </c>
      <c r="Y58" s="828"/>
      <c r="Z58" s="828">
        <f t="shared" ref="Z58:Z59" si="105">+D67</f>
        <v>1486184001</v>
      </c>
      <c r="AA58" s="828">
        <v>0.0</v>
      </c>
      <c r="AB58" s="828">
        <f t="shared" ref="AB58:AB59" si="106">+G67</f>
        <v>4041898814</v>
      </c>
      <c r="AC58" s="828" t="str">
        <f t="shared" ref="AC58:AC59" si="107">+I67</f>
        <v>#ERROR!</v>
      </c>
      <c r="AD58" s="857"/>
      <c r="AE58" s="175"/>
      <c r="AF58" s="175"/>
    </row>
    <row r="59" ht="12.0" customHeight="1">
      <c r="A59" s="806"/>
      <c r="B59" s="175"/>
      <c r="C59" s="181"/>
      <c r="D59" s="181"/>
      <c r="E59" s="181"/>
      <c r="F59" s="181">
        <f t="shared" si="69"/>
        <v>0</v>
      </c>
      <c r="G59" s="181"/>
      <c r="H59" s="181"/>
      <c r="I59" s="181"/>
      <c r="J59" s="181"/>
      <c r="K59" s="181"/>
      <c r="L59" s="181"/>
      <c r="M59" s="181"/>
      <c r="N59" s="181"/>
      <c r="O59" s="867"/>
      <c r="P59" s="806"/>
      <c r="Q59" s="806" t="str">
        <f>+[9]cash2016!R50</f>
        <v>#ERROR!</v>
      </c>
      <c r="R59" s="806"/>
      <c r="S59" s="806"/>
      <c r="T59" s="807"/>
      <c r="U59" s="807"/>
      <c r="V59" s="807"/>
      <c r="W59" s="806"/>
      <c r="X59" s="868" t="s">
        <v>1336</v>
      </c>
      <c r="Y59" s="828"/>
      <c r="Z59" s="828">
        <f t="shared" si="105"/>
        <v>91563000</v>
      </c>
      <c r="AA59" s="828">
        <v>0.0</v>
      </c>
      <c r="AB59" s="828">
        <f t="shared" si="106"/>
        <v>107776858</v>
      </c>
      <c r="AC59" s="828">
        <f t="shared" si="107"/>
        <v>0</v>
      </c>
      <c r="AD59" s="858"/>
      <c r="AE59" s="806"/>
      <c r="AF59" s="806"/>
    </row>
    <row r="60" ht="12.0" customHeight="1">
      <c r="A60" s="175"/>
      <c r="B60" s="854" t="s">
        <v>81</v>
      </c>
      <c r="C60" s="810" t="s">
        <v>1280</v>
      </c>
      <c r="D60" s="810" t="s">
        <v>1280</v>
      </c>
      <c r="E60" s="869" t="s">
        <v>1303</v>
      </c>
      <c r="F60" s="870"/>
      <c r="G60" s="209"/>
      <c r="H60" s="871"/>
      <c r="I60" s="871" t="s">
        <v>1305</v>
      </c>
      <c r="J60" s="871"/>
      <c r="K60" s="209"/>
      <c r="L60" s="871"/>
      <c r="M60" s="871" t="s">
        <v>1305</v>
      </c>
      <c r="N60" s="871"/>
      <c r="O60" s="855" t="s">
        <v>1284</v>
      </c>
      <c r="P60" s="175"/>
      <c r="Q60" s="175" t="str">
        <f>+[9]cash2016!R53</f>
        <v>#ERROR!</v>
      </c>
      <c r="R60" s="175"/>
      <c r="S60" s="175"/>
      <c r="T60" s="597"/>
      <c r="U60" s="597"/>
      <c r="V60" s="597"/>
      <c r="W60" s="175"/>
      <c r="X60" s="859" t="s">
        <v>1337</v>
      </c>
      <c r="Y60" s="860">
        <f t="shared" ref="Y60:AC60" si="108">+Y57+Y58+Y59</f>
        <v>0</v>
      </c>
      <c r="Z60" s="860">
        <f t="shared" si="108"/>
        <v>437957345.4</v>
      </c>
      <c r="AA60" s="860">
        <f t="shared" si="108"/>
        <v>-17133475.02</v>
      </c>
      <c r="AB60" s="860">
        <f t="shared" si="108"/>
        <v>3597756827</v>
      </c>
      <c r="AC60" s="860" t="str">
        <f t="shared" si="108"/>
        <v>#ERROR!</v>
      </c>
      <c r="AD60" s="861"/>
      <c r="AE60" s="175"/>
      <c r="AF60" s="175"/>
    </row>
    <row r="61" ht="12.0" customHeight="1">
      <c r="A61" s="175"/>
      <c r="B61" s="844"/>
      <c r="C61" s="817" t="s">
        <v>1285</v>
      </c>
      <c r="D61" s="817" t="s">
        <v>1285</v>
      </c>
      <c r="E61" s="817" t="s">
        <v>66</v>
      </c>
      <c r="F61" s="843" t="s">
        <v>1286</v>
      </c>
      <c r="G61" s="843" t="s">
        <v>1285</v>
      </c>
      <c r="H61" s="843" t="s">
        <v>1286</v>
      </c>
      <c r="I61" s="843" t="s">
        <v>1287</v>
      </c>
      <c r="J61" s="843" t="s">
        <v>1286</v>
      </c>
      <c r="K61" s="843" t="s">
        <v>1285</v>
      </c>
      <c r="L61" s="843" t="s">
        <v>1286</v>
      </c>
      <c r="M61" s="843" t="s">
        <v>1287</v>
      </c>
      <c r="N61" s="843" t="s">
        <v>1286</v>
      </c>
      <c r="O61" s="856"/>
      <c r="P61" s="175"/>
      <c r="Q61" s="175" t="str">
        <f>+Q59-Q60</f>
        <v>#ERROR!</v>
      </c>
      <c r="R61" s="175"/>
      <c r="S61" s="175"/>
      <c r="T61" s="597"/>
      <c r="U61" s="597"/>
      <c r="V61" s="597"/>
      <c r="W61" s="175"/>
      <c r="X61" s="825" t="s">
        <v>1338</v>
      </c>
      <c r="Y61" s="828"/>
      <c r="Z61" s="828">
        <f t="shared" ref="Z61:Z62" si="109">+D70</f>
        <v>0</v>
      </c>
      <c r="AA61" s="828"/>
      <c r="AB61" s="828" t="str">
        <f t="shared" ref="AB61:AB62" si="110">+G70</f>
        <v>#ERROR!</v>
      </c>
      <c r="AC61" s="828" t="str">
        <f t="shared" ref="AC61:AC62" si="111">+I70</f>
        <v>#ERROR!</v>
      </c>
      <c r="AD61" s="857"/>
      <c r="AE61" s="175"/>
      <c r="AF61" s="175"/>
    </row>
    <row r="62" ht="12.0" customHeight="1">
      <c r="A62" s="175"/>
      <c r="B62" s="825" t="s">
        <v>1326</v>
      </c>
      <c r="C62" s="828">
        <v>5.762956468E7</v>
      </c>
      <c r="D62" s="828">
        <v>5.762956468E7</v>
      </c>
      <c r="E62" s="828">
        <v>1.526898E7</v>
      </c>
      <c r="F62" s="828">
        <f t="shared" ref="F62:F65" si="113">+E62/12</f>
        <v>1272415</v>
      </c>
      <c r="G62" s="828">
        <f>53752225.11+23856325.25</f>
        <v>77608550.36</v>
      </c>
      <c r="H62" s="828">
        <f t="shared" ref="H62:H65" si="114">+G62/12</f>
        <v>6467379.197</v>
      </c>
      <c r="I62" s="828">
        <v>0.0</v>
      </c>
      <c r="J62" s="828">
        <f t="shared" ref="J62:J63" si="115">I62/12</f>
        <v>0</v>
      </c>
      <c r="K62" s="828">
        <f>53752225.11+23856325.25</f>
        <v>77608550.36</v>
      </c>
      <c r="L62" s="828">
        <f t="shared" ref="L62:L65" si="116">+K62/12</f>
        <v>6467379.197</v>
      </c>
      <c r="M62" s="828">
        <v>0.0</v>
      </c>
      <c r="N62" s="828">
        <f t="shared" ref="N62:N63" si="117">M62/12</f>
        <v>0</v>
      </c>
      <c r="O62" s="872" t="str">
        <f>I62/I65</f>
        <v>#ERROR!</v>
      </c>
      <c r="P62" s="807">
        <f t="shared" ref="P62:P71" si="118">J62*9</f>
        <v>0</v>
      </c>
      <c r="Q62" s="175" t="str">
        <f>+[9]cash2016!R89</f>
        <v>#ERROR!</v>
      </c>
      <c r="R62" s="175"/>
      <c r="S62" s="175"/>
      <c r="T62" s="597"/>
      <c r="U62" s="597"/>
      <c r="V62" s="597"/>
      <c r="W62" s="175"/>
      <c r="X62" s="831" t="s">
        <v>1339</v>
      </c>
      <c r="Y62" s="832"/>
      <c r="Z62" s="832">
        <f t="shared" si="109"/>
        <v>437957345.4</v>
      </c>
      <c r="AA62" s="832">
        <f>+E71</f>
        <v>-17133475.02</v>
      </c>
      <c r="AB62" s="832" t="str">
        <f t="shared" si="110"/>
        <v>#ERROR!</v>
      </c>
      <c r="AC62" s="832" t="str">
        <f t="shared" si="111"/>
        <v>#ERROR!</v>
      </c>
      <c r="AD62" s="873"/>
      <c r="AE62" s="175"/>
      <c r="AF62" s="175"/>
    </row>
    <row r="63" ht="12.0" customHeight="1">
      <c r="A63" s="175"/>
      <c r="B63" s="825" t="s">
        <v>1328</v>
      </c>
      <c r="C63" s="828">
        <f t="shared" ref="C63:D63" si="112">454666.67+25326575.12+464128537.85</f>
        <v>489909779.6</v>
      </c>
      <c r="D63" s="828">
        <f t="shared" si="112"/>
        <v>489909779.6</v>
      </c>
      <c r="E63" s="828">
        <v>2908888.0</v>
      </c>
      <c r="F63" s="828">
        <f t="shared" si="113"/>
        <v>242407.3333</v>
      </c>
      <c r="G63" s="874">
        <v>5292550.31</v>
      </c>
      <c r="H63" s="828">
        <f t="shared" si="114"/>
        <v>441045.8592</v>
      </c>
      <c r="I63" s="828">
        <f>5000*12</f>
        <v>60000</v>
      </c>
      <c r="J63" s="828">
        <f t="shared" si="115"/>
        <v>5000</v>
      </c>
      <c r="K63" s="874">
        <v>5292550.31</v>
      </c>
      <c r="L63" s="828">
        <f t="shared" si="116"/>
        <v>441045.8592</v>
      </c>
      <c r="M63" s="828">
        <f>5000*12</f>
        <v>60000</v>
      </c>
      <c r="N63" s="828">
        <f t="shared" si="117"/>
        <v>5000</v>
      </c>
      <c r="O63" s="872" t="str">
        <f>I63/I65</f>
        <v>#ERROR!</v>
      </c>
      <c r="P63" s="807">
        <f t="shared" si="118"/>
        <v>45000</v>
      </c>
      <c r="Q63" s="175" t="str">
        <f>+Q61-Q62</f>
        <v>#ERROR!</v>
      </c>
      <c r="R63" s="175"/>
      <c r="S63" s="175"/>
      <c r="T63" s="597"/>
      <c r="U63" s="597"/>
      <c r="V63" s="597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</row>
    <row r="64" ht="12.0" customHeight="1">
      <c r="A64" s="175"/>
      <c r="B64" s="829" t="s">
        <v>1330</v>
      </c>
      <c r="C64" s="822">
        <f t="shared" ref="C64:E64" si="119">SUM(C62:C63)</f>
        <v>547539344.3</v>
      </c>
      <c r="D64" s="822">
        <f t="shared" si="119"/>
        <v>547539344.3</v>
      </c>
      <c r="E64" s="822">
        <f t="shared" si="119"/>
        <v>18177868</v>
      </c>
      <c r="F64" s="828">
        <f t="shared" si="113"/>
        <v>1514822.333</v>
      </c>
      <c r="G64" s="822">
        <f>SUM(G62:G63)</f>
        <v>82901100.67</v>
      </c>
      <c r="H64" s="828">
        <f t="shared" si="114"/>
        <v>6908425.056</v>
      </c>
      <c r="I64" s="822">
        <f t="shared" ref="I64:K64" si="120">SUM(I62:I63)</f>
        <v>60000</v>
      </c>
      <c r="J64" s="822">
        <f t="shared" si="120"/>
        <v>5000</v>
      </c>
      <c r="K64" s="822">
        <f t="shared" si="120"/>
        <v>82901100.67</v>
      </c>
      <c r="L64" s="828">
        <f t="shared" si="116"/>
        <v>6908425.056</v>
      </c>
      <c r="M64" s="822">
        <f t="shared" ref="M64:O64" si="121">SUM(M62:M63)</f>
        <v>60000</v>
      </c>
      <c r="N64" s="822">
        <f t="shared" si="121"/>
        <v>5000</v>
      </c>
      <c r="O64" s="824" t="str">
        <f t="shared" si="121"/>
        <v>#ERROR!</v>
      </c>
      <c r="P64" s="807">
        <f t="shared" si="118"/>
        <v>45000</v>
      </c>
      <c r="Q64" s="181" t="str">
        <f>+Q63-Q58</f>
        <v>#ERROR!</v>
      </c>
      <c r="R64" s="175"/>
      <c r="S64" s="175"/>
      <c r="T64" s="597"/>
      <c r="U64" s="597"/>
      <c r="V64" s="597"/>
      <c r="W64" s="175"/>
      <c r="X64" s="175" t="s">
        <v>1340</v>
      </c>
      <c r="Y64" s="175"/>
      <c r="Z64" s="175"/>
      <c r="AA64" s="181">
        <f>+AA34-AA49</f>
        <v>1044392.98</v>
      </c>
      <c r="AB64" s="175"/>
      <c r="AC64" s="175"/>
      <c r="AD64" s="175"/>
      <c r="AE64" s="175"/>
      <c r="AF64" s="175"/>
    </row>
    <row r="65" ht="12.0" customHeight="1">
      <c r="A65" s="175"/>
      <c r="B65" s="859" t="s">
        <v>1332</v>
      </c>
      <c r="C65" s="860">
        <f t="shared" ref="C65:E65" si="122">C64+C58</f>
        <v>1410746431</v>
      </c>
      <c r="D65" s="860">
        <f t="shared" si="122"/>
        <v>1416544828</v>
      </c>
      <c r="E65" s="860">
        <f t="shared" si="122"/>
        <v>918262313</v>
      </c>
      <c r="F65" s="860">
        <f t="shared" si="113"/>
        <v>76521859.42</v>
      </c>
      <c r="G65" s="860">
        <f>G64+G58</f>
        <v>1223311653</v>
      </c>
      <c r="H65" s="860">
        <f t="shared" si="114"/>
        <v>101942637.7</v>
      </c>
      <c r="I65" s="860" t="str">
        <f>I64+I58</f>
        <v>#ERROR!</v>
      </c>
      <c r="J65" s="860" t="str">
        <f>I65/12</f>
        <v>#ERROR!</v>
      </c>
      <c r="K65" s="860">
        <f>K64+K58</f>
        <v>1223311653</v>
      </c>
      <c r="L65" s="860">
        <f t="shared" si="116"/>
        <v>101942637.7</v>
      </c>
      <c r="M65" s="860" t="str">
        <f>M64+M58</f>
        <v>#ERROR!</v>
      </c>
      <c r="N65" s="860" t="str">
        <f>M65/12</f>
        <v>#ERROR!</v>
      </c>
      <c r="O65" s="824" t="str">
        <f>+O64+O58</f>
        <v>#ERROR!</v>
      </c>
      <c r="P65" s="807" t="str">
        <f t="shared" si="118"/>
        <v>#ERROR!</v>
      </c>
      <c r="Q65" s="175"/>
      <c r="R65" s="175"/>
      <c r="S65" s="175"/>
      <c r="T65" s="597"/>
      <c r="U65" s="597"/>
      <c r="V65" s="597"/>
      <c r="W65" s="175"/>
      <c r="X65" s="175" t="s">
        <v>603</v>
      </c>
      <c r="Y65" s="175"/>
      <c r="Z65" s="175"/>
      <c r="AA65" s="175"/>
      <c r="AB65" s="175"/>
      <c r="AC65" s="175" t="s">
        <v>602</v>
      </c>
      <c r="AD65" s="175"/>
      <c r="AE65" s="175"/>
      <c r="AF65" s="175"/>
    </row>
    <row r="66" ht="12.0" customHeight="1">
      <c r="A66" s="175"/>
      <c r="B66" s="862" t="s">
        <v>1334</v>
      </c>
      <c r="C66" s="860">
        <f t="shared" ref="C66:N66" si="123">+C34-C65</f>
        <v>-1133991258</v>
      </c>
      <c r="D66" s="860">
        <f t="shared" si="123"/>
        <v>-1139789655</v>
      </c>
      <c r="E66" s="860">
        <f t="shared" si="123"/>
        <v>-17133475.02</v>
      </c>
      <c r="F66" s="860">
        <f t="shared" si="123"/>
        <v>-1427789.585</v>
      </c>
      <c r="G66" s="860">
        <f t="shared" si="123"/>
        <v>-551918845.5</v>
      </c>
      <c r="H66" s="860">
        <f t="shared" si="123"/>
        <v>-45993237.13</v>
      </c>
      <c r="I66" s="860" t="str">
        <f t="shared" si="123"/>
        <v>#ERROR!</v>
      </c>
      <c r="J66" s="860" t="str">
        <f t="shared" si="123"/>
        <v>#ERROR!</v>
      </c>
      <c r="K66" s="860">
        <f t="shared" si="123"/>
        <v>-551918845.5</v>
      </c>
      <c r="L66" s="860">
        <f t="shared" si="123"/>
        <v>-45993237.13</v>
      </c>
      <c r="M66" s="860" t="str">
        <f t="shared" si="123"/>
        <v>#ERROR!</v>
      </c>
      <c r="N66" s="860" t="str">
        <f t="shared" si="123"/>
        <v>#ERROR!</v>
      </c>
      <c r="O66" s="824"/>
      <c r="P66" s="807" t="str">
        <f t="shared" si="118"/>
        <v>#ERROR!</v>
      </c>
      <c r="Q66" s="175"/>
      <c r="R66" s="175"/>
      <c r="S66" s="175"/>
      <c r="T66" s="597"/>
      <c r="U66" s="597"/>
      <c r="V66" s="597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</row>
    <row r="67" ht="12.0" customHeight="1">
      <c r="A67" s="175"/>
      <c r="B67" s="825" t="s">
        <v>1335</v>
      </c>
      <c r="C67" s="828">
        <f t="shared" ref="C67:D67" si="124">5528082814.91-F67</f>
        <v>5528082815</v>
      </c>
      <c r="D67" s="828">
        <f t="shared" si="124"/>
        <v>1486184001</v>
      </c>
      <c r="E67" s="828">
        <v>0.0</v>
      </c>
      <c r="F67" s="826">
        <f t="shared" ref="F67:F68" si="125">+E67/12</f>
        <v>0</v>
      </c>
      <c r="G67" s="828">
        <v>4.041898814E9</v>
      </c>
      <c r="H67" s="826">
        <f t="shared" ref="H67:H68" si="126">+G67/12</f>
        <v>336824901.2</v>
      </c>
      <c r="I67" s="828" t="str">
        <f>+[9]TFG!C6-[9]TFG!C7</f>
        <v>#ERROR!</v>
      </c>
      <c r="J67" s="828" t="str">
        <f t="shared" ref="J67:J68" si="127">I67/12</f>
        <v>#ERROR!</v>
      </c>
      <c r="K67" s="828">
        <v>4.041898814E9</v>
      </c>
      <c r="L67" s="826">
        <f t="shared" ref="L67:L68" si="128">+K67/12</f>
        <v>336824901.2</v>
      </c>
      <c r="M67" s="828" t="str">
        <f>+[9]TFG!G6-[9]TFG!G7</f>
        <v>#ERROR!</v>
      </c>
      <c r="N67" s="828" t="str">
        <f t="shared" ref="N67:N68" si="129">M67/12</f>
        <v>#ERROR!</v>
      </c>
      <c r="O67" s="827"/>
      <c r="P67" s="807" t="str">
        <f t="shared" si="118"/>
        <v>#ERROR!</v>
      </c>
      <c r="Q67" s="175"/>
      <c r="R67" s="175"/>
      <c r="S67" s="175"/>
      <c r="T67" s="597"/>
      <c r="U67" s="597"/>
      <c r="V67" s="597"/>
      <c r="W67" s="175"/>
      <c r="X67" s="175" t="s">
        <v>1341</v>
      </c>
      <c r="Y67" s="175"/>
      <c r="Z67" s="175"/>
      <c r="AA67" s="175"/>
      <c r="AB67" s="175"/>
      <c r="AC67" s="175"/>
      <c r="AD67" s="175"/>
      <c r="AE67" s="175"/>
      <c r="AF67" s="175"/>
    </row>
    <row r="68" ht="12.0" customHeight="1">
      <c r="A68" s="175"/>
      <c r="B68" s="868" t="s">
        <v>1336</v>
      </c>
      <c r="C68" s="828">
        <v>9.1563E7</v>
      </c>
      <c r="D68" s="828">
        <v>9.1563E7</v>
      </c>
      <c r="E68" s="828">
        <v>0.0</v>
      </c>
      <c r="F68" s="828">
        <f t="shared" si="125"/>
        <v>0</v>
      </c>
      <c r="G68" s="828">
        <f>296392124.6-188615266.58</f>
        <v>107776858</v>
      </c>
      <c r="H68" s="828">
        <f t="shared" si="126"/>
        <v>8981404.835</v>
      </c>
      <c r="I68" s="828">
        <v>0.0</v>
      </c>
      <c r="J68" s="828">
        <f t="shared" si="127"/>
        <v>0</v>
      </c>
      <c r="K68" s="828">
        <f>296392124.6-188615266.58</f>
        <v>107776858</v>
      </c>
      <c r="L68" s="828">
        <f t="shared" si="128"/>
        <v>8981404.835</v>
      </c>
      <c r="M68" s="828">
        <v>0.0</v>
      </c>
      <c r="N68" s="828">
        <f t="shared" si="129"/>
        <v>0</v>
      </c>
      <c r="O68" s="872"/>
      <c r="P68" s="807">
        <f t="shared" si="118"/>
        <v>0</v>
      </c>
      <c r="Q68" s="175"/>
      <c r="R68" s="175"/>
      <c r="S68" s="175"/>
      <c r="T68" s="597"/>
      <c r="U68" s="597"/>
      <c r="V68" s="597"/>
      <c r="W68" s="175"/>
      <c r="X68" s="175" t="s">
        <v>1342</v>
      </c>
      <c r="Y68" s="175"/>
      <c r="Z68" s="175"/>
      <c r="AA68" s="175"/>
      <c r="AB68" s="175"/>
      <c r="AC68" s="175" t="s">
        <v>172</v>
      </c>
      <c r="AD68" s="175"/>
      <c r="AE68" s="175"/>
      <c r="AF68" s="175"/>
    </row>
    <row r="69" ht="12.0" customHeight="1">
      <c r="A69" s="175"/>
      <c r="B69" s="859" t="s">
        <v>1337</v>
      </c>
      <c r="C69" s="875">
        <f t="shared" ref="C69:N69" si="130">SUM(C66:C68)</f>
        <v>4485654556</v>
      </c>
      <c r="D69" s="875">
        <f t="shared" si="130"/>
        <v>437957345.4</v>
      </c>
      <c r="E69" s="875">
        <f t="shared" si="130"/>
        <v>-17133475.02</v>
      </c>
      <c r="F69" s="875">
        <f t="shared" si="130"/>
        <v>-1427789.585</v>
      </c>
      <c r="G69" s="875">
        <f t="shared" si="130"/>
        <v>3597756827</v>
      </c>
      <c r="H69" s="875">
        <f t="shared" si="130"/>
        <v>299813068.9</v>
      </c>
      <c r="I69" s="875" t="str">
        <f t="shared" si="130"/>
        <v>#ERROR!</v>
      </c>
      <c r="J69" s="875" t="str">
        <f t="shared" si="130"/>
        <v>#ERROR!</v>
      </c>
      <c r="K69" s="875">
        <f t="shared" si="130"/>
        <v>3597756827</v>
      </c>
      <c r="L69" s="875">
        <f t="shared" si="130"/>
        <v>299813068.9</v>
      </c>
      <c r="M69" s="875" t="str">
        <f t="shared" si="130"/>
        <v>#ERROR!</v>
      </c>
      <c r="N69" s="875" t="str">
        <f t="shared" si="130"/>
        <v>#ERROR!</v>
      </c>
      <c r="O69" s="872"/>
      <c r="P69" s="807" t="str">
        <f t="shared" si="118"/>
        <v>#ERROR!</v>
      </c>
      <c r="Q69" s="175"/>
      <c r="R69" s="175"/>
      <c r="S69" s="175"/>
      <c r="T69" s="597"/>
      <c r="U69" s="597"/>
      <c r="V69" s="597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</row>
    <row r="70" ht="12.0" customHeight="1">
      <c r="A70" s="175"/>
      <c r="B70" s="825" t="s">
        <v>1338</v>
      </c>
      <c r="C70" s="828">
        <v>0.0</v>
      </c>
      <c r="D70" s="828">
        <v>0.0</v>
      </c>
      <c r="E70" s="828">
        <v>0.0</v>
      </c>
      <c r="F70" s="828"/>
      <c r="G70" s="828" t="str">
        <f>+[10]is!$F$24</f>
        <v>#ERROR!</v>
      </c>
      <c r="H70" s="828"/>
      <c r="I70" s="828" t="str">
        <f>+I69*0.1</f>
        <v>#ERROR!</v>
      </c>
      <c r="J70" s="828"/>
      <c r="K70" s="828" t="str">
        <f>+[10]is!$F$24</f>
        <v>#ERROR!</v>
      </c>
      <c r="L70" s="828"/>
      <c r="M70" s="828" t="str">
        <f>+M69*0.1</f>
        <v>#ERROR!</v>
      </c>
      <c r="N70" s="828"/>
      <c r="O70" s="872"/>
      <c r="P70" s="807">
        <f t="shared" si="118"/>
        <v>0</v>
      </c>
      <c r="Q70" s="175"/>
      <c r="R70" s="175"/>
      <c r="S70" s="175"/>
      <c r="T70" s="597"/>
      <c r="U70" s="597"/>
      <c r="V70" s="597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</row>
    <row r="71" ht="12.0" customHeight="1">
      <c r="A71" s="175"/>
      <c r="B71" s="831" t="s">
        <v>1339</v>
      </c>
      <c r="C71" s="876">
        <f t="shared" ref="C71:E71" si="131">+C69-C70</f>
        <v>4485654556</v>
      </c>
      <c r="D71" s="876">
        <f t="shared" si="131"/>
        <v>437957345.4</v>
      </c>
      <c r="E71" s="876">
        <f t="shared" si="131"/>
        <v>-17133475.02</v>
      </c>
      <c r="F71" s="876"/>
      <c r="G71" s="876" t="str">
        <f>+G69-G70</f>
        <v>#ERROR!</v>
      </c>
      <c r="H71" s="876"/>
      <c r="I71" s="876" t="str">
        <f t="shared" ref="I71:K71" si="132">+I69-I70</f>
        <v>#ERROR!</v>
      </c>
      <c r="J71" s="876" t="str">
        <f t="shared" si="132"/>
        <v>#ERROR!</v>
      </c>
      <c r="K71" s="876" t="str">
        <f t="shared" si="132"/>
        <v>#ERROR!</v>
      </c>
      <c r="L71" s="876"/>
      <c r="M71" s="876" t="str">
        <f t="shared" ref="M71:N71" si="133">+M69-M70</f>
        <v>#ERROR!</v>
      </c>
      <c r="N71" s="876" t="str">
        <f t="shared" si="133"/>
        <v>#ERROR!</v>
      </c>
      <c r="O71" s="877"/>
      <c r="P71" s="807" t="str">
        <f t="shared" si="118"/>
        <v>#ERROR!</v>
      </c>
      <c r="Q71" s="175"/>
      <c r="R71" s="175"/>
      <c r="S71" s="175"/>
      <c r="T71" s="597"/>
      <c r="U71" s="597"/>
      <c r="V71" s="597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</row>
    <row r="72" ht="12.0" customHeight="1">
      <c r="A72" s="175"/>
      <c r="B72" s="175"/>
      <c r="C72" s="597"/>
      <c r="D72" s="597"/>
      <c r="E72" s="597"/>
      <c r="F72" s="597"/>
      <c r="G72" s="597"/>
      <c r="H72" s="597"/>
      <c r="I72" s="175"/>
      <c r="J72" s="175"/>
      <c r="K72" s="597"/>
      <c r="L72" s="597"/>
      <c r="M72" s="175"/>
      <c r="N72" s="175"/>
      <c r="O72" s="805"/>
      <c r="P72" s="175"/>
      <c r="Q72" s="175"/>
      <c r="R72" s="175"/>
      <c r="S72" s="175"/>
      <c r="T72" s="597"/>
      <c r="U72" s="597"/>
      <c r="V72" s="597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</row>
    <row r="73" ht="12.0" customHeight="1">
      <c r="A73" s="175"/>
      <c r="B73" s="175" t="s">
        <v>1340</v>
      </c>
      <c r="C73" s="597"/>
      <c r="D73" s="597"/>
      <c r="E73" s="597"/>
      <c r="F73" s="597"/>
      <c r="G73" s="597"/>
      <c r="H73" s="597"/>
      <c r="I73" s="175"/>
      <c r="J73" s="175"/>
      <c r="K73" s="597"/>
      <c r="L73" s="597"/>
      <c r="M73" s="175"/>
      <c r="N73" s="175"/>
      <c r="O73" s="805"/>
      <c r="P73" s="175"/>
      <c r="Q73" s="175"/>
      <c r="R73" s="175"/>
      <c r="S73" s="175"/>
      <c r="T73" s="597"/>
      <c r="U73" s="597"/>
      <c r="V73" s="597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</row>
    <row r="74" ht="12.0" customHeight="1">
      <c r="A74" s="175"/>
      <c r="B74" s="175" t="s">
        <v>603</v>
      </c>
      <c r="C74" s="597"/>
      <c r="D74" s="597"/>
      <c r="E74" s="181">
        <f>+E34-E58</f>
        <v>1044392.98</v>
      </c>
      <c r="F74" s="597"/>
      <c r="G74" s="597"/>
      <c r="H74" s="597"/>
      <c r="I74" s="175" t="s">
        <v>602</v>
      </c>
      <c r="J74" s="175"/>
      <c r="K74" s="597"/>
      <c r="L74" s="597"/>
      <c r="M74" s="175" t="s">
        <v>602</v>
      </c>
      <c r="N74" s="175"/>
      <c r="O74" s="805"/>
      <c r="P74" s="175"/>
      <c r="Q74" s="175"/>
      <c r="R74" s="175"/>
      <c r="S74" s="175"/>
      <c r="T74" s="597"/>
      <c r="U74" s="597"/>
      <c r="V74" s="597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</row>
    <row r="75" ht="12.0" customHeight="1">
      <c r="A75" s="175"/>
      <c r="B75" s="175"/>
      <c r="C75" s="597"/>
      <c r="D75" s="597"/>
      <c r="E75" s="597"/>
      <c r="F75" s="597"/>
      <c r="G75" s="597"/>
      <c r="H75" s="597"/>
      <c r="I75" s="175"/>
      <c r="J75" s="175"/>
      <c r="K75" s="597"/>
      <c r="L75" s="597"/>
      <c r="M75" s="175"/>
      <c r="N75" s="175"/>
      <c r="O75" s="805"/>
      <c r="P75" s="175"/>
      <c r="Q75" s="175"/>
      <c r="R75" s="175"/>
      <c r="S75" s="175"/>
      <c r="T75" s="597"/>
      <c r="U75" s="597"/>
      <c r="V75" s="597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</row>
    <row r="76" ht="12.0" customHeight="1">
      <c r="A76" s="175"/>
      <c r="B76" s="175" t="s">
        <v>1341</v>
      </c>
      <c r="C76" s="597"/>
      <c r="D76" s="597"/>
      <c r="E76" s="597"/>
      <c r="F76" s="597"/>
      <c r="G76" s="597"/>
      <c r="H76" s="597"/>
      <c r="I76" s="175"/>
      <c r="J76" s="175"/>
      <c r="K76" s="597"/>
      <c r="L76" s="597"/>
      <c r="M76" s="175"/>
      <c r="N76" s="175"/>
      <c r="O76" s="805"/>
      <c r="P76" s="175"/>
      <c r="Q76" s="175"/>
      <c r="R76" s="175"/>
      <c r="S76" s="175"/>
      <c r="T76" s="597"/>
      <c r="U76" s="597"/>
      <c r="V76" s="597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</row>
    <row r="77" ht="12.0" customHeight="1">
      <c r="A77" s="175"/>
      <c r="B77" s="175" t="s">
        <v>1342</v>
      </c>
      <c r="C77" s="597"/>
      <c r="D77" s="597"/>
      <c r="E77" s="597"/>
      <c r="F77" s="597"/>
      <c r="G77" s="597"/>
      <c r="H77" s="597"/>
      <c r="I77" s="175" t="s">
        <v>172</v>
      </c>
      <c r="J77" s="175"/>
      <c r="K77" s="597"/>
      <c r="L77" s="597"/>
      <c r="M77" s="175" t="s">
        <v>172</v>
      </c>
      <c r="N77" s="175"/>
      <c r="O77" s="805"/>
      <c r="P77" s="175"/>
      <c r="Q77" s="175"/>
      <c r="R77" s="175"/>
      <c r="S77" s="175"/>
      <c r="T77" s="597"/>
      <c r="U77" s="597"/>
      <c r="V77" s="597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</row>
    <row r="78" ht="12.0" customHeight="1">
      <c r="A78" s="175"/>
      <c r="B78" s="175"/>
      <c r="C78" s="597"/>
      <c r="D78" s="597"/>
      <c r="E78" s="597"/>
      <c r="F78" s="597"/>
      <c r="G78" s="597"/>
      <c r="H78" s="597"/>
      <c r="I78" s="175"/>
      <c r="J78" s="175"/>
      <c r="K78" s="597"/>
      <c r="L78" s="597"/>
      <c r="M78" s="175"/>
      <c r="N78" s="175"/>
      <c r="O78" s="805"/>
      <c r="P78" s="175"/>
      <c r="Q78" s="175"/>
      <c r="R78" s="175"/>
      <c r="S78" s="175"/>
      <c r="T78" s="597"/>
      <c r="U78" s="597"/>
      <c r="V78" s="597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</row>
    <row r="79" ht="12.0" customHeight="1">
      <c r="A79" s="175"/>
      <c r="B79" s="175"/>
      <c r="C79" s="597"/>
      <c r="D79" s="597"/>
      <c r="E79" s="597"/>
      <c r="F79" s="597"/>
      <c r="G79" s="597"/>
      <c r="H79" s="597"/>
      <c r="I79" s="175"/>
      <c r="J79" s="175"/>
      <c r="K79" s="597"/>
      <c r="L79" s="597"/>
      <c r="M79" s="175"/>
      <c r="N79" s="175"/>
      <c r="O79" s="805"/>
      <c r="P79" s="175"/>
      <c r="Q79" s="175"/>
      <c r="R79" s="175"/>
      <c r="S79" s="175"/>
      <c r="T79" s="597"/>
      <c r="U79" s="597"/>
      <c r="V79" s="597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</row>
    <row r="80" ht="12.0" customHeight="1">
      <c r="A80" s="175"/>
      <c r="B80" s="175"/>
      <c r="C80" s="597"/>
      <c r="D80" s="597"/>
      <c r="E80" s="597"/>
      <c r="F80" s="597"/>
      <c r="G80" s="597"/>
      <c r="H80" s="597"/>
      <c r="I80" s="175"/>
      <c r="J80" s="175"/>
      <c r="K80" s="597"/>
      <c r="L80" s="597"/>
      <c r="M80" s="175"/>
      <c r="N80" s="175"/>
      <c r="O80" s="805"/>
      <c r="P80" s="175"/>
      <c r="Q80" s="175"/>
      <c r="R80" s="175"/>
      <c r="S80" s="175"/>
      <c r="T80" s="597"/>
      <c r="U80" s="597"/>
      <c r="V80" s="597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</row>
    <row r="81" ht="12.0" customHeight="1">
      <c r="A81" s="175"/>
      <c r="B81" s="175"/>
      <c r="C81" s="597"/>
      <c r="D81" s="597"/>
      <c r="E81" s="597"/>
      <c r="F81" s="597"/>
      <c r="G81" s="597"/>
      <c r="H81" s="597"/>
      <c r="I81" s="175"/>
      <c r="J81" s="175"/>
      <c r="K81" s="597"/>
      <c r="L81" s="597"/>
      <c r="M81" s="175"/>
      <c r="N81" s="175"/>
      <c r="O81" s="805"/>
      <c r="P81" s="175"/>
      <c r="Q81" s="175"/>
      <c r="R81" s="175"/>
      <c r="S81" s="175"/>
      <c r="T81" s="597"/>
      <c r="U81" s="597"/>
      <c r="V81" s="597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</row>
    <row r="82" ht="12.0" customHeight="1">
      <c r="A82" s="175"/>
      <c r="B82" s="175"/>
      <c r="C82" s="597"/>
      <c r="D82" s="597"/>
      <c r="E82" s="597"/>
      <c r="F82" s="597"/>
      <c r="G82" s="597"/>
      <c r="H82" s="597"/>
      <c r="I82" s="175"/>
      <c r="J82" s="175"/>
      <c r="K82" s="597"/>
      <c r="L82" s="597"/>
      <c r="M82" s="175"/>
      <c r="N82" s="175"/>
      <c r="O82" s="805"/>
      <c r="P82" s="175"/>
      <c r="Q82" s="175"/>
      <c r="R82" s="175"/>
      <c r="S82" s="175"/>
      <c r="T82" s="597"/>
      <c r="U82" s="597"/>
      <c r="V82" s="597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</row>
    <row r="83" ht="12.0" customHeight="1">
      <c r="A83" s="175"/>
      <c r="B83" s="175"/>
      <c r="C83" s="597"/>
      <c r="D83" s="597"/>
      <c r="E83" s="597"/>
      <c r="F83" s="597"/>
      <c r="G83" s="597"/>
      <c r="H83" s="597"/>
      <c r="I83" s="175"/>
      <c r="J83" s="175"/>
      <c r="K83" s="597"/>
      <c r="L83" s="597"/>
      <c r="M83" s="175"/>
      <c r="N83" s="175"/>
      <c r="O83" s="805"/>
      <c r="P83" s="175"/>
      <c r="Q83" s="175"/>
      <c r="R83" s="175"/>
      <c r="S83" s="175"/>
      <c r="T83" s="597"/>
      <c r="U83" s="597"/>
      <c r="V83" s="597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</row>
    <row r="84" ht="12.0" customHeight="1">
      <c r="A84" s="175"/>
      <c r="B84" s="175"/>
      <c r="C84" s="597"/>
      <c r="D84" s="597"/>
      <c r="E84" s="597"/>
      <c r="F84" s="597"/>
      <c r="G84" s="597"/>
      <c r="H84" s="597"/>
      <c r="I84" s="175"/>
      <c r="J84" s="175"/>
      <c r="K84" s="597"/>
      <c r="L84" s="597"/>
      <c r="M84" s="175"/>
      <c r="N84" s="175"/>
      <c r="O84" s="805"/>
      <c r="P84" s="175"/>
      <c r="Q84" s="175"/>
      <c r="R84" s="175"/>
      <c r="S84" s="175"/>
      <c r="T84" s="597"/>
      <c r="U84" s="597"/>
      <c r="V84" s="597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</row>
    <row r="85" ht="12.0" customHeight="1">
      <c r="A85" s="175"/>
      <c r="B85" s="175"/>
      <c r="C85" s="597"/>
      <c r="D85" s="597"/>
      <c r="E85" s="597"/>
      <c r="F85" s="597"/>
      <c r="G85" s="597"/>
      <c r="H85" s="597"/>
      <c r="I85" s="175"/>
      <c r="J85" s="175"/>
      <c r="K85" s="597"/>
      <c r="L85" s="597"/>
      <c r="M85" s="175"/>
      <c r="N85" s="175"/>
      <c r="O85" s="805"/>
      <c r="P85" s="175"/>
      <c r="Q85" s="175"/>
      <c r="R85" s="175"/>
      <c r="S85" s="175"/>
      <c r="T85" s="597"/>
      <c r="U85" s="597"/>
      <c r="V85" s="597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</row>
    <row r="86" ht="12.0" customHeight="1">
      <c r="A86" s="175"/>
      <c r="B86" s="175"/>
      <c r="C86" s="597"/>
      <c r="D86" s="597"/>
      <c r="E86" s="597"/>
      <c r="F86" s="597"/>
      <c r="G86" s="597"/>
      <c r="H86" s="597"/>
      <c r="I86" s="175"/>
      <c r="J86" s="175"/>
      <c r="K86" s="597"/>
      <c r="L86" s="597"/>
      <c r="M86" s="175"/>
      <c r="N86" s="175"/>
      <c r="O86" s="805"/>
      <c r="P86" s="175"/>
      <c r="Q86" s="175"/>
      <c r="R86" s="175"/>
      <c r="S86" s="175"/>
      <c r="T86" s="597"/>
      <c r="U86" s="597"/>
      <c r="V86" s="597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</row>
    <row r="87" ht="12.0" customHeight="1">
      <c r="A87" s="175"/>
      <c r="B87" s="175"/>
      <c r="C87" s="597"/>
      <c r="D87" s="597"/>
      <c r="E87" s="597"/>
      <c r="F87" s="597"/>
      <c r="G87" s="597"/>
      <c r="H87" s="597"/>
      <c r="I87" s="175"/>
      <c r="J87" s="175"/>
      <c r="K87" s="597"/>
      <c r="L87" s="597"/>
      <c r="M87" s="175"/>
      <c r="N87" s="175"/>
      <c r="O87" s="805"/>
      <c r="P87" s="175"/>
      <c r="Q87" s="175"/>
      <c r="R87" s="175"/>
      <c r="S87" s="175"/>
      <c r="T87" s="597"/>
      <c r="U87" s="597"/>
      <c r="V87" s="597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</row>
    <row r="88" ht="12.0" customHeight="1">
      <c r="A88" s="175"/>
      <c r="B88" s="175"/>
      <c r="C88" s="597"/>
      <c r="D88" s="597"/>
      <c r="E88" s="597"/>
      <c r="F88" s="597"/>
      <c r="G88" s="597"/>
      <c r="H88" s="597"/>
      <c r="I88" s="175"/>
      <c r="J88" s="175"/>
      <c r="K88" s="597"/>
      <c r="L88" s="597"/>
      <c r="M88" s="175"/>
      <c r="N88" s="175"/>
      <c r="O88" s="805"/>
      <c r="P88" s="175"/>
      <c r="Q88" s="175"/>
      <c r="R88" s="175"/>
      <c r="S88" s="175"/>
      <c r="T88" s="597"/>
      <c r="U88" s="597"/>
      <c r="V88" s="597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</row>
    <row r="89" ht="12.0" customHeight="1">
      <c r="A89" s="175"/>
      <c r="B89" s="175"/>
      <c r="C89" s="597"/>
      <c r="D89" s="597"/>
      <c r="E89" s="597"/>
      <c r="F89" s="597"/>
      <c r="G89" s="597"/>
      <c r="H89" s="597"/>
      <c r="I89" s="175"/>
      <c r="J89" s="175"/>
      <c r="K89" s="597"/>
      <c r="L89" s="597"/>
      <c r="M89" s="175"/>
      <c r="N89" s="175"/>
      <c r="O89" s="805"/>
      <c r="P89" s="175"/>
      <c r="Q89" s="175"/>
      <c r="R89" s="175"/>
      <c r="S89" s="175"/>
      <c r="T89" s="597"/>
      <c r="U89" s="597"/>
      <c r="V89" s="597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</row>
    <row r="90" ht="12.0" customHeight="1">
      <c r="A90" s="175"/>
      <c r="B90" s="175"/>
      <c r="C90" s="597"/>
      <c r="D90" s="597"/>
      <c r="E90" s="597"/>
      <c r="F90" s="597"/>
      <c r="G90" s="597"/>
      <c r="H90" s="597"/>
      <c r="I90" s="175"/>
      <c r="J90" s="175"/>
      <c r="K90" s="597"/>
      <c r="L90" s="597"/>
      <c r="M90" s="175"/>
      <c r="N90" s="175"/>
      <c r="O90" s="805"/>
      <c r="P90" s="175"/>
      <c r="Q90" s="175"/>
      <c r="R90" s="175"/>
      <c r="S90" s="175"/>
      <c r="T90" s="597"/>
      <c r="U90" s="597"/>
      <c r="V90" s="597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</row>
    <row r="91" ht="12.0" customHeight="1">
      <c r="A91" s="175"/>
      <c r="B91" s="175"/>
      <c r="C91" s="597"/>
      <c r="D91" s="597"/>
      <c r="E91" s="597"/>
      <c r="F91" s="597"/>
      <c r="G91" s="597"/>
      <c r="H91" s="597"/>
      <c r="I91" s="175"/>
      <c r="J91" s="175"/>
      <c r="K91" s="597"/>
      <c r="L91" s="597"/>
      <c r="M91" s="175"/>
      <c r="N91" s="175"/>
      <c r="O91" s="805"/>
      <c r="P91" s="175"/>
      <c r="Q91" s="175"/>
      <c r="R91" s="175"/>
      <c r="S91" s="175"/>
      <c r="T91" s="597"/>
      <c r="U91" s="597"/>
      <c r="V91" s="597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</row>
    <row r="92" ht="12.0" customHeight="1">
      <c r="A92" s="175"/>
      <c r="B92" s="175"/>
      <c r="C92" s="597"/>
      <c r="D92" s="597"/>
      <c r="E92" s="597"/>
      <c r="F92" s="597"/>
      <c r="G92" s="597"/>
      <c r="H92" s="597"/>
      <c r="I92" s="175"/>
      <c r="J92" s="175"/>
      <c r="K92" s="597"/>
      <c r="L92" s="597"/>
      <c r="M92" s="175"/>
      <c r="N92" s="175"/>
      <c r="O92" s="805"/>
      <c r="P92" s="175"/>
      <c r="Q92" s="175"/>
      <c r="R92" s="175"/>
      <c r="S92" s="175"/>
      <c r="T92" s="597"/>
      <c r="U92" s="597"/>
      <c r="V92" s="597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</row>
    <row r="93" ht="12.0" customHeight="1">
      <c r="A93" s="175"/>
      <c r="B93" s="175"/>
      <c r="C93" s="597"/>
      <c r="D93" s="597"/>
      <c r="E93" s="597"/>
      <c r="F93" s="597"/>
      <c r="G93" s="597"/>
      <c r="H93" s="597"/>
      <c r="I93" s="175"/>
      <c r="J93" s="175"/>
      <c r="K93" s="597"/>
      <c r="L93" s="597"/>
      <c r="M93" s="175"/>
      <c r="N93" s="175"/>
      <c r="O93" s="805"/>
      <c r="P93" s="175"/>
      <c r="Q93" s="175"/>
      <c r="R93" s="175"/>
      <c r="S93" s="175"/>
      <c r="T93" s="597"/>
      <c r="U93" s="597"/>
      <c r="V93" s="597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</row>
    <row r="94" ht="12.0" customHeight="1">
      <c r="A94" s="175"/>
      <c r="B94" s="175"/>
      <c r="C94" s="597"/>
      <c r="D94" s="597"/>
      <c r="E94" s="597"/>
      <c r="F94" s="597"/>
      <c r="G94" s="597"/>
      <c r="H94" s="597"/>
      <c r="I94" s="175"/>
      <c r="J94" s="175"/>
      <c r="K94" s="597"/>
      <c r="L94" s="597"/>
      <c r="M94" s="175"/>
      <c r="N94" s="175"/>
      <c r="O94" s="805"/>
      <c r="P94" s="175"/>
      <c r="Q94" s="175"/>
      <c r="R94" s="175"/>
      <c r="S94" s="175"/>
      <c r="T94" s="597"/>
      <c r="U94" s="597"/>
      <c r="V94" s="597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</row>
    <row r="95" ht="12.0" customHeight="1">
      <c r="A95" s="175"/>
      <c r="B95" s="175"/>
      <c r="C95" s="597"/>
      <c r="D95" s="597"/>
      <c r="E95" s="597"/>
      <c r="F95" s="597"/>
      <c r="G95" s="597"/>
      <c r="H95" s="597"/>
      <c r="I95" s="175"/>
      <c r="J95" s="175"/>
      <c r="K95" s="597"/>
      <c r="L95" s="597"/>
      <c r="M95" s="175"/>
      <c r="N95" s="175"/>
      <c r="O95" s="805"/>
      <c r="P95" s="175"/>
      <c r="Q95" s="175"/>
      <c r="R95" s="175"/>
      <c r="S95" s="175"/>
      <c r="T95" s="597"/>
      <c r="U95" s="597"/>
      <c r="V95" s="597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</row>
    <row r="96" ht="12.0" customHeight="1">
      <c r="A96" s="175"/>
      <c r="B96" s="175"/>
      <c r="C96" s="597"/>
      <c r="D96" s="597"/>
      <c r="E96" s="597"/>
      <c r="F96" s="597"/>
      <c r="G96" s="597"/>
      <c r="H96" s="597"/>
      <c r="I96" s="175"/>
      <c r="J96" s="175"/>
      <c r="K96" s="597"/>
      <c r="L96" s="597"/>
      <c r="M96" s="175"/>
      <c r="N96" s="175"/>
      <c r="O96" s="805"/>
      <c r="P96" s="175"/>
      <c r="Q96" s="175"/>
      <c r="R96" s="175"/>
      <c r="S96" s="175"/>
      <c r="T96" s="597"/>
      <c r="U96" s="597"/>
      <c r="V96" s="597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</row>
    <row r="97" ht="12.0" customHeight="1">
      <c r="A97" s="175"/>
      <c r="B97" s="175"/>
      <c r="C97" s="597"/>
      <c r="D97" s="597"/>
      <c r="E97" s="597"/>
      <c r="F97" s="597"/>
      <c r="G97" s="597"/>
      <c r="H97" s="597"/>
      <c r="I97" s="175"/>
      <c r="J97" s="175"/>
      <c r="K97" s="597"/>
      <c r="L97" s="597"/>
      <c r="M97" s="175"/>
      <c r="N97" s="175"/>
      <c r="O97" s="805"/>
      <c r="P97" s="175"/>
      <c r="Q97" s="175"/>
      <c r="R97" s="175"/>
      <c r="S97" s="175"/>
      <c r="T97" s="597"/>
      <c r="U97" s="597"/>
      <c r="V97" s="597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</row>
    <row r="98" ht="12.0" customHeight="1">
      <c r="A98" s="175"/>
      <c r="B98" s="175"/>
      <c r="C98" s="597"/>
      <c r="D98" s="597"/>
      <c r="E98" s="597"/>
      <c r="F98" s="597"/>
      <c r="G98" s="597"/>
      <c r="H98" s="597"/>
      <c r="I98" s="175"/>
      <c r="J98" s="175"/>
      <c r="K98" s="597"/>
      <c r="L98" s="597"/>
      <c r="M98" s="175"/>
      <c r="N98" s="175"/>
      <c r="O98" s="805"/>
      <c r="P98" s="175"/>
      <c r="Q98" s="175"/>
      <c r="R98" s="175"/>
      <c r="S98" s="175"/>
      <c r="T98" s="597"/>
      <c r="U98" s="597"/>
      <c r="V98" s="597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</row>
    <row r="99" ht="12.0" customHeight="1">
      <c r="A99" s="175"/>
      <c r="B99" s="175"/>
      <c r="C99" s="597"/>
      <c r="D99" s="597"/>
      <c r="E99" s="597"/>
      <c r="F99" s="597"/>
      <c r="G99" s="597"/>
      <c r="H99" s="597"/>
      <c r="I99" s="175"/>
      <c r="J99" s="175"/>
      <c r="K99" s="597"/>
      <c r="L99" s="597"/>
      <c r="M99" s="175"/>
      <c r="N99" s="175"/>
      <c r="O99" s="805"/>
      <c r="P99" s="175"/>
      <c r="Q99" s="175"/>
      <c r="R99" s="175"/>
      <c r="S99" s="175"/>
      <c r="T99" s="597"/>
      <c r="U99" s="597"/>
      <c r="V99" s="597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</row>
    <row r="100" ht="12.0" customHeight="1">
      <c r="A100" s="175"/>
      <c r="B100" s="175"/>
      <c r="C100" s="597"/>
      <c r="D100" s="597"/>
      <c r="E100" s="597"/>
      <c r="F100" s="597"/>
      <c r="G100" s="597"/>
      <c r="H100" s="597"/>
      <c r="I100" s="175"/>
      <c r="J100" s="175"/>
      <c r="K100" s="597"/>
      <c r="L100" s="597"/>
      <c r="M100" s="175"/>
      <c r="N100" s="175"/>
      <c r="O100" s="805"/>
      <c r="P100" s="175"/>
      <c r="Q100" s="175"/>
      <c r="R100" s="175"/>
      <c r="S100" s="175"/>
      <c r="T100" s="597"/>
      <c r="U100" s="597"/>
      <c r="V100" s="597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</row>
    <row r="101" ht="12.0" customHeight="1">
      <c r="A101" s="175"/>
      <c r="B101" s="175"/>
      <c r="C101" s="597"/>
      <c r="D101" s="597"/>
      <c r="E101" s="597"/>
      <c r="F101" s="597"/>
      <c r="G101" s="597"/>
      <c r="H101" s="597"/>
      <c r="I101" s="175"/>
      <c r="J101" s="175"/>
      <c r="K101" s="597"/>
      <c r="L101" s="597"/>
      <c r="M101" s="175"/>
      <c r="N101" s="175"/>
      <c r="O101" s="805"/>
      <c r="P101" s="175"/>
      <c r="Q101" s="175"/>
      <c r="R101" s="175"/>
      <c r="S101" s="175"/>
      <c r="T101" s="597"/>
      <c r="U101" s="597"/>
      <c r="V101" s="597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</row>
    <row r="102" ht="12.0" customHeight="1">
      <c r="A102" s="175"/>
      <c r="B102" s="175"/>
      <c r="C102" s="597"/>
      <c r="D102" s="597"/>
      <c r="E102" s="597"/>
      <c r="F102" s="597"/>
      <c r="G102" s="597"/>
      <c r="H102" s="597"/>
      <c r="I102" s="175"/>
      <c r="J102" s="175"/>
      <c r="K102" s="597"/>
      <c r="L102" s="597"/>
      <c r="M102" s="175"/>
      <c r="N102" s="175"/>
      <c r="O102" s="805"/>
      <c r="P102" s="175"/>
      <c r="Q102" s="175"/>
      <c r="R102" s="175"/>
      <c r="S102" s="175"/>
      <c r="T102" s="597"/>
      <c r="U102" s="597"/>
      <c r="V102" s="597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</row>
    <row r="103" ht="12.0" customHeight="1">
      <c r="A103" s="175"/>
      <c r="B103" s="175"/>
      <c r="C103" s="597"/>
      <c r="D103" s="597"/>
      <c r="E103" s="597"/>
      <c r="F103" s="597"/>
      <c r="G103" s="597"/>
      <c r="H103" s="597"/>
      <c r="I103" s="175"/>
      <c r="J103" s="175"/>
      <c r="K103" s="597"/>
      <c r="L103" s="597"/>
      <c r="M103" s="175"/>
      <c r="N103" s="175"/>
      <c r="O103" s="805"/>
      <c r="P103" s="175"/>
      <c r="Q103" s="175"/>
      <c r="R103" s="175"/>
      <c r="S103" s="175"/>
      <c r="T103" s="597"/>
      <c r="U103" s="597"/>
      <c r="V103" s="597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</row>
    <row r="104" ht="12.0" customHeight="1">
      <c r="A104" s="175"/>
      <c r="B104" s="175"/>
      <c r="C104" s="597"/>
      <c r="D104" s="597"/>
      <c r="E104" s="597"/>
      <c r="F104" s="597"/>
      <c r="G104" s="597"/>
      <c r="H104" s="597"/>
      <c r="I104" s="175"/>
      <c r="J104" s="175"/>
      <c r="K104" s="597"/>
      <c r="L104" s="597"/>
      <c r="M104" s="175"/>
      <c r="N104" s="175"/>
      <c r="O104" s="805"/>
      <c r="P104" s="175"/>
      <c r="Q104" s="175"/>
      <c r="R104" s="175"/>
      <c r="S104" s="175"/>
      <c r="T104" s="597"/>
      <c r="U104" s="597"/>
      <c r="V104" s="597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</row>
    <row r="105" ht="12.0" customHeight="1">
      <c r="A105" s="175"/>
      <c r="B105" s="175"/>
      <c r="C105" s="597"/>
      <c r="D105" s="597"/>
      <c r="E105" s="597"/>
      <c r="F105" s="597"/>
      <c r="G105" s="597"/>
      <c r="H105" s="597"/>
      <c r="I105" s="175"/>
      <c r="J105" s="175"/>
      <c r="K105" s="597"/>
      <c r="L105" s="597"/>
      <c r="M105" s="175"/>
      <c r="N105" s="175"/>
      <c r="O105" s="805"/>
      <c r="P105" s="175"/>
      <c r="Q105" s="175"/>
      <c r="R105" s="175"/>
      <c r="S105" s="175"/>
      <c r="T105" s="597"/>
      <c r="U105" s="597"/>
      <c r="V105" s="597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</row>
    <row r="106" ht="12.0" customHeight="1">
      <c r="A106" s="175"/>
      <c r="B106" s="175"/>
      <c r="C106" s="597"/>
      <c r="D106" s="597"/>
      <c r="E106" s="597"/>
      <c r="F106" s="597"/>
      <c r="G106" s="597"/>
      <c r="H106" s="597"/>
      <c r="I106" s="175"/>
      <c r="J106" s="175"/>
      <c r="K106" s="597"/>
      <c r="L106" s="597"/>
      <c r="M106" s="175"/>
      <c r="N106" s="175"/>
      <c r="O106" s="805"/>
      <c r="P106" s="175"/>
      <c r="Q106" s="175"/>
      <c r="R106" s="175"/>
      <c r="S106" s="175"/>
      <c r="T106" s="597"/>
      <c r="U106" s="597"/>
      <c r="V106" s="597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</row>
    <row r="107" ht="12.0" customHeight="1">
      <c r="A107" s="175"/>
      <c r="B107" s="175"/>
      <c r="C107" s="597"/>
      <c r="D107" s="597"/>
      <c r="E107" s="597"/>
      <c r="F107" s="597"/>
      <c r="G107" s="597"/>
      <c r="H107" s="597"/>
      <c r="I107" s="175"/>
      <c r="J107" s="175"/>
      <c r="K107" s="597"/>
      <c r="L107" s="597"/>
      <c r="M107" s="175"/>
      <c r="N107" s="175"/>
      <c r="O107" s="805"/>
      <c r="P107" s="175"/>
      <c r="Q107" s="175"/>
      <c r="R107" s="175"/>
      <c r="S107" s="175"/>
      <c r="T107" s="597"/>
      <c r="U107" s="597"/>
      <c r="V107" s="597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</row>
    <row r="108" ht="12.0" customHeight="1">
      <c r="A108" s="175"/>
      <c r="B108" s="175"/>
      <c r="C108" s="597"/>
      <c r="D108" s="597"/>
      <c r="E108" s="597"/>
      <c r="F108" s="597"/>
      <c r="G108" s="597"/>
      <c r="H108" s="597"/>
      <c r="I108" s="175"/>
      <c r="J108" s="175"/>
      <c r="K108" s="597"/>
      <c r="L108" s="597"/>
      <c r="M108" s="175"/>
      <c r="N108" s="175"/>
      <c r="O108" s="805"/>
      <c r="P108" s="175"/>
      <c r="Q108" s="175"/>
      <c r="R108" s="175"/>
      <c r="S108" s="175"/>
      <c r="T108" s="597"/>
      <c r="U108" s="597"/>
      <c r="V108" s="597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</row>
    <row r="109" ht="12.0" customHeight="1">
      <c r="A109" s="175"/>
      <c r="B109" s="175"/>
      <c r="C109" s="597"/>
      <c r="D109" s="597"/>
      <c r="E109" s="597"/>
      <c r="F109" s="597"/>
      <c r="G109" s="597"/>
      <c r="H109" s="597"/>
      <c r="I109" s="175"/>
      <c r="J109" s="175"/>
      <c r="K109" s="597"/>
      <c r="L109" s="597"/>
      <c r="M109" s="175"/>
      <c r="N109" s="175"/>
      <c r="O109" s="805"/>
      <c r="P109" s="175"/>
      <c r="Q109" s="175"/>
      <c r="R109" s="175"/>
      <c r="S109" s="175"/>
      <c r="T109" s="597"/>
      <c r="U109" s="597"/>
      <c r="V109" s="597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</row>
    <row r="110" ht="12.0" customHeight="1">
      <c r="A110" s="175"/>
      <c r="B110" s="175"/>
      <c r="C110" s="597"/>
      <c r="D110" s="597"/>
      <c r="E110" s="597"/>
      <c r="F110" s="597"/>
      <c r="G110" s="597"/>
      <c r="H110" s="597"/>
      <c r="I110" s="175"/>
      <c r="J110" s="175"/>
      <c r="K110" s="597"/>
      <c r="L110" s="597"/>
      <c r="M110" s="175"/>
      <c r="N110" s="175"/>
      <c r="O110" s="805"/>
      <c r="P110" s="175"/>
      <c r="Q110" s="175"/>
      <c r="R110" s="175"/>
      <c r="S110" s="175"/>
      <c r="T110" s="597"/>
      <c r="U110" s="597"/>
      <c r="V110" s="597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</row>
    <row r="111" ht="12.0" customHeight="1">
      <c r="A111" s="175"/>
      <c r="B111" s="175"/>
      <c r="C111" s="597"/>
      <c r="D111" s="597"/>
      <c r="E111" s="597"/>
      <c r="F111" s="597"/>
      <c r="G111" s="597"/>
      <c r="H111" s="597"/>
      <c r="I111" s="175"/>
      <c r="J111" s="175"/>
      <c r="K111" s="597"/>
      <c r="L111" s="597"/>
      <c r="M111" s="175"/>
      <c r="N111" s="175"/>
      <c r="O111" s="805"/>
      <c r="P111" s="175"/>
      <c r="Q111" s="175"/>
      <c r="R111" s="175"/>
      <c r="S111" s="175"/>
      <c r="T111" s="597"/>
      <c r="U111" s="597"/>
      <c r="V111" s="597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</row>
    <row r="112" ht="12.0" customHeight="1">
      <c r="A112" s="175"/>
      <c r="B112" s="175"/>
      <c r="C112" s="597"/>
      <c r="D112" s="597"/>
      <c r="E112" s="597"/>
      <c r="F112" s="597"/>
      <c r="G112" s="597"/>
      <c r="H112" s="597"/>
      <c r="I112" s="175"/>
      <c r="J112" s="175"/>
      <c r="K112" s="597"/>
      <c r="L112" s="597"/>
      <c r="M112" s="175"/>
      <c r="N112" s="175"/>
      <c r="O112" s="805"/>
      <c r="P112" s="175"/>
      <c r="Q112" s="175"/>
      <c r="R112" s="175"/>
      <c r="S112" s="175"/>
      <c r="T112" s="597"/>
      <c r="U112" s="597"/>
      <c r="V112" s="597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</row>
    <row r="113" ht="12.0" customHeight="1">
      <c r="A113" s="175"/>
      <c r="B113" s="175"/>
      <c r="C113" s="597"/>
      <c r="D113" s="597"/>
      <c r="E113" s="597"/>
      <c r="F113" s="597"/>
      <c r="G113" s="597"/>
      <c r="H113" s="597"/>
      <c r="I113" s="175"/>
      <c r="J113" s="175"/>
      <c r="K113" s="597"/>
      <c r="L113" s="597"/>
      <c r="M113" s="175"/>
      <c r="N113" s="175"/>
      <c r="O113" s="805"/>
      <c r="P113" s="175"/>
      <c r="Q113" s="175"/>
      <c r="R113" s="175"/>
      <c r="S113" s="175"/>
      <c r="T113" s="597"/>
      <c r="U113" s="597"/>
      <c r="V113" s="597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</row>
    <row r="114" ht="12.0" customHeight="1">
      <c r="A114" s="175"/>
      <c r="B114" s="175"/>
      <c r="C114" s="597"/>
      <c r="D114" s="597"/>
      <c r="E114" s="597"/>
      <c r="F114" s="597"/>
      <c r="G114" s="597"/>
      <c r="H114" s="597"/>
      <c r="I114" s="175"/>
      <c r="J114" s="175"/>
      <c r="K114" s="597"/>
      <c r="L114" s="597"/>
      <c r="M114" s="175"/>
      <c r="N114" s="175"/>
      <c r="O114" s="805"/>
      <c r="P114" s="175"/>
      <c r="Q114" s="175"/>
      <c r="R114" s="175"/>
      <c r="S114" s="175"/>
      <c r="T114" s="597"/>
      <c r="U114" s="597"/>
      <c r="V114" s="597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</row>
    <row r="115" ht="12.0" customHeight="1">
      <c r="A115" s="175"/>
      <c r="B115" s="175"/>
      <c r="C115" s="597"/>
      <c r="D115" s="597"/>
      <c r="E115" s="597"/>
      <c r="F115" s="597"/>
      <c r="G115" s="597"/>
      <c r="H115" s="597"/>
      <c r="I115" s="175"/>
      <c r="J115" s="175"/>
      <c r="K115" s="597"/>
      <c r="L115" s="597"/>
      <c r="M115" s="175"/>
      <c r="N115" s="175"/>
      <c r="O115" s="805"/>
      <c r="P115" s="175"/>
      <c r="Q115" s="175"/>
      <c r="R115" s="175"/>
      <c r="S115" s="175"/>
      <c r="T115" s="597"/>
      <c r="U115" s="597"/>
      <c r="V115" s="597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</row>
    <row r="116" ht="12.0" customHeight="1">
      <c r="A116" s="175"/>
      <c r="B116" s="175"/>
      <c r="C116" s="597"/>
      <c r="D116" s="597"/>
      <c r="E116" s="597"/>
      <c r="F116" s="597"/>
      <c r="G116" s="597"/>
      <c r="H116" s="597"/>
      <c r="I116" s="175"/>
      <c r="J116" s="175"/>
      <c r="K116" s="597"/>
      <c r="L116" s="597"/>
      <c r="M116" s="175"/>
      <c r="N116" s="175"/>
      <c r="O116" s="805"/>
      <c r="P116" s="175"/>
      <c r="Q116" s="175"/>
      <c r="R116" s="175"/>
      <c r="S116" s="175"/>
      <c r="T116" s="597"/>
      <c r="U116" s="597"/>
      <c r="V116" s="597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</row>
    <row r="117" ht="12.0" customHeight="1">
      <c r="A117" s="175"/>
      <c r="B117" s="175"/>
      <c r="C117" s="597"/>
      <c r="D117" s="597"/>
      <c r="E117" s="597"/>
      <c r="F117" s="597"/>
      <c r="G117" s="597"/>
      <c r="H117" s="597"/>
      <c r="I117" s="175"/>
      <c r="J117" s="175"/>
      <c r="K117" s="597"/>
      <c r="L117" s="597"/>
      <c r="M117" s="175"/>
      <c r="N117" s="175"/>
      <c r="O117" s="805"/>
      <c r="P117" s="175"/>
      <c r="Q117" s="175"/>
      <c r="R117" s="175"/>
      <c r="S117" s="175"/>
      <c r="T117" s="597"/>
      <c r="U117" s="597"/>
      <c r="V117" s="597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</row>
    <row r="118" ht="12.0" customHeight="1">
      <c r="A118" s="175"/>
      <c r="B118" s="175"/>
      <c r="C118" s="597"/>
      <c r="D118" s="597"/>
      <c r="E118" s="597"/>
      <c r="F118" s="597"/>
      <c r="G118" s="597"/>
      <c r="H118" s="597"/>
      <c r="I118" s="175"/>
      <c r="J118" s="175"/>
      <c r="K118" s="597"/>
      <c r="L118" s="597"/>
      <c r="M118" s="175"/>
      <c r="N118" s="175"/>
      <c r="O118" s="805"/>
      <c r="P118" s="175"/>
      <c r="Q118" s="175"/>
      <c r="R118" s="175"/>
      <c r="S118" s="175"/>
      <c r="T118" s="597"/>
      <c r="U118" s="597"/>
      <c r="V118" s="597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</row>
    <row r="119" ht="12.0" customHeight="1">
      <c r="A119" s="175"/>
      <c r="B119" s="175"/>
      <c r="C119" s="597"/>
      <c r="D119" s="597"/>
      <c r="E119" s="597"/>
      <c r="F119" s="597"/>
      <c r="G119" s="597"/>
      <c r="H119" s="597"/>
      <c r="I119" s="175"/>
      <c r="J119" s="175"/>
      <c r="K119" s="597"/>
      <c r="L119" s="597"/>
      <c r="M119" s="175"/>
      <c r="N119" s="175"/>
      <c r="O119" s="805"/>
      <c r="P119" s="175"/>
      <c r="Q119" s="175"/>
      <c r="R119" s="175"/>
      <c r="S119" s="175"/>
      <c r="T119" s="597"/>
      <c r="U119" s="597"/>
      <c r="V119" s="597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</row>
    <row r="120" ht="12.0" customHeight="1">
      <c r="A120" s="175"/>
      <c r="B120" s="175"/>
      <c r="C120" s="597"/>
      <c r="D120" s="597"/>
      <c r="E120" s="597"/>
      <c r="F120" s="597"/>
      <c r="G120" s="597"/>
      <c r="H120" s="597"/>
      <c r="I120" s="175"/>
      <c r="J120" s="175"/>
      <c r="K120" s="597"/>
      <c r="L120" s="597"/>
      <c r="M120" s="175"/>
      <c r="N120" s="175"/>
      <c r="O120" s="805"/>
      <c r="P120" s="175"/>
      <c r="Q120" s="175"/>
      <c r="R120" s="175"/>
      <c r="S120" s="175"/>
      <c r="T120" s="597"/>
      <c r="U120" s="597"/>
      <c r="V120" s="597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</row>
    <row r="121" ht="12.0" customHeight="1">
      <c r="A121" s="175"/>
      <c r="B121" s="175"/>
      <c r="C121" s="597"/>
      <c r="D121" s="597"/>
      <c r="E121" s="597"/>
      <c r="F121" s="597"/>
      <c r="G121" s="597"/>
      <c r="H121" s="597"/>
      <c r="I121" s="175"/>
      <c r="J121" s="175"/>
      <c r="K121" s="597"/>
      <c r="L121" s="597"/>
      <c r="M121" s="175"/>
      <c r="N121" s="175"/>
      <c r="O121" s="805"/>
      <c r="P121" s="175"/>
      <c r="Q121" s="175"/>
      <c r="R121" s="175"/>
      <c r="S121" s="175"/>
      <c r="T121" s="597"/>
      <c r="U121" s="597"/>
      <c r="V121" s="597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</row>
    <row r="122" ht="12.0" customHeight="1">
      <c r="A122" s="175"/>
      <c r="B122" s="175"/>
      <c r="C122" s="597"/>
      <c r="D122" s="597"/>
      <c r="E122" s="597"/>
      <c r="F122" s="597"/>
      <c r="G122" s="597"/>
      <c r="H122" s="597"/>
      <c r="I122" s="175"/>
      <c r="J122" s="175"/>
      <c r="K122" s="597"/>
      <c r="L122" s="597"/>
      <c r="M122" s="175"/>
      <c r="N122" s="175"/>
      <c r="O122" s="805"/>
      <c r="P122" s="175"/>
      <c r="Q122" s="175"/>
      <c r="R122" s="175"/>
      <c r="S122" s="175"/>
      <c r="T122" s="597"/>
      <c r="U122" s="597"/>
      <c r="V122" s="597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</row>
    <row r="123" ht="12.0" customHeight="1">
      <c r="A123" s="175"/>
      <c r="B123" s="175"/>
      <c r="C123" s="597"/>
      <c r="D123" s="597"/>
      <c r="E123" s="597"/>
      <c r="F123" s="597"/>
      <c r="G123" s="597"/>
      <c r="H123" s="597"/>
      <c r="I123" s="175"/>
      <c r="J123" s="175"/>
      <c r="K123" s="597"/>
      <c r="L123" s="597"/>
      <c r="M123" s="175"/>
      <c r="N123" s="175"/>
      <c r="O123" s="805"/>
      <c r="P123" s="175"/>
      <c r="Q123" s="175"/>
      <c r="R123" s="175"/>
      <c r="S123" s="175"/>
      <c r="T123" s="597"/>
      <c r="U123" s="597"/>
      <c r="V123" s="597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</row>
    <row r="124" ht="12.0" customHeight="1">
      <c r="A124" s="175"/>
      <c r="B124" s="175"/>
      <c r="C124" s="597"/>
      <c r="D124" s="597"/>
      <c r="E124" s="597"/>
      <c r="F124" s="597"/>
      <c r="G124" s="597"/>
      <c r="H124" s="597"/>
      <c r="I124" s="175"/>
      <c r="J124" s="175"/>
      <c r="K124" s="597"/>
      <c r="L124" s="597"/>
      <c r="M124" s="175"/>
      <c r="N124" s="175"/>
      <c r="O124" s="805"/>
      <c r="P124" s="175"/>
      <c r="Q124" s="175"/>
      <c r="R124" s="175"/>
      <c r="S124" s="175"/>
      <c r="T124" s="597"/>
      <c r="U124" s="597"/>
      <c r="V124" s="597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</row>
    <row r="125" ht="12.0" customHeight="1">
      <c r="A125" s="175"/>
      <c r="B125" s="175"/>
      <c r="C125" s="597"/>
      <c r="D125" s="597"/>
      <c r="E125" s="597"/>
      <c r="F125" s="597"/>
      <c r="G125" s="597"/>
      <c r="H125" s="597"/>
      <c r="I125" s="175"/>
      <c r="J125" s="175"/>
      <c r="K125" s="597"/>
      <c r="L125" s="597"/>
      <c r="M125" s="175"/>
      <c r="N125" s="175"/>
      <c r="O125" s="805"/>
      <c r="P125" s="175"/>
      <c r="Q125" s="175"/>
      <c r="R125" s="175"/>
      <c r="S125" s="175"/>
      <c r="T125" s="597"/>
      <c r="U125" s="597"/>
      <c r="V125" s="597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</row>
    <row r="126" ht="12.0" customHeight="1">
      <c r="A126" s="175"/>
      <c r="B126" s="175"/>
      <c r="C126" s="597"/>
      <c r="D126" s="597"/>
      <c r="E126" s="597"/>
      <c r="F126" s="597"/>
      <c r="G126" s="597"/>
      <c r="H126" s="597"/>
      <c r="I126" s="175"/>
      <c r="J126" s="175"/>
      <c r="K126" s="597"/>
      <c r="L126" s="597"/>
      <c r="M126" s="175"/>
      <c r="N126" s="175"/>
      <c r="O126" s="805"/>
      <c r="P126" s="175"/>
      <c r="Q126" s="175"/>
      <c r="R126" s="175"/>
      <c r="S126" s="175"/>
      <c r="T126" s="597"/>
      <c r="U126" s="597"/>
      <c r="V126" s="597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</row>
    <row r="127" ht="12.0" customHeight="1">
      <c r="A127" s="175"/>
      <c r="B127" s="175"/>
      <c r="C127" s="597"/>
      <c r="D127" s="597"/>
      <c r="E127" s="597"/>
      <c r="F127" s="597"/>
      <c r="G127" s="597"/>
      <c r="H127" s="597"/>
      <c r="I127" s="175"/>
      <c r="J127" s="175"/>
      <c r="K127" s="597"/>
      <c r="L127" s="597"/>
      <c r="M127" s="175"/>
      <c r="N127" s="175"/>
      <c r="O127" s="805"/>
      <c r="P127" s="175"/>
      <c r="Q127" s="175"/>
      <c r="R127" s="175"/>
      <c r="S127" s="175"/>
      <c r="T127" s="597"/>
      <c r="U127" s="597"/>
      <c r="V127" s="597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</row>
    <row r="128" ht="12.0" customHeight="1">
      <c r="A128" s="175"/>
      <c r="B128" s="175"/>
      <c r="C128" s="597"/>
      <c r="D128" s="597"/>
      <c r="E128" s="597"/>
      <c r="F128" s="597"/>
      <c r="G128" s="597"/>
      <c r="H128" s="597"/>
      <c r="I128" s="175"/>
      <c r="J128" s="175"/>
      <c r="K128" s="597"/>
      <c r="L128" s="597"/>
      <c r="M128" s="175"/>
      <c r="N128" s="175"/>
      <c r="O128" s="805"/>
      <c r="P128" s="175"/>
      <c r="Q128" s="175"/>
      <c r="R128" s="175"/>
      <c r="S128" s="175"/>
      <c r="T128" s="597"/>
      <c r="U128" s="597"/>
      <c r="V128" s="597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</row>
    <row r="129" ht="12.0" customHeight="1">
      <c r="A129" s="175"/>
      <c r="B129" s="175"/>
      <c r="C129" s="597"/>
      <c r="D129" s="597"/>
      <c r="E129" s="597"/>
      <c r="F129" s="597"/>
      <c r="G129" s="597"/>
      <c r="H129" s="597"/>
      <c r="I129" s="175"/>
      <c r="J129" s="175"/>
      <c r="K129" s="597"/>
      <c r="L129" s="597"/>
      <c r="M129" s="175"/>
      <c r="N129" s="175"/>
      <c r="O129" s="805"/>
      <c r="P129" s="175"/>
      <c r="Q129" s="175"/>
      <c r="R129" s="175"/>
      <c r="S129" s="175"/>
      <c r="T129" s="597"/>
      <c r="U129" s="597"/>
      <c r="V129" s="597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</row>
    <row r="130" ht="12.0" customHeight="1">
      <c r="A130" s="175"/>
      <c r="B130" s="175"/>
      <c r="C130" s="597"/>
      <c r="D130" s="597"/>
      <c r="E130" s="597"/>
      <c r="F130" s="597"/>
      <c r="G130" s="597"/>
      <c r="H130" s="597"/>
      <c r="I130" s="175"/>
      <c r="J130" s="175"/>
      <c r="K130" s="597"/>
      <c r="L130" s="597"/>
      <c r="M130" s="175"/>
      <c r="N130" s="175"/>
      <c r="O130" s="805"/>
      <c r="P130" s="175"/>
      <c r="Q130" s="175"/>
      <c r="R130" s="175"/>
      <c r="S130" s="175"/>
      <c r="T130" s="597"/>
      <c r="U130" s="597"/>
      <c r="V130" s="597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</row>
    <row r="131" ht="12.0" customHeight="1">
      <c r="A131" s="175"/>
      <c r="B131" s="175"/>
      <c r="C131" s="597"/>
      <c r="D131" s="597"/>
      <c r="E131" s="597"/>
      <c r="F131" s="597"/>
      <c r="G131" s="597"/>
      <c r="H131" s="597"/>
      <c r="I131" s="175"/>
      <c r="J131" s="175"/>
      <c r="K131" s="597"/>
      <c r="L131" s="597"/>
      <c r="M131" s="175"/>
      <c r="N131" s="175"/>
      <c r="O131" s="805"/>
      <c r="P131" s="175"/>
      <c r="Q131" s="175"/>
      <c r="R131" s="175"/>
      <c r="S131" s="175"/>
      <c r="T131" s="597"/>
      <c r="U131" s="597"/>
      <c r="V131" s="597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</row>
    <row r="132" ht="12.0" customHeight="1">
      <c r="A132" s="175"/>
      <c r="B132" s="175"/>
      <c r="C132" s="597"/>
      <c r="D132" s="597"/>
      <c r="E132" s="597"/>
      <c r="F132" s="597"/>
      <c r="G132" s="597"/>
      <c r="H132" s="597"/>
      <c r="I132" s="175"/>
      <c r="J132" s="175"/>
      <c r="K132" s="597"/>
      <c r="L132" s="597"/>
      <c r="M132" s="175"/>
      <c r="N132" s="175"/>
      <c r="O132" s="805"/>
      <c r="P132" s="175"/>
      <c r="Q132" s="175"/>
      <c r="R132" s="175"/>
      <c r="S132" s="175"/>
      <c r="T132" s="597"/>
      <c r="U132" s="597"/>
      <c r="V132" s="597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</row>
    <row r="133" ht="12.0" customHeight="1">
      <c r="A133" s="175"/>
      <c r="B133" s="175"/>
      <c r="C133" s="597"/>
      <c r="D133" s="597"/>
      <c r="E133" s="597"/>
      <c r="F133" s="597"/>
      <c r="G133" s="597"/>
      <c r="H133" s="597"/>
      <c r="I133" s="175"/>
      <c r="J133" s="175"/>
      <c r="K133" s="597"/>
      <c r="L133" s="597"/>
      <c r="M133" s="175"/>
      <c r="N133" s="175"/>
      <c r="O133" s="805"/>
      <c r="P133" s="175"/>
      <c r="Q133" s="175"/>
      <c r="R133" s="175"/>
      <c r="S133" s="175"/>
      <c r="T133" s="597"/>
      <c r="U133" s="597"/>
      <c r="V133" s="597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</row>
    <row r="134" ht="12.0" customHeight="1">
      <c r="A134" s="175"/>
      <c r="B134" s="175"/>
      <c r="C134" s="597"/>
      <c r="D134" s="597"/>
      <c r="E134" s="597"/>
      <c r="F134" s="597"/>
      <c r="G134" s="597"/>
      <c r="H134" s="597"/>
      <c r="I134" s="175"/>
      <c r="J134" s="175"/>
      <c r="K134" s="597"/>
      <c r="L134" s="597"/>
      <c r="M134" s="175"/>
      <c r="N134" s="175"/>
      <c r="O134" s="805"/>
      <c r="P134" s="175"/>
      <c r="Q134" s="175"/>
      <c r="R134" s="175"/>
      <c r="S134" s="175"/>
      <c r="T134" s="597"/>
      <c r="U134" s="597"/>
      <c r="V134" s="597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</row>
    <row r="135" ht="12.0" customHeight="1">
      <c r="A135" s="175"/>
      <c r="B135" s="175"/>
      <c r="C135" s="597"/>
      <c r="D135" s="597"/>
      <c r="E135" s="597"/>
      <c r="F135" s="597"/>
      <c r="G135" s="597"/>
      <c r="H135" s="597"/>
      <c r="I135" s="175"/>
      <c r="J135" s="175"/>
      <c r="K135" s="597"/>
      <c r="L135" s="597"/>
      <c r="M135" s="175"/>
      <c r="N135" s="175"/>
      <c r="O135" s="805"/>
      <c r="P135" s="175"/>
      <c r="Q135" s="175"/>
      <c r="R135" s="175"/>
      <c r="S135" s="175"/>
      <c r="T135" s="597"/>
      <c r="U135" s="597"/>
      <c r="V135" s="597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</row>
    <row r="136" ht="12.0" customHeight="1">
      <c r="A136" s="175"/>
      <c r="B136" s="175"/>
      <c r="C136" s="597"/>
      <c r="D136" s="597"/>
      <c r="E136" s="597"/>
      <c r="F136" s="597"/>
      <c r="G136" s="597"/>
      <c r="H136" s="597"/>
      <c r="I136" s="175"/>
      <c r="J136" s="175"/>
      <c r="K136" s="597"/>
      <c r="L136" s="597"/>
      <c r="M136" s="175"/>
      <c r="N136" s="175"/>
      <c r="O136" s="805"/>
      <c r="P136" s="175"/>
      <c r="Q136" s="175"/>
      <c r="R136" s="175"/>
      <c r="S136" s="175"/>
      <c r="T136" s="597"/>
      <c r="U136" s="597"/>
      <c r="V136" s="597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</row>
    <row r="137" ht="12.0" customHeight="1">
      <c r="A137" s="175"/>
      <c r="B137" s="175"/>
      <c r="C137" s="597"/>
      <c r="D137" s="597"/>
      <c r="E137" s="597"/>
      <c r="F137" s="597"/>
      <c r="G137" s="597"/>
      <c r="H137" s="597"/>
      <c r="I137" s="175"/>
      <c r="J137" s="175"/>
      <c r="K137" s="597"/>
      <c r="L137" s="597"/>
      <c r="M137" s="175"/>
      <c r="N137" s="175"/>
      <c r="O137" s="805"/>
      <c r="P137" s="175"/>
      <c r="Q137" s="175"/>
      <c r="R137" s="175"/>
      <c r="S137" s="175"/>
      <c r="T137" s="597"/>
      <c r="U137" s="597"/>
      <c r="V137" s="597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</row>
    <row r="138" ht="12.0" customHeight="1">
      <c r="A138" s="175"/>
      <c r="B138" s="175"/>
      <c r="C138" s="597"/>
      <c r="D138" s="597"/>
      <c r="E138" s="597"/>
      <c r="F138" s="597"/>
      <c r="G138" s="597"/>
      <c r="H138" s="597"/>
      <c r="I138" s="175"/>
      <c r="J138" s="175"/>
      <c r="K138" s="597"/>
      <c r="L138" s="597"/>
      <c r="M138" s="175"/>
      <c r="N138" s="175"/>
      <c r="O138" s="805"/>
      <c r="P138" s="175"/>
      <c r="Q138" s="175"/>
      <c r="R138" s="175"/>
      <c r="S138" s="175"/>
      <c r="T138" s="597"/>
      <c r="U138" s="597"/>
      <c r="V138" s="597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</row>
    <row r="139" ht="12.0" customHeight="1">
      <c r="A139" s="175"/>
      <c r="B139" s="175"/>
      <c r="C139" s="597"/>
      <c r="D139" s="597"/>
      <c r="E139" s="597"/>
      <c r="F139" s="597"/>
      <c r="G139" s="597"/>
      <c r="H139" s="597"/>
      <c r="I139" s="175"/>
      <c r="J139" s="175"/>
      <c r="K139" s="597"/>
      <c r="L139" s="597"/>
      <c r="M139" s="175"/>
      <c r="N139" s="175"/>
      <c r="O139" s="805"/>
      <c r="P139" s="175"/>
      <c r="Q139" s="175"/>
      <c r="R139" s="175"/>
      <c r="S139" s="175"/>
      <c r="T139" s="597"/>
      <c r="U139" s="597"/>
      <c r="V139" s="597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</row>
    <row r="140" ht="12.0" customHeight="1">
      <c r="A140" s="175"/>
      <c r="B140" s="175"/>
      <c r="C140" s="597"/>
      <c r="D140" s="597"/>
      <c r="E140" s="597"/>
      <c r="F140" s="597"/>
      <c r="G140" s="597"/>
      <c r="H140" s="597"/>
      <c r="I140" s="175"/>
      <c r="J140" s="175"/>
      <c r="K140" s="597"/>
      <c r="L140" s="597"/>
      <c r="M140" s="175"/>
      <c r="N140" s="175"/>
      <c r="O140" s="805"/>
      <c r="P140" s="175"/>
      <c r="Q140" s="175"/>
      <c r="R140" s="175"/>
      <c r="S140" s="175"/>
      <c r="T140" s="597"/>
      <c r="U140" s="597"/>
      <c r="V140" s="597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</row>
    <row r="141" ht="12.0" customHeight="1">
      <c r="A141" s="175"/>
      <c r="B141" s="175"/>
      <c r="C141" s="597"/>
      <c r="D141" s="597"/>
      <c r="E141" s="597"/>
      <c r="F141" s="597"/>
      <c r="G141" s="597"/>
      <c r="H141" s="597"/>
      <c r="I141" s="175"/>
      <c r="J141" s="175"/>
      <c r="K141" s="597"/>
      <c r="L141" s="597"/>
      <c r="M141" s="175"/>
      <c r="N141" s="175"/>
      <c r="O141" s="805"/>
      <c r="P141" s="175"/>
      <c r="Q141" s="175"/>
      <c r="R141" s="175"/>
      <c r="S141" s="175"/>
      <c r="T141" s="597"/>
      <c r="U141" s="597"/>
      <c r="V141" s="597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</row>
    <row r="142" ht="12.0" customHeight="1">
      <c r="A142" s="175"/>
      <c r="B142" s="175"/>
      <c r="C142" s="597"/>
      <c r="D142" s="597"/>
      <c r="E142" s="597"/>
      <c r="F142" s="597"/>
      <c r="G142" s="597"/>
      <c r="H142" s="597"/>
      <c r="I142" s="175"/>
      <c r="J142" s="175"/>
      <c r="K142" s="597"/>
      <c r="L142" s="597"/>
      <c r="M142" s="175"/>
      <c r="N142" s="175"/>
      <c r="O142" s="805"/>
      <c r="P142" s="175"/>
      <c r="Q142" s="175"/>
      <c r="R142" s="175"/>
      <c r="S142" s="175"/>
      <c r="T142" s="597"/>
      <c r="U142" s="597"/>
      <c r="V142" s="597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</row>
    <row r="143" ht="12.0" customHeight="1">
      <c r="A143" s="175"/>
      <c r="B143" s="175"/>
      <c r="C143" s="597"/>
      <c r="D143" s="597"/>
      <c r="E143" s="597"/>
      <c r="F143" s="597"/>
      <c r="G143" s="597"/>
      <c r="H143" s="597"/>
      <c r="I143" s="175"/>
      <c r="J143" s="175"/>
      <c r="K143" s="597"/>
      <c r="L143" s="597"/>
      <c r="M143" s="175"/>
      <c r="N143" s="175"/>
      <c r="O143" s="805"/>
      <c r="P143" s="175"/>
      <c r="Q143" s="175"/>
      <c r="R143" s="175"/>
      <c r="S143" s="175"/>
      <c r="T143" s="597"/>
      <c r="U143" s="597"/>
      <c r="V143" s="597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</row>
    <row r="144" ht="12.0" customHeight="1">
      <c r="A144" s="175"/>
      <c r="B144" s="175"/>
      <c r="C144" s="597"/>
      <c r="D144" s="597"/>
      <c r="E144" s="597"/>
      <c r="F144" s="597"/>
      <c r="G144" s="597"/>
      <c r="H144" s="597"/>
      <c r="I144" s="175"/>
      <c r="J144" s="175"/>
      <c r="K144" s="597"/>
      <c r="L144" s="597"/>
      <c r="M144" s="175"/>
      <c r="N144" s="175"/>
      <c r="O144" s="805"/>
      <c r="P144" s="175"/>
      <c r="Q144" s="175"/>
      <c r="R144" s="175"/>
      <c r="S144" s="175"/>
      <c r="T144" s="597"/>
      <c r="U144" s="597"/>
      <c r="V144" s="597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</row>
    <row r="145" ht="12.0" customHeight="1">
      <c r="A145" s="175"/>
      <c r="B145" s="175"/>
      <c r="C145" s="597"/>
      <c r="D145" s="597"/>
      <c r="E145" s="597"/>
      <c r="F145" s="597"/>
      <c r="G145" s="597"/>
      <c r="H145" s="597"/>
      <c r="I145" s="175"/>
      <c r="J145" s="175"/>
      <c r="K145" s="597"/>
      <c r="L145" s="597"/>
      <c r="M145" s="175"/>
      <c r="N145" s="175"/>
      <c r="O145" s="805"/>
      <c r="P145" s="175"/>
      <c r="Q145" s="175"/>
      <c r="R145" s="175"/>
      <c r="S145" s="175"/>
      <c r="T145" s="597"/>
      <c r="U145" s="597"/>
      <c r="V145" s="597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</row>
    <row r="146" ht="12.0" customHeight="1">
      <c r="A146" s="175"/>
      <c r="B146" s="175"/>
      <c r="C146" s="597"/>
      <c r="D146" s="597"/>
      <c r="E146" s="597"/>
      <c r="F146" s="597"/>
      <c r="G146" s="597"/>
      <c r="H146" s="597"/>
      <c r="I146" s="175"/>
      <c r="J146" s="175"/>
      <c r="K146" s="597"/>
      <c r="L146" s="597"/>
      <c r="M146" s="175"/>
      <c r="N146" s="175"/>
      <c r="O146" s="805"/>
      <c r="P146" s="175"/>
      <c r="Q146" s="175"/>
      <c r="R146" s="175"/>
      <c r="S146" s="175"/>
      <c r="T146" s="597"/>
      <c r="U146" s="597"/>
      <c r="V146" s="597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</row>
    <row r="147" ht="12.0" customHeight="1">
      <c r="A147" s="175"/>
      <c r="B147" s="175"/>
      <c r="C147" s="597"/>
      <c r="D147" s="597"/>
      <c r="E147" s="597"/>
      <c r="F147" s="597"/>
      <c r="G147" s="597"/>
      <c r="H147" s="597"/>
      <c r="I147" s="175"/>
      <c r="J147" s="175"/>
      <c r="K147" s="597"/>
      <c r="L147" s="597"/>
      <c r="M147" s="175"/>
      <c r="N147" s="175"/>
      <c r="O147" s="805"/>
      <c r="P147" s="175"/>
      <c r="Q147" s="175"/>
      <c r="R147" s="175"/>
      <c r="S147" s="175"/>
      <c r="T147" s="597"/>
      <c r="U147" s="597"/>
      <c r="V147" s="597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</row>
    <row r="148" ht="12.0" customHeight="1">
      <c r="A148" s="175"/>
      <c r="B148" s="175"/>
      <c r="C148" s="597"/>
      <c r="D148" s="597"/>
      <c r="E148" s="597"/>
      <c r="F148" s="597"/>
      <c r="G148" s="597"/>
      <c r="H148" s="597"/>
      <c r="I148" s="175"/>
      <c r="J148" s="175"/>
      <c r="K148" s="597"/>
      <c r="L148" s="597"/>
      <c r="M148" s="175"/>
      <c r="N148" s="175"/>
      <c r="O148" s="805"/>
      <c r="P148" s="175"/>
      <c r="Q148" s="175"/>
      <c r="R148" s="175"/>
      <c r="S148" s="175"/>
      <c r="T148" s="597"/>
      <c r="U148" s="597"/>
      <c r="V148" s="597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</row>
    <row r="149" ht="12.0" customHeight="1">
      <c r="A149" s="175"/>
      <c r="B149" s="175"/>
      <c r="C149" s="597"/>
      <c r="D149" s="597"/>
      <c r="E149" s="597"/>
      <c r="F149" s="597"/>
      <c r="G149" s="597"/>
      <c r="H149" s="597"/>
      <c r="I149" s="175"/>
      <c r="J149" s="175"/>
      <c r="K149" s="597"/>
      <c r="L149" s="597"/>
      <c r="M149" s="175"/>
      <c r="N149" s="175"/>
      <c r="O149" s="805"/>
      <c r="P149" s="175"/>
      <c r="Q149" s="175"/>
      <c r="R149" s="175"/>
      <c r="S149" s="175"/>
      <c r="T149" s="597"/>
      <c r="U149" s="597"/>
      <c r="V149" s="597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</row>
    <row r="150" ht="12.0" customHeight="1">
      <c r="A150" s="175"/>
      <c r="B150" s="175"/>
      <c r="C150" s="597"/>
      <c r="D150" s="597"/>
      <c r="E150" s="597"/>
      <c r="F150" s="597"/>
      <c r="G150" s="597"/>
      <c r="H150" s="597"/>
      <c r="I150" s="175"/>
      <c r="J150" s="175"/>
      <c r="K150" s="597"/>
      <c r="L150" s="597"/>
      <c r="M150" s="175"/>
      <c r="N150" s="175"/>
      <c r="O150" s="805"/>
      <c r="P150" s="175"/>
      <c r="Q150" s="175"/>
      <c r="R150" s="175"/>
      <c r="S150" s="175"/>
      <c r="T150" s="597"/>
      <c r="U150" s="597"/>
      <c r="V150" s="597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</row>
    <row r="151" ht="12.0" customHeight="1">
      <c r="A151" s="175"/>
      <c r="B151" s="175"/>
      <c r="C151" s="597"/>
      <c r="D151" s="597"/>
      <c r="E151" s="597"/>
      <c r="F151" s="597"/>
      <c r="G151" s="597"/>
      <c r="H151" s="597"/>
      <c r="I151" s="175"/>
      <c r="J151" s="175"/>
      <c r="K151" s="597"/>
      <c r="L151" s="597"/>
      <c r="M151" s="175"/>
      <c r="N151" s="175"/>
      <c r="O151" s="805"/>
      <c r="P151" s="175"/>
      <c r="Q151" s="175"/>
      <c r="R151" s="175"/>
      <c r="S151" s="175"/>
      <c r="T151" s="597"/>
      <c r="U151" s="597"/>
      <c r="V151" s="597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</row>
    <row r="152" ht="12.0" customHeight="1">
      <c r="A152" s="175"/>
      <c r="B152" s="175"/>
      <c r="C152" s="597"/>
      <c r="D152" s="597"/>
      <c r="E152" s="597"/>
      <c r="F152" s="597"/>
      <c r="G152" s="597"/>
      <c r="H152" s="597"/>
      <c r="I152" s="175"/>
      <c r="J152" s="175"/>
      <c r="K152" s="597"/>
      <c r="L152" s="597"/>
      <c r="M152" s="175"/>
      <c r="N152" s="175"/>
      <c r="O152" s="805"/>
      <c r="P152" s="175"/>
      <c r="Q152" s="175"/>
      <c r="R152" s="175"/>
      <c r="S152" s="175"/>
      <c r="T152" s="597"/>
      <c r="U152" s="597"/>
      <c r="V152" s="597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</row>
    <row r="153" ht="12.0" customHeight="1">
      <c r="A153" s="175"/>
      <c r="B153" s="175"/>
      <c r="C153" s="597"/>
      <c r="D153" s="597"/>
      <c r="E153" s="597"/>
      <c r="F153" s="597"/>
      <c r="G153" s="597"/>
      <c r="H153" s="597"/>
      <c r="I153" s="175"/>
      <c r="J153" s="175"/>
      <c r="K153" s="597"/>
      <c r="L153" s="597"/>
      <c r="M153" s="175"/>
      <c r="N153" s="175"/>
      <c r="O153" s="805"/>
      <c r="P153" s="175"/>
      <c r="Q153" s="175"/>
      <c r="R153" s="175"/>
      <c r="S153" s="175"/>
      <c r="T153" s="597"/>
      <c r="U153" s="597"/>
      <c r="V153" s="597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</row>
    <row r="154" ht="12.0" customHeight="1">
      <c r="A154" s="175"/>
      <c r="B154" s="175"/>
      <c r="C154" s="597"/>
      <c r="D154" s="597"/>
      <c r="E154" s="597"/>
      <c r="F154" s="597"/>
      <c r="G154" s="597"/>
      <c r="H154" s="597"/>
      <c r="I154" s="175"/>
      <c r="J154" s="175"/>
      <c r="K154" s="597"/>
      <c r="L154" s="597"/>
      <c r="M154" s="175"/>
      <c r="N154" s="175"/>
      <c r="O154" s="805"/>
      <c r="P154" s="175"/>
      <c r="Q154" s="175"/>
      <c r="R154" s="175"/>
      <c r="S154" s="175"/>
      <c r="T154" s="597"/>
      <c r="U154" s="597"/>
      <c r="V154" s="597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</row>
    <row r="155" ht="12.0" customHeight="1">
      <c r="A155" s="175"/>
      <c r="B155" s="175"/>
      <c r="C155" s="597"/>
      <c r="D155" s="597"/>
      <c r="E155" s="597"/>
      <c r="F155" s="597"/>
      <c r="G155" s="597"/>
      <c r="H155" s="597"/>
      <c r="I155" s="175"/>
      <c r="J155" s="175"/>
      <c r="K155" s="597"/>
      <c r="L155" s="597"/>
      <c r="M155" s="175"/>
      <c r="N155" s="175"/>
      <c r="O155" s="805"/>
      <c r="P155" s="175"/>
      <c r="Q155" s="175"/>
      <c r="R155" s="175"/>
      <c r="S155" s="175"/>
      <c r="T155" s="597"/>
      <c r="U155" s="597"/>
      <c r="V155" s="597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</row>
    <row r="156" ht="12.0" customHeight="1">
      <c r="A156" s="175"/>
      <c r="B156" s="175"/>
      <c r="C156" s="597"/>
      <c r="D156" s="597"/>
      <c r="E156" s="597"/>
      <c r="F156" s="597"/>
      <c r="G156" s="597"/>
      <c r="H156" s="597"/>
      <c r="I156" s="175"/>
      <c r="J156" s="175"/>
      <c r="K156" s="597"/>
      <c r="L156" s="597"/>
      <c r="M156" s="175"/>
      <c r="N156" s="175"/>
      <c r="O156" s="805"/>
      <c r="P156" s="175"/>
      <c r="Q156" s="175"/>
      <c r="R156" s="175"/>
      <c r="S156" s="175"/>
      <c r="T156" s="597"/>
      <c r="U156" s="597"/>
      <c r="V156" s="597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</row>
    <row r="157" ht="12.0" customHeight="1">
      <c r="A157" s="175"/>
      <c r="B157" s="175"/>
      <c r="C157" s="597"/>
      <c r="D157" s="597"/>
      <c r="E157" s="597"/>
      <c r="F157" s="597"/>
      <c r="G157" s="597"/>
      <c r="H157" s="597"/>
      <c r="I157" s="175"/>
      <c r="J157" s="175"/>
      <c r="K157" s="597"/>
      <c r="L157" s="597"/>
      <c r="M157" s="175"/>
      <c r="N157" s="175"/>
      <c r="O157" s="805"/>
      <c r="P157" s="175"/>
      <c r="Q157" s="175"/>
      <c r="R157" s="175"/>
      <c r="S157" s="175"/>
      <c r="T157" s="597"/>
      <c r="U157" s="597"/>
      <c r="V157" s="597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</row>
    <row r="158" ht="12.0" customHeight="1">
      <c r="A158" s="175"/>
      <c r="B158" s="175"/>
      <c r="C158" s="597"/>
      <c r="D158" s="597"/>
      <c r="E158" s="597"/>
      <c r="F158" s="597"/>
      <c r="G158" s="597"/>
      <c r="H158" s="597"/>
      <c r="I158" s="175"/>
      <c r="J158" s="175"/>
      <c r="K158" s="597"/>
      <c r="L158" s="597"/>
      <c r="M158" s="175"/>
      <c r="N158" s="175"/>
      <c r="O158" s="805"/>
      <c r="P158" s="175"/>
      <c r="Q158" s="175"/>
      <c r="R158" s="175"/>
      <c r="S158" s="175"/>
      <c r="T158" s="597"/>
      <c r="U158" s="597"/>
      <c r="V158" s="597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</row>
    <row r="159" ht="12.0" customHeight="1">
      <c r="A159" s="175"/>
      <c r="B159" s="175"/>
      <c r="C159" s="597"/>
      <c r="D159" s="597"/>
      <c r="E159" s="597"/>
      <c r="F159" s="597"/>
      <c r="G159" s="597"/>
      <c r="H159" s="597"/>
      <c r="I159" s="175"/>
      <c r="J159" s="175"/>
      <c r="K159" s="597"/>
      <c r="L159" s="597"/>
      <c r="M159" s="175"/>
      <c r="N159" s="175"/>
      <c r="O159" s="805"/>
      <c r="P159" s="175"/>
      <c r="Q159" s="175"/>
      <c r="R159" s="175"/>
      <c r="S159" s="175"/>
      <c r="T159" s="597"/>
      <c r="U159" s="597"/>
      <c r="V159" s="597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</row>
    <row r="160" ht="12.0" customHeight="1">
      <c r="A160" s="175"/>
      <c r="B160" s="175"/>
      <c r="C160" s="597"/>
      <c r="D160" s="597"/>
      <c r="E160" s="597"/>
      <c r="F160" s="597"/>
      <c r="G160" s="597"/>
      <c r="H160" s="597"/>
      <c r="I160" s="175"/>
      <c r="J160" s="175"/>
      <c r="K160" s="597"/>
      <c r="L160" s="597"/>
      <c r="M160" s="175"/>
      <c r="N160" s="175"/>
      <c r="O160" s="805"/>
      <c r="P160" s="175"/>
      <c r="Q160" s="175"/>
      <c r="R160" s="175"/>
      <c r="S160" s="175"/>
      <c r="T160" s="597"/>
      <c r="U160" s="597"/>
      <c r="V160" s="597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</row>
    <row r="161" ht="12.0" customHeight="1">
      <c r="A161" s="175"/>
      <c r="B161" s="175"/>
      <c r="C161" s="597"/>
      <c r="D161" s="597"/>
      <c r="E161" s="597"/>
      <c r="F161" s="597"/>
      <c r="G161" s="597"/>
      <c r="H161" s="597"/>
      <c r="I161" s="175"/>
      <c r="J161" s="175"/>
      <c r="K161" s="597"/>
      <c r="L161" s="597"/>
      <c r="M161" s="175"/>
      <c r="N161" s="175"/>
      <c r="O161" s="805"/>
      <c r="P161" s="175"/>
      <c r="Q161" s="175"/>
      <c r="R161" s="175"/>
      <c r="S161" s="175"/>
      <c r="T161" s="597"/>
      <c r="U161" s="597"/>
      <c r="V161" s="597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</row>
    <row r="162" ht="12.0" customHeight="1">
      <c r="A162" s="175"/>
      <c r="B162" s="175"/>
      <c r="C162" s="597"/>
      <c r="D162" s="597"/>
      <c r="E162" s="597"/>
      <c r="F162" s="597"/>
      <c r="G162" s="597"/>
      <c r="H162" s="597"/>
      <c r="I162" s="175"/>
      <c r="J162" s="175"/>
      <c r="K162" s="597"/>
      <c r="L162" s="597"/>
      <c r="M162" s="175"/>
      <c r="N162" s="175"/>
      <c r="O162" s="805"/>
      <c r="P162" s="175"/>
      <c r="Q162" s="175"/>
      <c r="R162" s="175"/>
      <c r="S162" s="175"/>
      <c r="T162" s="597"/>
      <c r="U162" s="597"/>
      <c r="V162" s="597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</row>
    <row r="163" ht="12.0" customHeight="1">
      <c r="A163" s="175"/>
      <c r="B163" s="175"/>
      <c r="C163" s="597"/>
      <c r="D163" s="597"/>
      <c r="E163" s="597"/>
      <c r="F163" s="597"/>
      <c r="G163" s="597"/>
      <c r="H163" s="597"/>
      <c r="I163" s="175"/>
      <c r="J163" s="175"/>
      <c r="K163" s="597"/>
      <c r="L163" s="597"/>
      <c r="M163" s="175"/>
      <c r="N163" s="175"/>
      <c r="O163" s="805"/>
      <c r="P163" s="175"/>
      <c r="Q163" s="175"/>
      <c r="R163" s="175"/>
      <c r="S163" s="175"/>
      <c r="T163" s="597"/>
      <c r="U163" s="597"/>
      <c r="V163" s="597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</row>
    <row r="164" ht="12.0" customHeight="1">
      <c r="A164" s="175"/>
      <c r="B164" s="175"/>
      <c r="C164" s="597"/>
      <c r="D164" s="597"/>
      <c r="E164" s="597"/>
      <c r="F164" s="597"/>
      <c r="G164" s="597"/>
      <c r="H164" s="597"/>
      <c r="I164" s="175"/>
      <c r="J164" s="175"/>
      <c r="K164" s="597"/>
      <c r="L164" s="597"/>
      <c r="M164" s="175"/>
      <c r="N164" s="175"/>
      <c r="O164" s="805"/>
      <c r="P164" s="175"/>
      <c r="Q164" s="175"/>
      <c r="R164" s="175"/>
      <c r="S164" s="175"/>
      <c r="T164" s="597"/>
      <c r="U164" s="597"/>
      <c r="V164" s="597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</row>
    <row r="165" ht="12.0" customHeight="1">
      <c r="A165" s="175"/>
      <c r="B165" s="175"/>
      <c r="C165" s="597"/>
      <c r="D165" s="597"/>
      <c r="E165" s="597"/>
      <c r="F165" s="597"/>
      <c r="G165" s="597"/>
      <c r="H165" s="597"/>
      <c r="I165" s="175"/>
      <c r="J165" s="175"/>
      <c r="K165" s="597"/>
      <c r="L165" s="597"/>
      <c r="M165" s="175"/>
      <c r="N165" s="175"/>
      <c r="O165" s="805"/>
      <c r="P165" s="175"/>
      <c r="Q165" s="175"/>
      <c r="R165" s="175"/>
      <c r="S165" s="175"/>
      <c r="T165" s="597"/>
      <c r="U165" s="597"/>
      <c r="V165" s="597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</row>
    <row r="166" ht="12.0" customHeight="1">
      <c r="A166" s="175"/>
      <c r="B166" s="175"/>
      <c r="C166" s="597"/>
      <c r="D166" s="597"/>
      <c r="E166" s="597"/>
      <c r="F166" s="597"/>
      <c r="G166" s="597"/>
      <c r="H166" s="597"/>
      <c r="I166" s="175"/>
      <c r="J166" s="175"/>
      <c r="K166" s="597"/>
      <c r="L166" s="597"/>
      <c r="M166" s="175"/>
      <c r="N166" s="175"/>
      <c r="O166" s="805"/>
      <c r="P166" s="175"/>
      <c r="Q166" s="175"/>
      <c r="R166" s="175"/>
      <c r="S166" s="175"/>
      <c r="T166" s="597"/>
      <c r="U166" s="597"/>
      <c r="V166" s="597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</row>
    <row r="167" ht="12.0" customHeight="1">
      <c r="A167" s="175"/>
      <c r="B167" s="175"/>
      <c r="C167" s="597"/>
      <c r="D167" s="597"/>
      <c r="E167" s="597"/>
      <c r="F167" s="597"/>
      <c r="G167" s="597"/>
      <c r="H167" s="597"/>
      <c r="I167" s="175"/>
      <c r="J167" s="175"/>
      <c r="K167" s="597"/>
      <c r="L167" s="597"/>
      <c r="M167" s="175"/>
      <c r="N167" s="175"/>
      <c r="O167" s="805"/>
      <c r="P167" s="175"/>
      <c r="Q167" s="175"/>
      <c r="R167" s="175"/>
      <c r="S167" s="175"/>
      <c r="T167" s="597"/>
      <c r="U167" s="597"/>
      <c r="V167" s="597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</row>
    <row r="168" ht="12.0" customHeight="1">
      <c r="A168" s="175"/>
      <c r="B168" s="175"/>
      <c r="C168" s="597"/>
      <c r="D168" s="597"/>
      <c r="E168" s="597"/>
      <c r="F168" s="597"/>
      <c r="G168" s="597"/>
      <c r="H168" s="597"/>
      <c r="I168" s="175"/>
      <c r="J168" s="175"/>
      <c r="K168" s="597"/>
      <c r="L168" s="597"/>
      <c r="M168" s="175"/>
      <c r="N168" s="175"/>
      <c r="O168" s="805"/>
      <c r="P168" s="175"/>
      <c r="Q168" s="175"/>
      <c r="R168" s="175"/>
      <c r="S168" s="175"/>
      <c r="T168" s="597"/>
      <c r="U168" s="597"/>
      <c r="V168" s="597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</row>
    <row r="169" ht="12.0" customHeight="1">
      <c r="A169" s="175"/>
      <c r="B169" s="175"/>
      <c r="C169" s="597"/>
      <c r="D169" s="597"/>
      <c r="E169" s="597"/>
      <c r="F169" s="597"/>
      <c r="G169" s="597"/>
      <c r="H169" s="597"/>
      <c r="I169" s="175"/>
      <c r="J169" s="175"/>
      <c r="K169" s="597"/>
      <c r="L169" s="597"/>
      <c r="M169" s="175"/>
      <c r="N169" s="175"/>
      <c r="O169" s="805"/>
      <c r="P169" s="175"/>
      <c r="Q169" s="175"/>
      <c r="R169" s="175"/>
      <c r="S169" s="175"/>
      <c r="T169" s="597"/>
      <c r="U169" s="597"/>
      <c r="V169" s="597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</row>
    <row r="170" ht="12.0" customHeight="1">
      <c r="A170" s="175"/>
      <c r="B170" s="175"/>
      <c r="C170" s="597"/>
      <c r="D170" s="597"/>
      <c r="E170" s="597"/>
      <c r="F170" s="597"/>
      <c r="G170" s="597"/>
      <c r="H170" s="597"/>
      <c r="I170" s="175"/>
      <c r="J170" s="175"/>
      <c r="K170" s="597"/>
      <c r="L170" s="597"/>
      <c r="M170" s="175"/>
      <c r="N170" s="175"/>
      <c r="O170" s="805"/>
      <c r="P170" s="175"/>
      <c r="Q170" s="175"/>
      <c r="R170" s="175"/>
      <c r="S170" s="175"/>
      <c r="T170" s="597"/>
      <c r="U170" s="597"/>
      <c r="V170" s="597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</row>
    <row r="171" ht="12.0" customHeight="1">
      <c r="A171" s="175"/>
      <c r="B171" s="175"/>
      <c r="C171" s="597"/>
      <c r="D171" s="597"/>
      <c r="E171" s="597"/>
      <c r="F171" s="597"/>
      <c r="G171" s="597"/>
      <c r="H171" s="597"/>
      <c r="I171" s="175"/>
      <c r="J171" s="175"/>
      <c r="K171" s="597"/>
      <c r="L171" s="597"/>
      <c r="M171" s="175"/>
      <c r="N171" s="175"/>
      <c r="O171" s="805"/>
      <c r="P171" s="175"/>
      <c r="Q171" s="175"/>
      <c r="R171" s="175"/>
      <c r="S171" s="175"/>
      <c r="T171" s="597"/>
      <c r="U171" s="597"/>
      <c r="V171" s="597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</row>
    <row r="172" ht="12.0" customHeight="1">
      <c r="A172" s="175"/>
      <c r="B172" s="175"/>
      <c r="C172" s="597"/>
      <c r="D172" s="597"/>
      <c r="E172" s="597"/>
      <c r="F172" s="597"/>
      <c r="G172" s="597"/>
      <c r="H172" s="597"/>
      <c r="I172" s="175"/>
      <c r="J172" s="175"/>
      <c r="K172" s="597"/>
      <c r="L172" s="597"/>
      <c r="M172" s="175"/>
      <c r="N172" s="175"/>
      <c r="O172" s="805"/>
      <c r="P172" s="175"/>
      <c r="Q172" s="175"/>
      <c r="R172" s="175"/>
      <c r="S172" s="175"/>
      <c r="T172" s="597"/>
      <c r="U172" s="597"/>
      <c r="V172" s="597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</row>
    <row r="173" ht="12.0" customHeight="1">
      <c r="A173" s="175"/>
      <c r="B173" s="175"/>
      <c r="C173" s="597"/>
      <c r="D173" s="597"/>
      <c r="E173" s="597"/>
      <c r="F173" s="597"/>
      <c r="G173" s="597"/>
      <c r="H173" s="597"/>
      <c r="I173" s="175"/>
      <c r="J173" s="175"/>
      <c r="K173" s="597"/>
      <c r="L173" s="597"/>
      <c r="M173" s="175"/>
      <c r="N173" s="175"/>
      <c r="O173" s="805"/>
      <c r="P173" s="175"/>
      <c r="Q173" s="175"/>
      <c r="R173" s="175"/>
      <c r="S173" s="175"/>
      <c r="T173" s="597"/>
      <c r="U173" s="597"/>
      <c r="V173" s="597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</row>
    <row r="174" ht="12.0" customHeight="1">
      <c r="A174" s="175"/>
      <c r="B174" s="175"/>
      <c r="C174" s="597"/>
      <c r="D174" s="597"/>
      <c r="E174" s="597"/>
      <c r="F174" s="597"/>
      <c r="G174" s="597"/>
      <c r="H174" s="597"/>
      <c r="I174" s="175"/>
      <c r="J174" s="175"/>
      <c r="K174" s="597"/>
      <c r="L174" s="597"/>
      <c r="M174" s="175"/>
      <c r="N174" s="175"/>
      <c r="O174" s="805"/>
      <c r="P174" s="175"/>
      <c r="Q174" s="175"/>
      <c r="R174" s="175"/>
      <c r="S174" s="175"/>
      <c r="T174" s="597"/>
      <c r="U174" s="597"/>
      <c r="V174" s="597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</row>
    <row r="175" ht="12.0" customHeight="1">
      <c r="A175" s="175"/>
      <c r="B175" s="175"/>
      <c r="C175" s="597"/>
      <c r="D175" s="597"/>
      <c r="E175" s="597"/>
      <c r="F175" s="597"/>
      <c r="G175" s="597"/>
      <c r="H175" s="597"/>
      <c r="I175" s="175"/>
      <c r="J175" s="175"/>
      <c r="K175" s="597"/>
      <c r="L175" s="597"/>
      <c r="M175" s="175"/>
      <c r="N175" s="175"/>
      <c r="O175" s="805"/>
      <c r="P175" s="175"/>
      <c r="Q175" s="175"/>
      <c r="R175" s="175"/>
      <c r="S175" s="175"/>
      <c r="T175" s="597"/>
      <c r="U175" s="597"/>
      <c r="V175" s="597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</row>
    <row r="176" ht="12.0" customHeight="1">
      <c r="A176" s="175"/>
      <c r="B176" s="175"/>
      <c r="C176" s="597"/>
      <c r="D176" s="597"/>
      <c r="E176" s="597"/>
      <c r="F176" s="597"/>
      <c r="G176" s="597"/>
      <c r="H176" s="597"/>
      <c r="I176" s="175"/>
      <c r="J176" s="175"/>
      <c r="K176" s="597"/>
      <c r="L176" s="597"/>
      <c r="M176" s="175"/>
      <c r="N176" s="175"/>
      <c r="O176" s="805"/>
      <c r="P176" s="175"/>
      <c r="Q176" s="175"/>
      <c r="R176" s="175"/>
      <c r="S176" s="175"/>
      <c r="T176" s="597"/>
      <c r="U176" s="597"/>
      <c r="V176" s="597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</row>
    <row r="177" ht="12.0" customHeight="1">
      <c r="A177" s="175"/>
      <c r="B177" s="175"/>
      <c r="C177" s="597"/>
      <c r="D177" s="597"/>
      <c r="E177" s="597"/>
      <c r="F177" s="597"/>
      <c r="G177" s="597"/>
      <c r="H177" s="597"/>
      <c r="I177" s="175"/>
      <c r="J177" s="175"/>
      <c r="K177" s="597"/>
      <c r="L177" s="597"/>
      <c r="M177" s="175"/>
      <c r="N177" s="175"/>
      <c r="O177" s="805"/>
      <c r="P177" s="175"/>
      <c r="Q177" s="175"/>
      <c r="R177" s="175"/>
      <c r="S177" s="175"/>
      <c r="T177" s="597"/>
      <c r="U177" s="597"/>
      <c r="V177" s="597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</row>
    <row r="178" ht="12.0" customHeight="1">
      <c r="A178" s="175"/>
      <c r="B178" s="175"/>
      <c r="C178" s="597"/>
      <c r="D178" s="597"/>
      <c r="E178" s="597"/>
      <c r="F178" s="597"/>
      <c r="G178" s="597"/>
      <c r="H178" s="597"/>
      <c r="I178" s="175"/>
      <c r="J178" s="175"/>
      <c r="K178" s="597"/>
      <c r="L178" s="597"/>
      <c r="M178" s="175"/>
      <c r="N178" s="175"/>
      <c r="O178" s="805"/>
      <c r="P178" s="175"/>
      <c r="Q178" s="175"/>
      <c r="R178" s="175"/>
      <c r="S178" s="175"/>
      <c r="T178" s="597"/>
      <c r="U178" s="597"/>
      <c r="V178" s="597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</row>
    <row r="179" ht="12.0" customHeight="1">
      <c r="A179" s="175"/>
      <c r="B179" s="175"/>
      <c r="C179" s="597"/>
      <c r="D179" s="597"/>
      <c r="E179" s="597"/>
      <c r="F179" s="597"/>
      <c r="G179" s="597"/>
      <c r="H179" s="597"/>
      <c r="I179" s="175"/>
      <c r="J179" s="175"/>
      <c r="K179" s="597"/>
      <c r="L179" s="597"/>
      <c r="M179" s="175"/>
      <c r="N179" s="175"/>
      <c r="O179" s="805"/>
      <c r="P179" s="175"/>
      <c r="Q179" s="175"/>
      <c r="R179" s="175"/>
      <c r="S179" s="175"/>
      <c r="T179" s="597"/>
      <c r="U179" s="597"/>
      <c r="V179" s="597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</row>
    <row r="180" ht="12.0" customHeight="1">
      <c r="A180" s="175"/>
      <c r="B180" s="175"/>
      <c r="C180" s="597"/>
      <c r="D180" s="597"/>
      <c r="E180" s="597"/>
      <c r="F180" s="597"/>
      <c r="G180" s="597"/>
      <c r="H180" s="597"/>
      <c r="I180" s="175"/>
      <c r="J180" s="175"/>
      <c r="K180" s="597"/>
      <c r="L180" s="597"/>
      <c r="M180" s="175"/>
      <c r="N180" s="175"/>
      <c r="O180" s="805"/>
      <c r="P180" s="175"/>
      <c r="Q180" s="175"/>
      <c r="R180" s="175"/>
      <c r="S180" s="175"/>
      <c r="T180" s="597"/>
      <c r="U180" s="597"/>
      <c r="V180" s="597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</row>
    <row r="181" ht="12.0" customHeight="1">
      <c r="A181" s="175"/>
      <c r="B181" s="175"/>
      <c r="C181" s="597"/>
      <c r="D181" s="597"/>
      <c r="E181" s="597"/>
      <c r="F181" s="597"/>
      <c r="G181" s="597"/>
      <c r="H181" s="597"/>
      <c r="I181" s="175"/>
      <c r="J181" s="175"/>
      <c r="K181" s="597"/>
      <c r="L181" s="597"/>
      <c r="M181" s="175"/>
      <c r="N181" s="175"/>
      <c r="O181" s="805"/>
      <c r="P181" s="175"/>
      <c r="Q181" s="175"/>
      <c r="R181" s="175"/>
      <c r="S181" s="175"/>
      <c r="T181" s="597"/>
      <c r="U181" s="597"/>
      <c r="V181" s="597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</row>
    <row r="182" ht="12.0" customHeight="1">
      <c r="A182" s="175"/>
      <c r="B182" s="175"/>
      <c r="C182" s="597"/>
      <c r="D182" s="597"/>
      <c r="E182" s="597"/>
      <c r="F182" s="597"/>
      <c r="G182" s="597"/>
      <c r="H182" s="597"/>
      <c r="I182" s="175"/>
      <c r="J182" s="175"/>
      <c r="K182" s="597"/>
      <c r="L182" s="597"/>
      <c r="M182" s="175"/>
      <c r="N182" s="175"/>
      <c r="O182" s="805"/>
      <c r="P182" s="175"/>
      <c r="Q182" s="175"/>
      <c r="R182" s="175"/>
      <c r="S182" s="175"/>
      <c r="T182" s="597"/>
      <c r="U182" s="597"/>
      <c r="V182" s="597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</row>
    <row r="183" ht="12.0" customHeight="1">
      <c r="A183" s="175"/>
      <c r="B183" s="175"/>
      <c r="C183" s="597"/>
      <c r="D183" s="597"/>
      <c r="E183" s="597"/>
      <c r="F183" s="597"/>
      <c r="G183" s="597"/>
      <c r="H183" s="597"/>
      <c r="I183" s="175"/>
      <c r="J183" s="175"/>
      <c r="K183" s="597"/>
      <c r="L183" s="597"/>
      <c r="M183" s="175"/>
      <c r="N183" s="175"/>
      <c r="O183" s="805"/>
      <c r="P183" s="175"/>
      <c r="Q183" s="175"/>
      <c r="R183" s="175"/>
      <c r="S183" s="175"/>
      <c r="T183" s="597"/>
      <c r="U183" s="597"/>
      <c r="V183" s="597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</row>
    <row r="184" ht="12.0" customHeight="1">
      <c r="A184" s="175"/>
      <c r="B184" s="175"/>
      <c r="C184" s="597"/>
      <c r="D184" s="597"/>
      <c r="E184" s="597"/>
      <c r="F184" s="597"/>
      <c r="G184" s="597"/>
      <c r="H184" s="597"/>
      <c r="I184" s="175"/>
      <c r="J184" s="175"/>
      <c r="K184" s="597"/>
      <c r="L184" s="597"/>
      <c r="M184" s="175"/>
      <c r="N184" s="175"/>
      <c r="O184" s="805"/>
      <c r="P184" s="175"/>
      <c r="Q184" s="175"/>
      <c r="R184" s="175"/>
      <c r="S184" s="175"/>
      <c r="T184" s="597"/>
      <c r="U184" s="597"/>
      <c r="V184" s="597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</row>
    <row r="185" ht="12.0" customHeight="1">
      <c r="A185" s="175"/>
      <c r="B185" s="175"/>
      <c r="C185" s="597"/>
      <c r="D185" s="597"/>
      <c r="E185" s="597"/>
      <c r="F185" s="597"/>
      <c r="G185" s="597"/>
      <c r="H185" s="597"/>
      <c r="I185" s="175"/>
      <c r="J185" s="175"/>
      <c r="K185" s="597"/>
      <c r="L185" s="597"/>
      <c r="M185" s="175"/>
      <c r="N185" s="175"/>
      <c r="O185" s="805"/>
      <c r="P185" s="175"/>
      <c r="Q185" s="175"/>
      <c r="R185" s="175"/>
      <c r="S185" s="175"/>
      <c r="T185" s="597"/>
      <c r="U185" s="597"/>
      <c r="V185" s="597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</row>
    <row r="186" ht="12.0" customHeight="1">
      <c r="A186" s="175"/>
      <c r="B186" s="175"/>
      <c r="C186" s="597"/>
      <c r="D186" s="597"/>
      <c r="E186" s="597"/>
      <c r="F186" s="597"/>
      <c r="G186" s="597"/>
      <c r="H186" s="597"/>
      <c r="I186" s="175"/>
      <c r="J186" s="175"/>
      <c r="K186" s="597"/>
      <c r="L186" s="597"/>
      <c r="M186" s="175"/>
      <c r="N186" s="175"/>
      <c r="O186" s="805"/>
      <c r="P186" s="175"/>
      <c r="Q186" s="175"/>
      <c r="R186" s="175"/>
      <c r="S186" s="175"/>
      <c r="T186" s="597"/>
      <c r="U186" s="597"/>
      <c r="V186" s="597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</row>
    <row r="187" ht="12.0" customHeight="1">
      <c r="A187" s="175"/>
      <c r="B187" s="175"/>
      <c r="C187" s="597"/>
      <c r="D187" s="597"/>
      <c r="E187" s="597"/>
      <c r="F187" s="597"/>
      <c r="G187" s="597"/>
      <c r="H187" s="597"/>
      <c r="I187" s="175"/>
      <c r="J187" s="175"/>
      <c r="K187" s="597"/>
      <c r="L187" s="597"/>
      <c r="M187" s="175"/>
      <c r="N187" s="175"/>
      <c r="O187" s="805"/>
      <c r="P187" s="175"/>
      <c r="Q187" s="175"/>
      <c r="R187" s="175"/>
      <c r="S187" s="175"/>
      <c r="T187" s="597"/>
      <c r="U187" s="597"/>
      <c r="V187" s="597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</row>
    <row r="188" ht="12.0" customHeight="1">
      <c r="A188" s="175"/>
      <c r="B188" s="175"/>
      <c r="C188" s="597"/>
      <c r="D188" s="597"/>
      <c r="E188" s="597"/>
      <c r="F188" s="597"/>
      <c r="G188" s="597"/>
      <c r="H188" s="597"/>
      <c r="I188" s="175"/>
      <c r="J188" s="175"/>
      <c r="K188" s="597"/>
      <c r="L188" s="597"/>
      <c r="M188" s="175"/>
      <c r="N188" s="175"/>
      <c r="O188" s="805"/>
      <c r="P188" s="175"/>
      <c r="Q188" s="175"/>
      <c r="R188" s="175"/>
      <c r="S188" s="175"/>
      <c r="T188" s="597"/>
      <c r="U188" s="597"/>
      <c r="V188" s="597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</row>
    <row r="189" ht="12.0" customHeight="1">
      <c r="A189" s="175"/>
      <c r="B189" s="175"/>
      <c r="C189" s="597"/>
      <c r="D189" s="597"/>
      <c r="E189" s="597"/>
      <c r="F189" s="597"/>
      <c r="G189" s="597"/>
      <c r="H189" s="597"/>
      <c r="I189" s="175"/>
      <c r="J189" s="175"/>
      <c r="K189" s="597"/>
      <c r="L189" s="597"/>
      <c r="M189" s="175"/>
      <c r="N189" s="175"/>
      <c r="O189" s="805"/>
      <c r="P189" s="175"/>
      <c r="Q189" s="175"/>
      <c r="R189" s="175"/>
      <c r="S189" s="175"/>
      <c r="T189" s="597"/>
      <c r="U189" s="597"/>
      <c r="V189" s="597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</row>
    <row r="190" ht="12.0" customHeight="1">
      <c r="A190" s="175"/>
      <c r="B190" s="175"/>
      <c r="C190" s="597"/>
      <c r="D190" s="597"/>
      <c r="E190" s="597"/>
      <c r="F190" s="597"/>
      <c r="G190" s="597"/>
      <c r="H190" s="597"/>
      <c r="I190" s="175"/>
      <c r="J190" s="175"/>
      <c r="K190" s="597"/>
      <c r="L190" s="597"/>
      <c r="M190" s="175"/>
      <c r="N190" s="175"/>
      <c r="O190" s="805"/>
      <c r="P190" s="175"/>
      <c r="Q190" s="175"/>
      <c r="R190" s="175"/>
      <c r="S190" s="175"/>
      <c r="T190" s="597"/>
      <c r="U190" s="597"/>
      <c r="V190" s="597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</row>
    <row r="191" ht="12.0" customHeight="1">
      <c r="A191" s="175"/>
      <c r="B191" s="175"/>
      <c r="C191" s="597"/>
      <c r="D191" s="597"/>
      <c r="E191" s="597"/>
      <c r="F191" s="597"/>
      <c r="G191" s="597"/>
      <c r="H191" s="597"/>
      <c r="I191" s="175"/>
      <c r="J191" s="175"/>
      <c r="K191" s="597"/>
      <c r="L191" s="597"/>
      <c r="M191" s="175"/>
      <c r="N191" s="175"/>
      <c r="O191" s="805"/>
      <c r="P191" s="175"/>
      <c r="Q191" s="175"/>
      <c r="R191" s="175"/>
      <c r="S191" s="175"/>
      <c r="T191" s="597"/>
      <c r="U191" s="597"/>
      <c r="V191" s="597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</row>
    <row r="192" ht="12.0" customHeight="1">
      <c r="A192" s="175"/>
      <c r="B192" s="175"/>
      <c r="C192" s="597"/>
      <c r="D192" s="597"/>
      <c r="E192" s="597"/>
      <c r="F192" s="597"/>
      <c r="G192" s="597"/>
      <c r="H192" s="597"/>
      <c r="I192" s="175"/>
      <c r="J192" s="175"/>
      <c r="K192" s="597"/>
      <c r="L192" s="597"/>
      <c r="M192" s="175"/>
      <c r="N192" s="175"/>
      <c r="O192" s="805"/>
      <c r="P192" s="175"/>
      <c r="Q192" s="175"/>
      <c r="R192" s="175"/>
      <c r="S192" s="175"/>
      <c r="T192" s="597"/>
      <c r="U192" s="597"/>
      <c r="V192" s="597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</row>
    <row r="193" ht="12.0" customHeight="1">
      <c r="A193" s="175"/>
      <c r="B193" s="175"/>
      <c r="C193" s="597"/>
      <c r="D193" s="597"/>
      <c r="E193" s="597"/>
      <c r="F193" s="597"/>
      <c r="G193" s="597"/>
      <c r="H193" s="597"/>
      <c r="I193" s="175"/>
      <c r="J193" s="175"/>
      <c r="K193" s="597"/>
      <c r="L193" s="597"/>
      <c r="M193" s="175"/>
      <c r="N193" s="175"/>
      <c r="O193" s="805"/>
      <c r="P193" s="175"/>
      <c r="Q193" s="175"/>
      <c r="R193" s="175"/>
      <c r="S193" s="175"/>
      <c r="T193" s="597"/>
      <c r="U193" s="597"/>
      <c r="V193" s="597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</row>
    <row r="194" ht="12.0" customHeight="1">
      <c r="A194" s="175"/>
      <c r="B194" s="175"/>
      <c r="C194" s="597"/>
      <c r="D194" s="597"/>
      <c r="E194" s="597"/>
      <c r="F194" s="597"/>
      <c r="G194" s="597"/>
      <c r="H194" s="597"/>
      <c r="I194" s="175"/>
      <c r="J194" s="175"/>
      <c r="K194" s="597"/>
      <c r="L194" s="597"/>
      <c r="M194" s="175"/>
      <c r="N194" s="175"/>
      <c r="O194" s="805"/>
      <c r="P194" s="175"/>
      <c r="Q194" s="175"/>
      <c r="R194" s="175"/>
      <c r="S194" s="175"/>
      <c r="T194" s="597"/>
      <c r="U194" s="597"/>
      <c r="V194" s="597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</row>
    <row r="195" ht="12.0" customHeight="1">
      <c r="A195" s="175"/>
      <c r="B195" s="175"/>
      <c r="C195" s="597"/>
      <c r="D195" s="597"/>
      <c r="E195" s="597"/>
      <c r="F195" s="597"/>
      <c r="G195" s="597"/>
      <c r="H195" s="597"/>
      <c r="I195" s="175"/>
      <c r="J195" s="175"/>
      <c r="K195" s="597"/>
      <c r="L195" s="597"/>
      <c r="M195" s="175"/>
      <c r="N195" s="175"/>
      <c r="O195" s="805"/>
      <c r="P195" s="175"/>
      <c r="Q195" s="175"/>
      <c r="R195" s="175"/>
      <c r="S195" s="175"/>
      <c r="T195" s="597"/>
      <c r="U195" s="597"/>
      <c r="V195" s="597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</row>
    <row r="196" ht="12.0" customHeight="1">
      <c r="A196" s="175"/>
      <c r="B196" s="175"/>
      <c r="C196" s="597"/>
      <c r="D196" s="597"/>
      <c r="E196" s="597"/>
      <c r="F196" s="597"/>
      <c r="G196" s="597"/>
      <c r="H196" s="597"/>
      <c r="I196" s="175"/>
      <c r="J196" s="175"/>
      <c r="K196" s="597"/>
      <c r="L196" s="597"/>
      <c r="M196" s="175"/>
      <c r="N196" s="175"/>
      <c r="O196" s="805"/>
      <c r="P196" s="175"/>
      <c r="Q196" s="175"/>
      <c r="R196" s="175"/>
      <c r="S196" s="175"/>
      <c r="T196" s="597"/>
      <c r="U196" s="597"/>
      <c r="V196" s="597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</row>
    <row r="197" ht="12.0" customHeight="1">
      <c r="A197" s="175"/>
      <c r="B197" s="175"/>
      <c r="C197" s="597"/>
      <c r="D197" s="597"/>
      <c r="E197" s="597"/>
      <c r="F197" s="597"/>
      <c r="G197" s="597"/>
      <c r="H197" s="597"/>
      <c r="I197" s="175"/>
      <c r="J197" s="175"/>
      <c r="K197" s="597"/>
      <c r="L197" s="597"/>
      <c r="M197" s="175"/>
      <c r="N197" s="175"/>
      <c r="O197" s="805"/>
      <c r="P197" s="175"/>
      <c r="Q197" s="175"/>
      <c r="R197" s="175"/>
      <c r="S197" s="175"/>
      <c r="T197" s="597"/>
      <c r="U197" s="597"/>
      <c r="V197" s="597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</row>
    <row r="198" ht="12.0" customHeight="1">
      <c r="A198" s="175"/>
      <c r="B198" s="175"/>
      <c r="C198" s="597"/>
      <c r="D198" s="597"/>
      <c r="E198" s="597"/>
      <c r="F198" s="597"/>
      <c r="G198" s="597"/>
      <c r="H198" s="597"/>
      <c r="I198" s="175"/>
      <c r="J198" s="175"/>
      <c r="K198" s="597"/>
      <c r="L198" s="597"/>
      <c r="M198" s="175"/>
      <c r="N198" s="175"/>
      <c r="O198" s="805"/>
      <c r="P198" s="175"/>
      <c r="Q198" s="175"/>
      <c r="R198" s="175"/>
      <c r="S198" s="175"/>
      <c r="T198" s="597"/>
      <c r="U198" s="597"/>
      <c r="V198" s="597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</row>
    <row r="199" ht="12.0" customHeight="1">
      <c r="A199" s="175"/>
      <c r="B199" s="175"/>
      <c r="C199" s="597"/>
      <c r="D199" s="597"/>
      <c r="E199" s="597"/>
      <c r="F199" s="597"/>
      <c r="G199" s="597"/>
      <c r="H199" s="597"/>
      <c r="I199" s="175"/>
      <c r="J199" s="175"/>
      <c r="K199" s="597"/>
      <c r="L199" s="597"/>
      <c r="M199" s="175"/>
      <c r="N199" s="175"/>
      <c r="O199" s="805"/>
      <c r="P199" s="175"/>
      <c r="Q199" s="175"/>
      <c r="R199" s="175"/>
      <c r="S199" s="175"/>
      <c r="T199" s="597"/>
      <c r="U199" s="597"/>
      <c r="V199" s="597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</row>
    <row r="200" ht="12.0" customHeight="1">
      <c r="A200" s="175"/>
      <c r="B200" s="175"/>
      <c r="C200" s="597"/>
      <c r="D200" s="597"/>
      <c r="E200" s="597"/>
      <c r="F200" s="597"/>
      <c r="G200" s="597"/>
      <c r="H200" s="597"/>
      <c r="I200" s="175"/>
      <c r="J200" s="175"/>
      <c r="K200" s="597"/>
      <c r="L200" s="597"/>
      <c r="M200" s="175"/>
      <c r="N200" s="175"/>
      <c r="O200" s="805"/>
      <c r="P200" s="175"/>
      <c r="Q200" s="175"/>
      <c r="R200" s="175"/>
      <c r="S200" s="175"/>
      <c r="T200" s="597"/>
      <c r="U200" s="597"/>
      <c r="V200" s="597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</row>
    <row r="201" ht="12.0" customHeight="1">
      <c r="A201" s="175"/>
      <c r="B201" s="175"/>
      <c r="C201" s="597"/>
      <c r="D201" s="597"/>
      <c r="E201" s="597"/>
      <c r="F201" s="597"/>
      <c r="G201" s="597"/>
      <c r="H201" s="597"/>
      <c r="I201" s="175"/>
      <c r="J201" s="175"/>
      <c r="K201" s="597"/>
      <c r="L201" s="597"/>
      <c r="M201" s="175"/>
      <c r="N201" s="175"/>
      <c r="O201" s="805"/>
      <c r="P201" s="175"/>
      <c r="Q201" s="175"/>
      <c r="R201" s="175"/>
      <c r="S201" s="175"/>
      <c r="T201" s="597"/>
      <c r="U201" s="597"/>
      <c r="V201" s="597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</row>
    <row r="202" ht="12.0" customHeight="1">
      <c r="A202" s="175"/>
      <c r="B202" s="175"/>
      <c r="C202" s="597"/>
      <c r="D202" s="597"/>
      <c r="E202" s="597"/>
      <c r="F202" s="597"/>
      <c r="G202" s="597"/>
      <c r="H202" s="597"/>
      <c r="I202" s="175"/>
      <c r="J202" s="175"/>
      <c r="K202" s="597"/>
      <c r="L202" s="597"/>
      <c r="M202" s="175"/>
      <c r="N202" s="175"/>
      <c r="O202" s="805"/>
      <c r="P202" s="175"/>
      <c r="Q202" s="175"/>
      <c r="R202" s="175"/>
      <c r="S202" s="175"/>
      <c r="T202" s="597"/>
      <c r="U202" s="597"/>
      <c r="V202" s="597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</row>
    <row r="203" ht="12.0" customHeight="1">
      <c r="A203" s="175"/>
      <c r="B203" s="175"/>
      <c r="C203" s="597"/>
      <c r="D203" s="597"/>
      <c r="E203" s="597"/>
      <c r="F203" s="597"/>
      <c r="G203" s="597"/>
      <c r="H203" s="597"/>
      <c r="I203" s="175"/>
      <c r="J203" s="175"/>
      <c r="K203" s="597"/>
      <c r="L203" s="597"/>
      <c r="M203" s="175"/>
      <c r="N203" s="175"/>
      <c r="O203" s="805"/>
      <c r="P203" s="175"/>
      <c r="Q203" s="175"/>
      <c r="R203" s="175"/>
      <c r="S203" s="175"/>
      <c r="T203" s="597"/>
      <c r="U203" s="597"/>
      <c r="V203" s="597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</row>
    <row r="204" ht="12.0" customHeight="1">
      <c r="A204" s="175"/>
      <c r="B204" s="175"/>
      <c r="C204" s="597"/>
      <c r="D204" s="597"/>
      <c r="E204" s="597"/>
      <c r="F204" s="597"/>
      <c r="G204" s="597"/>
      <c r="H204" s="597"/>
      <c r="I204" s="175"/>
      <c r="J204" s="175"/>
      <c r="K204" s="597"/>
      <c r="L204" s="597"/>
      <c r="M204" s="175"/>
      <c r="N204" s="175"/>
      <c r="O204" s="805"/>
      <c r="P204" s="175"/>
      <c r="Q204" s="175"/>
      <c r="R204" s="175"/>
      <c r="S204" s="175"/>
      <c r="T204" s="597"/>
      <c r="U204" s="597"/>
      <c r="V204" s="597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</row>
    <row r="205" ht="12.0" customHeight="1">
      <c r="A205" s="175"/>
      <c r="B205" s="175"/>
      <c r="C205" s="597"/>
      <c r="D205" s="597"/>
      <c r="E205" s="597"/>
      <c r="F205" s="597"/>
      <c r="G205" s="597"/>
      <c r="H205" s="597"/>
      <c r="I205" s="175"/>
      <c r="J205" s="175"/>
      <c r="K205" s="597"/>
      <c r="L205" s="597"/>
      <c r="M205" s="175"/>
      <c r="N205" s="175"/>
      <c r="O205" s="805"/>
      <c r="P205" s="175"/>
      <c r="Q205" s="175"/>
      <c r="R205" s="175"/>
      <c r="S205" s="175"/>
      <c r="T205" s="597"/>
      <c r="U205" s="597"/>
      <c r="V205" s="597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</row>
    <row r="206" ht="12.0" customHeight="1">
      <c r="A206" s="175"/>
      <c r="B206" s="175"/>
      <c r="C206" s="597"/>
      <c r="D206" s="597"/>
      <c r="E206" s="597"/>
      <c r="F206" s="597"/>
      <c r="G206" s="597"/>
      <c r="H206" s="597"/>
      <c r="I206" s="175"/>
      <c r="J206" s="175"/>
      <c r="K206" s="597"/>
      <c r="L206" s="597"/>
      <c r="M206" s="175"/>
      <c r="N206" s="175"/>
      <c r="O206" s="805"/>
      <c r="P206" s="175"/>
      <c r="Q206" s="175"/>
      <c r="R206" s="175"/>
      <c r="S206" s="175"/>
      <c r="T206" s="597"/>
      <c r="U206" s="597"/>
      <c r="V206" s="597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</row>
    <row r="207" ht="12.0" customHeight="1">
      <c r="A207" s="175"/>
      <c r="B207" s="175"/>
      <c r="C207" s="597"/>
      <c r="D207" s="597"/>
      <c r="E207" s="597"/>
      <c r="F207" s="597"/>
      <c r="G207" s="597"/>
      <c r="H207" s="597"/>
      <c r="I207" s="175"/>
      <c r="J207" s="175"/>
      <c r="K207" s="597"/>
      <c r="L207" s="597"/>
      <c r="M207" s="175"/>
      <c r="N207" s="175"/>
      <c r="O207" s="805"/>
      <c r="P207" s="175"/>
      <c r="Q207" s="175"/>
      <c r="R207" s="175"/>
      <c r="S207" s="175"/>
      <c r="T207" s="597"/>
      <c r="U207" s="597"/>
      <c r="V207" s="597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</row>
    <row r="208" ht="12.0" customHeight="1">
      <c r="A208" s="175"/>
      <c r="B208" s="175"/>
      <c r="C208" s="597"/>
      <c r="D208" s="597"/>
      <c r="E208" s="597"/>
      <c r="F208" s="597"/>
      <c r="G208" s="597"/>
      <c r="H208" s="597"/>
      <c r="I208" s="175"/>
      <c r="J208" s="175"/>
      <c r="K208" s="597"/>
      <c r="L208" s="597"/>
      <c r="M208" s="175"/>
      <c r="N208" s="175"/>
      <c r="O208" s="805"/>
      <c r="P208" s="175"/>
      <c r="Q208" s="175"/>
      <c r="R208" s="175"/>
      <c r="S208" s="175"/>
      <c r="T208" s="597"/>
      <c r="U208" s="597"/>
      <c r="V208" s="597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</row>
    <row r="209" ht="12.0" customHeight="1">
      <c r="A209" s="175"/>
      <c r="B209" s="175"/>
      <c r="C209" s="597"/>
      <c r="D209" s="597"/>
      <c r="E209" s="597"/>
      <c r="F209" s="597"/>
      <c r="G209" s="597"/>
      <c r="H209" s="597"/>
      <c r="I209" s="175"/>
      <c r="J209" s="175"/>
      <c r="K209" s="597"/>
      <c r="L209" s="597"/>
      <c r="M209" s="175"/>
      <c r="N209" s="175"/>
      <c r="O209" s="805"/>
      <c r="P209" s="175"/>
      <c r="Q209" s="175"/>
      <c r="R209" s="175"/>
      <c r="S209" s="175"/>
      <c r="T209" s="597"/>
      <c r="U209" s="597"/>
      <c r="V209" s="597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</row>
    <row r="210" ht="12.0" customHeight="1">
      <c r="A210" s="175"/>
      <c r="B210" s="175"/>
      <c r="C210" s="597"/>
      <c r="D210" s="597"/>
      <c r="E210" s="597"/>
      <c r="F210" s="597"/>
      <c r="G210" s="597"/>
      <c r="H210" s="597"/>
      <c r="I210" s="175"/>
      <c r="J210" s="175"/>
      <c r="K210" s="597"/>
      <c r="L210" s="597"/>
      <c r="M210" s="175"/>
      <c r="N210" s="175"/>
      <c r="O210" s="805"/>
      <c r="P210" s="175"/>
      <c r="Q210" s="175"/>
      <c r="R210" s="175"/>
      <c r="S210" s="175"/>
      <c r="T210" s="597"/>
      <c r="U210" s="597"/>
      <c r="V210" s="597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</row>
    <row r="211" ht="12.0" customHeight="1">
      <c r="A211" s="175"/>
      <c r="B211" s="175"/>
      <c r="C211" s="597"/>
      <c r="D211" s="597"/>
      <c r="E211" s="597"/>
      <c r="F211" s="597"/>
      <c r="G211" s="597"/>
      <c r="H211" s="597"/>
      <c r="I211" s="175"/>
      <c r="J211" s="175"/>
      <c r="K211" s="597"/>
      <c r="L211" s="597"/>
      <c r="M211" s="175"/>
      <c r="N211" s="175"/>
      <c r="O211" s="805"/>
      <c r="P211" s="175"/>
      <c r="Q211" s="175"/>
      <c r="R211" s="175"/>
      <c r="S211" s="175"/>
      <c r="T211" s="597"/>
      <c r="U211" s="597"/>
      <c r="V211" s="597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</row>
    <row r="212" ht="12.0" customHeight="1">
      <c r="A212" s="175"/>
      <c r="B212" s="175"/>
      <c r="C212" s="597"/>
      <c r="D212" s="597"/>
      <c r="E212" s="597"/>
      <c r="F212" s="597"/>
      <c r="G212" s="597"/>
      <c r="H212" s="597"/>
      <c r="I212" s="175"/>
      <c r="J212" s="175"/>
      <c r="K212" s="597"/>
      <c r="L212" s="597"/>
      <c r="M212" s="175"/>
      <c r="N212" s="175"/>
      <c r="O212" s="805"/>
      <c r="P212" s="175"/>
      <c r="Q212" s="175"/>
      <c r="R212" s="175"/>
      <c r="S212" s="175"/>
      <c r="T212" s="597"/>
      <c r="U212" s="597"/>
      <c r="V212" s="597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</row>
    <row r="213" ht="12.0" customHeight="1">
      <c r="A213" s="175"/>
      <c r="B213" s="175"/>
      <c r="C213" s="597"/>
      <c r="D213" s="597"/>
      <c r="E213" s="597"/>
      <c r="F213" s="597"/>
      <c r="G213" s="597"/>
      <c r="H213" s="597"/>
      <c r="I213" s="175"/>
      <c r="J213" s="175"/>
      <c r="K213" s="597"/>
      <c r="L213" s="597"/>
      <c r="M213" s="175"/>
      <c r="N213" s="175"/>
      <c r="O213" s="805"/>
      <c r="P213" s="175"/>
      <c r="Q213" s="175"/>
      <c r="R213" s="175"/>
      <c r="S213" s="175"/>
      <c r="T213" s="597"/>
      <c r="U213" s="597"/>
      <c r="V213" s="597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</row>
    <row r="214" ht="12.0" customHeight="1">
      <c r="A214" s="175"/>
      <c r="B214" s="175"/>
      <c r="C214" s="597"/>
      <c r="D214" s="597"/>
      <c r="E214" s="597"/>
      <c r="F214" s="597"/>
      <c r="G214" s="597"/>
      <c r="H214" s="597"/>
      <c r="I214" s="175"/>
      <c r="J214" s="175"/>
      <c r="K214" s="597"/>
      <c r="L214" s="597"/>
      <c r="M214" s="175"/>
      <c r="N214" s="175"/>
      <c r="O214" s="805"/>
      <c r="P214" s="175"/>
      <c r="Q214" s="175"/>
      <c r="R214" s="175"/>
      <c r="S214" s="175"/>
      <c r="T214" s="597"/>
      <c r="U214" s="597"/>
      <c r="V214" s="597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</row>
    <row r="215" ht="12.0" customHeight="1">
      <c r="A215" s="175"/>
      <c r="B215" s="175"/>
      <c r="C215" s="597"/>
      <c r="D215" s="597"/>
      <c r="E215" s="597"/>
      <c r="F215" s="597"/>
      <c r="G215" s="597"/>
      <c r="H215" s="597"/>
      <c r="I215" s="175"/>
      <c r="J215" s="175"/>
      <c r="K215" s="597"/>
      <c r="L215" s="597"/>
      <c r="M215" s="175"/>
      <c r="N215" s="175"/>
      <c r="O215" s="805"/>
      <c r="P215" s="175"/>
      <c r="Q215" s="175"/>
      <c r="R215" s="175"/>
      <c r="S215" s="175"/>
      <c r="T215" s="597"/>
      <c r="U215" s="597"/>
      <c r="V215" s="597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</row>
    <row r="216" ht="12.0" customHeight="1">
      <c r="A216" s="175"/>
      <c r="B216" s="175"/>
      <c r="C216" s="597"/>
      <c r="D216" s="597"/>
      <c r="E216" s="597"/>
      <c r="F216" s="597"/>
      <c r="G216" s="597"/>
      <c r="H216" s="597"/>
      <c r="I216" s="175"/>
      <c r="J216" s="175"/>
      <c r="K216" s="597"/>
      <c r="L216" s="597"/>
      <c r="M216" s="175"/>
      <c r="N216" s="175"/>
      <c r="O216" s="805"/>
      <c r="P216" s="175"/>
      <c r="Q216" s="175"/>
      <c r="R216" s="175"/>
      <c r="S216" s="175"/>
      <c r="T216" s="597"/>
      <c r="U216" s="597"/>
      <c r="V216" s="597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</row>
    <row r="217" ht="12.0" customHeight="1">
      <c r="A217" s="175"/>
      <c r="B217" s="175"/>
      <c r="C217" s="597"/>
      <c r="D217" s="597"/>
      <c r="E217" s="597"/>
      <c r="F217" s="597"/>
      <c r="G217" s="597"/>
      <c r="H217" s="597"/>
      <c r="I217" s="175"/>
      <c r="J217" s="175"/>
      <c r="K217" s="597"/>
      <c r="L217" s="597"/>
      <c r="M217" s="175"/>
      <c r="N217" s="175"/>
      <c r="O217" s="805"/>
      <c r="P217" s="175"/>
      <c r="Q217" s="175"/>
      <c r="R217" s="175"/>
      <c r="S217" s="175"/>
      <c r="T217" s="597"/>
      <c r="U217" s="597"/>
      <c r="V217" s="597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</row>
    <row r="218" ht="12.0" customHeight="1">
      <c r="A218" s="175"/>
      <c r="B218" s="175"/>
      <c r="C218" s="597"/>
      <c r="D218" s="597"/>
      <c r="E218" s="597"/>
      <c r="F218" s="597"/>
      <c r="G218" s="597"/>
      <c r="H218" s="597"/>
      <c r="I218" s="175"/>
      <c r="J218" s="175"/>
      <c r="K218" s="597"/>
      <c r="L218" s="597"/>
      <c r="M218" s="175"/>
      <c r="N218" s="175"/>
      <c r="O218" s="805"/>
      <c r="P218" s="175"/>
      <c r="Q218" s="175"/>
      <c r="R218" s="175"/>
      <c r="S218" s="175"/>
      <c r="T218" s="597"/>
      <c r="U218" s="597"/>
      <c r="V218" s="597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</row>
    <row r="219" ht="12.0" customHeight="1">
      <c r="A219" s="175"/>
      <c r="B219" s="175"/>
      <c r="C219" s="597"/>
      <c r="D219" s="597"/>
      <c r="E219" s="597"/>
      <c r="F219" s="597"/>
      <c r="G219" s="597"/>
      <c r="H219" s="597"/>
      <c r="I219" s="175"/>
      <c r="J219" s="175"/>
      <c r="K219" s="597"/>
      <c r="L219" s="597"/>
      <c r="M219" s="175"/>
      <c r="N219" s="175"/>
      <c r="O219" s="805"/>
      <c r="P219" s="175"/>
      <c r="Q219" s="175"/>
      <c r="R219" s="175"/>
      <c r="S219" s="175"/>
      <c r="T219" s="597"/>
      <c r="U219" s="597"/>
      <c r="V219" s="597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</row>
    <row r="220" ht="12.0" customHeight="1">
      <c r="A220" s="175"/>
      <c r="B220" s="175"/>
      <c r="C220" s="597"/>
      <c r="D220" s="597"/>
      <c r="E220" s="597"/>
      <c r="F220" s="597"/>
      <c r="G220" s="597"/>
      <c r="H220" s="597"/>
      <c r="I220" s="175"/>
      <c r="J220" s="175"/>
      <c r="K220" s="597"/>
      <c r="L220" s="597"/>
      <c r="M220" s="175"/>
      <c r="N220" s="175"/>
      <c r="O220" s="805"/>
      <c r="P220" s="175"/>
      <c r="Q220" s="175"/>
      <c r="R220" s="175"/>
      <c r="S220" s="175"/>
      <c r="T220" s="597"/>
      <c r="U220" s="597"/>
      <c r="V220" s="597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</row>
    <row r="221" ht="12.0" customHeight="1">
      <c r="A221" s="175"/>
      <c r="B221" s="175"/>
      <c r="C221" s="597"/>
      <c r="D221" s="597"/>
      <c r="E221" s="597"/>
      <c r="F221" s="597"/>
      <c r="G221" s="597"/>
      <c r="H221" s="597"/>
      <c r="I221" s="175"/>
      <c r="J221" s="175"/>
      <c r="K221" s="597"/>
      <c r="L221" s="597"/>
      <c r="M221" s="175"/>
      <c r="N221" s="175"/>
      <c r="O221" s="805"/>
      <c r="P221" s="175"/>
      <c r="Q221" s="175"/>
      <c r="R221" s="175"/>
      <c r="S221" s="175"/>
      <c r="T221" s="597"/>
      <c r="U221" s="597"/>
      <c r="V221" s="597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</row>
    <row r="222" ht="12.0" customHeight="1">
      <c r="A222" s="175"/>
      <c r="B222" s="175"/>
      <c r="C222" s="597"/>
      <c r="D222" s="597"/>
      <c r="E222" s="597"/>
      <c r="F222" s="597"/>
      <c r="G222" s="597"/>
      <c r="H222" s="597"/>
      <c r="I222" s="175"/>
      <c r="J222" s="175"/>
      <c r="K222" s="597"/>
      <c r="L222" s="597"/>
      <c r="M222" s="175"/>
      <c r="N222" s="175"/>
      <c r="O222" s="805"/>
      <c r="P222" s="175"/>
      <c r="Q222" s="175"/>
      <c r="R222" s="175"/>
      <c r="S222" s="175"/>
      <c r="T222" s="597"/>
      <c r="U222" s="597"/>
      <c r="V222" s="597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</row>
    <row r="223" ht="12.0" customHeight="1">
      <c r="A223" s="175"/>
      <c r="B223" s="175"/>
      <c r="C223" s="597"/>
      <c r="D223" s="597"/>
      <c r="E223" s="597"/>
      <c r="F223" s="597"/>
      <c r="G223" s="597"/>
      <c r="H223" s="597"/>
      <c r="I223" s="175"/>
      <c r="J223" s="175"/>
      <c r="K223" s="597"/>
      <c r="L223" s="597"/>
      <c r="M223" s="175"/>
      <c r="N223" s="175"/>
      <c r="O223" s="805"/>
      <c r="P223" s="175"/>
      <c r="Q223" s="175"/>
      <c r="R223" s="175"/>
      <c r="S223" s="175"/>
      <c r="T223" s="597"/>
      <c r="U223" s="597"/>
      <c r="V223" s="597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</row>
    <row r="224" ht="12.0" customHeight="1">
      <c r="A224" s="175"/>
      <c r="B224" s="175"/>
      <c r="C224" s="597"/>
      <c r="D224" s="597"/>
      <c r="E224" s="597"/>
      <c r="F224" s="597"/>
      <c r="G224" s="597"/>
      <c r="H224" s="597"/>
      <c r="I224" s="175"/>
      <c r="J224" s="175"/>
      <c r="K224" s="597"/>
      <c r="L224" s="597"/>
      <c r="M224" s="175"/>
      <c r="N224" s="175"/>
      <c r="O224" s="805"/>
      <c r="P224" s="175"/>
      <c r="Q224" s="175"/>
      <c r="R224" s="175"/>
      <c r="S224" s="175"/>
      <c r="T224" s="597"/>
      <c r="U224" s="597"/>
      <c r="V224" s="597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</row>
    <row r="225" ht="12.0" customHeight="1">
      <c r="A225" s="175"/>
      <c r="B225" s="175"/>
      <c r="C225" s="597"/>
      <c r="D225" s="597"/>
      <c r="E225" s="597"/>
      <c r="F225" s="597"/>
      <c r="G225" s="597"/>
      <c r="H225" s="597"/>
      <c r="I225" s="175"/>
      <c r="J225" s="175"/>
      <c r="K225" s="597"/>
      <c r="L225" s="597"/>
      <c r="M225" s="175"/>
      <c r="N225" s="175"/>
      <c r="O225" s="805"/>
      <c r="P225" s="175"/>
      <c r="Q225" s="175"/>
      <c r="R225" s="175"/>
      <c r="S225" s="175"/>
      <c r="T225" s="597"/>
      <c r="U225" s="597"/>
      <c r="V225" s="597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</row>
    <row r="226" ht="12.0" customHeight="1">
      <c r="A226" s="175"/>
      <c r="B226" s="175"/>
      <c r="C226" s="597"/>
      <c r="D226" s="597"/>
      <c r="E226" s="597"/>
      <c r="F226" s="597"/>
      <c r="G226" s="597"/>
      <c r="H226" s="597"/>
      <c r="I226" s="175"/>
      <c r="J226" s="175"/>
      <c r="K226" s="597"/>
      <c r="L226" s="597"/>
      <c r="M226" s="175"/>
      <c r="N226" s="175"/>
      <c r="O226" s="805"/>
      <c r="P226" s="175"/>
      <c r="Q226" s="175"/>
      <c r="R226" s="175"/>
      <c r="S226" s="175"/>
      <c r="T226" s="597"/>
      <c r="U226" s="597"/>
      <c r="V226" s="597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</row>
    <row r="227" ht="12.0" customHeight="1">
      <c r="A227" s="175"/>
      <c r="B227" s="175"/>
      <c r="C227" s="597"/>
      <c r="D227" s="597"/>
      <c r="E227" s="597"/>
      <c r="F227" s="597"/>
      <c r="G227" s="597"/>
      <c r="H227" s="597"/>
      <c r="I227" s="175"/>
      <c r="J227" s="175"/>
      <c r="K227" s="597"/>
      <c r="L227" s="597"/>
      <c r="M227" s="175"/>
      <c r="N227" s="175"/>
      <c r="O227" s="805"/>
      <c r="P227" s="175"/>
      <c r="Q227" s="175"/>
      <c r="R227" s="175"/>
      <c r="S227" s="175"/>
      <c r="T227" s="597"/>
      <c r="U227" s="597"/>
      <c r="V227" s="597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</row>
    <row r="228" ht="12.0" customHeight="1">
      <c r="A228" s="175"/>
      <c r="B228" s="175"/>
      <c r="C228" s="597"/>
      <c r="D228" s="597"/>
      <c r="E228" s="597"/>
      <c r="F228" s="597"/>
      <c r="G228" s="597"/>
      <c r="H228" s="597"/>
      <c r="I228" s="175"/>
      <c r="J228" s="175"/>
      <c r="K228" s="597"/>
      <c r="L228" s="597"/>
      <c r="M228" s="175"/>
      <c r="N228" s="175"/>
      <c r="O228" s="805"/>
      <c r="P228" s="175"/>
      <c r="Q228" s="175"/>
      <c r="R228" s="175"/>
      <c r="S228" s="175"/>
      <c r="T228" s="597"/>
      <c r="U228" s="597"/>
      <c r="V228" s="597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</row>
    <row r="229" ht="12.0" customHeight="1">
      <c r="A229" s="175"/>
      <c r="B229" s="175"/>
      <c r="C229" s="597"/>
      <c r="D229" s="597"/>
      <c r="E229" s="597"/>
      <c r="F229" s="597"/>
      <c r="G229" s="597"/>
      <c r="H229" s="597"/>
      <c r="I229" s="175"/>
      <c r="J229" s="175"/>
      <c r="K229" s="597"/>
      <c r="L229" s="597"/>
      <c r="M229" s="175"/>
      <c r="N229" s="175"/>
      <c r="O229" s="805"/>
      <c r="P229" s="175"/>
      <c r="Q229" s="175"/>
      <c r="R229" s="175"/>
      <c r="S229" s="175"/>
      <c r="T229" s="597"/>
      <c r="U229" s="597"/>
      <c r="V229" s="597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</row>
    <row r="230" ht="12.0" customHeight="1">
      <c r="A230" s="175"/>
      <c r="B230" s="175"/>
      <c r="C230" s="597"/>
      <c r="D230" s="597"/>
      <c r="E230" s="597"/>
      <c r="F230" s="597"/>
      <c r="G230" s="597"/>
      <c r="H230" s="597"/>
      <c r="I230" s="175"/>
      <c r="J230" s="175"/>
      <c r="K230" s="597"/>
      <c r="L230" s="597"/>
      <c r="M230" s="175"/>
      <c r="N230" s="175"/>
      <c r="O230" s="805"/>
      <c r="P230" s="175"/>
      <c r="Q230" s="175"/>
      <c r="R230" s="175"/>
      <c r="S230" s="175"/>
      <c r="T230" s="597"/>
      <c r="U230" s="597"/>
      <c r="V230" s="597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</row>
    <row r="231" ht="12.0" customHeight="1">
      <c r="A231" s="175"/>
      <c r="B231" s="175"/>
      <c r="C231" s="597"/>
      <c r="D231" s="597"/>
      <c r="E231" s="597"/>
      <c r="F231" s="597"/>
      <c r="G231" s="597"/>
      <c r="H231" s="597"/>
      <c r="I231" s="175"/>
      <c r="J231" s="175"/>
      <c r="K231" s="597"/>
      <c r="L231" s="597"/>
      <c r="M231" s="175"/>
      <c r="N231" s="175"/>
      <c r="O231" s="805"/>
      <c r="P231" s="175"/>
      <c r="Q231" s="175"/>
      <c r="R231" s="175"/>
      <c r="S231" s="175"/>
      <c r="T231" s="597"/>
      <c r="U231" s="597"/>
      <c r="V231" s="597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</row>
    <row r="232" ht="12.0" customHeight="1">
      <c r="A232" s="175"/>
      <c r="B232" s="175"/>
      <c r="C232" s="597"/>
      <c r="D232" s="597"/>
      <c r="E232" s="597"/>
      <c r="F232" s="597"/>
      <c r="G232" s="597"/>
      <c r="H232" s="597"/>
      <c r="I232" s="175"/>
      <c r="J232" s="175"/>
      <c r="K232" s="597"/>
      <c r="L232" s="597"/>
      <c r="M232" s="175"/>
      <c r="N232" s="175"/>
      <c r="O232" s="805"/>
      <c r="P232" s="175"/>
      <c r="Q232" s="175"/>
      <c r="R232" s="175"/>
      <c r="S232" s="175"/>
      <c r="T232" s="597"/>
      <c r="U232" s="597"/>
      <c r="V232" s="597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</row>
    <row r="233" ht="12.0" customHeight="1">
      <c r="A233" s="175"/>
      <c r="B233" s="175"/>
      <c r="C233" s="597"/>
      <c r="D233" s="597"/>
      <c r="E233" s="597"/>
      <c r="F233" s="597"/>
      <c r="G233" s="597"/>
      <c r="H233" s="597"/>
      <c r="I233" s="175"/>
      <c r="J233" s="175"/>
      <c r="K233" s="597"/>
      <c r="L233" s="597"/>
      <c r="M233" s="175"/>
      <c r="N233" s="175"/>
      <c r="O233" s="805"/>
      <c r="P233" s="175"/>
      <c r="Q233" s="175"/>
      <c r="R233" s="175"/>
      <c r="S233" s="175"/>
      <c r="T233" s="597"/>
      <c r="U233" s="597"/>
      <c r="V233" s="597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</row>
    <row r="234" ht="12.0" customHeight="1">
      <c r="A234" s="175"/>
      <c r="B234" s="175"/>
      <c r="C234" s="597"/>
      <c r="D234" s="597"/>
      <c r="E234" s="597"/>
      <c r="F234" s="597"/>
      <c r="G234" s="597"/>
      <c r="H234" s="597"/>
      <c r="I234" s="175"/>
      <c r="J234" s="175"/>
      <c r="K234" s="597"/>
      <c r="L234" s="597"/>
      <c r="M234" s="175"/>
      <c r="N234" s="175"/>
      <c r="O234" s="805"/>
      <c r="P234" s="175"/>
      <c r="Q234" s="175"/>
      <c r="R234" s="175"/>
      <c r="S234" s="175"/>
      <c r="T234" s="597"/>
      <c r="U234" s="597"/>
      <c r="V234" s="597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</row>
    <row r="235" ht="12.0" customHeight="1">
      <c r="A235" s="175"/>
      <c r="B235" s="175"/>
      <c r="C235" s="597"/>
      <c r="D235" s="597"/>
      <c r="E235" s="597"/>
      <c r="F235" s="597"/>
      <c r="G235" s="597"/>
      <c r="H235" s="597"/>
      <c r="I235" s="175"/>
      <c r="J235" s="175"/>
      <c r="K235" s="597"/>
      <c r="L235" s="597"/>
      <c r="M235" s="175"/>
      <c r="N235" s="175"/>
      <c r="O235" s="805"/>
      <c r="P235" s="175"/>
      <c r="Q235" s="175"/>
      <c r="R235" s="175"/>
      <c r="S235" s="175"/>
      <c r="T235" s="597"/>
      <c r="U235" s="597"/>
      <c r="V235" s="597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</row>
    <row r="236" ht="12.0" customHeight="1">
      <c r="A236" s="175"/>
      <c r="B236" s="175"/>
      <c r="C236" s="597"/>
      <c r="D236" s="597"/>
      <c r="E236" s="597"/>
      <c r="F236" s="597"/>
      <c r="G236" s="597"/>
      <c r="H236" s="597"/>
      <c r="I236" s="175"/>
      <c r="J236" s="175"/>
      <c r="K236" s="597"/>
      <c r="L236" s="597"/>
      <c r="M236" s="175"/>
      <c r="N236" s="175"/>
      <c r="O236" s="805"/>
      <c r="P236" s="175"/>
      <c r="Q236" s="175"/>
      <c r="R236" s="175"/>
      <c r="S236" s="175"/>
      <c r="T236" s="597"/>
      <c r="U236" s="597"/>
      <c r="V236" s="597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</row>
    <row r="237" ht="12.0" customHeight="1">
      <c r="A237" s="175"/>
      <c r="B237" s="175"/>
      <c r="C237" s="597"/>
      <c r="D237" s="597"/>
      <c r="E237" s="597"/>
      <c r="F237" s="597"/>
      <c r="G237" s="597"/>
      <c r="H237" s="597"/>
      <c r="I237" s="175"/>
      <c r="J237" s="175"/>
      <c r="K237" s="597"/>
      <c r="L237" s="597"/>
      <c r="M237" s="175"/>
      <c r="N237" s="175"/>
      <c r="O237" s="805"/>
      <c r="P237" s="175"/>
      <c r="Q237" s="175"/>
      <c r="R237" s="175"/>
      <c r="S237" s="175"/>
      <c r="T237" s="597"/>
      <c r="U237" s="597"/>
      <c r="V237" s="597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</row>
    <row r="238" ht="12.0" customHeight="1">
      <c r="A238" s="175"/>
      <c r="B238" s="175"/>
      <c r="C238" s="597"/>
      <c r="D238" s="597"/>
      <c r="E238" s="597"/>
      <c r="F238" s="597"/>
      <c r="G238" s="597"/>
      <c r="H238" s="597"/>
      <c r="I238" s="175"/>
      <c r="J238" s="175"/>
      <c r="K238" s="597"/>
      <c r="L238" s="597"/>
      <c r="M238" s="175"/>
      <c r="N238" s="175"/>
      <c r="O238" s="805"/>
      <c r="P238" s="175"/>
      <c r="Q238" s="175"/>
      <c r="R238" s="175"/>
      <c r="S238" s="175"/>
      <c r="T238" s="597"/>
      <c r="U238" s="597"/>
      <c r="V238" s="597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</row>
    <row r="239" ht="12.0" customHeight="1">
      <c r="A239" s="175"/>
      <c r="B239" s="175"/>
      <c r="C239" s="597"/>
      <c r="D239" s="597"/>
      <c r="E239" s="597"/>
      <c r="F239" s="597"/>
      <c r="G239" s="597"/>
      <c r="H239" s="597"/>
      <c r="I239" s="175"/>
      <c r="J239" s="175"/>
      <c r="K239" s="597"/>
      <c r="L239" s="597"/>
      <c r="M239" s="175"/>
      <c r="N239" s="175"/>
      <c r="O239" s="805"/>
      <c r="P239" s="175"/>
      <c r="Q239" s="175"/>
      <c r="R239" s="175"/>
      <c r="S239" s="175"/>
      <c r="T239" s="597"/>
      <c r="U239" s="597"/>
      <c r="V239" s="597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</row>
    <row r="240" ht="12.0" customHeight="1">
      <c r="A240" s="175"/>
      <c r="B240" s="175"/>
      <c r="C240" s="597"/>
      <c r="D240" s="597"/>
      <c r="E240" s="597"/>
      <c r="F240" s="597"/>
      <c r="G240" s="597"/>
      <c r="H240" s="597"/>
      <c r="I240" s="175"/>
      <c r="J240" s="175"/>
      <c r="K240" s="597"/>
      <c r="L240" s="597"/>
      <c r="M240" s="175"/>
      <c r="N240" s="175"/>
      <c r="O240" s="805"/>
      <c r="P240" s="175"/>
      <c r="Q240" s="175"/>
      <c r="R240" s="175"/>
      <c r="S240" s="175"/>
      <c r="T240" s="597"/>
      <c r="U240" s="597"/>
      <c r="V240" s="597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</row>
    <row r="241" ht="12.0" customHeight="1">
      <c r="A241" s="175"/>
      <c r="B241" s="175"/>
      <c r="C241" s="597"/>
      <c r="D241" s="597"/>
      <c r="E241" s="597"/>
      <c r="F241" s="597"/>
      <c r="G241" s="597"/>
      <c r="H241" s="597"/>
      <c r="I241" s="175"/>
      <c r="J241" s="175"/>
      <c r="K241" s="597"/>
      <c r="L241" s="597"/>
      <c r="M241" s="175"/>
      <c r="N241" s="175"/>
      <c r="O241" s="805"/>
      <c r="P241" s="175"/>
      <c r="Q241" s="175"/>
      <c r="R241" s="175"/>
      <c r="S241" s="175"/>
      <c r="T241" s="597"/>
      <c r="U241" s="597"/>
      <c r="V241" s="597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</row>
    <row r="242" ht="12.0" customHeight="1">
      <c r="A242" s="175"/>
      <c r="B242" s="175"/>
      <c r="C242" s="597"/>
      <c r="D242" s="597"/>
      <c r="E242" s="597"/>
      <c r="F242" s="597"/>
      <c r="G242" s="597"/>
      <c r="H242" s="597"/>
      <c r="I242" s="175"/>
      <c r="J242" s="175"/>
      <c r="K242" s="597"/>
      <c r="L242" s="597"/>
      <c r="M242" s="175"/>
      <c r="N242" s="175"/>
      <c r="O242" s="805"/>
      <c r="P242" s="175"/>
      <c r="Q242" s="175"/>
      <c r="R242" s="175"/>
      <c r="S242" s="175"/>
      <c r="T242" s="597"/>
      <c r="U242" s="597"/>
      <c r="V242" s="597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</row>
    <row r="243" ht="12.0" customHeight="1">
      <c r="A243" s="175"/>
      <c r="B243" s="175"/>
      <c r="C243" s="597"/>
      <c r="D243" s="597"/>
      <c r="E243" s="597"/>
      <c r="F243" s="597"/>
      <c r="G243" s="597"/>
      <c r="H243" s="597"/>
      <c r="I243" s="175"/>
      <c r="J243" s="175"/>
      <c r="K243" s="597"/>
      <c r="L243" s="597"/>
      <c r="M243" s="175"/>
      <c r="N243" s="175"/>
      <c r="O243" s="805"/>
      <c r="P243" s="175"/>
      <c r="Q243" s="175"/>
      <c r="R243" s="175"/>
      <c r="S243" s="175"/>
      <c r="T243" s="597"/>
      <c r="U243" s="597"/>
      <c r="V243" s="597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</row>
    <row r="244" ht="12.0" customHeight="1">
      <c r="A244" s="175"/>
      <c r="B244" s="175"/>
      <c r="C244" s="597"/>
      <c r="D244" s="597"/>
      <c r="E244" s="597"/>
      <c r="F244" s="597"/>
      <c r="G244" s="597"/>
      <c r="H244" s="597"/>
      <c r="I244" s="175"/>
      <c r="J244" s="175"/>
      <c r="K244" s="597"/>
      <c r="L244" s="597"/>
      <c r="M244" s="175"/>
      <c r="N244" s="175"/>
      <c r="O244" s="805"/>
      <c r="P244" s="175"/>
      <c r="Q244" s="175"/>
      <c r="R244" s="175"/>
      <c r="S244" s="175"/>
      <c r="T244" s="597"/>
      <c r="U244" s="597"/>
      <c r="V244" s="597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</row>
    <row r="245" ht="12.0" customHeight="1">
      <c r="A245" s="175"/>
      <c r="B245" s="175"/>
      <c r="C245" s="597"/>
      <c r="D245" s="597"/>
      <c r="E245" s="597"/>
      <c r="F245" s="597"/>
      <c r="G245" s="597"/>
      <c r="H245" s="597"/>
      <c r="I245" s="175"/>
      <c r="J245" s="175"/>
      <c r="K245" s="597"/>
      <c r="L245" s="597"/>
      <c r="M245" s="175"/>
      <c r="N245" s="175"/>
      <c r="O245" s="805"/>
      <c r="P245" s="175"/>
      <c r="Q245" s="175"/>
      <c r="R245" s="175"/>
      <c r="S245" s="175"/>
      <c r="T245" s="597"/>
      <c r="U245" s="597"/>
      <c r="V245" s="597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</row>
    <row r="246" ht="12.0" customHeight="1">
      <c r="A246" s="175"/>
      <c r="B246" s="175"/>
      <c r="C246" s="597"/>
      <c r="D246" s="597"/>
      <c r="E246" s="597"/>
      <c r="F246" s="597"/>
      <c r="G246" s="597"/>
      <c r="H246" s="597"/>
      <c r="I246" s="175"/>
      <c r="J246" s="175"/>
      <c r="K246" s="597"/>
      <c r="L246" s="597"/>
      <c r="M246" s="175"/>
      <c r="N246" s="175"/>
      <c r="O246" s="805"/>
      <c r="P246" s="175"/>
      <c r="Q246" s="175"/>
      <c r="R246" s="175"/>
      <c r="S246" s="175"/>
      <c r="T246" s="597"/>
      <c r="U246" s="597"/>
      <c r="V246" s="597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</row>
    <row r="247" ht="12.0" customHeight="1">
      <c r="A247" s="175"/>
      <c r="B247" s="175"/>
      <c r="C247" s="597"/>
      <c r="D247" s="597"/>
      <c r="E247" s="597"/>
      <c r="F247" s="597"/>
      <c r="G247" s="597"/>
      <c r="H247" s="597"/>
      <c r="I247" s="175"/>
      <c r="J247" s="175"/>
      <c r="K247" s="597"/>
      <c r="L247" s="597"/>
      <c r="M247" s="175"/>
      <c r="N247" s="175"/>
      <c r="O247" s="805"/>
      <c r="P247" s="175"/>
      <c r="Q247" s="175"/>
      <c r="R247" s="175"/>
      <c r="S247" s="175"/>
      <c r="T247" s="597"/>
      <c r="U247" s="597"/>
      <c r="V247" s="597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</row>
    <row r="248" ht="12.0" customHeight="1">
      <c r="A248" s="175"/>
      <c r="B248" s="175"/>
      <c r="C248" s="597"/>
      <c r="D248" s="597"/>
      <c r="E248" s="597"/>
      <c r="F248" s="597"/>
      <c r="G248" s="597"/>
      <c r="H248" s="597"/>
      <c r="I248" s="175"/>
      <c r="J248" s="175"/>
      <c r="K248" s="597"/>
      <c r="L248" s="597"/>
      <c r="M248" s="175"/>
      <c r="N248" s="175"/>
      <c r="O248" s="805"/>
      <c r="P248" s="175"/>
      <c r="Q248" s="175"/>
      <c r="R248" s="175"/>
      <c r="S248" s="175"/>
      <c r="T248" s="597"/>
      <c r="U248" s="597"/>
      <c r="V248" s="597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</row>
    <row r="249" ht="12.0" customHeight="1">
      <c r="A249" s="175"/>
      <c r="B249" s="175"/>
      <c r="C249" s="597"/>
      <c r="D249" s="597"/>
      <c r="E249" s="597"/>
      <c r="F249" s="597"/>
      <c r="G249" s="597"/>
      <c r="H249" s="597"/>
      <c r="I249" s="175"/>
      <c r="J249" s="175"/>
      <c r="K249" s="597"/>
      <c r="L249" s="597"/>
      <c r="M249" s="175"/>
      <c r="N249" s="175"/>
      <c r="O249" s="805"/>
      <c r="P249" s="175"/>
      <c r="Q249" s="175"/>
      <c r="R249" s="175"/>
      <c r="S249" s="175"/>
      <c r="T249" s="597"/>
      <c r="U249" s="597"/>
      <c r="V249" s="597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</row>
    <row r="250" ht="12.0" customHeight="1">
      <c r="A250" s="175"/>
      <c r="B250" s="175"/>
      <c r="C250" s="597"/>
      <c r="D250" s="597"/>
      <c r="E250" s="597"/>
      <c r="F250" s="597"/>
      <c r="G250" s="597"/>
      <c r="H250" s="597"/>
      <c r="I250" s="175"/>
      <c r="J250" s="175"/>
      <c r="K250" s="597"/>
      <c r="L250" s="597"/>
      <c r="M250" s="175"/>
      <c r="N250" s="175"/>
      <c r="O250" s="805"/>
      <c r="P250" s="175"/>
      <c r="Q250" s="175"/>
      <c r="R250" s="175"/>
      <c r="S250" s="175"/>
      <c r="T250" s="597"/>
      <c r="U250" s="597"/>
      <c r="V250" s="597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</row>
    <row r="251" ht="12.0" customHeight="1">
      <c r="A251" s="175"/>
      <c r="B251" s="175"/>
      <c r="C251" s="597"/>
      <c r="D251" s="597"/>
      <c r="E251" s="597"/>
      <c r="F251" s="597"/>
      <c r="G251" s="597"/>
      <c r="H251" s="597"/>
      <c r="I251" s="175"/>
      <c r="J251" s="175"/>
      <c r="K251" s="597"/>
      <c r="L251" s="597"/>
      <c r="M251" s="175"/>
      <c r="N251" s="175"/>
      <c r="O251" s="805"/>
      <c r="P251" s="175"/>
      <c r="Q251" s="175"/>
      <c r="R251" s="175"/>
      <c r="S251" s="175"/>
      <c r="T251" s="597"/>
      <c r="U251" s="597"/>
      <c r="V251" s="597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</row>
    <row r="252" ht="12.0" customHeight="1">
      <c r="A252" s="175"/>
      <c r="B252" s="175"/>
      <c r="C252" s="597"/>
      <c r="D252" s="597"/>
      <c r="E252" s="597"/>
      <c r="F252" s="597"/>
      <c r="G252" s="597"/>
      <c r="H252" s="597"/>
      <c r="I252" s="175"/>
      <c r="J252" s="175"/>
      <c r="K252" s="597"/>
      <c r="L252" s="597"/>
      <c r="M252" s="175"/>
      <c r="N252" s="175"/>
      <c r="O252" s="805"/>
      <c r="P252" s="175"/>
      <c r="Q252" s="175"/>
      <c r="R252" s="175"/>
      <c r="S252" s="175"/>
      <c r="T252" s="597"/>
      <c r="U252" s="597"/>
      <c r="V252" s="597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</row>
    <row r="253" ht="12.0" customHeight="1">
      <c r="A253" s="175"/>
      <c r="B253" s="175"/>
      <c r="C253" s="597"/>
      <c r="D253" s="597"/>
      <c r="E253" s="597"/>
      <c r="F253" s="597"/>
      <c r="G253" s="597"/>
      <c r="H253" s="597"/>
      <c r="I253" s="175"/>
      <c r="J253" s="175"/>
      <c r="K253" s="597"/>
      <c r="L253" s="597"/>
      <c r="M253" s="175"/>
      <c r="N253" s="175"/>
      <c r="O253" s="805"/>
      <c r="P253" s="175"/>
      <c r="Q253" s="175"/>
      <c r="R253" s="175"/>
      <c r="S253" s="175"/>
      <c r="T253" s="597"/>
      <c r="U253" s="597"/>
      <c r="V253" s="597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</row>
    <row r="254" ht="12.0" customHeight="1">
      <c r="A254" s="175"/>
      <c r="B254" s="175"/>
      <c r="C254" s="597"/>
      <c r="D254" s="597"/>
      <c r="E254" s="597"/>
      <c r="F254" s="597"/>
      <c r="G254" s="597"/>
      <c r="H254" s="597"/>
      <c r="I254" s="175"/>
      <c r="J254" s="175"/>
      <c r="K254" s="597"/>
      <c r="L254" s="597"/>
      <c r="M254" s="175"/>
      <c r="N254" s="175"/>
      <c r="O254" s="805"/>
      <c r="P254" s="175"/>
      <c r="Q254" s="175"/>
      <c r="R254" s="175"/>
      <c r="S254" s="175"/>
      <c r="T254" s="597"/>
      <c r="U254" s="597"/>
      <c r="V254" s="597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</row>
    <row r="255" ht="12.0" customHeight="1">
      <c r="A255" s="175"/>
      <c r="B255" s="175"/>
      <c r="C255" s="597"/>
      <c r="D255" s="597"/>
      <c r="E255" s="597"/>
      <c r="F255" s="597"/>
      <c r="G255" s="597"/>
      <c r="H255" s="597"/>
      <c r="I255" s="175"/>
      <c r="J255" s="175"/>
      <c r="K255" s="597"/>
      <c r="L255" s="597"/>
      <c r="M255" s="175"/>
      <c r="N255" s="175"/>
      <c r="O255" s="805"/>
      <c r="P255" s="175"/>
      <c r="Q255" s="175"/>
      <c r="R255" s="175"/>
      <c r="S255" s="175"/>
      <c r="T255" s="597"/>
      <c r="U255" s="597"/>
      <c r="V255" s="597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</row>
    <row r="256" ht="12.0" customHeight="1">
      <c r="A256" s="175"/>
      <c r="B256" s="175"/>
      <c r="C256" s="597"/>
      <c r="D256" s="597"/>
      <c r="E256" s="597"/>
      <c r="F256" s="597"/>
      <c r="G256" s="597"/>
      <c r="H256" s="597"/>
      <c r="I256" s="175"/>
      <c r="J256" s="175"/>
      <c r="K256" s="597"/>
      <c r="L256" s="597"/>
      <c r="M256" s="175"/>
      <c r="N256" s="175"/>
      <c r="O256" s="805"/>
      <c r="P256" s="175"/>
      <c r="Q256" s="175"/>
      <c r="R256" s="175"/>
      <c r="S256" s="175"/>
      <c r="T256" s="597"/>
      <c r="U256" s="597"/>
      <c r="V256" s="597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</row>
    <row r="257" ht="12.0" customHeight="1">
      <c r="A257" s="175"/>
      <c r="B257" s="175"/>
      <c r="C257" s="597"/>
      <c r="D257" s="597"/>
      <c r="E257" s="597"/>
      <c r="F257" s="597"/>
      <c r="G257" s="597"/>
      <c r="H257" s="597"/>
      <c r="I257" s="175"/>
      <c r="J257" s="175"/>
      <c r="K257" s="597"/>
      <c r="L257" s="597"/>
      <c r="M257" s="175"/>
      <c r="N257" s="175"/>
      <c r="O257" s="805"/>
      <c r="P257" s="175"/>
      <c r="Q257" s="175"/>
      <c r="R257" s="175"/>
      <c r="S257" s="175"/>
      <c r="T257" s="597"/>
      <c r="U257" s="597"/>
      <c r="V257" s="597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</row>
    <row r="258" ht="12.0" customHeight="1">
      <c r="A258" s="175"/>
      <c r="B258" s="175"/>
      <c r="C258" s="597"/>
      <c r="D258" s="597"/>
      <c r="E258" s="597"/>
      <c r="F258" s="597"/>
      <c r="G258" s="597"/>
      <c r="H258" s="597"/>
      <c r="I258" s="175"/>
      <c r="J258" s="175"/>
      <c r="K258" s="597"/>
      <c r="L258" s="597"/>
      <c r="M258" s="175"/>
      <c r="N258" s="175"/>
      <c r="O258" s="805"/>
      <c r="P258" s="175"/>
      <c r="Q258" s="175"/>
      <c r="R258" s="175"/>
      <c r="S258" s="175"/>
      <c r="T258" s="597"/>
      <c r="U258" s="597"/>
      <c r="V258" s="597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</row>
    <row r="259" ht="12.0" customHeight="1">
      <c r="A259" s="175"/>
      <c r="B259" s="175"/>
      <c r="C259" s="597"/>
      <c r="D259" s="597"/>
      <c r="E259" s="597"/>
      <c r="F259" s="597"/>
      <c r="G259" s="597"/>
      <c r="H259" s="597"/>
      <c r="I259" s="175"/>
      <c r="J259" s="175"/>
      <c r="K259" s="597"/>
      <c r="L259" s="597"/>
      <c r="M259" s="175"/>
      <c r="N259" s="175"/>
      <c r="O259" s="805"/>
      <c r="P259" s="175"/>
      <c r="Q259" s="175"/>
      <c r="R259" s="175"/>
      <c r="S259" s="175"/>
      <c r="T259" s="597"/>
      <c r="U259" s="597"/>
      <c r="V259" s="597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</row>
    <row r="260" ht="12.0" customHeight="1">
      <c r="A260" s="175"/>
      <c r="B260" s="175"/>
      <c r="C260" s="597"/>
      <c r="D260" s="597"/>
      <c r="E260" s="597"/>
      <c r="F260" s="597"/>
      <c r="G260" s="597"/>
      <c r="H260" s="597"/>
      <c r="I260" s="175"/>
      <c r="J260" s="175"/>
      <c r="K260" s="597"/>
      <c r="L260" s="597"/>
      <c r="M260" s="175"/>
      <c r="N260" s="175"/>
      <c r="O260" s="805"/>
      <c r="P260" s="175"/>
      <c r="Q260" s="175"/>
      <c r="R260" s="175"/>
      <c r="S260" s="175"/>
      <c r="T260" s="597"/>
      <c r="U260" s="597"/>
      <c r="V260" s="597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</row>
    <row r="261" ht="12.0" customHeight="1">
      <c r="A261" s="175"/>
      <c r="B261" s="175"/>
      <c r="C261" s="597"/>
      <c r="D261" s="597"/>
      <c r="E261" s="597"/>
      <c r="F261" s="597"/>
      <c r="G261" s="597"/>
      <c r="H261" s="597"/>
      <c r="I261" s="175"/>
      <c r="J261" s="175"/>
      <c r="K261" s="597"/>
      <c r="L261" s="597"/>
      <c r="M261" s="175"/>
      <c r="N261" s="175"/>
      <c r="O261" s="805"/>
      <c r="P261" s="175"/>
      <c r="Q261" s="175"/>
      <c r="R261" s="175"/>
      <c r="S261" s="175"/>
      <c r="T261" s="597"/>
      <c r="U261" s="597"/>
      <c r="V261" s="597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</row>
    <row r="262" ht="12.0" customHeight="1">
      <c r="A262" s="175"/>
      <c r="B262" s="175"/>
      <c r="C262" s="597"/>
      <c r="D262" s="597"/>
      <c r="E262" s="597"/>
      <c r="F262" s="597"/>
      <c r="G262" s="597"/>
      <c r="H262" s="597"/>
      <c r="I262" s="175"/>
      <c r="J262" s="175"/>
      <c r="K262" s="597"/>
      <c r="L262" s="597"/>
      <c r="M262" s="175"/>
      <c r="N262" s="175"/>
      <c r="O262" s="805"/>
      <c r="P262" s="175"/>
      <c r="Q262" s="175"/>
      <c r="R262" s="175"/>
      <c r="S262" s="175"/>
      <c r="T262" s="597"/>
      <c r="U262" s="597"/>
      <c r="V262" s="597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</row>
    <row r="263" ht="12.0" customHeight="1">
      <c r="A263" s="175"/>
      <c r="B263" s="175"/>
      <c r="C263" s="597"/>
      <c r="D263" s="597"/>
      <c r="E263" s="597"/>
      <c r="F263" s="597"/>
      <c r="G263" s="597"/>
      <c r="H263" s="597"/>
      <c r="I263" s="175"/>
      <c r="J263" s="175"/>
      <c r="K263" s="597"/>
      <c r="L263" s="597"/>
      <c r="M263" s="175"/>
      <c r="N263" s="175"/>
      <c r="O263" s="805"/>
      <c r="P263" s="175"/>
      <c r="Q263" s="175"/>
      <c r="R263" s="175"/>
      <c r="S263" s="175"/>
      <c r="T263" s="597"/>
      <c r="U263" s="597"/>
      <c r="V263" s="597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</row>
    <row r="264" ht="12.0" customHeight="1">
      <c r="A264" s="175"/>
      <c r="B264" s="175"/>
      <c r="C264" s="597"/>
      <c r="D264" s="597"/>
      <c r="E264" s="597"/>
      <c r="F264" s="597"/>
      <c r="G264" s="597"/>
      <c r="H264" s="597"/>
      <c r="I264" s="175"/>
      <c r="J264" s="175"/>
      <c r="K264" s="597"/>
      <c r="L264" s="597"/>
      <c r="M264" s="175"/>
      <c r="N264" s="175"/>
      <c r="O264" s="805"/>
      <c r="P264" s="175"/>
      <c r="Q264" s="175"/>
      <c r="R264" s="175"/>
      <c r="S264" s="175"/>
      <c r="T264" s="597"/>
      <c r="U264" s="597"/>
      <c r="V264" s="597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</row>
    <row r="265" ht="12.0" customHeight="1">
      <c r="A265" s="175"/>
      <c r="B265" s="175"/>
      <c r="C265" s="597"/>
      <c r="D265" s="597"/>
      <c r="E265" s="597"/>
      <c r="F265" s="597"/>
      <c r="G265" s="597"/>
      <c r="H265" s="597"/>
      <c r="I265" s="175"/>
      <c r="J265" s="175"/>
      <c r="K265" s="597"/>
      <c r="L265" s="597"/>
      <c r="M265" s="175"/>
      <c r="N265" s="175"/>
      <c r="O265" s="805"/>
      <c r="P265" s="175"/>
      <c r="Q265" s="175"/>
      <c r="R265" s="175"/>
      <c r="S265" s="175"/>
      <c r="T265" s="597"/>
      <c r="U265" s="597"/>
      <c r="V265" s="597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</row>
    <row r="266" ht="12.0" customHeight="1">
      <c r="A266" s="175"/>
      <c r="B266" s="175"/>
      <c r="C266" s="597"/>
      <c r="D266" s="597"/>
      <c r="E266" s="597"/>
      <c r="F266" s="597"/>
      <c r="G266" s="597"/>
      <c r="H266" s="597"/>
      <c r="I266" s="175"/>
      <c r="J266" s="175"/>
      <c r="K266" s="597"/>
      <c r="L266" s="597"/>
      <c r="M266" s="175"/>
      <c r="N266" s="175"/>
      <c r="O266" s="805"/>
      <c r="P266" s="175"/>
      <c r="Q266" s="175"/>
      <c r="R266" s="175"/>
      <c r="S266" s="175"/>
      <c r="T266" s="597"/>
      <c r="U266" s="597"/>
      <c r="V266" s="597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</row>
    <row r="267" ht="12.0" customHeight="1">
      <c r="A267" s="175"/>
      <c r="B267" s="175"/>
      <c r="C267" s="597"/>
      <c r="D267" s="597"/>
      <c r="E267" s="597"/>
      <c r="F267" s="597"/>
      <c r="G267" s="597"/>
      <c r="H267" s="597"/>
      <c r="I267" s="175"/>
      <c r="J267" s="175"/>
      <c r="K267" s="597"/>
      <c r="L267" s="597"/>
      <c r="M267" s="175"/>
      <c r="N267" s="175"/>
      <c r="O267" s="805"/>
      <c r="P267" s="175"/>
      <c r="Q267" s="175"/>
      <c r="R267" s="175"/>
      <c r="S267" s="175"/>
      <c r="T267" s="597"/>
      <c r="U267" s="597"/>
      <c r="V267" s="597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</row>
    <row r="268" ht="12.0" customHeight="1">
      <c r="A268" s="175"/>
      <c r="B268" s="175"/>
      <c r="C268" s="597"/>
      <c r="D268" s="597"/>
      <c r="E268" s="597"/>
      <c r="F268" s="597"/>
      <c r="G268" s="597"/>
      <c r="H268" s="597"/>
      <c r="I268" s="175"/>
      <c r="J268" s="175"/>
      <c r="K268" s="597"/>
      <c r="L268" s="597"/>
      <c r="M268" s="175"/>
      <c r="N268" s="175"/>
      <c r="O268" s="805"/>
      <c r="P268" s="175"/>
      <c r="Q268" s="175"/>
      <c r="R268" s="175"/>
      <c r="S268" s="175"/>
      <c r="T268" s="597"/>
      <c r="U268" s="597"/>
      <c r="V268" s="597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</row>
    <row r="269" ht="12.0" customHeight="1">
      <c r="A269" s="175"/>
      <c r="B269" s="175"/>
      <c r="C269" s="597"/>
      <c r="D269" s="597"/>
      <c r="E269" s="597"/>
      <c r="F269" s="597"/>
      <c r="G269" s="597"/>
      <c r="H269" s="597"/>
      <c r="I269" s="175"/>
      <c r="J269" s="175"/>
      <c r="K269" s="597"/>
      <c r="L269" s="597"/>
      <c r="M269" s="175"/>
      <c r="N269" s="175"/>
      <c r="O269" s="805"/>
      <c r="P269" s="175"/>
      <c r="Q269" s="175"/>
      <c r="R269" s="175"/>
      <c r="S269" s="175"/>
      <c r="T269" s="597"/>
      <c r="U269" s="597"/>
      <c r="V269" s="597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</row>
    <row r="270" ht="12.0" customHeight="1">
      <c r="A270" s="175"/>
      <c r="B270" s="175"/>
      <c r="C270" s="597"/>
      <c r="D270" s="597"/>
      <c r="E270" s="597"/>
      <c r="F270" s="597"/>
      <c r="G270" s="597"/>
      <c r="H270" s="597"/>
      <c r="I270" s="175"/>
      <c r="J270" s="175"/>
      <c r="K270" s="597"/>
      <c r="L270" s="597"/>
      <c r="M270" s="175"/>
      <c r="N270" s="175"/>
      <c r="O270" s="805"/>
      <c r="P270" s="175"/>
      <c r="Q270" s="175"/>
      <c r="R270" s="175"/>
      <c r="S270" s="175"/>
      <c r="T270" s="597"/>
      <c r="U270" s="597"/>
      <c r="V270" s="597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</row>
    <row r="271" ht="12.0" customHeight="1">
      <c r="A271" s="175"/>
      <c r="B271" s="175"/>
      <c r="C271" s="597"/>
      <c r="D271" s="597"/>
      <c r="E271" s="597"/>
      <c r="F271" s="597"/>
      <c r="G271" s="597"/>
      <c r="H271" s="597"/>
      <c r="I271" s="175"/>
      <c r="J271" s="175"/>
      <c r="K271" s="597"/>
      <c r="L271" s="597"/>
      <c r="M271" s="175"/>
      <c r="N271" s="175"/>
      <c r="O271" s="805"/>
      <c r="P271" s="175"/>
      <c r="Q271" s="175"/>
      <c r="R271" s="175"/>
      <c r="S271" s="175"/>
      <c r="T271" s="597"/>
      <c r="U271" s="597"/>
      <c r="V271" s="597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</row>
    <row r="272" ht="12.0" customHeight="1">
      <c r="A272" s="175"/>
      <c r="B272" s="175"/>
      <c r="C272" s="597"/>
      <c r="D272" s="597"/>
      <c r="E272" s="597"/>
      <c r="F272" s="597"/>
      <c r="G272" s="597"/>
      <c r="H272" s="597"/>
      <c r="I272" s="175"/>
      <c r="J272" s="175"/>
      <c r="K272" s="597"/>
      <c r="L272" s="597"/>
      <c r="M272" s="175"/>
      <c r="N272" s="175"/>
      <c r="O272" s="805"/>
      <c r="P272" s="175"/>
      <c r="Q272" s="175"/>
      <c r="R272" s="175"/>
      <c r="S272" s="175"/>
      <c r="T272" s="597"/>
      <c r="U272" s="597"/>
      <c r="V272" s="597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</row>
    <row r="273" ht="12.0" customHeight="1">
      <c r="A273" s="175"/>
      <c r="B273" s="175"/>
      <c r="C273" s="597"/>
      <c r="D273" s="597"/>
      <c r="E273" s="597"/>
      <c r="F273" s="597"/>
      <c r="G273" s="597"/>
      <c r="H273" s="597"/>
      <c r="I273" s="175"/>
      <c r="J273" s="175"/>
      <c r="K273" s="597"/>
      <c r="L273" s="597"/>
      <c r="M273" s="175"/>
      <c r="N273" s="175"/>
      <c r="O273" s="805"/>
      <c r="P273" s="175"/>
      <c r="Q273" s="175"/>
      <c r="R273" s="175"/>
      <c r="S273" s="175"/>
      <c r="T273" s="597"/>
      <c r="U273" s="597"/>
      <c r="V273" s="597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</row>
    <row r="274" ht="12.0" customHeight="1">
      <c r="A274" s="175"/>
      <c r="B274" s="175"/>
      <c r="C274" s="597"/>
      <c r="D274" s="597"/>
      <c r="E274" s="597"/>
      <c r="F274" s="597"/>
      <c r="G274" s="597"/>
      <c r="H274" s="597"/>
      <c r="I274" s="175"/>
      <c r="J274" s="175"/>
      <c r="K274" s="597"/>
      <c r="L274" s="597"/>
      <c r="M274" s="175"/>
      <c r="N274" s="175"/>
      <c r="O274" s="805"/>
      <c r="P274" s="175"/>
      <c r="Q274" s="175"/>
      <c r="R274" s="175"/>
      <c r="S274" s="175"/>
      <c r="T274" s="597"/>
      <c r="U274" s="597"/>
      <c r="V274" s="597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</row>
    <row r="275" ht="12.0" customHeight="1">
      <c r="A275" s="175"/>
      <c r="B275" s="175"/>
      <c r="C275" s="597"/>
      <c r="D275" s="597"/>
      <c r="E275" s="597"/>
      <c r="F275" s="597"/>
      <c r="G275" s="597"/>
      <c r="H275" s="597"/>
      <c r="I275" s="175"/>
      <c r="J275" s="175"/>
      <c r="K275" s="597"/>
      <c r="L275" s="597"/>
      <c r="M275" s="175"/>
      <c r="N275" s="175"/>
      <c r="O275" s="805"/>
      <c r="P275" s="175"/>
      <c r="Q275" s="175"/>
      <c r="R275" s="175"/>
      <c r="S275" s="175"/>
      <c r="T275" s="597"/>
      <c r="U275" s="597"/>
      <c r="V275" s="597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</row>
    <row r="276" ht="12.0" customHeight="1">
      <c r="A276" s="175"/>
      <c r="B276" s="175"/>
      <c r="C276" s="597"/>
      <c r="D276" s="597"/>
      <c r="E276" s="597"/>
      <c r="F276" s="597"/>
      <c r="G276" s="597"/>
      <c r="H276" s="597"/>
      <c r="I276" s="175"/>
      <c r="J276" s="175"/>
      <c r="K276" s="597"/>
      <c r="L276" s="597"/>
      <c r="M276" s="175"/>
      <c r="N276" s="175"/>
      <c r="O276" s="805"/>
      <c r="P276" s="175"/>
      <c r="Q276" s="175"/>
      <c r="R276" s="175"/>
      <c r="S276" s="175"/>
      <c r="T276" s="597"/>
      <c r="U276" s="597"/>
      <c r="V276" s="597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</row>
    <row r="277" ht="12.0" customHeight="1">
      <c r="A277" s="175"/>
      <c r="B277" s="175"/>
      <c r="C277" s="597"/>
      <c r="D277" s="597"/>
      <c r="E277" s="597"/>
      <c r="F277" s="597"/>
      <c r="G277" s="597"/>
      <c r="H277" s="597"/>
      <c r="I277" s="175"/>
      <c r="J277" s="175"/>
      <c r="K277" s="597"/>
      <c r="L277" s="597"/>
      <c r="M277" s="175"/>
      <c r="N277" s="175"/>
      <c r="O277" s="805"/>
      <c r="P277" s="175"/>
      <c r="Q277" s="175"/>
      <c r="R277" s="175"/>
      <c r="S277" s="175"/>
      <c r="T277" s="597"/>
      <c r="U277" s="597"/>
      <c r="V277" s="597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</row>
    <row r="278" ht="12.0" customHeight="1">
      <c r="A278" s="175"/>
      <c r="B278" s="175"/>
      <c r="C278" s="597"/>
      <c r="D278" s="597"/>
      <c r="E278" s="597"/>
      <c r="F278" s="597"/>
      <c r="G278" s="597"/>
      <c r="H278" s="597"/>
      <c r="I278" s="175"/>
      <c r="J278" s="175"/>
      <c r="K278" s="597"/>
      <c r="L278" s="597"/>
      <c r="M278" s="175"/>
      <c r="N278" s="175"/>
      <c r="O278" s="805"/>
      <c r="P278" s="175"/>
      <c r="Q278" s="175"/>
      <c r="R278" s="175"/>
      <c r="S278" s="175"/>
      <c r="T278" s="597"/>
      <c r="U278" s="597"/>
      <c r="V278" s="597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</row>
    <row r="279" ht="12.0" customHeight="1">
      <c r="A279" s="175"/>
      <c r="B279" s="175"/>
      <c r="C279" s="597"/>
      <c r="D279" s="597"/>
      <c r="E279" s="597"/>
      <c r="F279" s="597"/>
      <c r="G279" s="597"/>
      <c r="H279" s="597"/>
      <c r="I279" s="175"/>
      <c r="J279" s="175"/>
      <c r="K279" s="597"/>
      <c r="L279" s="597"/>
      <c r="M279" s="175"/>
      <c r="N279" s="175"/>
      <c r="O279" s="805"/>
      <c r="P279" s="175"/>
      <c r="Q279" s="175"/>
      <c r="R279" s="175"/>
      <c r="S279" s="175"/>
      <c r="T279" s="597"/>
      <c r="U279" s="597"/>
      <c r="V279" s="597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</row>
    <row r="280" ht="12.0" customHeight="1">
      <c r="A280" s="175"/>
      <c r="B280" s="175"/>
      <c r="C280" s="597"/>
      <c r="D280" s="597"/>
      <c r="E280" s="597"/>
      <c r="F280" s="597"/>
      <c r="G280" s="597"/>
      <c r="H280" s="597"/>
      <c r="I280" s="175"/>
      <c r="J280" s="175"/>
      <c r="K280" s="597"/>
      <c r="L280" s="597"/>
      <c r="M280" s="175"/>
      <c r="N280" s="175"/>
      <c r="O280" s="805"/>
      <c r="P280" s="175"/>
      <c r="Q280" s="175"/>
      <c r="R280" s="175"/>
      <c r="S280" s="175"/>
      <c r="T280" s="597"/>
      <c r="U280" s="597"/>
      <c r="V280" s="597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</row>
    <row r="281" ht="12.0" customHeight="1">
      <c r="A281" s="175"/>
      <c r="B281" s="175"/>
      <c r="C281" s="597"/>
      <c r="D281" s="597"/>
      <c r="E281" s="597"/>
      <c r="F281" s="597"/>
      <c r="G281" s="597"/>
      <c r="H281" s="597"/>
      <c r="I281" s="175"/>
      <c r="J281" s="175"/>
      <c r="K281" s="597"/>
      <c r="L281" s="597"/>
      <c r="M281" s="175"/>
      <c r="N281" s="175"/>
      <c r="O281" s="805"/>
      <c r="P281" s="175"/>
      <c r="Q281" s="175"/>
      <c r="R281" s="175"/>
      <c r="S281" s="175"/>
      <c r="T281" s="597"/>
      <c r="U281" s="597"/>
      <c r="V281" s="597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</row>
    <row r="282" ht="12.0" customHeight="1">
      <c r="A282" s="175"/>
      <c r="B282" s="175"/>
      <c r="C282" s="597"/>
      <c r="D282" s="597"/>
      <c r="E282" s="597"/>
      <c r="F282" s="597"/>
      <c r="G282" s="597"/>
      <c r="H282" s="597"/>
      <c r="I282" s="175"/>
      <c r="J282" s="175"/>
      <c r="K282" s="597"/>
      <c r="L282" s="597"/>
      <c r="M282" s="175"/>
      <c r="N282" s="175"/>
      <c r="O282" s="805"/>
      <c r="P282" s="175"/>
      <c r="Q282" s="175"/>
      <c r="R282" s="175"/>
      <c r="S282" s="175"/>
      <c r="T282" s="597"/>
      <c r="U282" s="597"/>
      <c r="V282" s="597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</row>
    <row r="283" ht="12.0" customHeight="1">
      <c r="A283" s="175"/>
      <c r="B283" s="175"/>
      <c r="C283" s="597"/>
      <c r="D283" s="597"/>
      <c r="E283" s="597"/>
      <c r="F283" s="597"/>
      <c r="G283" s="597"/>
      <c r="H283" s="597"/>
      <c r="I283" s="175"/>
      <c r="J283" s="175"/>
      <c r="K283" s="597"/>
      <c r="L283" s="597"/>
      <c r="M283" s="175"/>
      <c r="N283" s="175"/>
      <c r="O283" s="805"/>
      <c r="P283" s="175"/>
      <c r="Q283" s="175"/>
      <c r="R283" s="175"/>
      <c r="S283" s="175"/>
      <c r="T283" s="597"/>
      <c r="U283" s="597"/>
      <c r="V283" s="597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</row>
    <row r="284" ht="12.0" customHeight="1">
      <c r="A284" s="175"/>
      <c r="B284" s="175"/>
      <c r="C284" s="597"/>
      <c r="D284" s="597"/>
      <c r="E284" s="597"/>
      <c r="F284" s="597"/>
      <c r="G284" s="597"/>
      <c r="H284" s="597"/>
      <c r="I284" s="175"/>
      <c r="J284" s="175"/>
      <c r="K284" s="597"/>
      <c r="L284" s="597"/>
      <c r="M284" s="175"/>
      <c r="N284" s="175"/>
      <c r="O284" s="805"/>
      <c r="P284" s="175"/>
      <c r="Q284" s="175"/>
      <c r="R284" s="175"/>
      <c r="S284" s="175"/>
      <c r="T284" s="597"/>
      <c r="U284" s="597"/>
      <c r="V284" s="597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</row>
    <row r="285" ht="12.0" customHeight="1">
      <c r="A285" s="175"/>
      <c r="B285" s="175"/>
      <c r="C285" s="597"/>
      <c r="D285" s="597"/>
      <c r="E285" s="597"/>
      <c r="F285" s="597"/>
      <c r="G285" s="597"/>
      <c r="H285" s="597"/>
      <c r="I285" s="175"/>
      <c r="J285" s="175"/>
      <c r="K285" s="597"/>
      <c r="L285" s="597"/>
      <c r="M285" s="175"/>
      <c r="N285" s="175"/>
      <c r="O285" s="805"/>
      <c r="P285" s="175"/>
      <c r="Q285" s="175"/>
      <c r="R285" s="175"/>
      <c r="S285" s="175"/>
      <c r="T285" s="597"/>
      <c r="U285" s="597"/>
      <c r="V285" s="597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</row>
    <row r="286" ht="12.0" customHeight="1">
      <c r="A286" s="175"/>
      <c r="B286" s="175"/>
      <c r="C286" s="597"/>
      <c r="D286" s="597"/>
      <c r="E286" s="597"/>
      <c r="F286" s="597"/>
      <c r="G286" s="597"/>
      <c r="H286" s="597"/>
      <c r="I286" s="175"/>
      <c r="J286" s="175"/>
      <c r="K286" s="597"/>
      <c r="L286" s="597"/>
      <c r="M286" s="175"/>
      <c r="N286" s="175"/>
      <c r="O286" s="805"/>
      <c r="P286" s="175"/>
      <c r="Q286" s="175"/>
      <c r="R286" s="175"/>
      <c r="S286" s="175"/>
      <c r="T286" s="597"/>
      <c r="U286" s="597"/>
      <c r="V286" s="597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</row>
    <row r="287" ht="12.0" customHeight="1">
      <c r="A287" s="175"/>
      <c r="B287" s="175"/>
      <c r="C287" s="597"/>
      <c r="D287" s="597"/>
      <c r="E287" s="597"/>
      <c r="F287" s="597"/>
      <c r="G287" s="597"/>
      <c r="H287" s="597"/>
      <c r="I287" s="175"/>
      <c r="J287" s="175"/>
      <c r="K287" s="597"/>
      <c r="L287" s="597"/>
      <c r="M287" s="175"/>
      <c r="N287" s="175"/>
      <c r="O287" s="805"/>
      <c r="P287" s="175"/>
      <c r="Q287" s="175"/>
      <c r="R287" s="175"/>
      <c r="S287" s="175"/>
      <c r="T287" s="597"/>
      <c r="U287" s="597"/>
      <c r="V287" s="597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</row>
    <row r="288" ht="12.0" customHeight="1">
      <c r="A288" s="175"/>
      <c r="B288" s="175"/>
      <c r="C288" s="597"/>
      <c r="D288" s="597"/>
      <c r="E288" s="597"/>
      <c r="F288" s="597"/>
      <c r="G288" s="597"/>
      <c r="H288" s="597"/>
      <c r="I288" s="175"/>
      <c r="J288" s="175"/>
      <c r="K288" s="597"/>
      <c r="L288" s="597"/>
      <c r="M288" s="175"/>
      <c r="N288" s="175"/>
      <c r="O288" s="805"/>
      <c r="P288" s="175"/>
      <c r="Q288" s="175"/>
      <c r="R288" s="175"/>
      <c r="S288" s="175"/>
      <c r="T288" s="597"/>
      <c r="U288" s="597"/>
      <c r="V288" s="597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</row>
    <row r="289" ht="12.0" customHeight="1">
      <c r="A289" s="175"/>
      <c r="B289" s="175"/>
      <c r="C289" s="597"/>
      <c r="D289" s="597"/>
      <c r="E289" s="597"/>
      <c r="F289" s="597"/>
      <c r="G289" s="597"/>
      <c r="H289" s="597"/>
      <c r="I289" s="175"/>
      <c r="J289" s="175"/>
      <c r="K289" s="597"/>
      <c r="L289" s="597"/>
      <c r="M289" s="175"/>
      <c r="N289" s="175"/>
      <c r="O289" s="805"/>
      <c r="P289" s="175"/>
      <c r="Q289" s="175"/>
      <c r="R289" s="175"/>
      <c r="S289" s="175"/>
      <c r="T289" s="597"/>
      <c r="U289" s="597"/>
      <c r="V289" s="597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</row>
    <row r="290" ht="12.0" customHeight="1">
      <c r="A290" s="175"/>
      <c r="B290" s="175"/>
      <c r="C290" s="597"/>
      <c r="D290" s="597"/>
      <c r="E290" s="597"/>
      <c r="F290" s="597"/>
      <c r="G290" s="597"/>
      <c r="H290" s="597"/>
      <c r="I290" s="175"/>
      <c r="J290" s="175"/>
      <c r="K290" s="597"/>
      <c r="L290" s="597"/>
      <c r="M290" s="175"/>
      <c r="N290" s="175"/>
      <c r="O290" s="805"/>
      <c r="P290" s="175"/>
      <c r="Q290" s="175"/>
      <c r="R290" s="175"/>
      <c r="S290" s="175"/>
      <c r="T290" s="597"/>
      <c r="U290" s="597"/>
      <c r="V290" s="597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</row>
    <row r="291" ht="12.0" customHeight="1">
      <c r="A291" s="175"/>
      <c r="B291" s="175"/>
      <c r="C291" s="597"/>
      <c r="D291" s="597"/>
      <c r="E291" s="597"/>
      <c r="F291" s="597"/>
      <c r="G291" s="597"/>
      <c r="H291" s="597"/>
      <c r="I291" s="175"/>
      <c r="J291" s="175"/>
      <c r="K291" s="597"/>
      <c r="L291" s="597"/>
      <c r="M291" s="175"/>
      <c r="N291" s="175"/>
      <c r="O291" s="805"/>
      <c r="P291" s="175"/>
      <c r="Q291" s="175"/>
      <c r="R291" s="175"/>
      <c r="S291" s="175"/>
      <c r="T291" s="597"/>
      <c r="U291" s="597"/>
      <c r="V291" s="597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</row>
    <row r="292" ht="12.0" customHeight="1">
      <c r="A292" s="175"/>
      <c r="B292" s="175"/>
      <c r="C292" s="597"/>
      <c r="D292" s="597"/>
      <c r="E292" s="597"/>
      <c r="F292" s="597"/>
      <c r="G292" s="597"/>
      <c r="H292" s="597"/>
      <c r="I292" s="175"/>
      <c r="J292" s="175"/>
      <c r="K292" s="597"/>
      <c r="L292" s="597"/>
      <c r="M292" s="175"/>
      <c r="N292" s="175"/>
      <c r="O292" s="805"/>
      <c r="P292" s="175"/>
      <c r="Q292" s="175"/>
      <c r="R292" s="175"/>
      <c r="S292" s="175"/>
      <c r="T292" s="597"/>
      <c r="U292" s="597"/>
      <c r="V292" s="597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</row>
    <row r="293" ht="12.0" customHeight="1">
      <c r="A293" s="175"/>
      <c r="B293" s="175"/>
      <c r="C293" s="597"/>
      <c r="D293" s="597"/>
      <c r="E293" s="597"/>
      <c r="F293" s="597"/>
      <c r="G293" s="597"/>
      <c r="H293" s="597"/>
      <c r="I293" s="175"/>
      <c r="J293" s="175"/>
      <c r="K293" s="597"/>
      <c r="L293" s="597"/>
      <c r="M293" s="175"/>
      <c r="N293" s="175"/>
      <c r="O293" s="805"/>
      <c r="P293" s="175"/>
      <c r="Q293" s="175"/>
      <c r="R293" s="175"/>
      <c r="S293" s="175"/>
      <c r="T293" s="597"/>
      <c r="U293" s="597"/>
      <c r="V293" s="597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</row>
    <row r="294" ht="12.0" customHeight="1">
      <c r="A294" s="175"/>
      <c r="B294" s="175"/>
      <c r="C294" s="597"/>
      <c r="D294" s="597"/>
      <c r="E294" s="597"/>
      <c r="F294" s="597"/>
      <c r="G294" s="597"/>
      <c r="H294" s="597"/>
      <c r="I294" s="175"/>
      <c r="J294" s="175"/>
      <c r="K294" s="597"/>
      <c r="L294" s="597"/>
      <c r="M294" s="175"/>
      <c r="N294" s="175"/>
      <c r="O294" s="805"/>
      <c r="P294" s="175"/>
      <c r="Q294" s="175"/>
      <c r="R294" s="175"/>
      <c r="S294" s="175"/>
      <c r="T294" s="597"/>
      <c r="U294" s="597"/>
      <c r="V294" s="597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</row>
    <row r="295" ht="12.0" customHeight="1">
      <c r="A295" s="175"/>
      <c r="B295" s="175"/>
      <c r="C295" s="597"/>
      <c r="D295" s="597"/>
      <c r="E295" s="597"/>
      <c r="F295" s="597"/>
      <c r="G295" s="597"/>
      <c r="H295" s="597"/>
      <c r="I295" s="175"/>
      <c r="J295" s="175"/>
      <c r="K295" s="597"/>
      <c r="L295" s="597"/>
      <c r="M295" s="175"/>
      <c r="N295" s="175"/>
      <c r="O295" s="805"/>
      <c r="P295" s="175"/>
      <c r="Q295" s="175"/>
      <c r="R295" s="175"/>
      <c r="S295" s="175"/>
      <c r="T295" s="597"/>
      <c r="U295" s="597"/>
      <c r="V295" s="597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</row>
    <row r="296" ht="12.0" customHeight="1">
      <c r="A296" s="175"/>
      <c r="B296" s="175"/>
      <c r="C296" s="597"/>
      <c r="D296" s="597"/>
      <c r="E296" s="597"/>
      <c r="F296" s="597"/>
      <c r="G296" s="597"/>
      <c r="H296" s="597"/>
      <c r="I296" s="175"/>
      <c r="J296" s="175"/>
      <c r="K296" s="597"/>
      <c r="L296" s="597"/>
      <c r="M296" s="175"/>
      <c r="N296" s="175"/>
      <c r="O296" s="805"/>
      <c r="P296" s="175"/>
      <c r="Q296" s="175"/>
      <c r="R296" s="175"/>
      <c r="S296" s="175"/>
      <c r="T296" s="597"/>
      <c r="U296" s="597"/>
      <c r="V296" s="597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</row>
    <row r="297" ht="12.0" customHeight="1">
      <c r="A297" s="175"/>
      <c r="B297" s="175"/>
      <c r="C297" s="597"/>
      <c r="D297" s="597"/>
      <c r="E297" s="597"/>
      <c r="F297" s="597"/>
      <c r="G297" s="597"/>
      <c r="H297" s="597"/>
      <c r="I297" s="175"/>
      <c r="J297" s="175"/>
      <c r="K297" s="597"/>
      <c r="L297" s="597"/>
      <c r="M297" s="175"/>
      <c r="N297" s="175"/>
      <c r="O297" s="805"/>
      <c r="P297" s="175"/>
      <c r="Q297" s="175"/>
      <c r="R297" s="175"/>
      <c r="S297" s="175"/>
      <c r="T297" s="597"/>
      <c r="U297" s="597"/>
      <c r="V297" s="597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</row>
    <row r="298" ht="12.0" customHeight="1">
      <c r="A298" s="175"/>
      <c r="B298" s="175"/>
      <c r="C298" s="597"/>
      <c r="D298" s="597"/>
      <c r="E298" s="597"/>
      <c r="F298" s="597"/>
      <c r="G298" s="597"/>
      <c r="H298" s="597"/>
      <c r="I298" s="175"/>
      <c r="J298" s="175"/>
      <c r="K298" s="597"/>
      <c r="L298" s="597"/>
      <c r="M298" s="175"/>
      <c r="N298" s="175"/>
      <c r="O298" s="805"/>
      <c r="P298" s="175"/>
      <c r="Q298" s="175"/>
      <c r="R298" s="175"/>
      <c r="S298" s="175"/>
      <c r="T298" s="597"/>
      <c r="U298" s="597"/>
      <c r="V298" s="597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</row>
    <row r="299" ht="12.0" customHeight="1">
      <c r="A299" s="175"/>
      <c r="B299" s="175"/>
      <c r="C299" s="597"/>
      <c r="D299" s="597"/>
      <c r="E299" s="597"/>
      <c r="F299" s="597"/>
      <c r="G299" s="597"/>
      <c r="H299" s="597"/>
      <c r="I299" s="175"/>
      <c r="J299" s="175"/>
      <c r="K299" s="597"/>
      <c r="L299" s="597"/>
      <c r="M299" s="175"/>
      <c r="N299" s="175"/>
      <c r="O299" s="805"/>
      <c r="P299" s="175"/>
      <c r="Q299" s="175"/>
      <c r="R299" s="175"/>
      <c r="S299" s="175"/>
      <c r="T299" s="597"/>
      <c r="U299" s="597"/>
      <c r="V299" s="597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</row>
    <row r="300" ht="12.0" customHeight="1">
      <c r="A300" s="175"/>
      <c r="B300" s="175"/>
      <c r="C300" s="597"/>
      <c r="D300" s="597"/>
      <c r="E300" s="597"/>
      <c r="F300" s="597"/>
      <c r="G300" s="597"/>
      <c r="H300" s="597"/>
      <c r="I300" s="175"/>
      <c r="J300" s="175"/>
      <c r="K300" s="597"/>
      <c r="L300" s="597"/>
      <c r="M300" s="175"/>
      <c r="N300" s="175"/>
      <c r="O300" s="805"/>
      <c r="P300" s="175"/>
      <c r="Q300" s="175"/>
      <c r="R300" s="175"/>
      <c r="S300" s="175"/>
      <c r="T300" s="597"/>
      <c r="U300" s="597"/>
      <c r="V300" s="597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</row>
    <row r="301" ht="12.0" customHeight="1">
      <c r="A301" s="175"/>
      <c r="B301" s="175"/>
      <c r="C301" s="597"/>
      <c r="D301" s="597"/>
      <c r="E301" s="597"/>
      <c r="F301" s="597"/>
      <c r="G301" s="597"/>
      <c r="H301" s="597"/>
      <c r="I301" s="175"/>
      <c r="J301" s="175"/>
      <c r="K301" s="597"/>
      <c r="L301" s="597"/>
      <c r="M301" s="175"/>
      <c r="N301" s="175"/>
      <c r="O301" s="805"/>
      <c r="P301" s="175"/>
      <c r="Q301" s="175"/>
      <c r="R301" s="175"/>
      <c r="S301" s="175"/>
      <c r="T301" s="597"/>
      <c r="U301" s="597"/>
      <c r="V301" s="597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</row>
    <row r="302" ht="12.0" customHeight="1">
      <c r="A302" s="175"/>
      <c r="B302" s="175"/>
      <c r="C302" s="597"/>
      <c r="D302" s="597"/>
      <c r="E302" s="597"/>
      <c r="F302" s="597"/>
      <c r="G302" s="597"/>
      <c r="H302" s="597"/>
      <c r="I302" s="175"/>
      <c r="J302" s="175"/>
      <c r="K302" s="597"/>
      <c r="L302" s="597"/>
      <c r="M302" s="175"/>
      <c r="N302" s="175"/>
      <c r="O302" s="805"/>
      <c r="P302" s="175"/>
      <c r="Q302" s="175"/>
      <c r="R302" s="175"/>
      <c r="S302" s="175"/>
      <c r="T302" s="597"/>
      <c r="U302" s="597"/>
      <c r="V302" s="597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</row>
    <row r="303" ht="12.0" customHeight="1">
      <c r="A303" s="175"/>
      <c r="B303" s="175"/>
      <c r="C303" s="597"/>
      <c r="D303" s="597"/>
      <c r="E303" s="597"/>
      <c r="F303" s="597"/>
      <c r="G303" s="597"/>
      <c r="H303" s="597"/>
      <c r="I303" s="175"/>
      <c r="J303" s="175"/>
      <c r="K303" s="597"/>
      <c r="L303" s="597"/>
      <c r="M303" s="175"/>
      <c r="N303" s="175"/>
      <c r="O303" s="805"/>
      <c r="P303" s="175"/>
      <c r="Q303" s="175"/>
      <c r="R303" s="175"/>
      <c r="S303" s="175"/>
      <c r="T303" s="597"/>
      <c r="U303" s="597"/>
      <c r="V303" s="597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</row>
    <row r="304" ht="12.0" customHeight="1">
      <c r="A304" s="175"/>
      <c r="B304" s="175"/>
      <c r="C304" s="597"/>
      <c r="D304" s="597"/>
      <c r="E304" s="597"/>
      <c r="F304" s="597"/>
      <c r="G304" s="597"/>
      <c r="H304" s="597"/>
      <c r="I304" s="175"/>
      <c r="J304" s="175"/>
      <c r="K304" s="597"/>
      <c r="L304" s="597"/>
      <c r="M304" s="175"/>
      <c r="N304" s="175"/>
      <c r="O304" s="805"/>
      <c r="P304" s="175"/>
      <c r="Q304" s="175"/>
      <c r="R304" s="175"/>
      <c r="S304" s="175"/>
      <c r="T304" s="597"/>
      <c r="U304" s="597"/>
      <c r="V304" s="597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</row>
    <row r="305" ht="12.0" customHeight="1">
      <c r="A305" s="175"/>
      <c r="B305" s="175"/>
      <c r="C305" s="597"/>
      <c r="D305" s="597"/>
      <c r="E305" s="597"/>
      <c r="F305" s="597"/>
      <c r="G305" s="597"/>
      <c r="H305" s="597"/>
      <c r="I305" s="175"/>
      <c r="J305" s="175"/>
      <c r="K305" s="597"/>
      <c r="L305" s="597"/>
      <c r="M305" s="175"/>
      <c r="N305" s="175"/>
      <c r="O305" s="805"/>
      <c r="P305" s="175"/>
      <c r="Q305" s="175"/>
      <c r="R305" s="175"/>
      <c r="S305" s="175"/>
      <c r="T305" s="597"/>
      <c r="U305" s="597"/>
      <c r="V305" s="597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</row>
    <row r="306" ht="12.0" customHeight="1">
      <c r="A306" s="175"/>
      <c r="B306" s="175"/>
      <c r="C306" s="597"/>
      <c r="D306" s="597"/>
      <c r="E306" s="597"/>
      <c r="F306" s="597"/>
      <c r="G306" s="597"/>
      <c r="H306" s="597"/>
      <c r="I306" s="175"/>
      <c r="J306" s="175"/>
      <c r="K306" s="597"/>
      <c r="L306" s="597"/>
      <c r="M306" s="175"/>
      <c r="N306" s="175"/>
      <c r="O306" s="805"/>
      <c r="P306" s="175"/>
      <c r="Q306" s="175"/>
      <c r="R306" s="175"/>
      <c r="S306" s="175"/>
      <c r="T306" s="597"/>
      <c r="U306" s="597"/>
      <c r="V306" s="597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</row>
    <row r="307" ht="12.0" customHeight="1">
      <c r="A307" s="175"/>
      <c r="B307" s="175"/>
      <c r="C307" s="597"/>
      <c r="D307" s="597"/>
      <c r="E307" s="597"/>
      <c r="F307" s="597"/>
      <c r="G307" s="597"/>
      <c r="H307" s="597"/>
      <c r="I307" s="175"/>
      <c r="J307" s="175"/>
      <c r="K307" s="597"/>
      <c r="L307" s="597"/>
      <c r="M307" s="175"/>
      <c r="N307" s="175"/>
      <c r="O307" s="805"/>
      <c r="P307" s="175"/>
      <c r="Q307" s="175"/>
      <c r="R307" s="175"/>
      <c r="S307" s="175"/>
      <c r="T307" s="597"/>
      <c r="U307" s="597"/>
      <c r="V307" s="597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</row>
    <row r="308" ht="12.0" customHeight="1">
      <c r="A308" s="175"/>
      <c r="B308" s="175"/>
      <c r="C308" s="597"/>
      <c r="D308" s="597"/>
      <c r="E308" s="597"/>
      <c r="F308" s="597"/>
      <c r="G308" s="597"/>
      <c r="H308" s="597"/>
      <c r="I308" s="175"/>
      <c r="J308" s="175"/>
      <c r="K308" s="597"/>
      <c r="L308" s="597"/>
      <c r="M308" s="175"/>
      <c r="N308" s="175"/>
      <c r="O308" s="805"/>
      <c r="P308" s="175"/>
      <c r="Q308" s="175"/>
      <c r="R308" s="175"/>
      <c r="S308" s="175"/>
      <c r="T308" s="597"/>
      <c r="U308" s="597"/>
      <c r="V308" s="597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</row>
    <row r="309" ht="12.0" customHeight="1">
      <c r="A309" s="175"/>
      <c r="B309" s="175"/>
      <c r="C309" s="597"/>
      <c r="D309" s="597"/>
      <c r="E309" s="597"/>
      <c r="F309" s="597"/>
      <c r="G309" s="597"/>
      <c r="H309" s="597"/>
      <c r="I309" s="175"/>
      <c r="J309" s="175"/>
      <c r="K309" s="597"/>
      <c r="L309" s="597"/>
      <c r="M309" s="175"/>
      <c r="N309" s="175"/>
      <c r="O309" s="805"/>
      <c r="P309" s="175"/>
      <c r="Q309" s="175"/>
      <c r="R309" s="175"/>
      <c r="S309" s="175"/>
      <c r="T309" s="597"/>
      <c r="U309" s="597"/>
      <c r="V309" s="597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</row>
    <row r="310" ht="12.0" customHeight="1">
      <c r="A310" s="175"/>
      <c r="B310" s="175"/>
      <c r="C310" s="597"/>
      <c r="D310" s="597"/>
      <c r="E310" s="597"/>
      <c r="F310" s="597"/>
      <c r="G310" s="597"/>
      <c r="H310" s="597"/>
      <c r="I310" s="175"/>
      <c r="J310" s="175"/>
      <c r="K310" s="597"/>
      <c r="L310" s="597"/>
      <c r="M310" s="175"/>
      <c r="N310" s="175"/>
      <c r="O310" s="805"/>
      <c r="P310" s="175"/>
      <c r="Q310" s="175"/>
      <c r="R310" s="175"/>
      <c r="S310" s="175"/>
      <c r="T310" s="597"/>
      <c r="U310" s="597"/>
      <c r="V310" s="597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</row>
    <row r="311" ht="12.0" customHeight="1">
      <c r="A311" s="175"/>
      <c r="B311" s="175"/>
      <c r="C311" s="597"/>
      <c r="D311" s="597"/>
      <c r="E311" s="597"/>
      <c r="F311" s="597"/>
      <c r="G311" s="597"/>
      <c r="H311" s="597"/>
      <c r="I311" s="175"/>
      <c r="J311" s="175"/>
      <c r="K311" s="597"/>
      <c r="L311" s="597"/>
      <c r="M311" s="175"/>
      <c r="N311" s="175"/>
      <c r="O311" s="805"/>
      <c r="P311" s="175"/>
      <c r="Q311" s="175"/>
      <c r="R311" s="175"/>
      <c r="S311" s="175"/>
      <c r="T311" s="597"/>
      <c r="U311" s="597"/>
      <c r="V311" s="597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</row>
    <row r="312" ht="12.0" customHeight="1">
      <c r="A312" s="175"/>
      <c r="B312" s="175"/>
      <c r="C312" s="597"/>
      <c r="D312" s="597"/>
      <c r="E312" s="597"/>
      <c r="F312" s="597"/>
      <c r="G312" s="597"/>
      <c r="H312" s="597"/>
      <c r="I312" s="175"/>
      <c r="J312" s="175"/>
      <c r="K312" s="597"/>
      <c r="L312" s="597"/>
      <c r="M312" s="175"/>
      <c r="N312" s="175"/>
      <c r="O312" s="805"/>
      <c r="P312" s="175"/>
      <c r="Q312" s="175"/>
      <c r="R312" s="175"/>
      <c r="S312" s="175"/>
      <c r="T312" s="597"/>
      <c r="U312" s="597"/>
      <c r="V312" s="597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</row>
    <row r="313" ht="12.0" customHeight="1">
      <c r="A313" s="175"/>
      <c r="B313" s="175"/>
      <c r="C313" s="597"/>
      <c r="D313" s="597"/>
      <c r="E313" s="597"/>
      <c r="F313" s="597"/>
      <c r="G313" s="597"/>
      <c r="H313" s="597"/>
      <c r="I313" s="175"/>
      <c r="J313" s="175"/>
      <c r="K313" s="597"/>
      <c r="L313" s="597"/>
      <c r="M313" s="175"/>
      <c r="N313" s="175"/>
      <c r="O313" s="805"/>
      <c r="P313" s="175"/>
      <c r="Q313" s="175"/>
      <c r="R313" s="175"/>
      <c r="S313" s="175"/>
      <c r="T313" s="597"/>
      <c r="U313" s="597"/>
      <c r="V313" s="597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</row>
    <row r="314" ht="12.0" customHeight="1">
      <c r="A314" s="175"/>
      <c r="B314" s="175"/>
      <c r="C314" s="597"/>
      <c r="D314" s="597"/>
      <c r="E314" s="597"/>
      <c r="F314" s="597"/>
      <c r="G314" s="597"/>
      <c r="H314" s="597"/>
      <c r="I314" s="175"/>
      <c r="J314" s="175"/>
      <c r="K314" s="597"/>
      <c r="L314" s="597"/>
      <c r="M314" s="175"/>
      <c r="N314" s="175"/>
      <c r="O314" s="805"/>
      <c r="P314" s="175"/>
      <c r="Q314" s="175"/>
      <c r="R314" s="175"/>
      <c r="S314" s="175"/>
      <c r="T314" s="597"/>
      <c r="U314" s="597"/>
      <c r="V314" s="597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</row>
    <row r="315" ht="12.0" customHeight="1">
      <c r="A315" s="175"/>
      <c r="B315" s="175"/>
      <c r="C315" s="597"/>
      <c r="D315" s="597"/>
      <c r="E315" s="597"/>
      <c r="F315" s="597"/>
      <c r="G315" s="597"/>
      <c r="H315" s="597"/>
      <c r="I315" s="175"/>
      <c r="J315" s="175"/>
      <c r="K315" s="597"/>
      <c r="L315" s="597"/>
      <c r="M315" s="175"/>
      <c r="N315" s="175"/>
      <c r="O315" s="805"/>
      <c r="P315" s="175"/>
      <c r="Q315" s="175"/>
      <c r="R315" s="175"/>
      <c r="S315" s="175"/>
      <c r="T315" s="597"/>
      <c r="U315" s="597"/>
      <c r="V315" s="597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</row>
    <row r="316" ht="12.0" customHeight="1">
      <c r="A316" s="175"/>
      <c r="B316" s="175"/>
      <c r="C316" s="597"/>
      <c r="D316" s="597"/>
      <c r="E316" s="597"/>
      <c r="F316" s="597"/>
      <c r="G316" s="597"/>
      <c r="H316" s="597"/>
      <c r="I316" s="175"/>
      <c r="J316" s="175"/>
      <c r="K316" s="597"/>
      <c r="L316" s="597"/>
      <c r="M316" s="175"/>
      <c r="N316" s="175"/>
      <c r="O316" s="805"/>
      <c r="P316" s="175"/>
      <c r="Q316" s="175"/>
      <c r="R316" s="175"/>
      <c r="S316" s="175"/>
      <c r="T316" s="597"/>
      <c r="U316" s="597"/>
      <c r="V316" s="597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</row>
    <row r="317" ht="12.0" customHeight="1">
      <c r="A317" s="175"/>
      <c r="B317" s="175"/>
      <c r="C317" s="597"/>
      <c r="D317" s="597"/>
      <c r="E317" s="597"/>
      <c r="F317" s="597"/>
      <c r="G317" s="597"/>
      <c r="H317" s="597"/>
      <c r="I317" s="175"/>
      <c r="J317" s="175"/>
      <c r="K317" s="597"/>
      <c r="L317" s="597"/>
      <c r="M317" s="175"/>
      <c r="N317" s="175"/>
      <c r="O317" s="805"/>
      <c r="P317" s="175"/>
      <c r="Q317" s="175"/>
      <c r="R317" s="175"/>
      <c r="S317" s="175"/>
      <c r="T317" s="597"/>
      <c r="U317" s="597"/>
      <c r="V317" s="597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</row>
    <row r="318" ht="12.0" customHeight="1">
      <c r="A318" s="175"/>
      <c r="B318" s="175"/>
      <c r="C318" s="597"/>
      <c r="D318" s="597"/>
      <c r="E318" s="597"/>
      <c r="F318" s="597"/>
      <c r="G318" s="597"/>
      <c r="H318" s="597"/>
      <c r="I318" s="175"/>
      <c r="J318" s="175"/>
      <c r="K318" s="597"/>
      <c r="L318" s="597"/>
      <c r="M318" s="175"/>
      <c r="N318" s="175"/>
      <c r="O318" s="805"/>
      <c r="P318" s="175"/>
      <c r="Q318" s="175"/>
      <c r="R318" s="175"/>
      <c r="S318" s="175"/>
      <c r="T318" s="597"/>
      <c r="U318" s="597"/>
      <c r="V318" s="597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</row>
    <row r="319" ht="12.0" customHeight="1">
      <c r="A319" s="175"/>
      <c r="B319" s="175"/>
      <c r="C319" s="597"/>
      <c r="D319" s="597"/>
      <c r="E319" s="597"/>
      <c r="F319" s="597"/>
      <c r="G319" s="597"/>
      <c r="H319" s="597"/>
      <c r="I319" s="175"/>
      <c r="J319" s="175"/>
      <c r="K319" s="597"/>
      <c r="L319" s="597"/>
      <c r="M319" s="175"/>
      <c r="N319" s="175"/>
      <c r="O319" s="805"/>
      <c r="P319" s="175"/>
      <c r="Q319" s="175"/>
      <c r="R319" s="175"/>
      <c r="S319" s="175"/>
      <c r="T319" s="597"/>
      <c r="U319" s="597"/>
      <c r="V319" s="597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</row>
    <row r="320" ht="12.0" customHeight="1">
      <c r="A320" s="175"/>
      <c r="B320" s="175"/>
      <c r="C320" s="597"/>
      <c r="D320" s="597"/>
      <c r="E320" s="597"/>
      <c r="F320" s="597"/>
      <c r="G320" s="597"/>
      <c r="H320" s="597"/>
      <c r="I320" s="175"/>
      <c r="J320" s="175"/>
      <c r="K320" s="597"/>
      <c r="L320" s="597"/>
      <c r="M320" s="175"/>
      <c r="N320" s="175"/>
      <c r="O320" s="805"/>
      <c r="P320" s="175"/>
      <c r="Q320" s="175"/>
      <c r="R320" s="175"/>
      <c r="S320" s="175"/>
      <c r="T320" s="597"/>
      <c r="U320" s="597"/>
      <c r="V320" s="597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</row>
    <row r="321" ht="12.0" customHeight="1">
      <c r="A321" s="175"/>
      <c r="B321" s="175"/>
      <c r="C321" s="597"/>
      <c r="D321" s="597"/>
      <c r="E321" s="597"/>
      <c r="F321" s="597"/>
      <c r="G321" s="597"/>
      <c r="H321" s="597"/>
      <c r="I321" s="175"/>
      <c r="J321" s="175"/>
      <c r="K321" s="597"/>
      <c r="L321" s="597"/>
      <c r="M321" s="175"/>
      <c r="N321" s="175"/>
      <c r="O321" s="805"/>
      <c r="P321" s="175"/>
      <c r="Q321" s="175"/>
      <c r="R321" s="175"/>
      <c r="S321" s="175"/>
      <c r="T321" s="597"/>
      <c r="U321" s="597"/>
      <c r="V321" s="597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</row>
    <row r="322" ht="12.0" customHeight="1">
      <c r="A322" s="175"/>
      <c r="B322" s="175"/>
      <c r="C322" s="597"/>
      <c r="D322" s="597"/>
      <c r="E322" s="597"/>
      <c r="F322" s="597"/>
      <c r="G322" s="597"/>
      <c r="H322" s="597"/>
      <c r="I322" s="175"/>
      <c r="J322" s="175"/>
      <c r="K322" s="597"/>
      <c r="L322" s="597"/>
      <c r="M322" s="175"/>
      <c r="N322" s="175"/>
      <c r="O322" s="805"/>
      <c r="P322" s="175"/>
      <c r="Q322" s="175"/>
      <c r="R322" s="175"/>
      <c r="S322" s="175"/>
      <c r="T322" s="597"/>
      <c r="U322" s="597"/>
      <c r="V322" s="597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</row>
    <row r="323" ht="12.0" customHeight="1">
      <c r="A323" s="175"/>
      <c r="B323" s="175"/>
      <c r="C323" s="597"/>
      <c r="D323" s="597"/>
      <c r="E323" s="597"/>
      <c r="F323" s="597"/>
      <c r="G323" s="597"/>
      <c r="H323" s="597"/>
      <c r="I323" s="175"/>
      <c r="J323" s="175"/>
      <c r="K323" s="597"/>
      <c r="L323" s="597"/>
      <c r="M323" s="175"/>
      <c r="N323" s="175"/>
      <c r="O323" s="805"/>
      <c r="P323" s="175"/>
      <c r="Q323" s="175"/>
      <c r="R323" s="175"/>
      <c r="S323" s="175"/>
      <c r="T323" s="597"/>
      <c r="U323" s="597"/>
      <c r="V323" s="597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</row>
    <row r="324" ht="12.0" customHeight="1">
      <c r="A324" s="175"/>
      <c r="B324" s="175"/>
      <c r="C324" s="597"/>
      <c r="D324" s="597"/>
      <c r="E324" s="597"/>
      <c r="F324" s="597"/>
      <c r="G324" s="597"/>
      <c r="H324" s="597"/>
      <c r="I324" s="175"/>
      <c r="J324" s="175"/>
      <c r="K324" s="597"/>
      <c r="L324" s="597"/>
      <c r="M324" s="175"/>
      <c r="N324" s="175"/>
      <c r="O324" s="805"/>
      <c r="P324" s="175"/>
      <c r="Q324" s="175"/>
      <c r="R324" s="175"/>
      <c r="S324" s="175"/>
      <c r="T324" s="597"/>
      <c r="U324" s="597"/>
      <c r="V324" s="597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</row>
    <row r="325" ht="12.0" customHeight="1">
      <c r="A325" s="175"/>
      <c r="B325" s="175"/>
      <c r="C325" s="597"/>
      <c r="D325" s="597"/>
      <c r="E325" s="597"/>
      <c r="F325" s="597"/>
      <c r="G325" s="597"/>
      <c r="H325" s="597"/>
      <c r="I325" s="175"/>
      <c r="J325" s="175"/>
      <c r="K325" s="597"/>
      <c r="L325" s="597"/>
      <c r="M325" s="175"/>
      <c r="N325" s="175"/>
      <c r="O325" s="805"/>
      <c r="P325" s="175"/>
      <c r="Q325" s="175"/>
      <c r="R325" s="175"/>
      <c r="S325" s="175"/>
      <c r="T325" s="597"/>
      <c r="U325" s="597"/>
      <c r="V325" s="597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</row>
    <row r="326" ht="12.0" customHeight="1">
      <c r="A326" s="175"/>
      <c r="B326" s="175"/>
      <c r="C326" s="597"/>
      <c r="D326" s="597"/>
      <c r="E326" s="597"/>
      <c r="F326" s="597"/>
      <c r="G326" s="597"/>
      <c r="H326" s="597"/>
      <c r="I326" s="175"/>
      <c r="J326" s="175"/>
      <c r="K326" s="597"/>
      <c r="L326" s="597"/>
      <c r="M326" s="175"/>
      <c r="N326" s="175"/>
      <c r="O326" s="805"/>
      <c r="P326" s="175"/>
      <c r="Q326" s="175"/>
      <c r="R326" s="175"/>
      <c r="S326" s="175"/>
      <c r="T326" s="597"/>
      <c r="U326" s="597"/>
      <c r="V326" s="597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</row>
    <row r="327" ht="12.0" customHeight="1">
      <c r="A327" s="175"/>
      <c r="B327" s="175"/>
      <c r="C327" s="597"/>
      <c r="D327" s="597"/>
      <c r="E327" s="597"/>
      <c r="F327" s="597"/>
      <c r="G327" s="597"/>
      <c r="H327" s="597"/>
      <c r="I327" s="175"/>
      <c r="J327" s="175"/>
      <c r="K327" s="597"/>
      <c r="L327" s="597"/>
      <c r="M327" s="175"/>
      <c r="N327" s="175"/>
      <c r="O327" s="805"/>
      <c r="P327" s="175"/>
      <c r="Q327" s="175"/>
      <c r="R327" s="175"/>
      <c r="S327" s="175"/>
      <c r="T327" s="597"/>
      <c r="U327" s="597"/>
      <c r="V327" s="597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</row>
    <row r="328" ht="12.0" customHeight="1">
      <c r="A328" s="175"/>
      <c r="B328" s="175"/>
      <c r="C328" s="597"/>
      <c r="D328" s="597"/>
      <c r="E328" s="597"/>
      <c r="F328" s="597"/>
      <c r="G328" s="597"/>
      <c r="H328" s="597"/>
      <c r="I328" s="175"/>
      <c r="J328" s="175"/>
      <c r="K328" s="597"/>
      <c r="L328" s="597"/>
      <c r="M328" s="175"/>
      <c r="N328" s="175"/>
      <c r="O328" s="805"/>
      <c r="P328" s="175"/>
      <c r="Q328" s="175"/>
      <c r="R328" s="175"/>
      <c r="S328" s="175"/>
      <c r="T328" s="597"/>
      <c r="U328" s="597"/>
      <c r="V328" s="597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</row>
    <row r="329" ht="12.0" customHeight="1">
      <c r="A329" s="175"/>
      <c r="B329" s="175"/>
      <c r="C329" s="597"/>
      <c r="D329" s="597"/>
      <c r="E329" s="597"/>
      <c r="F329" s="597"/>
      <c r="G329" s="597"/>
      <c r="H329" s="597"/>
      <c r="I329" s="175"/>
      <c r="J329" s="175"/>
      <c r="K329" s="597"/>
      <c r="L329" s="597"/>
      <c r="M329" s="175"/>
      <c r="N329" s="175"/>
      <c r="O329" s="805"/>
      <c r="P329" s="175"/>
      <c r="Q329" s="175"/>
      <c r="R329" s="175"/>
      <c r="S329" s="175"/>
      <c r="T329" s="597"/>
      <c r="U329" s="597"/>
      <c r="V329" s="597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</row>
    <row r="330" ht="12.0" customHeight="1">
      <c r="A330" s="175"/>
      <c r="B330" s="175"/>
      <c r="C330" s="597"/>
      <c r="D330" s="597"/>
      <c r="E330" s="597"/>
      <c r="F330" s="597"/>
      <c r="G330" s="597"/>
      <c r="H330" s="597"/>
      <c r="I330" s="175"/>
      <c r="J330" s="175"/>
      <c r="K330" s="597"/>
      <c r="L330" s="597"/>
      <c r="M330" s="175"/>
      <c r="N330" s="175"/>
      <c r="O330" s="805"/>
      <c r="P330" s="175"/>
      <c r="Q330" s="175"/>
      <c r="R330" s="175"/>
      <c r="S330" s="175"/>
      <c r="T330" s="597"/>
      <c r="U330" s="597"/>
      <c r="V330" s="597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</row>
    <row r="331" ht="12.0" customHeight="1">
      <c r="A331" s="175"/>
      <c r="B331" s="175"/>
      <c r="C331" s="597"/>
      <c r="D331" s="597"/>
      <c r="E331" s="597"/>
      <c r="F331" s="597"/>
      <c r="G331" s="597"/>
      <c r="H331" s="597"/>
      <c r="I331" s="175"/>
      <c r="J331" s="175"/>
      <c r="K331" s="597"/>
      <c r="L331" s="597"/>
      <c r="M331" s="175"/>
      <c r="N331" s="175"/>
      <c r="O331" s="805"/>
      <c r="P331" s="175"/>
      <c r="Q331" s="175"/>
      <c r="R331" s="175"/>
      <c r="S331" s="175"/>
      <c r="T331" s="597"/>
      <c r="U331" s="597"/>
      <c r="V331" s="597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</row>
    <row r="332" ht="12.0" customHeight="1">
      <c r="A332" s="175"/>
      <c r="B332" s="175"/>
      <c r="C332" s="597"/>
      <c r="D332" s="597"/>
      <c r="E332" s="597"/>
      <c r="F332" s="597"/>
      <c r="G332" s="597"/>
      <c r="H332" s="597"/>
      <c r="I332" s="175"/>
      <c r="J332" s="175"/>
      <c r="K332" s="597"/>
      <c r="L332" s="597"/>
      <c r="M332" s="175"/>
      <c r="N332" s="175"/>
      <c r="O332" s="805"/>
      <c r="P332" s="175"/>
      <c r="Q332" s="175"/>
      <c r="R332" s="175"/>
      <c r="S332" s="175"/>
      <c r="T332" s="597"/>
      <c r="U332" s="597"/>
      <c r="V332" s="597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</row>
    <row r="333" ht="12.0" customHeight="1">
      <c r="A333" s="175"/>
      <c r="B333" s="175"/>
      <c r="C333" s="597"/>
      <c r="D333" s="597"/>
      <c r="E333" s="597"/>
      <c r="F333" s="597"/>
      <c r="G333" s="597"/>
      <c r="H333" s="597"/>
      <c r="I333" s="175"/>
      <c r="J333" s="175"/>
      <c r="K333" s="597"/>
      <c r="L333" s="597"/>
      <c r="M333" s="175"/>
      <c r="N333" s="175"/>
      <c r="O333" s="805"/>
      <c r="P333" s="175"/>
      <c r="Q333" s="175"/>
      <c r="R333" s="175"/>
      <c r="S333" s="175"/>
      <c r="T333" s="597"/>
      <c r="U333" s="597"/>
      <c r="V333" s="597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</row>
    <row r="334" ht="12.0" customHeight="1">
      <c r="A334" s="175"/>
      <c r="B334" s="175"/>
      <c r="C334" s="597"/>
      <c r="D334" s="597"/>
      <c r="E334" s="597"/>
      <c r="F334" s="597"/>
      <c r="G334" s="597"/>
      <c r="H334" s="597"/>
      <c r="I334" s="175"/>
      <c r="J334" s="175"/>
      <c r="K334" s="597"/>
      <c r="L334" s="597"/>
      <c r="M334" s="175"/>
      <c r="N334" s="175"/>
      <c r="O334" s="805"/>
      <c r="P334" s="175"/>
      <c r="Q334" s="175"/>
      <c r="R334" s="175"/>
      <c r="S334" s="175"/>
      <c r="T334" s="597"/>
      <c r="U334" s="597"/>
      <c r="V334" s="597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</row>
    <row r="335" ht="12.0" customHeight="1">
      <c r="A335" s="175"/>
      <c r="B335" s="175"/>
      <c r="C335" s="597"/>
      <c r="D335" s="597"/>
      <c r="E335" s="597"/>
      <c r="F335" s="597"/>
      <c r="G335" s="597"/>
      <c r="H335" s="597"/>
      <c r="I335" s="175"/>
      <c r="J335" s="175"/>
      <c r="K335" s="597"/>
      <c r="L335" s="597"/>
      <c r="M335" s="175"/>
      <c r="N335" s="175"/>
      <c r="O335" s="805"/>
      <c r="P335" s="175"/>
      <c r="Q335" s="175"/>
      <c r="R335" s="175"/>
      <c r="S335" s="175"/>
      <c r="T335" s="597"/>
      <c r="U335" s="597"/>
      <c r="V335" s="597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</row>
    <row r="336" ht="12.0" customHeight="1">
      <c r="A336" s="175"/>
      <c r="B336" s="175"/>
      <c r="C336" s="597"/>
      <c r="D336" s="597"/>
      <c r="E336" s="597"/>
      <c r="F336" s="597"/>
      <c r="G336" s="597"/>
      <c r="H336" s="597"/>
      <c r="I336" s="175"/>
      <c r="J336" s="175"/>
      <c r="K336" s="597"/>
      <c r="L336" s="597"/>
      <c r="M336" s="175"/>
      <c r="N336" s="175"/>
      <c r="O336" s="805"/>
      <c r="P336" s="175"/>
      <c r="Q336" s="175"/>
      <c r="R336" s="175"/>
      <c r="S336" s="175"/>
      <c r="T336" s="597"/>
      <c r="U336" s="597"/>
      <c r="V336" s="597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</row>
    <row r="337" ht="12.0" customHeight="1">
      <c r="A337" s="175"/>
      <c r="B337" s="175"/>
      <c r="C337" s="597"/>
      <c r="D337" s="597"/>
      <c r="E337" s="597"/>
      <c r="F337" s="597"/>
      <c r="G337" s="597"/>
      <c r="H337" s="597"/>
      <c r="I337" s="175"/>
      <c r="J337" s="175"/>
      <c r="K337" s="597"/>
      <c r="L337" s="597"/>
      <c r="M337" s="175"/>
      <c r="N337" s="175"/>
      <c r="O337" s="805"/>
      <c r="P337" s="175"/>
      <c r="Q337" s="175"/>
      <c r="R337" s="175"/>
      <c r="S337" s="175"/>
      <c r="T337" s="597"/>
      <c r="U337" s="597"/>
      <c r="V337" s="597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</row>
    <row r="338" ht="12.0" customHeight="1">
      <c r="A338" s="175"/>
      <c r="B338" s="175"/>
      <c r="C338" s="597"/>
      <c r="D338" s="597"/>
      <c r="E338" s="597"/>
      <c r="F338" s="597"/>
      <c r="G338" s="597"/>
      <c r="H338" s="597"/>
      <c r="I338" s="175"/>
      <c r="J338" s="175"/>
      <c r="K338" s="597"/>
      <c r="L338" s="597"/>
      <c r="M338" s="175"/>
      <c r="N338" s="175"/>
      <c r="O338" s="805"/>
      <c r="P338" s="175"/>
      <c r="Q338" s="175"/>
      <c r="R338" s="175"/>
      <c r="S338" s="175"/>
      <c r="T338" s="597"/>
      <c r="U338" s="597"/>
      <c r="V338" s="597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</row>
    <row r="339" ht="12.0" customHeight="1">
      <c r="A339" s="175"/>
      <c r="B339" s="175"/>
      <c r="C339" s="597"/>
      <c r="D339" s="597"/>
      <c r="E339" s="597"/>
      <c r="F339" s="597"/>
      <c r="G339" s="597"/>
      <c r="H339" s="597"/>
      <c r="I339" s="175"/>
      <c r="J339" s="175"/>
      <c r="K339" s="597"/>
      <c r="L339" s="597"/>
      <c r="M339" s="175"/>
      <c r="N339" s="175"/>
      <c r="O339" s="805"/>
      <c r="P339" s="175"/>
      <c r="Q339" s="175"/>
      <c r="R339" s="175"/>
      <c r="S339" s="175"/>
      <c r="T339" s="597"/>
      <c r="U339" s="597"/>
      <c r="V339" s="597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</row>
    <row r="340" ht="12.0" customHeight="1">
      <c r="A340" s="175"/>
      <c r="B340" s="175"/>
      <c r="C340" s="597"/>
      <c r="D340" s="597"/>
      <c r="E340" s="597"/>
      <c r="F340" s="597"/>
      <c r="G340" s="597"/>
      <c r="H340" s="597"/>
      <c r="I340" s="175"/>
      <c r="J340" s="175"/>
      <c r="K340" s="597"/>
      <c r="L340" s="597"/>
      <c r="M340" s="175"/>
      <c r="N340" s="175"/>
      <c r="O340" s="805"/>
      <c r="P340" s="175"/>
      <c r="Q340" s="175"/>
      <c r="R340" s="175"/>
      <c r="S340" s="175"/>
      <c r="T340" s="597"/>
      <c r="U340" s="597"/>
      <c r="V340" s="597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</row>
    <row r="341" ht="12.0" customHeight="1">
      <c r="A341" s="175"/>
      <c r="B341" s="175"/>
      <c r="C341" s="597"/>
      <c r="D341" s="597"/>
      <c r="E341" s="597"/>
      <c r="F341" s="597"/>
      <c r="G341" s="597"/>
      <c r="H341" s="597"/>
      <c r="I341" s="175"/>
      <c r="J341" s="175"/>
      <c r="K341" s="597"/>
      <c r="L341" s="597"/>
      <c r="M341" s="175"/>
      <c r="N341" s="175"/>
      <c r="O341" s="805"/>
      <c r="P341" s="175"/>
      <c r="Q341" s="175"/>
      <c r="R341" s="175"/>
      <c r="S341" s="175"/>
      <c r="T341" s="597"/>
      <c r="U341" s="597"/>
      <c r="V341" s="597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</row>
    <row r="342" ht="12.0" customHeight="1">
      <c r="A342" s="175"/>
      <c r="B342" s="175"/>
      <c r="C342" s="597"/>
      <c r="D342" s="597"/>
      <c r="E342" s="597"/>
      <c r="F342" s="597"/>
      <c r="G342" s="597"/>
      <c r="H342" s="597"/>
      <c r="I342" s="175"/>
      <c r="J342" s="175"/>
      <c r="K342" s="597"/>
      <c r="L342" s="597"/>
      <c r="M342" s="175"/>
      <c r="N342" s="175"/>
      <c r="O342" s="805"/>
      <c r="P342" s="175"/>
      <c r="Q342" s="175"/>
      <c r="R342" s="175"/>
      <c r="S342" s="175"/>
      <c r="T342" s="597"/>
      <c r="U342" s="597"/>
      <c r="V342" s="597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</row>
    <row r="343" ht="12.0" customHeight="1">
      <c r="A343" s="175"/>
      <c r="B343" s="175"/>
      <c r="C343" s="597"/>
      <c r="D343" s="597"/>
      <c r="E343" s="597"/>
      <c r="F343" s="597"/>
      <c r="G343" s="597"/>
      <c r="H343" s="597"/>
      <c r="I343" s="175"/>
      <c r="J343" s="175"/>
      <c r="K343" s="597"/>
      <c r="L343" s="597"/>
      <c r="M343" s="175"/>
      <c r="N343" s="175"/>
      <c r="O343" s="805"/>
      <c r="P343" s="175"/>
      <c r="Q343" s="175"/>
      <c r="R343" s="175"/>
      <c r="S343" s="175"/>
      <c r="T343" s="597"/>
      <c r="U343" s="597"/>
      <c r="V343" s="597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</row>
    <row r="344" ht="12.0" customHeight="1">
      <c r="A344" s="175"/>
      <c r="B344" s="175"/>
      <c r="C344" s="597"/>
      <c r="D344" s="597"/>
      <c r="E344" s="597"/>
      <c r="F344" s="597"/>
      <c r="G344" s="597"/>
      <c r="H344" s="597"/>
      <c r="I344" s="175"/>
      <c r="J344" s="175"/>
      <c r="K344" s="597"/>
      <c r="L344" s="597"/>
      <c r="M344" s="175"/>
      <c r="N344" s="175"/>
      <c r="O344" s="805"/>
      <c r="P344" s="175"/>
      <c r="Q344" s="175"/>
      <c r="R344" s="175"/>
      <c r="S344" s="175"/>
      <c r="T344" s="597"/>
      <c r="U344" s="597"/>
      <c r="V344" s="597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</row>
    <row r="345" ht="12.0" customHeight="1">
      <c r="A345" s="175"/>
      <c r="B345" s="175"/>
      <c r="C345" s="597"/>
      <c r="D345" s="597"/>
      <c r="E345" s="597"/>
      <c r="F345" s="597"/>
      <c r="G345" s="597"/>
      <c r="H345" s="597"/>
      <c r="I345" s="175"/>
      <c r="J345" s="175"/>
      <c r="K345" s="597"/>
      <c r="L345" s="597"/>
      <c r="M345" s="175"/>
      <c r="N345" s="175"/>
      <c r="O345" s="805"/>
      <c r="P345" s="175"/>
      <c r="Q345" s="175"/>
      <c r="R345" s="175"/>
      <c r="S345" s="175"/>
      <c r="T345" s="597"/>
      <c r="U345" s="597"/>
      <c r="V345" s="597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</row>
    <row r="346" ht="12.0" customHeight="1">
      <c r="A346" s="175"/>
      <c r="B346" s="175"/>
      <c r="C346" s="597"/>
      <c r="D346" s="597"/>
      <c r="E346" s="597"/>
      <c r="F346" s="597"/>
      <c r="G346" s="597"/>
      <c r="H346" s="597"/>
      <c r="I346" s="175"/>
      <c r="J346" s="175"/>
      <c r="K346" s="597"/>
      <c r="L346" s="597"/>
      <c r="M346" s="175"/>
      <c r="N346" s="175"/>
      <c r="O346" s="805"/>
      <c r="P346" s="175"/>
      <c r="Q346" s="175"/>
      <c r="R346" s="175"/>
      <c r="S346" s="175"/>
      <c r="T346" s="597"/>
      <c r="U346" s="597"/>
      <c r="V346" s="597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</row>
    <row r="347" ht="12.0" customHeight="1">
      <c r="A347" s="175"/>
      <c r="B347" s="175"/>
      <c r="C347" s="597"/>
      <c r="D347" s="597"/>
      <c r="E347" s="597"/>
      <c r="F347" s="597"/>
      <c r="G347" s="597"/>
      <c r="H347" s="597"/>
      <c r="I347" s="175"/>
      <c r="J347" s="175"/>
      <c r="K347" s="597"/>
      <c r="L347" s="597"/>
      <c r="M347" s="175"/>
      <c r="N347" s="175"/>
      <c r="O347" s="805"/>
      <c r="P347" s="175"/>
      <c r="Q347" s="175"/>
      <c r="R347" s="175"/>
      <c r="S347" s="175"/>
      <c r="T347" s="597"/>
      <c r="U347" s="597"/>
      <c r="V347" s="597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</row>
    <row r="348" ht="12.0" customHeight="1">
      <c r="A348" s="175"/>
      <c r="B348" s="175"/>
      <c r="C348" s="597"/>
      <c r="D348" s="597"/>
      <c r="E348" s="597"/>
      <c r="F348" s="597"/>
      <c r="G348" s="597"/>
      <c r="H348" s="597"/>
      <c r="I348" s="175"/>
      <c r="J348" s="175"/>
      <c r="K348" s="597"/>
      <c r="L348" s="597"/>
      <c r="M348" s="175"/>
      <c r="N348" s="175"/>
      <c r="O348" s="805"/>
      <c r="P348" s="175"/>
      <c r="Q348" s="175"/>
      <c r="R348" s="175"/>
      <c r="S348" s="175"/>
      <c r="T348" s="597"/>
      <c r="U348" s="597"/>
      <c r="V348" s="597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</row>
    <row r="349" ht="12.0" customHeight="1">
      <c r="A349" s="175"/>
      <c r="B349" s="175"/>
      <c r="C349" s="597"/>
      <c r="D349" s="597"/>
      <c r="E349" s="597"/>
      <c r="F349" s="597"/>
      <c r="G349" s="597"/>
      <c r="H349" s="597"/>
      <c r="I349" s="175"/>
      <c r="J349" s="175"/>
      <c r="K349" s="597"/>
      <c r="L349" s="597"/>
      <c r="M349" s="175"/>
      <c r="N349" s="175"/>
      <c r="O349" s="805"/>
      <c r="P349" s="175"/>
      <c r="Q349" s="175"/>
      <c r="R349" s="175"/>
      <c r="S349" s="175"/>
      <c r="T349" s="597"/>
      <c r="U349" s="597"/>
      <c r="V349" s="597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</row>
    <row r="350" ht="12.0" customHeight="1">
      <c r="A350" s="175"/>
      <c r="B350" s="175"/>
      <c r="C350" s="597"/>
      <c r="D350" s="597"/>
      <c r="E350" s="597"/>
      <c r="F350" s="597"/>
      <c r="G350" s="597"/>
      <c r="H350" s="597"/>
      <c r="I350" s="175"/>
      <c r="J350" s="175"/>
      <c r="K350" s="597"/>
      <c r="L350" s="597"/>
      <c r="M350" s="175"/>
      <c r="N350" s="175"/>
      <c r="O350" s="805"/>
      <c r="P350" s="175"/>
      <c r="Q350" s="175"/>
      <c r="R350" s="175"/>
      <c r="S350" s="175"/>
      <c r="T350" s="597"/>
      <c r="U350" s="597"/>
      <c r="V350" s="597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</row>
    <row r="351" ht="12.0" customHeight="1">
      <c r="A351" s="175"/>
      <c r="B351" s="175"/>
      <c r="C351" s="597"/>
      <c r="D351" s="597"/>
      <c r="E351" s="597"/>
      <c r="F351" s="597"/>
      <c r="G351" s="597"/>
      <c r="H351" s="597"/>
      <c r="I351" s="175"/>
      <c r="J351" s="175"/>
      <c r="K351" s="597"/>
      <c r="L351" s="597"/>
      <c r="M351" s="175"/>
      <c r="N351" s="175"/>
      <c r="O351" s="805"/>
      <c r="P351" s="175"/>
      <c r="Q351" s="175"/>
      <c r="R351" s="175"/>
      <c r="S351" s="175"/>
      <c r="T351" s="597"/>
      <c r="U351" s="597"/>
      <c r="V351" s="597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</row>
    <row r="352" ht="12.0" customHeight="1">
      <c r="A352" s="175"/>
      <c r="B352" s="175"/>
      <c r="C352" s="597"/>
      <c r="D352" s="597"/>
      <c r="E352" s="597"/>
      <c r="F352" s="597"/>
      <c r="G352" s="597"/>
      <c r="H352" s="597"/>
      <c r="I352" s="175"/>
      <c r="J352" s="175"/>
      <c r="K352" s="597"/>
      <c r="L352" s="597"/>
      <c r="M352" s="175"/>
      <c r="N352" s="175"/>
      <c r="O352" s="805"/>
      <c r="P352" s="175"/>
      <c r="Q352" s="175"/>
      <c r="R352" s="175"/>
      <c r="S352" s="175"/>
      <c r="T352" s="597"/>
      <c r="U352" s="597"/>
      <c r="V352" s="597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</row>
    <row r="353" ht="12.0" customHeight="1">
      <c r="A353" s="175"/>
      <c r="B353" s="175"/>
      <c r="C353" s="597"/>
      <c r="D353" s="597"/>
      <c r="E353" s="597"/>
      <c r="F353" s="597"/>
      <c r="G353" s="597"/>
      <c r="H353" s="597"/>
      <c r="I353" s="175"/>
      <c r="J353" s="175"/>
      <c r="K353" s="597"/>
      <c r="L353" s="597"/>
      <c r="M353" s="175"/>
      <c r="N353" s="175"/>
      <c r="O353" s="805"/>
      <c r="P353" s="175"/>
      <c r="Q353" s="175"/>
      <c r="R353" s="175"/>
      <c r="S353" s="175"/>
      <c r="T353" s="597"/>
      <c r="U353" s="597"/>
      <c r="V353" s="597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</row>
    <row r="354" ht="12.0" customHeight="1">
      <c r="A354" s="175"/>
      <c r="B354" s="175"/>
      <c r="C354" s="597"/>
      <c r="D354" s="597"/>
      <c r="E354" s="597"/>
      <c r="F354" s="597"/>
      <c r="G354" s="597"/>
      <c r="H354" s="597"/>
      <c r="I354" s="175"/>
      <c r="J354" s="175"/>
      <c r="K354" s="597"/>
      <c r="L354" s="597"/>
      <c r="M354" s="175"/>
      <c r="N354" s="175"/>
      <c r="O354" s="805"/>
      <c r="P354" s="175"/>
      <c r="Q354" s="175"/>
      <c r="R354" s="175"/>
      <c r="S354" s="175"/>
      <c r="T354" s="597"/>
      <c r="U354" s="597"/>
      <c r="V354" s="597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</row>
    <row r="355" ht="12.0" customHeight="1">
      <c r="A355" s="175"/>
      <c r="B355" s="175"/>
      <c r="C355" s="597"/>
      <c r="D355" s="597"/>
      <c r="E355" s="597"/>
      <c r="F355" s="597"/>
      <c r="G355" s="597"/>
      <c r="H355" s="597"/>
      <c r="I355" s="175"/>
      <c r="J355" s="175"/>
      <c r="K355" s="597"/>
      <c r="L355" s="597"/>
      <c r="M355" s="175"/>
      <c r="N355" s="175"/>
      <c r="O355" s="805"/>
      <c r="P355" s="175"/>
      <c r="Q355" s="175"/>
      <c r="R355" s="175"/>
      <c r="S355" s="175"/>
      <c r="T355" s="597"/>
      <c r="U355" s="597"/>
      <c r="V355" s="597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</row>
    <row r="356" ht="12.0" customHeight="1">
      <c r="A356" s="175"/>
      <c r="B356" s="175"/>
      <c r="C356" s="597"/>
      <c r="D356" s="597"/>
      <c r="E356" s="597"/>
      <c r="F356" s="597"/>
      <c r="G356" s="597"/>
      <c r="H356" s="597"/>
      <c r="I356" s="175"/>
      <c r="J356" s="175"/>
      <c r="K356" s="597"/>
      <c r="L356" s="597"/>
      <c r="M356" s="175"/>
      <c r="N356" s="175"/>
      <c r="O356" s="805"/>
      <c r="P356" s="175"/>
      <c r="Q356" s="175"/>
      <c r="R356" s="175"/>
      <c r="S356" s="175"/>
      <c r="T356" s="597"/>
      <c r="U356" s="597"/>
      <c r="V356" s="597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</row>
    <row r="357" ht="12.0" customHeight="1">
      <c r="A357" s="175"/>
      <c r="B357" s="175"/>
      <c r="C357" s="597"/>
      <c r="D357" s="597"/>
      <c r="E357" s="597"/>
      <c r="F357" s="597"/>
      <c r="G357" s="597"/>
      <c r="H357" s="597"/>
      <c r="I357" s="175"/>
      <c r="J357" s="175"/>
      <c r="K357" s="597"/>
      <c r="L357" s="597"/>
      <c r="M357" s="175"/>
      <c r="N357" s="175"/>
      <c r="O357" s="805"/>
      <c r="P357" s="175"/>
      <c r="Q357" s="175"/>
      <c r="R357" s="175"/>
      <c r="S357" s="175"/>
      <c r="T357" s="597"/>
      <c r="U357" s="597"/>
      <c r="V357" s="597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</row>
    <row r="358" ht="12.0" customHeight="1">
      <c r="A358" s="175"/>
      <c r="B358" s="175"/>
      <c r="C358" s="597"/>
      <c r="D358" s="597"/>
      <c r="E358" s="597"/>
      <c r="F358" s="597"/>
      <c r="G358" s="597"/>
      <c r="H358" s="597"/>
      <c r="I358" s="175"/>
      <c r="J358" s="175"/>
      <c r="K358" s="597"/>
      <c r="L358" s="597"/>
      <c r="M358" s="175"/>
      <c r="N358" s="175"/>
      <c r="O358" s="805"/>
      <c r="P358" s="175"/>
      <c r="Q358" s="175"/>
      <c r="R358" s="175"/>
      <c r="S358" s="175"/>
      <c r="T358" s="597"/>
      <c r="U358" s="597"/>
      <c r="V358" s="597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</row>
    <row r="359" ht="12.0" customHeight="1">
      <c r="A359" s="175"/>
      <c r="B359" s="175"/>
      <c r="C359" s="597"/>
      <c r="D359" s="597"/>
      <c r="E359" s="597"/>
      <c r="F359" s="597"/>
      <c r="G359" s="597"/>
      <c r="H359" s="597"/>
      <c r="I359" s="175"/>
      <c r="J359" s="175"/>
      <c r="K359" s="597"/>
      <c r="L359" s="597"/>
      <c r="M359" s="175"/>
      <c r="N359" s="175"/>
      <c r="O359" s="805"/>
      <c r="P359" s="175"/>
      <c r="Q359" s="175"/>
      <c r="R359" s="175"/>
      <c r="S359" s="175"/>
      <c r="T359" s="597"/>
      <c r="U359" s="597"/>
      <c r="V359" s="597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</row>
    <row r="360" ht="12.0" customHeight="1">
      <c r="A360" s="175"/>
      <c r="B360" s="175"/>
      <c r="C360" s="597"/>
      <c r="D360" s="597"/>
      <c r="E360" s="597"/>
      <c r="F360" s="597"/>
      <c r="G360" s="597"/>
      <c r="H360" s="597"/>
      <c r="I360" s="175"/>
      <c r="J360" s="175"/>
      <c r="K360" s="597"/>
      <c r="L360" s="597"/>
      <c r="M360" s="175"/>
      <c r="N360" s="175"/>
      <c r="O360" s="805"/>
      <c r="P360" s="175"/>
      <c r="Q360" s="175"/>
      <c r="R360" s="175"/>
      <c r="S360" s="175"/>
      <c r="T360" s="597"/>
      <c r="U360" s="597"/>
      <c r="V360" s="597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</row>
    <row r="361" ht="12.0" customHeight="1">
      <c r="A361" s="175"/>
      <c r="B361" s="175"/>
      <c r="C361" s="597"/>
      <c r="D361" s="597"/>
      <c r="E361" s="597"/>
      <c r="F361" s="597"/>
      <c r="G361" s="597"/>
      <c r="H361" s="597"/>
      <c r="I361" s="175"/>
      <c r="J361" s="175"/>
      <c r="K361" s="597"/>
      <c r="L361" s="597"/>
      <c r="M361" s="175"/>
      <c r="N361" s="175"/>
      <c r="O361" s="805"/>
      <c r="P361" s="175"/>
      <c r="Q361" s="175"/>
      <c r="R361" s="175"/>
      <c r="S361" s="175"/>
      <c r="T361" s="597"/>
      <c r="U361" s="597"/>
      <c r="V361" s="597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</row>
    <row r="362" ht="12.0" customHeight="1">
      <c r="A362" s="175"/>
      <c r="B362" s="175"/>
      <c r="C362" s="597"/>
      <c r="D362" s="597"/>
      <c r="E362" s="597"/>
      <c r="F362" s="597"/>
      <c r="G362" s="597"/>
      <c r="H362" s="597"/>
      <c r="I362" s="175"/>
      <c r="J362" s="175"/>
      <c r="K362" s="597"/>
      <c r="L362" s="597"/>
      <c r="M362" s="175"/>
      <c r="N362" s="175"/>
      <c r="O362" s="805"/>
      <c r="P362" s="175"/>
      <c r="Q362" s="175"/>
      <c r="R362" s="175"/>
      <c r="S362" s="175"/>
      <c r="T362" s="597"/>
      <c r="U362" s="597"/>
      <c r="V362" s="597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</row>
    <row r="363" ht="12.0" customHeight="1">
      <c r="A363" s="175"/>
      <c r="B363" s="175"/>
      <c r="C363" s="597"/>
      <c r="D363" s="597"/>
      <c r="E363" s="597"/>
      <c r="F363" s="597"/>
      <c r="G363" s="597"/>
      <c r="H363" s="597"/>
      <c r="I363" s="175"/>
      <c r="J363" s="175"/>
      <c r="K363" s="597"/>
      <c r="L363" s="597"/>
      <c r="M363" s="175"/>
      <c r="N363" s="175"/>
      <c r="O363" s="805"/>
      <c r="P363" s="175"/>
      <c r="Q363" s="175"/>
      <c r="R363" s="175"/>
      <c r="S363" s="175"/>
      <c r="T363" s="597"/>
      <c r="U363" s="597"/>
      <c r="V363" s="597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</row>
    <row r="364" ht="12.0" customHeight="1">
      <c r="A364" s="175"/>
      <c r="B364" s="175"/>
      <c r="C364" s="597"/>
      <c r="D364" s="597"/>
      <c r="E364" s="597"/>
      <c r="F364" s="597"/>
      <c r="G364" s="597"/>
      <c r="H364" s="597"/>
      <c r="I364" s="175"/>
      <c r="J364" s="175"/>
      <c r="K364" s="597"/>
      <c r="L364" s="597"/>
      <c r="M364" s="175"/>
      <c r="N364" s="175"/>
      <c r="O364" s="805"/>
      <c r="P364" s="175"/>
      <c r="Q364" s="175"/>
      <c r="R364" s="175"/>
      <c r="S364" s="175"/>
      <c r="T364" s="597"/>
      <c r="U364" s="597"/>
      <c r="V364" s="597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</row>
    <row r="365" ht="12.0" customHeight="1">
      <c r="A365" s="175"/>
      <c r="B365" s="175"/>
      <c r="C365" s="597"/>
      <c r="D365" s="597"/>
      <c r="E365" s="597"/>
      <c r="F365" s="597"/>
      <c r="G365" s="597"/>
      <c r="H365" s="597"/>
      <c r="I365" s="175"/>
      <c r="J365" s="175"/>
      <c r="K365" s="597"/>
      <c r="L365" s="597"/>
      <c r="M365" s="175"/>
      <c r="N365" s="175"/>
      <c r="O365" s="805"/>
      <c r="P365" s="175"/>
      <c r="Q365" s="175"/>
      <c r="R365" s="175"/>
      <c r="S365" s="175"/>
      <c r="T365" s="597"/>
      <c r="U365" s="597"/>
      <c r="V365" s="597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</row>
    <row r="366" ht="12.0" customHeight="1">
      <c r="A366" s="175"/>
      <c r="B366" s="175"/>
      <c r="C366" s="597"/>
      <c r="D366" s="597"/>
      <c r="E366" s="597"/>
      <c r="F366" s="597"/>
      <c r="G366" s="597"/>
      <c r="H366" s="597"/>
      <c r="I366" s="175"/>
      <c r="J366" s="175"/>
      <c r="K366" s="597"/>
      <c r="L366" s="597"/>
      <c r="M366" s="175"/>
      <c r="N366" s="175"/>
      <c r="O366" s="805"/>
      <c r="P366" s="175"/>
      <c r="Q366" s="175"/>
      <c r="R366" s="175"/>
      <c r="S366" s="175"/>
      <c r="T366" s="597"/>
      <c r="U366" s="597"/>
      <c r="V366" s="597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</row>
    <row r="367" ht="12.0" customHeight="1">
      <c r="A367" s="175"/>
      <c r="B367" s="175"/>
      <c r="C367" s="597"/>
      <c r="D367" s="597"/>
      <c r="E367" s="597"/>
      <c r="F367" s="597"/>
      <c r="G367" s="597"/>
      <c r="H367" s="597"/>
      <c r="I367" s="175"/>
      <c r="J367" s="175"/>
      <c r="K367" s="597"/>
      <c r="L367" s="597"/>
      <c r="M367" s="175"/>
      <c r="N367" s="175"/>
      <c r="O367" s="805"/>
      <c r="P367" s="175"/>
      <c r="Q367" s="175"/>
      <c r="R367" s="175"/>
      <c r="S367" s="175"/>
      <c r="T367" s="597"/>
      <c r="U367" s="597"/>
      <c r="V367" s="597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</row>
    <row r="368" ht="12.0" customHeight="1">
      <c r="A368" s="175"/>
      <c r="B368" s="175"/>
      <c r="C368" s="597"/>
      <c r="D368" s="597"/>
      <c r="E368" s="597"/>
      <c r="F368" s="597"/>
      <c r="G368" s="597"/>
      <c r="H368" s="597"/>
      <c r="I368" s="175"/>
      <c r="J368" s="175"/>
      <c r="K368" s="597"/>
      <c r="L368" s="597"/>
      <c r="M368" s="175"/>
      <c r="N368" s="175"/>
      <c r="O368" s="805"/>
      <c r="P368" s="175"/>
      <c r="Q368" s="175"/>
      <c r="R368" s="175"/>
      <c r="S368" s="175"/>
      <c r="T368" s="597"/>
      <c r="U368" s="597"/>
      <c r="V368" s="597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</row>
    <row r="369" ht="12.0" customHeight="1">
      <c r="A369" s="175"/>
      <c r="B369" s="175"/>
      <c r="C369" s="597"/>
      <c r="D369" s="597"/>
      <c r="E369" s="597"/>
      <c r="F369" s="597"/>
      <c r="G369" s="597"/>
      <c r="H369" s="597"/>
      <c r="I369" s="175"/>
      <c r="J369" s="175"/>
      <c r="K369" s="597"/>
      <c r="L369" s="597"/>
      <c r="M369" s="175"/>
      <c r="N369" s="175"/>
      <c r="O369" s="805"/>
      <c r="P369" s="175"/>
      <c r="Q369" s="175"/>
      <c r="R369" s="175"/>
      <c r="S369" s="175"/>
      <c r="T369" s="597"/>
      <c r="U369" s="597"/>
      <c r="V369" s="597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</row>
    <row r="370" ht="12.0" customHeight="1">
      <c r="A370" s="175"/>
      <c r="B370" s="175"/>
      <c r="C370" s="597"/>
      <c r="D370" s="597"/>
      <c r="E370" s="597"/>
      <c r="F370" s="597"/>
      <c r="G370" s="597"/>
      <c r="H370" s="597"/>
      <c r="I370" s="175"/>
      <c r="J370" s="175"/>
      <c r="K370" s="597"/>
      <c r="L370" s="597"/>
      <c r="M370" s="175"/>
      <c r="N370" s="175"/>
      <c r="O370" s="805"/>
      <c r="P370" s="175"/>
      <c r="Q370" s="175"/>
      <c r="R370" s="175"/>
      <c r="S370" s="175"/>
      <c r="T370" s="597"/>
      <c r="U370" s="597"/>
      <c r="V370" s="597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</row>
    <row r="371" ht="12.0" customHeight="1">
      <c r="A371" s="175"/>
      <c r="B371" s="175"/>
      <c r="C371" s="597"/>
      <c r="D371" s="597"/>
      <c r="E371" s="597"/>
      <c r="F371" s="597"/>
      <c r="G371" s="597"/>
      <c r="H371" s="597"/>
      <c r="I371" s="175"/>
      <c r="J371" s="175"/>
      <c r="K371" s="597"/>
      <c r="L371" s="597"/>
      <c r="M371" s="175"/>
      <c r="N371" s="175"/>
      <c r="O371" s="805"/>
      <c r="P371" s="175"/>
      <c r="Q371" s="175"/>
      <c r="R371" s="175"/>
      <c r="S371" s="175"/>
      <c r="T371" s="597"/>
      <c r="U371" s="597"/>
      <c r="V371" s="597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</row>
    <row r="372" ht="12.0" customHeight="1">
      <c r="A372" s="175"/>
      <c r="B372" s="175"/>
      <c r="C372" s="597"/>
      <c r="D372" s="597"/>
      <c r="E372" s="597"/>
      <c r="F372" s="597"/>
      <c r="G372" s="597"/>
      <c r="H372" s="597"/>
      <c r="I372" s="175"/>
      <c r="J372" s="175"/>
      <c r="K372" s="597"/>
      <c r="L372" s="597"/>
      <c r="M372" s="175"/>
      <c r="N372" s="175"/>
      <c r="O372" s="805"/>
      <c r="P372" s="175"/>
      <c r="Q372" s="175"/>
      <c r="R372" s="175"/>
      <c r="S372" s="175"/>
      <c r="T372" s="597"/>
      <c r="U372" s="597"/>
      <c r="V372" s="597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</row>
    <row r="373" ht="12.0" customHeight="1">
      <c r="A373" s="175"/>
      <c r="B373" s="175"/>
      <c r="C373" s="597"/>
      <c r="D373" s="597"/>
      <c r="E373" s="597"/>
      <c r="F373" s="597"/>
      <c r="G373" s="597"/>
      <c r="H373" s="597"/>
      <c r="I373" s="175"/>
      <c r="J373" s="175"/>
      <c r="K373" s="597"/>
      <c r="L373" s="597"/>
      <c r="M373" s="175"/>
      <c r="N373" s="175"/>
      <c r="O373" s="805"/>
      <c r="P373" s="175"/>
      <c r="Q373" s="175"/>
      <c r="R373" s="175"/>
      <c r="S373" s="175"/>
      <c r="T373" s="597"/>
      <c r="U373" s="597"/>
      <c r="V373" s="597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</row>
    <row r="374" ht="12.0" customHeight="1">
      <c r="A374" s="175"/>
      <c r="B374" s="175"/>
      <c r="C374" s="597"/>
      <c r="D374" s="597"/>
      <c r="E374" s="597"/>
      <c r="F374" s="597"/>
      <c r="G374" s="597"/>
      <c r="H374" s="597"/>
      <c r="I374" s="175"/>
      <c r="J374" s="175"/>
      <c r="K374" s="597"/>
      <c r="L374" s="597"/>
      <c r="M374" s="175"/>
      <c r="N374" s="175"/>
      <c r="O374" s="805"/>
      <c r="P374" s="175"/>
      <c r="Q374" s="175"/>
      <c r="R374" s="175"/>
      <c r="S374" s="175"/>
      <c r="T374" s="597"/>
      <c r="U374" s="597"/>
      <c r="V374" s="597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</row>
    <row r="375" ht="12.0" customHeight="1">
      <c r="A375" s="175"/>
      <c r="B375" s="175"/>
      <c r="C375" s="597"/>
      <c r="D375" s="597"/>
      <c r="E375" s="597"/>
      <c r="F375" s="597"/>
      <c r="G375" s="597"/>
      <c r="H375" s="597"/>
      <c r="I375" s="175"/>
      <c r="J375" s="175"/>
      <c r="K375" s="597"/>
      <c r="L375" s="597"/>
      <c r="M375" s="175"/>
      <c r="N375" s="175"/>
      <c r="O375" s="805"/>
      <c r="P375" s="175"/>
      <c r="Q375" s="175"/>
      <c r="R375" s="175"/>
      <c r="S375" s="175"/>
      <c r="T375" s="597"/>
      <c r="U375" s="597"/>
      <c r="V375" s="597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</row>
    <row r="376" ht="12.0" customHeight="1">
      <c r="A376" s="175"/>
      <c r="B376" s="175"/>
      <c r="C376" s="597"/>
      <c r="D376" s="597"/>
      <c r="E376" s="597"/>
      <c r="F376" s="597"/>
      <c r="G376" s="597"/>
      <c r="H376" s="597"/>
      <c r="I376" s="175"/>
      <c r="J376" s="175"/>
      <c r="K376" s="597"/>
      <c r="L376" s="597"/>
      <c r="M376" s="175"/>
      <c r="N376" s="175"/>
      <c r="O376" s="805"/>
      <c r="P376" s="175"/>
      <c r="Q376" s="175"/>
      <c r="R376" s="175"/>
      <c r="S376" s="175"/>
      <c r="T376" s="597"/>
      <c r="U376" s="597"/>
      <c r="V376" s="597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</row>
    <row r="377" ht="12.0" customHeight="1">
      <c r="A377" s="175"/>
      <c r="B377" s="175"/>
      <c r="C377" s="597"/>
      <c r="D377" s="597"/>
      <c r="E377" s="597"/>
      <c r="F377" s="597"/>
      <c r="G377" s="597"/>
      <c r="H377" s="597"/>
      <c r="I377" s="175"/>
      <c r="J377" s="175"/>
      <c r="K377" s="597"/>
      <c r="L377" s="597"/>
      <c r="M377" s="175"/>
      <c r="N377" s="175"/>
      <c r="O377" s="805"/>
      <c r="P377" s="175"/>
      <c r="Q377" s="175"/>
      <c r="R377" s="175"/>
      <c r="S377" s="175"/>
      <c r="T377" s="597"/>
      <c r="U377" s="597"/>
      <c r="V377" s="597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</row>
    <row r="378" ht="12.0" customHeight="1">
      <c r="A378" s="175"/>
      <c r="B378" s="175"/>
      <c r="C378" s="597"/>
      <c r="D378" s="597"/>
      <c r="E378" s="597"/>
      <c r="F378" s="597"/>
      <c r="G378" s="597"/>
      <c r="H378" s="597"/>
      <c r="I378" s="175"/>
      <c r="J378" s="175"/>
      <c r="K378" s="597"/>
      <c r="L378" s="597"/>
      <c r="M378" s="175"/>
      <c r="N378" s="175"/>
      <c r="O378" s="805"/>
      <c r="P378" s="175"/>
      <c r="Q378" s="175"/>
      <c r="R378" s="175"/>
      <c r="S378" s="175"/>
      <c r="T378" s="597"/>
      <c r="U378" s="597"/>
      <c r="V378" s="597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</row>
    <row r="379" ht="12.0" customHeight="1">
      <c r="A379" s="175"/>
      <c r="B379" s="175"/>
      <c r="C379" s="597"/>
      <c r="D379" s="597"/>
      <c r="E379" s="597"/>
      <c r="F379" s="597"/>
      <c r="G379" s="597"/>
      <c r="H379" s="597"/>
      <c r="I379" s="175"/>
      <c r="J379" s="175"/>
      <c r="K379" s="597"/>
      <c r="L379" s="597"/>
      <c r="M379" s="175"/>
      <c r="N379" s="175"/>
      <c r="O379" s="805"/>
      <c r="P379" s="175"/>
      <c r="Q379" s="175"/>
      <c r="R379" s="175"/>
      <c r="S379" s="175"/>
      <c r="T379" s="597"/>
      <c r="U379" s="597"/>
      <c r="V379" s="597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</row>
    <row r="380" ht="12.0" customHeight="1">
      <c r="A380" s="175"/>
      <c r="B380" s="175"/>
      <c r="C380" s="597"/>
      <c r="D380" s="597"/>
      <c r="E380" s="597"/>
      <c r="F380" s="597"/>
      <c r="G380" s="597"/>
      <c r="H380" s="597"/>
      <c r="I380" s="175"/>
      <c r="J380" s="175"/>
      <c r="K380" s="597"/>
      <c r="L380" s="597"/>
      <c r="M380" s="175"/>
      <c r="N380" s="175"/>
      <c r="O380" s="805"/>
      <c r="P380" s="175"/>
      <c r="Q380" s="175"/>
      <c r="R380" s="175"/>
      <c r="S380" s="175"/>
      <c r="T380" s="597"/>
      <c r="U380" s="597"/>
      <c r="V380" s="597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</row>
    <row r="381" ht="12.0" customHeight="1">
      <c r="A381" s="175"/>
      <c r="B381" s="175"/>
      <c r="C381" s="597"/>
      <c r="D381" s="597"/>
      <c r="E381" s="597"/>
      <c r="F381" s="597"/>
      <c r="G381" s="597"/>
      <c r="H381" s="597"/>
      <c r="I381" s="175"/>
      <c r="J381" s="175"/>
      <c r="K381" s="597"/>
      <c r="L381" s="597"/>
      <c r="M381" s="175"/>
      <c r="N381" s="175"/>
      <c r="O381" s="805"/>
      <c r="P381" s="175"/>
      <c r="Q381" s="175"/>
      <c r="R381" s="175"/>
      <c r="S381" s="175"/>
      <c r="T381" s="597"/>
      <c r="U381" s="597"/>
      <c r="V381" s="597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</row>
    <row r="382" ht="12.0" customHeight="1">
      <c r="A382" s="175"/>
      <c r="B382" s="175"/>
      <c r="C382" s="597"/>
      <c r="D382" s="597"/>
      <c r="E382" s="597"/>
      <c r="F382" s="597"/>
      <c r="G382" s="597"/>
      <c r="H382" s="597"/>
      <c r="I382" s="175"/>
      <c r="J382" s="175"/>
      <c r="K382" s="597"/>
      <c r="L382" s="597"/>
      <c r="M382" s="175"/>
      <c r="N382" s="175"/>
      <c r="O382" s="805"/>
      <c r="P382" s="175"/>
      <c r="Q382" s="175"/>
      <c r="R382" s="175"/>
      <c r="S382" s="175"/>
      <c r="T382" s="597"/>
      <c r="U382" s="597"/>
      <c r="V382" s="597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</row>
    <row r="383" ht="12.0" customHeight="1">
      <c r="A383" s="175"/>
      <c r="B383" s="175"/>
      <c r="C383" s="597"/>
      <c r="D383" s="597"/>
      <c r="E383" s="597"/>
      <c r="F383" s="597"/>
      <c r="G383" s="597"/>
      <c r="H383" s="597"/>
      <c r="I383" s="175"/>
      <c r="J383" s="175"/>
      <c r="K383" s="597"/>
      <c r="L383" s="597"/>
      <c r="M383" s="175"/>
      <c r="N383" s="175"/>
      <c r="O383" s="805"/>
      <c r="P383" s="175"/>
      <c r="Q383" s="175"/>
      <c r="R383" s="175"/>
      <c r="S383" s="175"/>
      <c r="T383" s="597"/>
      <c r="U383" s="597"/>
      <c r="V383" s="597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</row>
    <row r="384" ht="12.0" customHeight="1">
      <c r="A384" s="175"/>
      <c r="B384" s="175"/>
      <c r="C384" s="597"/>
      <c r="D384" s="597"/>
      <c r="E384" s="597"/>
      <c r="F384" s="597"/>
      <c r="G384" s="597"/>
      <c r="H384" s="597"/>
      <c r="I384" s="175"/>
      <c r="J384" s="175"/>
      <c r="K384" s="597"/>
      <c r="L384" s="597"/>
      <c r="M384" s="175"/>
      <c r="N384" s="175"/>
      <c r="O384" s="805"/>
      <c r="P384" s="175"/>
      <c r="Q384" s="175"/>
      <c r="R384" s="175"/>
      <c r="S384" s="175"/>
      <c r="T384" s="597"/>
      <c r="U384" s="597"/>
      <c r="V384" s="597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</row>
    <row r="385" ht="12.0" customHeight="1">
      <c r="A385" s="175"/>
      <c r="B385" s="175"/>
      <c r="C385" s="597"/>
      <c r="D385" s="597"/>
      <c r="E385" s="597"/>
      <c r="F385" s="597"/>
      <c r="G385" s="597"/>
      <c r="H385" s="597"/>
      <c r="I385" s="175"/>
      <c r="J385" s="175"/>
      <c r="K385" s="597"/>
      <c r="L385" s="597"/>
      <c r="M385" s="175"/>
      <c r="N385" s="175"/>
      <c r="O385" s="805"/>
      <c r="P385" s="175"/>
      <c r="Q385" s="175"/>
      <c r="R385" s="175"/>
      <c r="S385" s="175"/>
      <c r="T385" s="597"/>
      <c r="U385" s="597"/>
      <c r="V385" s="597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</row>
    <row r="386" ht="12.0" customHeight="1">
      <c r="A386" s="175"/>
      <c r="B386" s="175"/>
      <c r="C386" s="597"/>
      <c r="D386" s="597"/>
      <c r="E386" s="597"/>
      <c r="F386" s="597"/>
      <c r="G386" s="597"/>
      <c r="H386" s="597"/>
      <c r="I386" s="175"/>
      <c r="J386" s="175"/>
      <c r="K386" s="597"/>
      <c r="L386" s="597"/>
      <c r="M386" s="175"/>
      <c r="N386" s="175"/>
      <c r="O386" s="805"/>
      <c r="P386" s="175"/>
      <c r="Q386" s="175"/>
      <c r="R386" s="175"/>
      <c r="S386" s="175"/>
      <c r="T386" s="597"/>
      <c r="U386" s="597"/>
      <c r="V386" s="597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</row>
    <row r="387" ht="12.0" customHeight="1">
      <c r="A387" s="175"/>
      <c r="B387" s="175"/>
      <c r="C387" s="597"/>
      <c r="D387" s="597"/>
      <c r="E387" s="597"/>
      <c r="F387" s="597"/>
      <c r="G387" s="597"/>
      <c r="H387" s="597"/>
      <c r="I387" s="175"/>
      <c r="J387" s="175"/>
      <c r="K387" s="597"/>
      <c r="L387" s="597"/>
      <c r="M387" s="175"/>
      <c r="N387" s="175"/>
      <c r="O387" s="805"/>
      <c r="P387" s="175"/>
      <c r="Q387" s="175"/>
      <c r="R387" s="175"/>
      <c r="S387" s="175"/>
      <c r="T387" s="597"/>
      <c r="U387" s="597"/>
      <c r="V387" s="597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</row>
    <row r="388" ht="12.0" customHeight="1">
      <c r="A388" s="175"/>
      <c r="B388" s="175"/>
      <c r="C388" s="597"/>
      <c r="D388" s="597"/>
      <c r="E388" s="597"/>
      <c r="F388" s="597"/>
      <c r="G388" s="597"/>
      <c r="H388" s="597"/>
      <c r="I388" s="175"/>
      <c r="J388" s="175"/>
      <c r="K388" s="597"/>
      <c r="L388" s="597"/>
      <c r="M388" s="175"/>
      <c r="N388" s="175"/>
      <c r="O388" s="805"/>
      <c r="P388" s="175"/>
      <c r="Q388" s="175"/>
      <c r="R388" s="175"/>
      <c r="S388" s="175"/>
      <c r="T388" s="597"/>
      <c r="U388" s="597"/>
      <c r="V388" s="597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</row>
    <row r="389" ht="12.0" customHeight="1">
      <c r="A389" s="175"/>
      <c r="B389" s="175"/>
      <c r="C389" s="597"/>
      <c r="D389" s="597"/>
      <c r="E389" s="597"/>
      <c r="F389" s="597"/>
      <c r="G389" s="597"/>
      <c r="H389" s="597"/>
      <c r="I389" s="175"/>
      <c r="J389" s="175"/>
      <c r="K389" s="597"/>
      <c r="L389" s="597"/>
      <c r="M389" s="175"/>
      <c r="N389" s="175"/>
      <c r="O389" s="805"/>
      <c r="P389" s="175"/>
      <c r="Q389" s="175"/>
      <c r="R389" s="175"/>
      <c r="S389" s="175"/>
      <c r="T389" s="597"/>
      <c r="U389" s="597"/>
      <c r="V389" s="597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</row>
    <row r="390" ht="12.0" customHeight="1">
      <c r="A390" s="175"/>
      <c r="B390" s="175"/>
      <c r="C390" s="597"/>
      <c r="D390" s="597"/>
      <c r="E390" s="597"/>
      <c r="F390" s="597"/>
      <c r="G390" s="597"/>
      <c r="H390" s="597"/>
      <c r="I390" s="175"/>
      <c r="J390" s="175"/>
      <c r="K390" s="597"/>
      <c r="L390" s="597"/>
      <c r="M390" s="175"/>
      <c r="N390" s="175"/>
      <c r="O390" s="805"/>
      <c r="P390" s="175"/>
      <c r="Q390" s="175"/>
      <c r="R390" s="175"/>
      <c r="S390" s="175"/>
      <c r="T390" s="597"/>
      <c r="U390" s="597"/>
      <c r="V390" s="597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</row>
    <row r="391" ht="12.0" customHeight="1">
      <c r="A391" s="175"/>
      <c r="B391" s="175"/>
      <c r="C391" s="597"/>
      <c r="D391" s="597"/>
      <c r="E391" s="597"/>
      <c r="F391" s="597"/>
      <c r="G391" s="597"/>
      <c r="H391" s="597"/>
      <c r="I391" s="175"/>
      <c r="J391" s="175"/>
      <c r="K391" s="597"/>
      <c r="L391" s="597"/>
      <c r="M391" s="175"/>
      <c r="N391" s="175"/>
      <c r="O391" s="805"/>
      <c r="P391" s="175"/>
      <c r="Q391" s="175"/>
      <c r="R391" s="175"/>
      <c r="S391" s="175"/>
      <c r="T391" s="597"/>
      <c r="U391" s="597"/>
      <c r="V391" s="597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</row>
    <row r="392" ht="12.0" customHeight="1">
      <c r="A392" s="175"/>
      <c r="B392" s="175"/>
      <c r="C392" s="597"/>
      <c r="D392" s="597"/>
      <c r="E392" s="597"/>
      <c r="F392" s="597"/>
      <c r="G392" s="597"/>
      <c r="H392" s="597"/>
      <c r="I392" s="175"/>
      <c r="J392" s="175"/>
      <c r="K392" s="597"/>
      <c r="L392" s="597"/>
      <c r="M392" s="175"/>
      <c r="N392" s="175"/>
      <c r="O392" s="805"/>
      <c r="P392" s="175"/>
      <c r="Q392" s="175"/>
      <c r="R392" s="175"/>
      <c r="S392" s="175"/>
      <c r="T392" s="597"/>
      <c r="U392" s="597"/>
      <c r="V392" s="597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</row>
    <row r="393" ht="12.0" customHeight="1">
      <c r="A393" s="175"/>
      <c r="B393" s="175"/>
      <c r="C393" s="597"/>
      <c r="D393" s="597"/>
      <c r="E393" s="597"/>
      <c r="F393" s="597"/>
      <c r="G393" s="597"/>
      <c r="H393" s="597"/>
      <c r="I393" s="175"/>
      <c r="J393" s="175"/>
      <c r="K393" s="597"/>
      <c r="L393" s="597"/>
      <c r="M393" s="175"/>
      <c r="N393" s="175"/>
      <c r="O393" s="805"/>
      <c r="P393" s="175"/>
      <c r="Q393" s="175"/>
      <c r="R393" s="175"/>
      <c r="S393" s="175"/>
      <c r="T393" s="597"/>
      <c r="U393" s="597"/>
      <c r="V393" s="597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</row>
    <row r="394" ht="12.0" customHeight="1">
      <c r="A394" s="175"/>
      <c r="B394" s="175"/>
      <c r="C394" s="597"/>
      <c r="D394" s="597"/>
      <c r="E394" s="597"/>
      <c r="F394" s="597"/>
      <c r="G394" s="597"/>
      <c r="H394" s="597"/>
      <c r="I394" s="175"/>
      <c r="J394" s="175"/>
      <c r="K394" s="597"/>
      <c r="L394" s="597"/>
      <c r="M394" s="175"/>
      <c r="N394" s="175"/>
      <c r="O394" s="805"/>
      <c r="P394" s="175"/>
      <c r="Q394" s="175"/>
      <c r="R394" s="175"/>
      <c r="S394" s="175"/>
      <c r="T394" s="597"/>
      <c r="U394" s="597"/>
      <c r="V394" s="597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</row>
    <row r="395" ht="12.0" customHeight="1">
      <c r="A395" s="175"/>
      <c r="B395" s="175"/>
      <c r="C395" s="597"/>
      <c r="D395" s="597"/>
      <c r="E395" s="597"/>
      <c r="F395" s="597"/>
      <c r="G395" s="597"/>
      <c r="H395" s="597"/>
      <c r="I395" s="175"/>
      <c r="J395" s="175"/>
      <c r="K395" s="597"/>
      <c r="L395" s="597"/>
      <c r="M395" s="175"/>
      <c r="N395" s="175"/>
      <c r="O395" s="805"/>
      <c r="P395" s="175"/>
      <c r="Q395" s="175"/>
      <c r="R395" s="175"/>
      <c r="S395" s="175"/>
      <c r="T395" s="597"/>
      <c r="U395" s="597"/>
      <c r="V395" s="597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</row>
    <row r="396" ht="12.0" customHeight="1">
      <c r="A396" s="175"/>
      <c r="B396" s="175"/>
      <c r="C396" s="597"/>
      <c r="D396" s="597"/>
      <c r="E396" s="597"/>
      <c r="F396" s="597"/>
      <c r="G396" s="597"/>
      <c r="H396" s="597"/>
      <c r="I396" s="175"/>
      <c r="J396" s="175"/>
      <c r="K396" s="597"/>
      <c r="L396" s="597"/>
      <c r="M396" s="175"/>
      <c r="N396" s="175"/>
      <c r="O396" s="805"/>
      <c r="P396" s="175"/>
      <c r="Q396" s="175"/>
      <c r="R396" s="175"/>
      <c r="S396" s="175"/>
      <c r="T396" s="597"/>
      <c r="U396" s="597"/>
      <c r="V396" s="597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</row>
    <row r="397" ht="12.0" customHeight="1">
      <c r="A397" s="175"/>
      <c r="B397" s="175"/>
      <c r="C397" s="597"/>
      <c r="D397" s="597"/>
      <c r="E397" s="597"/>
      <c r="F397" s="597"/>
      <c r="G397" s="597"/>
      <c r="H397" s="597"/>
      <c r="I397" s="175"/>
      <c r="J397" s="175"/>
      <c r="K397" s="597"/>
      <c r="L397" s="597"/>
      <c r="M397" s="175"/>
      <c r="N397" s="175"/>
      <c r="O397" s="805"/>
      <c r="P397" s="175"/>
      <c r="Q397" s="175"/>
      <c r="R397" s="175"/>
      <c r="S397" s="175"/>
      <c r="T397" s="597"/>
      <c r="U397" s="597"/>
      <c r="V397" s="597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</row>
    <row r="398" ht="12.0" customHeight="1">
      <c r="A398" s="175"/>
      <c r="B398" s="175"/>
      <c r="C398" s="597"/>
      <c r="D398" s="597"/>
      <c r="E398" s="597"/>
      <c r="F398" s="597"/>
      <c r="G398" s="597"/>
      <c r="H398" s="597"/>
      <c r="I398" s="175"/>
      <c r="J398" s="175"/>
      <c r="K398" s="597"/>
      <c r="L398" s="597"/>
      <c r="M398" s="175"/>
      <c r="N398" s="175"/>
      <c r="O398" s="805"/>
      <c r="P398" s="175"/>
      <c r="Q398" s="175"/>
      <c r="R398" s="175"/>
      <c r="S398" s="175"/>
      <c r="T398" s="597"/>
      <c r="U398" s="597"/>
      <c r="V398" s="597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</row>
    <row r="399" ht="12.0" customHeight="1">
      <c r="A399" s="175"/>
      <c r="B399" s="175"/>
      <c r="C399" s="597"/>
      <c r="D399" s="597"/>
      <c r="E399" s="597"/>
      <c r="F399" s="597"/>
      <c r="G399" s="597"/>
      <c r="H399" s="597"/>
      <c r="I399" s="175"/>
      <c r="J399" s="175"/>
      <c r="K399" s="597"/>
      <c r="L399" s="597"/>
      <c r="M399" s="175"/>
      <c r="N399" s="175"/>
      <c r="O399" s="805"/>
      <c r="P399" s="175"/>
      <c r="Q399" s="175"/>
      <c r="R399" s="175"/>
      <c r="S399" s="175"/>
      <c r="T399" s="597"/>
      <c r="U399" s="597"/>
      <c r="V399" s="597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</row>
    <row r="400" ht="12.0" customHeight="1">
      <c r="A400" s="175"/>
      <c r="B400" s="175"/>
      <c r="C400" s="597"/>
      <c r="D400" s="597"/>
      <c r="E400" s="597"/>
      <c r="F400" s="597"/>
      <c r="G400" s="597"/>
      <c r="H400" s="597"/>
      <c r="I400" s="175"/>
      <c r="J400" s="175"/>
      <c r="K400" s="597"/>
      <c r="L400" s="597"/>
      <c r="M400" s="175"/>
      <c r="N400" s="175"/>
      <c r="O400" s="805"/>
      <c r="P400" s="175"/>
      <c r="Q400" s="175"/>
      <c r="R400" s="175"/>
      <c r="S400" s="175"/>
      <c r="T400" s="597"/>
      <c r="U400" s="597"/>
      <c r="V400" s="597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</row>
    <row r="401" ht="12.0" customHeight="1">
      <c r="A401" s="175"/>
      <c r="B401" s="175"/>
      <c r="C401" s="597"/>
      <c r="D401" s="597"/>
      <c r="E401" s="597"/>
      <c r="F401" s="597"/>
      <c r="G401" s="597"/>
      <c r="H401" s="597"/>
      <c r="I401" s="175"/>
      <c r="J401" s="175"/>
      <c r="K401" s="597"/>
      <c r="L401" s="597"/>
      <c r="M401" s="175"/>
      <c r="N401" s="175"/>
      <c r="O401" s="805"/>
      <c r="P401" s="175"/>
      <c r="Q401" s="175"/>
      <c r="R401" s="175"/>
      <c r="S401" s="175"/>
      <c r="T401" s="597"/>
      <c r="U401" s="597"/>
      <c r="V401" s="597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</row>
    <row r="402" ht="12.0" customHeight="1">
      <c r="A402" s="175"/>
      <c r="B402" s="175"/>
      <c r="C402" s="597"/>
      <c r="D402" s="597"/>
      <c r="E402" s="597"/>
      <c r="F402" s="597"/>
      <c r="G402" s="597"/>
      <c r="H402" s="597"/>
      <c r="I402" s="175"/>
      <c r="J402" s="175"/>
      <c r="K402" s="597"/>
      <c r="L402" s="597"/>
      <c r="M402" s="175"/>
      <c r="N402" s="175"/>
      <c r="O402" s="805"/>
      <c r="P402" s="175"/>
      <c r="Q402" s="175"/>
      <c r="R402" s="175"/>
      <c r="S402" s="175"/>
      <c r="T402" s="597"/>
      <c r="U402" s="597"/>
      <c r="V402" s="597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</row>
    <row r="403" ht="12.0" customHeight="1">
      <c r="A403" s="175"/>
      <c r="B403" s="175"/>
      <c r="C403" s="597"/>
      <c r="D403" s="597"/>
      <c r="E403" s="597"/>
      <c r="F403" s="597"/>
      <c r="G403" s="597"/>
      <c r="H403" s="597"/>
      <c r="I403" s="175"/>
      <c r="J403" s="175"/>
      <c r="K403" s="597"/>
      <c r="L403" s="597"/>
      <c r="M403" s="175"/>
      <c r="N403" s="175"/>
      <c r="O403" s="805"/>
      <c r="P403" s="175"/>
      <c r="Q403" s="175"/>
      <c r="R403" s="175"/>
      <c r="S403" s="175"/>
      <c r="T403" s="597"/>
      <c r="U403" s="597"/>
      <c r="V403" s="597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</row>
    <row r="404" ht="12.0" customHeight="1">
      <c r="A404" s="175"/>
      <c r="B404" s="175"/>
      <c r="C404" s="597"/>
      <c r="D404" s="597"/>
      <c r="E404" s="597"/>
      <c r="F404" s="597"/>
      <c r="G404" s="597"/>
      <c r="H404" s="597"/>
      <c r="I404" s="175"/>
      <c r="J404" s="175"/>
      <c r="K404" s="597"/>
      <c r="L404" s="597"/>
      <c r="M404" s="175"/>
      <c r="N404" s="175"/>
      <c r="O404" s="805"/>
      <c r="P404" s="175"/>
      <c r="Q404" s="175"/>
      <c r="R404" s="175"/>
      <c r="S404" s="175"/>
      <c r="T404" s="597"/>
      <c r="U404" s="597"/>
      <c r="V404" s="597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</row>
    <row r="405" ht="12.0" customHeight="1">
      <c r="A405" s="175"/>
      <c r="B405" s="175"/>
      <c r="C405" s="597"/>
      <c r="D405" s="597"/>
      <c r="E405" s="597"/>
      <c r="F405" s="597"/>
      <c r="G405" s="597"/>
      <c r="H405" s="597"/>
      <c r="I405" s="175"/>
      <c r="J405" s="175"/>
      <c r="K405" s="597"/>
      <c r="L405" s="597"/>
      <c r="M405" s="175"/>
      <c r="N405" s="175"/>
      <c r="O405" s="805"/>
      <c r="P405" s="175"/>
      <c r="Q405" s="175"/>
      <c r="R405" s="175"/>
      <c r="S405" s="175"/>
      <c r="T405" s="597"/>
      <c r="U405" s="597"/>
      <c r="V405" s="597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</row>
    <row r="406" ht="12.0" customHeight="1">
      <c r="A406" s="175"/>
      <c r="B406" s="175"/>
      <c r="C406" s="597"/>
      <c r="D406" s="597"/>
      <c r="E406" s="597"/>
      <c r="F406" s="597"/>
      <c r="G406" s="597"/>
      <c r="H406" s="597"/>
      <c r="I406" s="175"/>
      <c r="J406" s="175"/>
      <c r="K406" s="597"/>
      <c r="L406" s="597"/>
      <c r="M406" s="175"/>
      <c r="N406" s="175"/>
      <c r="O406" s="805"/>
      <c r="P406" s="175"/>
      <c r="Q406" s="175"/>
      <c r="R406" s="175"/>
      <c r="S406" s="175"/>
      <c r="T406" s="597"/>
      <c r="U406" s="597"/>
      <c r="V406" s="597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</row>
    <row r="407" ht="12.0" customHeight="1">
      <c r="A407" s="175"/>
      <c r="B407" s="175"/>
      <c r="C407" s="597"/>
      <c r="D407" s="597"/>
      <c r="E407" s="597"/>
      <c r="F407" s="597"/>
      <c r="G407" s="597"/>
      <c r="H407" s="597"/>
      <c r="I407" s="175"/>
      <c r="J407" s="175"/>
      <c r="K407" s="597"/>
      <c r="L407" s="597"/>
      <c r="M407" s="175"/>
      <c r="N407" s="175"/>
      <c r="O407" s="805"/>
      <c r="P407" s="175"/>
      <c r="Q407" s="175"/>
      <c r="R407" s="175"/>
      <c r="S407" s="175"/>
      <c r="T407" s="597"/>
      <c r="U407" s="597"/>
      <c r="V407" s="597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</row>
    <row r="408" ht="12.0" customHeight="1">
      <c r="A408" s="175"/>
      <c r="B408" s="175"/>
      <c r="C408" s="597"/>
      <c r="D408" s="597"/>
      <c r="E408" s="597"/>
      <c r="F408" s="597"/>
      <c r="G408" s="597"/>
      <c r="H408" s="597"/>
      <c r="I408" s="175"/>
      <c r="J408" s="175"/>
      <c r="K408" s="597"/>
      <c r="L408" s="597"/>
      <c r="M408" s="175"/>
      <c r="N408" s="175"/>
      <c r="O408" s="805"/>
      <c r="P408" s="175"/>
      <c r="Q408" s="175"/>
      <c r="R408" s="175"/>
      <c r="S408" s="175"/>
      <c r="T408" s="597"/>
      <c r="U408" s="597"/>
      <c r="V408" s="597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</row>
    <row r="409" ht="12.0" customHeight="1">
      <c r="A409" s="175"/>
      <c r="B409" s="175"/>
      <c r="C409" s="597"/>
      <c r="D409" s="597"/>
      <c r="E409" s="597"/>
      <c r="F409" s="597"/>
      <c r="G409" s="597"/>
      <c r="H409" s="597"/>
      <c r="I409" s="175"/>
      <c r="J409" s="175"/>
      <c r="K409" s="597"/>
      <c r="L409" s="597"/>
      <c r="M409" s="175"/>
      <c r="N409" s="175"/>
      <c r="O409" s="805"/>
      <c r="P409" s="175"/>
      <c r="Q409" s="175"/>
      <c r="R409" s="175"/>
      <c r="S409" s="175"/>
      <c r="T409" s="597"/>
      <c r="U409" s="597"/>
      <c r="V409" s="597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</row>
    <row r="410" ht="12.0" customHeight="1">
      <c r="A410" s="175"/>
      <c r="B410" s="175"/>
      <c r="C410" s="597"/>
      <c r="D410" s="597"/>
      <c r="E410" s="597"/>
      <c r="F410" s="597"/>
      <c r="G410" s="597"/>
      <c r="H410" s="597"/>
      <c r="I410" s="175"/>
      <c r="J410" s="175"/>
      <c r="K410" s="597"/>
      <c r="L410" s="597"/>
      <c r="M410" s="175"/>
      <c r="N410" s="175"/>
      <c r="O410" s="805"/>
      <c r="P410" s="175"/>
      <c r="Q410" s="175"/>
      <c r="R410" s="175"/>
      <c r="S410" s="175"/>
      <c r="T410" s="597"/>
      <c r="U410" s="597"/>
      <c r="V410" s="597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</row>
    <row r="411" ht="12.0" customHeight="1">
      <c r="A411" s="175"/>
      <c r="B411" s="175"/>
      <c r="C411" s="597"/>
      <c r="D411" s="597"/>
      <c r="E411" s="597"/>
      <c r="F411" s="597"/>
      <c r="G411" s="597"/>
      <c r="H411" s="597"/>
      <c r="I411" s="175"/>
      <c r="J411" s="175"/>
      <c r="K411" s="597"/>
      <c r="L411" s="597"/>
      <c r="M411" s="175"/>
      <c r="N411" s="175"/>
      <c r="O411" s="805"/>
      <c r="P411" s="175"/>
      <c r="Q411" s="175"/>
      <c r="R411" s="175"/>
      <c r="S411" s="175"/>
      <c r="T411" s="597"/>
      <c r="U411" s="597"/>
      <c r="V411" s="597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</row>
    <row r="412" ht="12.0" customHeight="1">
      <c r="A412" s="175"/>
      <c r="B412" s="175"/>
      <c r="C412" s="597"/>
      <c r="D412" s="597"/>
      <c r="E412" s="597"/>
      <c r="F412" s="597"/>
      <c r="G412" s="597"/>
      <c r="H412" s="597"/>
      <c r="I412" s="175"/>
      <c r="J412" s="175"/>
      <c r="K412" s="597"/>
      <c r="L412" s="597"/>
      <c r="M412" s="175"/>
      <c r="N412" s="175"/>
      <c r="O412" s="805"/>
      <c r="P412" s="175"/>
      <c r="Q412" s="175"/>
      <c r="R412" s="175"/>
      <c r="S412" s="175"/>
      <c r="T412" s="597"/>
      <c r="U412" s="597"/>
      <c r="V412" s="597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</row>
    <row r="413" ht="12.0" customHeight="1">
      <c r="A413" s="175"/>
      <c r="B413" s="175"/>
      <c r="C413" s="597"/>
      <c r="D413" s="597"/>
      <c r="E413" s="597"/>
      <c r="F413" s="597"/>
      <c r="G413" s="597"/>
      <c r="H413" s="597"/>
      <c r="I413" s="175"/>
      <c r="J413" s="175"/>
      <c r="K413" s="597"/>
      <c r="L413" s="597"/>
      <c r="M413" s="175"/>
      <c r="N413" s="175"/>
      <c r="O413" s="805"/>
      <c r="P413" s="175"/>
      <c r="Q413" s="175"/>
      <c r="R413" s="175"/>
      <c r="S413" s="175"/>
      <c r="T413" s="597"/>
      <c r="U413" s="597"/>
      <c r="V413" s="597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</row>
    <row r="414" ht="12.0" customHeight="1">
      <c r="A414" s="175"/>
      <c r="B414" s="175"/>
      <c r="C414" s="597"/>
      <c r="D414" s="597"/>
      <c r="E414" s="597"/>
      <c r="F414" s="597"/>
      <c r="G414" s="597"/>
      <c r="H414" s="597"/>
      <c r="I414" s="175"/>
      <c r="J414" s="175"/>
      <c r="K414" s="597"/>
      <c r="L414" s="597"/>
      <c r="M414" s="175"/>
      <c r="N414" s="175"/>
      <c r="O414" s="805"/>
      <c r="P414" s="175"/>
      <c r="Q414" s="175"/>
      <c r="R414" s="175"/>
      <c r="S414" s="175"/>
      <c r="T414" s="597"/>
      <c r="U414" s="597"/>
      <c r="V414" s="597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</row>
    <row r="415" ht="12.0" customHeight="1">
      <c r="A415" s="175"/>
      <c r="B415" s="175"/>
      <c r="C415" s="597"/>
      <c r="D415" s="597"/>
      <c r="E415" s="597"/>
      <c r="F415" s="597"/>
      <c r="G415" s="597"/>
      <c r="H415" s="597"/>
      <c r="I415" s="175"/>
      <c r="J415" s="175"/>
      <c r="K415" s="597"/>
      <c r="L415" s="597"/>
      <c r="M415" s="175"/>
      <c r="N415" s="175"/>
      <c r="O415" s="805"/>
      <c r="P415" s="175"/>
      <c r="Q415" s="175"/>
      <c r="R415" s="175"/>
      <c r="S415" s="175"/>
      <c r="T415" s="597"/>
      <c r="U415" s="597"/>
      <c r="V415" s="597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</row>
    <row r="416" ht="12.0" customHeight="1">
      <c r="A416" s="175"/>
      <c r="B416" s="175"/>
      <c r="C416" s="597"/>
      <c r="D416" s="597"/>
      <c r="E416" s="597"/>
      <c r="F416" s="597"/>
      <c r="G416" s="597"/>
      <c r="H416" s="597"/>
      <c r="I416" s="175"/>
      <c r="J416" s="175"/>
      <c r="K416" s="597"/>
      <c r="L416" s="597"/>
      <c r="M416" s="175"/>
      <c r="N416" s="175"/>
      <c r="O416" s="805"/>
      <c r="P416" s="175"/>
      <c r="Q416" s="175"/>
      <c r="R416" s="175"/>
      <c r="S416" s="175"/>
      <c r="T416" s="597"/>
      <c r="U416" s="597"/>
      <c r="V416" s="597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</row>
    <row r="417" ht="12.0" customHeight="1">
      <c r="A417" s="175"/>
      <c r="B417" s="175"/>
      <c r="C417" s="597"/>
      <c r="D417" s="597"/>
      <c r="E417" s="597"/>
      <c r="F417" s="597"/>
      <c r="G417" s="597"/>
      <c r="H417" s="597"/>
      <c r="I417" s="175"/>
      <c r="J417" s="175"/>
      <c r="K417" s="597"/>
      <c r="L417" s="597"/>
      <c r="M417" s="175"/>
      <c r="N417" s="175"/>
      <c r="O417" s="805"/>
      <c r="P417" s="175"/>
      <c r="Q417" s="175"/>
      <c r="R417" s="175"/>
      <c r="S417" s="175"/>
      <c r="T417" s="597"/>
      <c r="U417" s="597"/>
      <c r="V417" s="597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</row>
    <row r="418" ht="12.0" customHeight="1">
      <c r="A418" s="175"/>
      <c r="B418" s="175"/>
      <c r="C418" s="597"/>
      <c r="D418" s="597"/>
      <c r="E418" s="597"/>
      <c r="F418" s="597"/>
      <c r="G418" s="597"/>
      <c r="H418" s="597"/>
      <c r="I418" s="175"/>
      <c r="J418" s="175"/>
      <c r="K418" s="597"/>
      <c r="L418" s="597"/>
      <c r="M418" s="175"/>
      <c r="N418" s="175"/>
      <c r="O418" s="805"/>
      <c r="P418" s="175"/>
      <c r="Q418" s="175"/>
      <c r="R418" s="175"/>
      <c r="S418" s="175"/>
      <c r="T418" s="597"/>
      <c r="U418" s="597"/>
      <c r="V418" s="597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</row>
    <row r="419" ht="12.0" customHeight="1">
      <c r="A419" s="175"/>
      <c r="B419" s="175"/>
      <c r="C419" s="597"/>
      <c r="D419" s="597"/>
      <c r="E419" s="597"/>
      <c r="F419" s="597"/>
      <c r="G419" s="597"/>
      <c r="H419" s="597"/>
      <c r="I419" s="175"/>
      <c r="J419" s="175"/>
      <c r="K419" s="597"/>
      <c r="L419" s="597"/>
      <c r="M419" s="175"/>
      <c r="N419" s="175"/>
      <c r="O419" s="805"/>
      <c r="P419" s="175"/>
      <c r="Q419" s="175"/>
      <c r="R419" s="175"/>
      <c r="S419" s="175"/>
      <c r="T419" s="597"/>
      <c r="U419" s="597"/>
      <c r="V419" s="597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</row>
    <row r="420" ht="12.0" customHeight="1">
      <c r="A420" s="175"/>
      <c r="B420" s="175"/>
      <c r="C420" s="597"/>
      <c r="D420" s="597"/>
      <c r="E420" s="597"/>
      <c r="F420" s="597"/>
      <c r="G420" s="597"/>
      <c r="H420" s="597"/>
      <c r="I420" s="175"/>
      <c r="J420" s="175"/>
      <c r="K420" s="597"/>
      <c r="L420" s="597"/>
      <c r="M420" s="175"/>
      <c r="N420" s="175"/>
      <c r="O420" s="805"/>
      <c r="P420" s="175"/>
      <c r="Q420" s="175"/>
      <c r="R420" s="175"/>
      <c r="S420" s="175"/>
      <c r="T420" s="597"/>
      <c r="U420" s="597"/>
      <c r="V420" s="597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</row>
    <row r="421" ht="12.0" customHeight="1">
      <c r="A421" s="175"/>
      <c r="B421" s="175"/>
      <c r="C421" s="597"/>
      <c r="D421" s="597"/>
      <c r="E421" s="597"/>
      <c r="F421" s="597"/>
      <c r="G421" s="597"/>
      <c r="H421" s="597"/>
      <c r="I421" s="175"/>
      <c r="J421" s="175"/>
      <c r="K421" s="597"/>
      <c r="L421" s="597"/>
      <c r="M421" s="175"/>
      <c r="N421" s="175"/>
      <c r="O421" s="805"/>
      <c r="P421" s="175"/>
      <c r="Q421" s="175"/>
      <c r="R421" s="175"/>
      <c r="S421" s="175"/>
      <c r="T421" s="597"/>
      <c r="U421" s="597"/>
      <c r="V421" s="597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</row>
    <row r="422" ht="12.0" customHeight="1">
      <c r="A422" s="175"/>
      <c r="B422" s="175"/>
      <c r="C422" s="597"/>
      <c r="D422" s="597"/>
      <c r="E422" s="597"/>
      <c r="F422" s="597"/>
      <c r="G422" s="597"/>
      <c r="H422" s="597"/>
      <c r="I422" s="175"/>
      <c r="J422" s="175"/>
      <c r="K422" s="597"/>
      <c r="L422" s="597"/>
      <c r="M422" s="175"/>
      <c r="N422" s="175"/>
      <c r="O422" s="805"/>
      <c r="P422" s="175"/>
      <c r="Q422" s="175"/>
      <c r="R422" s="175"/>
      <c r="S422" s="175"/>
      <c r="T422" s="597"/>
      <c r="U422" s="597"/>
      <c r="V422" s="597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</row>
    <row r="423" ht="12.0" customHeight="1">
      <c r="A423" s="175"/>
      <c r="B423" s="175"/>
      <c r="C423" s="597"/>
      <c r="D423" s="597"/>
      <c r="E423" s="597"/>
      <c r="F423" s="597"/>
      <c r="G423" s="597"/>
      <c r="H423" s="597"/>
      <c r="I423" s="175"/>
      <c r="J423" s="175"/>
      <c r="K423" s="597"/>
      <c r="L423" s="597"/>
      <c r="M423" s="175"/>
      <c r="N423" s="175"/>
      <c r="O423" s="805"/>
      <c r="P423" s="175"/>
      <c r="Q423" s="175"/>
      <c r="R423" s="175"/>
      <c r="S423" s="175"/>
      <c r="T423" s="597"/>
      <c r="U423" s="597"/>
      <c r="V423" s="597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</row>
    <row r="424" ht="12.0" customHeight="1">
      <c r="A424" s="175"/>
      <c r="B424" s="175"/>
      <c r="C424" s="597"/>
      <c r="D424" s="597"/>
      <c r="E424" s="597"/>
      <c r="F424" s="597"/>
      <c r="G424" s="597"/>
      <c r="H424" s="597"/>
      <c r="I424" s="175"/>
      <c r="J424" s="175"/>
      <c r="K424" s="597"/>
      <c r="L424" s="597"/>
      <c r="M424" s="175"/>
      <c r="N424" s="175"/>
      <c r="O424" s="805"/>
      <c r="P424" s="175"/>
      <c r="Q424" s="175"/>
      <c r="R424" s="175"/>
      <c r="S424" s="175"/>
      <c r="T424" s="597"/>
      <c r="U424" s="597"/>
      <c r="V424" s="597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</row>
    <row r="425" ht="12.0" customHeight="1">
      <c r="A425" s="175"/>
      <c r="B425" s="175"/>
      <c r="C425" s="597"/>
      <c r="D425" s="597"/>
      <c r="E425" s="597"/>
      <c r="F425" s="597"/>
      <c r="G425" s="597"/>
      <c r="H425" s="597"/>
      <c r="I425" s="175"/>
      <c r="J425" s="175"/>
      <c r="K425" s="597"/>
      <c r="L425" s="597"/>
      <c r="M425" s="175"/>
      <c r="N425" s="175"/>
      <c r="O425" s="805"/>
      <c r="P425" s="175"/>
      <c r="Q425" s="175"/>
      <c r="R425" s="175"/>
      <c r="S425" s="175"/>
      <c r="T425" s="597"/>
      <c r="U425" s="597"/>
      <c r="V425" s="597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</row>
    <row r="426" ht="12.0" customHeight="1">
      <c r="A426" s="175"/>
      <c r="B426" s="175"/>
      <c r="C426" s="597"/>
      <c r="D426" s="597"/>
      <c r="E426" s="597"/>
      <c r="F426" s="597"/>
      <c r="G426" s="597"/>
      <c r="H426" s="597"/>
      <c r="I426" s="175"/>
      <c r="J426" s="175"/>
      <c r="K426" s="597"/>
      <c r="L426" s="597"/>
      <c r="M426" s="175"/>
      <c r="N426" s="175"/>
      <c r="O426" s="805"/>
      <c r="P426" s="175"/>
      <c r="Q426" s="175"/>
      <c r="R426" s="175"/>
      <c r="S426" s="175"/>
      <c r="T426" s="597"/>
      <c r="U426" s="597"/>
      <c r="V426" s="597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</row>
    <row r="427" ht="12.0" customHeight="1">
      <c r="A427" s="175"/>
      <c r="B427" s="175"/>
      <c r="C427" s="597"/>
      <c r="D427" s="597"/>
      <c r="E427" s="597"/>
      <c r="F427" s="597"/>
      <c r="G427" s="597"/>
      <c r="H427" s="597"/>
      <c r="I427" s="175"/>
      <c r="J427" s="175"/>
      <c r="K427" s="597"/>
      <c r="L427" s="597"/>
      <c r="M427" s="175"/>
      <c r="N427" s="175"/>
      <c r="O427" s="805"/>
      <c r="P427" s="175"/>
      <c r="Q427" s="175"/>
      <c r="R427" s="175"/>
      <c r="S427" s="175"/>
      <c r="T427" s="597"/>
      <c r="U427" s="597"/>
      <c r="V427" s="597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</row>
    <row r="428" ht="12.0" customHeight="1">
      <c r="A428" s="175"/>
      <c r="B428" s="175"/>
      <c r="C428" s="597"/>
      <c r="D428" s="597"/>
      <c r="E428" s="597"/>
      <c r="F428" s="597"/>
      <c r="G428" s="597"/>
      <c r="H428" s="597"/>
      <c r="I428" s="175"/>
      <c r="J428" s="175"/>
      <c r="K428" s="597"/>
      <c r="L428" s="597"/>
      <c r="M428" s="175"/>
      <c r="N428" s="175"/>
      <c r="O428" s="805"/>
      <c r="P428" s="175"/>
      <c r="Q428" s="175"/>
      <c r="R428" s="175"/>
      <c r="S428" s="175"/>
      <c r="T428" s="597"/>
      <c r="U428" s="597"/>
      <c r="V428" s="597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</row>
    <row r="429" ht="12.0" customHeight="1">
      <c r="A429" s="175"/>
      <c r="B429" s="175"/>
      <c r="C429" s="597"/>
      <c r="D429" s="597"/>
      <c r="E429" s="597"/>
      <c r="F429" s="597"/>
      <c r="G429" s="597"/>
      <c r="H429" s="597"/>
      <c r="I429" s="175"/>
      <c r="J429" s="175"/>
      <c r="K429" s="597"/>
      <c r="L429" s="597"/>
      <c r="M429" s="175"/>
      <c r="N429" s="175"/>
      <c r="O429" s="805"/>
      <c r="P429" s="175"/>
      <c r="Q429" s="175"/>
      <c r="R429" s="175"/>
      <c r="S429" s="175"/>
      <c r="T429" s="597"/>
      <c r="U429" s="597"/>
      <c r="V429" s="597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</row>
    <row r="430" ht="12.0" customHeight="1">
      <c r="A430" s="175"/>
      <c r="B430" s="175"/>
      <c r="C430" s="597"/>
      <c r="D430" s="597"/>
      <c r="E430" s="597"/>
      <c r="F430" s="597"/>
      <c r="G430" s="597"/>
      <c r="H430" s="597"/>
      <c r="I430" s="175"/>
      <c r="J430" s="175"/>
      <c r="K430" s="597"/>
      <c r="L430" s="597"/>
      <c r="M430" s="175"/>
      <c r="N430" s="175"/>
      <c r="O430" s="805"/>
      <c r="P430" s="175"/>
      <c r="Q430" s="175"/>
      <c r="R430" s="175"/>
      <c r="S430" s="175"/>
      <c r="T430" s="597"/>
      <c r="U430" s="597"/>
      <c r="V430" s="597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</row>
    <row r="431" ht="12.0" customHeight="1">
      <c r="A431" s="175"/>
      <c r="B431" s="175"/>
      <c r="C431" s="597"/>
      <c r="D431" s="597"/>
      <c r="E431" s="597"/>
      <c r="F431" s="597"/>
      <c r="G431" s="597"/>
      <c r="H431" s="597"/>
      <c r="I431" s="175"/>
      <c r="J431" s="175"/>
      <c r="K431" s="597"/>
      <c r="L431" s="597"/>
      <c r="M431" s="175"/>
      <c r="N431" s="175"/>
      <c r="O431" s="805"/>
      <c r="P431" s="175"/>
      <c r="Q431" s="175"/>
      <c r="R431" s="175"/>
      <c r="S431" s="175"/>
      <c r="T431" s="597"/>
      <c r="U431" s="597"/>
      <c r="V431" s="597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</row>
    <row r="432" ht="12.0" customHeight="1">
      <c r="A432" s="175"/>
      <c r="B432" s="175"/>
      <c r="C432" s="597"/>
      <c r="D432" s="597"/>
      <c r="E432" s="597"/>
      <c r="F432" s="597"/>
      <c r="G432" s="597"/>
      <c r="H432" s="597"/>
      <c r="I432" s="175"/>
      <c r="J432" s="175"/>
      <c r="K432" s="597"/>
      <c r="L432" s="597"/>
      <c r="M432" s="175"/>
      <c r="N432" s="175"/>
      <c r="O432" s="805"/>
      <c r="P432" s="175"/>
      <c r="Q432" s="175"/>
      <c r="R432" s="175"/>
      <c r="S432" s="175"/>
      <c r="T432" s="597"/>
      <c r="U432" s="597"/>
      <c r="V432" s="597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</row>
    <row r="433" ht="12.0" customHeight="1">
      <c r="A433" s="175"/>
      <c r="B433" s="175"/>
      <c r="C433" s="597"/>
      <c r="D433" s="597"/>
      <c r="E433" s="597"/>
      <c r="F433" s="597"/>
      <c r="G433" s="597"/>
      <c r="H433" s="597"/>
      <c r="I433" s="175"/>
      <c r="J433" s="175"/>
      <c r="K433" s="597"/>
      <c r="L433" s="597"/>
      <c r="M433" s="175"/>
      <c r="N433" s="175"/>
      <c r="O433" s="805"/>
      <c r="P433" s="175"/>
      <c r="Q433" s="175"/>
      <c r="R433" s="175"/>
      <c r="S433" s="175"/>
      <c r="T433" s="597"/>
      <c r="U433" s="597"/>
      <c r="V433" s="597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</row>
    <row r="434" ht="12.0" customHeight="1">
      <c r="A434" s="175"/>
      <c r="B434" s="175"/>
      <c r="C434" s="597"/>
      <c r="D434" s="597"/>
      <c r="E434" s="597"/>
      <c r="F434" s="597"/>
      <c r="G434" s="597"/>
      <c r="H434" s="597"/>
      <c r="I434" s="175"/>
      <c r="J434" s="175"/>
      <c r="K434" s="597"/>
      <c r="L434" s="597"/>
      <c r="M434" s="175"/>
      <c r="N434" s="175"/>
      <c r="O434" s="805"/>
      <c r="P434" s="175"/>
      <c r="Q434" s="175"/>
      <c r="R434" s="175"/>
      <c r="S434" s="175"/>
      <c r="T434" s="597"/>
      <c r="U434" s="597"/>
      <c r="V434" s="597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</row>
    <row r="435" ht="12.0" customHeight="1">
      <c r="A435" s="175"/>
      <c r="B435" s="175"/>
      <c r="C435" s="597"/>
      <c r="D435" s="597"/>
      <c r="E435" s="597"/>
      <c r="F435" s="597"/>
      <c r="G435" s="597"/>
      <c r="H435" s="597"/>
      <c r="I435" s="175"/>
      <c r="J435" s="175"/>
      <c r="K435" s="597"/>
      <c r="L435" s="597"/>
      <c r="M435" s="175"/>
      <c r="N435" s="175"/>
      <c r="O435" s="805"/>
      <c r="P435" s="175"/>
      <c r="Q435" s="175"/>
      <c r="R435" s="175"/>
      <c r="S435" s="175"/>
      <c r="T435" s="597"/>
      <c r="U435" s="597"/>
      <c r="V435" s="597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</row>
    <row r="436" ht="12.0" customHeight="1">
      <c r="A436" s="175"/>
      <c r="B436" s="175"/>
      <c r="C436" s="597"/>
      <c r="D436" s="597"/>
      <c r="E436" s="597"/>
      <c r="F436" s="597"/>
      <c r="G436" s="597"/>
      <c r="H436" s="597"/>
      <c r="I436" s="175"/>
      <c r="J436" s="175"/>
      <c r="K436" s="597"/>
      <c r="L436" s="597"/>
      <c r="M436" s="175"/>
      <c r="N436" s="175"/>
      <c r="O436" s="805"/>
      <c r="P436" s="175"/>
      <c r="Q436" s="175"/>
      <c r="R436" s="175"/>
      <c r="S436" s="175"/>
      <c r="T436" s="597"/>
      <c r="U436" s="597"/>
      <c r="V436" s="597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</row>
    <row r="437" ht="12.0" customHeight="1">
      <c r="A437" s="175"/>
      <c r="B437" s="175"/>
      <c r="C437" s="597"/>
      <c r="D437" s="597"/>
      <c r="E437" s="597"/>
      <c r="F437" s="597"/>
      <c r="G437" s="597"/>
      <c r="H437" s="597"/>
      <c r="I437" s="175"/>
      <c r="J437" s="175"/>
      <c r="K437" s="597"/>
      <c r="L437" s="597"/>
      <c r="M437" s="175"/>
      <c r="N437" s="175"/>
      <c r="O437" s="805"/>
      <c r="P437" s="175"/>
      <c r="Q437" s="175"/>
      <c r="R437" s="175"/>
      <c r="S437" s="175"/>
      <c r="T437" s="597"/>
      <c r="U437" s="597"/>
      <c r="V437" s="597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</row>
    <row r="438" ht="12.0" customHeight="1">
      <c r="A438" s="175"/>
      <c r="B438" s="175"/>
      <c r="C438" s="597"/>
      <c r="D438" s="597"/>
      <c r="E438" s="597"/>
      <c r="F438" s="597"/>
      <c r="G438" s="597"/>
      <c r="H438" s="597"/>
      <c r="I438" s="175"/>
      <c r="J438" s="175"/>
      <c r="K438" s="597"/>
      <c r="L438" s="597"/>
      <c r="M438" s="175"/>
      <c r="N438" s="175"/>
      <c r="O438" s="805"/>
      <c r="P438" s="175"/>
      <c r="Q438" s="175"/>
      <c r="R438" s="175"/>
      <c r="S438" s="175"/>
      <c r="T438" s="597"/>
      <c r="U438" s="597"/>
      <c r="V438" s="597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</row>
    <row r="439" ht="12.0" customHeight="1">
      <c r="A439" s="175"/>
      <c r="B439" s="175"/>
      <c r="C439" s="597"/>
      <c r="D439" s="597"/>
      <c r="E439" s="597"/>
      <c r="F439" s="597"/>
      <c r="G439" s="597"/>
      <c r="H439" s="597"/>
      <c r="I439" s="175"/>
      <c r="J439" s="175"/>
      <c r="K439" s="597"/>
      <c r="L439" s="597"/>
      <c r="M439" s="175"/>
      <c r="N439" s="175"/>
      <c r="O439" s="805"/>
      <c r="P439" s="175"/>
      <c r="Q439" s="175"/>
      <c r="R439" s="175"/>
      <c r="S439" s="175"/>
      <c r="T439" s="597"/>
      <c r="U439" s="597"/>
      <c r="V439" s="597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</row>
    <row r="440" ht="12.0" customHeight="1">
      <c r="A440" s="175"/>
      <c r="B440" s="175"/>
      <c r="C440" s="597"/>
      <c r="D440" s="597"/>
      <c r="E440" s="597"/>
      <c r="F440" s="597"/>
      <c r="G440" s="597"/>
      <c r="H440" s="597"/>
      <c r="I440" s="175"/>
      <c r="J440" s="175"/>
      <c r="K440" s="597"/>
      <c r="L440" s="597"/>
      <c r="M440" s="175"/>
      <c r="N440" s="175"/>
      <c r="O440" s="805"/>
      <c r="P440" s="175"/>
      <c r="Q440" s="175"/>
      <c r="R440" s="175"/>
      <c r="S440" s="175"/>
      <c r="T440" s="597"/>
      <c r="U440" s="597"/>
      <c r="V440" s="597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</row>
    <row r="441" ht="12.0" customHeight="1">
      <c r="A441" s="175"/>
      <c r="B441" s="175"/>
      <c r="C441" s="597"/>
      <c r="D441" s="597"/>
      <c r="E441" s="597"/>
      <c r="F441" s="597"/>
      <c r="G441" s="597"/>
      <c r="H441" s="597"/>
      <c r="I441" s="175"/>
      <c r="J441" s="175"/>
      <c r="K441" s="597"/>
      <c r="L441" s="597"/>
      <c r="M441" s="175"/>
      <c r="N441" s="175"/>
      <c r="O441" s="805"/>
      <c r="P441" s="175"/>
      <c r="Q441" s="175"/>
      <c r="R441" s="175"/>
      <c r="S441" s="175"/>
      <c r="T441" s="597"/>
      <c r="U441" s="597"/>
      <c r="V441" s="597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</row>
    <row r="442" ht="12.0" customHeight="1">
      <c r="A442" s="175"/>
      <c r="B442" s="175"/>
      <c r="C442" s="597"/>
      <c r="D442" s="597"/>
      <c r="E442" s="597"/>
      <c r="F442" s="597"/>
      <c r="G442" s="597"/>
      <c r="H442" s="597"/>
      <c r="I442" s="175"/>
      <c r="J442" s="175"/>
      <c r="K442" s="597"/>
      <c r="L442" s="597"/>
      <c r="M442" s="175"/>
      <c r="N442" s="175"/>
      <c r="O442" s="805"/>
      <c r="P442" s="175"/>
      <c r="Q442" s="175"/>
      <c r="R442" s="175"/>
      <c r="S442" s="175"/>
      <c r="T442" s="597"/>
      <c r="U442" s="597"/>
      <c r="V442" s="597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</row>
    <row r="443" ht="12.0" customHeight="1">
      <c r="A443" s="175"/>
      <c r="B443" s="175"/>
      <c r="C443" s="597"/>
      <c r="D443" s="597"/>
      <c r="E443" s="597"/>
      <c r="F443" s="597"/>
      <c r="G443" s="597"/>
      <c r="H443" s="597"/>
      <c r="I443" s="175"/>
      <c r="J443" s="175"/>
      <c r="K443" s="597"/>
      <c r="L443" s="597"/>
      <c r="M443" s="175"/>
      <c r="N443" s="175"/>
      <c r="O443" s="805"/>
      <c r="P443" s="175"/>
      <c r="Q443" s="175"/>
      <c r="R443" s="175"/>
      <c r="S443" s="175"/>
      <c r="T443" s="597"/>
      <c r="U443" s="597"/>
      <c r="V443" s="597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</row>
    <row r="444" ht="12.0" customHeight="1">
      <c r="A444" s="175"/>
      <c r="B444" s="175"/>
      <c r="C444" s="597"/>
      <c r="D444" s="597"/>
      <c r="E444" s="597"/>
      <c r="F444" s="597"/>
      <c r="G444" s="597"/>
      <c r="H444" s="597"/>
      <c r="I444" s="175"/>
      <c r="J444" s="175"/>
      <c r="K444" s="597"/>
      <c r="L444" s="597"/>
      <c r="M444" s="175"/>
      <c r="N444" s="175"/>
      <c r="O444" s="805"/>
      <c r="P444" s="175"/>
      <c r="Q444" s="175"/>
      <c r="R444" s="175"/>
      <c r="S444" s="175"/>
      <c r="T444" s="597"/>
      <c r="U444" s="597"/>
      <c r="V444" s="597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</row>
    <row r="445" ht="12.0" customHeight="1">
      <c r="A445" s="175"/>
      <c r="B445" s="175"/>
      <c r="C445" s="597"/>
      <c r="D445" s="597"/>
      <c r="E445" s="597"/>
      <c r="F445" s="597"/>
      <c r="G445" s="597"/>
      <c r="H445" s="597"/>
      <c r="I445" s="175"/>
      <c r="J445" s="175"/>
      <c r="K445" s="597"/>
      <c r="L445" s="597"/>
      <c r="M445" s="175"/>
      <c r="N445" s="175"/>
      <c r="O445" s="805"/>
      <c r="P445" s="175"/>
      <c r="Q445" s="175"/>
      <c r="R445" s="175"/>
      <c r="S445" s="175"/>
      <c r="T445" s="597"/>
      <c r="U445" s="597"/>
      <c r="V445" s="597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</row>
    <row r="446" ht="12.0" customHeight="1">
      <c r="A446" s="175"/>
      <c r="B446" s="175"/>
      <c r="C446" s="597"/>
      <c r="D446" s="597"/>
      <c r="E446" s="597"/>
      <c r="F446" s="597"/>
      <c r="G446" s="597"/>
      <c r="H446" s="597"/>
      <c r="I446" s="175"/>
      <c r="J446" s="175"/>
      <c r="K446" s="597"/>
      <c r="L446" s="597"/>
      <c r="M446" s="175"/>
      <c r="N446" s="175"/>
      <c r="O446" s="805"/>
      <c r="P446" s="175"/>
      <c r="Q446" s="175"/>
      <c r="R446" s="175"/>
      <c r="S446" s="175"/>
      <c r="T446" s="597"/>
      <c r="U446" s="597"/>
      <c r="V446" s="597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</row>
    <row r="447" ht="12.0" customHeight="1">
      <c r="A447" s="175"/>
      <c r="B447" s="175"/>
      <c r="C447" s="597"/>
      <c r="D447" s="597"/>
      <c r="E447" s="597"/>
      <c r="F447" s="597"/>
      <c r="G447" s="597"/>
      <c r="H447" s="597"/>
      <c r="I447" s="175"/>
      <c r="J447" s="175"/>
      <c r="K447" s="597"/>
      <c r="L447" s="597"/>
      <c r="M447" s="175"/>
      <c r="N447" s="175"/>
      <c r="O447" s="805"/>
      <c r="P447" s="175"/>
      <c r="Q447" s="175"/>
      <c r="R447" s="175"/>
      <c r="S447" s="175"/>
      <c r="T447" s="597"/>
      <c r="U447" s="597"/>
      <c r="V447" s="597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</row>
    <row r="448" ht="12.0" customHeight="1">
      <c r="A448" s="175"/>
      <c r="B448" s="175"/>
      <c r="C448" s="597"/>
      <c r="D448" s="597"/>
      <c r="E448" s="597"/>
      <c r="F448" s="597"/>
      <c r="G448" s="597"/>
      <c r="H448" s="597"/>
      <c r="I448" s="175"/>
      <c r="J448" s="175"/>
      <c r="K448" s="597"/>
      <c r="L448" s="597"/>
      <c r="M448" s="175"/>
      <c r="N448" s="175"/>
      <c r="O448" s="805"/>
      <c r="P448" s="175"/>
      <c r="Q448" s="175"/>
      <c r="R448" s="175"/>
      <c r="S448" s="175"/>
      <c r="T448" s="597"/>
      <c r="U448" s="597"/>
      <c r="V448" s="597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</row>
    <row r="449" ht="12.0" customHeight="1">
      <c r="A449" s="175"/>
      <c r="B449" s="175"/>
      <c r="C449" s="597"/>
      <c r="D449" s="597"/>
      <c r="E449" s="597"/>
      <c r="F449" s="597"/>
      <c r="G449" s="597"/>
      <c r="H449" s="597"/>
      <c r="I449" s="175"/>
      <c r="J449" s="175"/>
      <c r="K449" s="597"/>
      <c r="L449" s="597"/>
      <c r="M449" s="175"/>
      <c r="N449" s="175"/>
      <c r="O449" s="805"/>
      <c r="P449" s="175"/>
      <c r="Q449" s="175"/>
      <c r="R449" s="175"/>
      <c r="S449" s="175"/>
      <c r="T449" s="597"/>
      <c r="U449" s="597"/>
      <c r="V449" s="597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</row>
    <row r="450" ht="12.0" customHeight="1">
      <c r="A450" s="175"/>
      <c r="B450" s="175"/>
      <c r="C450" s="597"/>
      <c r="D450" s="597"/>
      <c r="E450" s="597"/>
      <c r="F450" s="597"/>
      <c r="G450" s="597"/>
      <c r="H450" s="597"/>
      <c r="I450" s="175"/>
      <c r="J450" s="175"/>
      <c r="K450" s="597"/>
      <c r="L450" s="597"/>
      <c r="M450" s="175"/>
      <c r="N450" s="175"/>
      <c r="O450" s="805"/>
      <c r="P450" s="175"/>
      <c r="Q450" s="175"/>
      <c r="R450" s="175"/>
      <c r="S450" s="175"/>
      <c r="T450" s="597"/>
      <c r="U450" s="597"/>
      <c r="V450" s="597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</row>
    <row r="451" ht="12.0" customHeight="1">
      <c r="A451" s="175"/>
      <c r="B451" s="175"/>
      <c r="C451" s="597"/>
      <c r="D451" s="597"/>
      <c r="E451" s="597"/>
      <c r="F451" s="597"/>
      <c r="G451" s="597"/>
      <c r="H451" s="597"/>
      <c r="I451" s="175"/>
      <c r="J451" s="175"/>
      <c r="K451" s="597"/>
      <c r="L451" s="597"/>
      <c r="M451" s="175"/>
      <c r="N451" s="175"/>
      <c r="O451" s="805"/>
      <c r="P451" s="175"/>
      <c r="Q451" s="175"/>
      <c r="R451" s="175"/>
      <c r="S451" s="175"/>
      <c r="T451" s="597"/>
      <c r="U451" s="597"/>
      <c r="V451" s="597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</row>
    <row r="452" ht="12.0" customHeight="1">
      <c r="A452" s="175"/>
      <c r="B452" s="175"/>
      <c r="C452" s="597"/>
      <c r="D452" s="597"/>
      <c r="E452" s="597"/>
      <c r="F452" s="597"/>
      <c r="G452" s="597"/>
      <c r="H452" s="597"/>
      <c r="I452" s="175"/>
      <c r="J452" s="175"/>
      <c r="K452" s="597"/>
      <c r="L452" s="597"/>
      <c r="M452" s="175"/>
      <c r="N452" s="175"/>
      <c r="O452" s="805"/>
      <c r="P452" s="175"/>
      <c r="Q452" s="175"/>
      <c r="R452" s="175"/>
      <c r="S452" s="175"/>
      <c r="T452" s="597"/>
      <c r="U452" s="597"/>
      <c r="V452" s="597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</row>
    <row r="453" ht="12.0" customHeight="1">
      <c r="A453" s="175"/>
      <c r="B453" s="175"/>
      <c r="C453" s="597"/>
      <c r="D453" s="597"/>
      <c r="E453" s="597"/>
      <c r="F453" s="597"/>
      <c r="G453" s="597"/>
      <c r="H453" s="597"/>
      <c r="I453" s="175"/>
      <c r="J453" s="175"/>
      <c r="K453" s="597"/>
      <c r="L453" s="597"/>
      <c r="M453" s="175"/>
      <c r="N453" s="175"/>
      <c r="O453" s="805"/>
      <c r="P453" s="175"/>
      <c r="Q453" s="175"/>
      <c r="R453" s="175"/>
      <c r="S453" s="175"/>
      <c r="T453" s="597"/>
      <c r="U453" s="597"/>
      <c r="V453" s="597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</row>
    <row r="454" ht="12.0" customHeight="1">
      <c r="A454" s="175"/>
      <c r="B454" s="175"/>
      <c r="C454" s="597"/>
      <c r="D454" s="597"/>
      <c r="E454" s="597"/>
      <c r="F454" s="597"/>
      <c r="G454" s="597"/>
      <c r="H454" s="597"/>
      <c r="I454" s="175"/>
      <c r="J454" s="175"/>
      <c r="K454" s="597"/>
      <c r="L454" s="597"/>
      <c r="M454" s="175"/>
      <c r="N454" s="175"/>
      <c r="O454" s="805"/>
      <c r="P454" s="175"/>
      <c r="Q454" s="175"/>
      <c r="R454" s="175"/>
      <c r="S454" s="175"/>
      <c r="T454" s="597"/>
      <c r="U454" s="597"/>
      <c r="V454" s="597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</row>
    <row r="455" ht="12.0" customHeight="1">
      <c r="A455" s="175"/>
      <c r="B455" s="175"/>
      <c r="C455" s="597"/>
      <c r="D455" s="597"/>
      <c r="E455" s="597"/>
      <c r="F455" s="597"/>
      <c r="G455" s="597"/>
      <c r="H455" s="597"/>
      <c r="I455" s="175"/>
      <c r="J455" s="175"/>
      <c r="K455" s="597"/>
      <c r="L455" s="597"/>
      <c r="M455" s="175"/>
      <c r="N455" s="175"/>
      <c r="O455" s="805"/>
      <c r="P455" s="175"/>
      <c r="Q455" s="175"/>
      <c r="R455" s="175"/>
      <c r="S455" s="175"/>
      <c r="T455" s="597"/>
      <c r="U455" s="597"/>
      <c r="V455" s="597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</row>
    <row r="456" ht="12.0" customHeight="1">
      <c r="A456" s="175"/>
      <c r="B456" s="175"/>
      <c r="C456" s="597"/>
      <c r="D456" s="597"/>
      <c r="E456" s="597"/>
      <c r="F456" s="597"/>
      <c r="G456" s="597"/>
      <c r="H456" s="597"/>
      <c r="I456" s="175"/>
      <c r="J456" s="175"/>
      <c r="K456" s="597"/>
      <c r="L456" s="597"/>
      <c r="M456" s="175"/>
      <c r="N456" s="175"/>
      <c r="O456" s="805"/>
      <c r="P456" s="175"/>
      <c r="Q456" s="175"/>
      <c r="R456" s="175"/>
      <c r="S456" s="175"/>
      <c r="T456" s="597"/>
      <c r="U456" s="597"/>
      <c r="V456" s="597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</row>
    <row r="457" ht="12.0" customHeight="1">
      <c r="A457" s="175"/>
      <c r="B457" s="175"/>
      <c r="C457" s="597"/>
      <c r="D457" s="597"/>
      <c r="E457" s="597"/>
      <c r="F457" s="597"/>
      <c r="G457" s="597"/>
      <c r="H457" s="597"/>
      <c r="I457" s="175"/>
      <c r="J457" s="175"/>
      <c r="K457" s="597"/>
      <c r="L457" s="597"/>
      <c r="M457" s="175"/>
      <c r="N457" s="175"/>
      <c r="O457" s="805"/>
      <c r="P457" s="175"/>
      <c r="Q457" s="175"/>
      <c r="R457" s="175"/>
      <c r="S457" s="175"/>
      <c r="T457" s="597"/>
      <c r="U457" s="597"/>
      <c r="V457" s="597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</row>
    <row r="458" ht="12.0" customHeight="1">
      <c r="A458" s="175"/>
      <c r="B458" s="175"/>
      <c r="C458" s="597"/>
      <c r="D458" s="597"/>
      <c r="E458" s="597"/>
      <c r="F458" s="597"/>
      <c r="G458" s="597"/>
      <c r="H458" s="597"/>
      <c r="I458" s="175"/>
      <c r="J458" s="175"/>
      <c r="K458" s="597"/>
      <c r="L458" s="597"/>
      <c r="M458" s="175"/>
      <c r="N458" s="175"/>
      <c r="O458" s="805"/>
      <c r="P458" s="175"/>
      <c r="Q458" s="175"/>
      <c r="R458" s="175"/>
      <c r="S458" s="175"/>
      <c r="T458" s="597"/>
      <c r="U458" s="597"/>
      <c r="V458" s="597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</row>
    <row r="459" ht="12.0" customHeight="1">
      <c r="A459" s="175"/>
      <c r="B459" s="175"/>
      <c r="C459" s="597"/>
      <c r="D459" s="597"/>
      <c r="E459" s="597"/>
      <c r="F459" s="597"/>
      <c r="G459" s="597"/>
      <c r="H459" s="597"/>
      <c r="I459" s="175"/>
      <c r="J459" s="175"/>
      <c r="K459" s="597"/>
      <c r="L459" s="597"/>
      <c r="M459" s="175"/>
      <c r="N459" s="175"/>
      <c r="O459" s="805"/>
      <c r="P459" s="175"/>
      <c r="Q459" s="175"/>
      <c r="R459" s="175"/>
      <c r="S459" s="175"/>
      <c r="T459" s="597"/>
      <c r="U459" s="597"/>
      <c r="V459" s="597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</row>
    <row r="460" ht="12.0" customHeight="1">
      <c r="A460" s="175"/>
      <c r="B460" s="175"/>
      <c r="C460" s="597"/>
      <c r="D460" s="597"/>
      <c r="E460" s="597"/>
      <c r="F460" s="597"/>
      <c r="G460" s="597"/>
      <c r="H460" s="597"/>
      <c r="I460" s="175"/>
      <c r="J460" s="175"/>
      <c r="K460" s="597"/>
      <c r="L460" s="597"/>
      <c r="M460" s="175"/>
      <c r="N460" s="175"/>
      <c r="O460" s="805"/>
      <c r="P460" s="175"/>
      <c r="Q460" s="175"/>
      <c r="R460" s="175"/>
      <c r="S460" s="175"/>
      <c r="T460" s="597"/>
      <c r="U460" s="597"/>
      <c r="V460" s="597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</row>
    <row r="461" ht="12.0" customHeight="1">
      <c r="A461" s="175"/>
      <c r="B461" s="175"/>
      <c r="C461" s="597"/>
      <c r="D461" s="597"/>
      <c r="E461" s="597"/>
      <c r="F461" s="597"/>
      <c r="G461" s="597"/>
      <c r="H461" s="597"/>
      <c r="I461" s="175"/>
      <c r="J461" s="175"/>
      <c r="K461" s="597"/>
      <c r="L461" s="597"/>
      <c r="M461" s="175"/>
      <c r="N461" s="175"/>
      <c r="O461" s="805"/>
      <c r="P461" s="175"/>
      <c r="Q461" s="175"/>
      <c r="R461" s="175"/>
      <c r="S461" s="175"/>
      <c r="T461" s="597"/>
      <c r="U461" s="597"/>
      <c r="V461" s="597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</row>
    <row r="462" ht="12.0" customHeight="1">
      <c r="A462" s="175"/>
      <c r="B462" s="175"/>
      <c r="C462" s="597"/>
      <c r="D462" s="597"/>
      <c r="E462" s="597"/>
      <c r="F462" s="597"/>
      <c r="G462" s="597"/>
      <c r="H462" s="597"/>
      <c r="I462" s="175"/>
      <c r="J462" s="175"/>
      <c r="K462" s="597"/>
      <c r="L462" s="597"/>
      <c r="M462" s="175"/>
      <c r="N462" s="175"/>
      <c r="O462" s="805"/>
      <c r="P462" s="175"/>
      <c r="Q462" s="175"/>
      <c r="R462" s="175"/>
      <c r="S462" s="175"/>
      <c r="T462" s="597"/>
      <c r="U462" s="597"/>
      <c r="V462" s="597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</row>
    <row r="463" ht="12.0" customHeight="1">
      <c r="A463" s="175"/>
      <c r="B463" s="175"/>
      <c r="C463" s="597"/>
      <c r="D463" s="597"/>
      <c r="E463" s="597"/>
      <c r="F463" s="597"/>
      <c r="G463" s="597"/>
      <c r="H463" s="597"/>
      <c r="I463" s="175"/>
      <c r="J463" s="175"/>
      <c r="K463" s="597"/>
      <c r="L463" s="597"/>
      <c r="M463" s="175"/>
      <c r="N463" s="175"/>
      <c r="O463" s="805"/>
      <c r="P463" s="175"/>
      <c r="Q463" s="175"/>
      <c r="R463" s="175"/>
      <c r="S463" s="175"/>
      <c r="T463" s="597"/>
      <c r="U463" s="597"/>
      <c r="V463" s="597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</row>
    <row r="464" ht="12.0" customHeight="1">
      <c r="A464" s="175"/>
      <c r="B464" s="175"/>
      <c r="C464" s="597"/>
      <c r="D464" s="597"/>
      <c r="E464" s="597"/>
      <c r="F464" s="597"/>
      <c r="G464" s="597"/>
      <c r="H464" s="597"/>
      <c r="I464" s="175"/>
      <c r="J464" s="175"/>
      <c r="K464" s="597"/>
      <c r="L464" s="597"/>
      <c r="M464" s="175"/>
      <c r="N464" s="175"/>
      <c r="O464" s="805"/>
      <c r="P464" s="175"/>
      <c r="Q464" s="175"/>
      <c r="R464" s="175"/>
      <c r="S464" s="175"/>
      <c r="T464" s="597"/>
      <c r="U464" s="597"/>
      <c r="V464" s="597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</row>
    <row r="465" ht="12.0" customHeight="1">
      <c r="A465" s="175"/>
      <c r="B465" s="175"/>
      <c r="C465" s="597"/>
      <c r="D465" s="597"/>
      <c r="E465" s="597"/>
      <c r="F465" s="597"/>
      <c r="G465" s="597"/>
      <c r="H465" s="597"/>
      <c r="I465" s="175"/>
      <c r="J465" s="175"/>
      <c r="K465" s="597"/>
      <c r="L465" s="597"/>
      <c r="M465" s="175"/>
      <c r="N465" s="175"/>
      <c r="O465" s="805"/>
      <c r="P465" s="175"/>
      <c r="Q465" s="175"/>
      <c r="R465" s="175"/>
      <c r="S465" s="175"/>
      <c r="T465" s="597"/>
      <c r="U465" s="597"/>
      <c r="V465" s="597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</row>
    <row r="466" ht="12.0" customHeight="1">
      <c r="A466" s="175"/>
      <c r="B466" s="175"/>
      <c r="C466" s="597"/>
      <c r="D466" s="597"/>
      <c r="E466" s="597"/>
      <c r="F466" s="597"/>
      <c r="G466" s="597"/>
      <c r="H466" s="597"/>
      <c r="I466" s="175"/>
      <c r="J466" s="175"/>
      <c r="K466" s="597"/>
      <c r="L466" s="597"/>
      <c r="M466" s="175"/>
      <c r="N466" s="175"/>
      <c r="O466" s="805"/>
      <c r="P466" s="175"/>
      <c r="Q466" s="175"/>
      <c r="R466" s="175"/>
      <c r="S466" s="175"/>
      <c r="T466" s="597"/>
      <c r="U466" s="597"/>
      <c r="V466" s="597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</row>
    <row r="467" ht="12.0" customHeight="1">
      <c r="A467" s="175"/>
      <c r="B467" s="175"/>
      <c r="C467" s="597"/>
      <c r="D467" s="597"/>
      <c r="E467" s="597"/>
      <c r="F467" s="597"/>
      <c r="G467" s="597"/>
      <c r="H467" s="597"/>
      <c r="I467" s="175"/>
      <c r="J467" s="175"/>
      <c r="K467" s="597"/>
      <c r="L467" s="597"/>
      <c r="M467" s="175"/>
      <c r="N467" s="175"/>
      <c r="O467" s="805"/>
      <c r="P467" s="175"/>
      <c r="Q467" s="175"/>
      <c r="R467" s="175"/>
      <c r="S467" s="175"/>
      <c r="T467" s="597"/>
      <c r="U467" s="597"/>
      <c r="V467" s="597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</row>
    <row r="468" ht="12.0" customHeight="1">
      <c r="A468" s="175"/>
      <c r="B468" s="175"/>
      <c r="C468" s="597"/>
      <c r="D468" s="597"/>
      <c r="E468" s="597"/>
      <c r="F468" s="597"/>
      <c r="G468" s="597"/>
      <c r="H468" s="597"/>
      <c r="I468" s="175"/>
      <c r="J468" s="175"/>
      <c r="K468" s="597"/>
      <c r="L468" s="597"/>
      <c r="M468" s="175"/>
      <c r="N468" s="175"/>
      <c r="O468" s="805"/>
      <c r="P468" s="175"/>
      <c r="Q468" s="175"/>
      <c r="R468" s="175"/>
      <c r="S468" s="175"/>
      <c r="T468" s="597"/>
      <c r="U468" s="597"/>
      <c r="V468" s="597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</row>
    <row r="469" ht="12.0" customHeight="1">
      <c r="A469" s="175"/>
      <c r="B469" s="175"/>
      <c r="C469" s="597"/>
      <c r="D469" s="597"/>
      <c r="E469" s="597"/>
      <c r="F469" s="597"/>
      <c r="G469" s="597"/>
      <c r="H469" s="597"/>
      <c r="I469" s="175"/>
      <c r="J469" s="175"/>
      <c r="K469" s="597"/>
      <c r="L469" s="597"/>
      <c r="M469" s="175"/>
      <c r="N469" s="175"/>
      <c r="O469" s="805"/>
      <c r="P469" s="175"/>
      <c r="Q469" s="175"/>
      <c r="R469" s="175"/>
      <c r="S469" s="175"/>
      <c r="T469" s="597"/>
      <c r="U469" s="597"/>
      <c r="V469" s="597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</row>
    <row r="470" ht="12.0" customHeight="1">
      <c r="A470" s="175"/>
      <c r="B470" s="175"/>
      <c r="C470" s="597"/>
      <c r="D470" s="597"/>
      <c r="E470" s="597"/>
      <c r="F470" s="597"/>
      <c r="G470" s="597"/>
      <c r="H470" s="597"/>
      <c r="I470" s="175"/>
      <c r="J470" s="175"/>
      <c r="K470" s="597"/>
      <c r="L470" s="597"/>
      <c r="M470" s="175"/>
      <c r="N470" s="175"/>
      <c r="O470" s="805"/>
      <c r="P470" s="175"/>
      <c r="Q470" s="175"/>
      <c r="R470" s="175"/>
      <c r="S470" s="175"/>
      <c r="T470" s="597"/>
      <c r="U470" s="597"/>
      <c r="V470" s="597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</row>
    <row r="471" ht="12.0" customHeight="1">
      <c r="A471" s="175"/>
      <c r="B471" s="175"/>
      <c r="C471" s="597"/>
      <c r="D471" s="597"/>
      <c r="E471" s="597"/>
      <c r="F471" s="597"/>
      <c r="G471" s="597"/>
      <c r="H471" s="597"/>
      <c r="I471" s="175"/>
      <c r="J471" s="175"/>
      <c r="K471" s="597"/>
      <c r="L471" s="597"/>
      <c r="M471" s="175"/>
      <c r="N471" s="175"/>
      <c r="O471" s="805"/>
      <c r="P471" s="175"/>
      <c r="Q471" s="175"/>
      <c r="R471" s="175"/>
      <c r="S471" s="175"/>
      <c r="T471" s="597"/>
      <c r="U471" s="597"/>
      <c r="V471" s="597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</row>
    <row r="472" ht="12.0" customHeight="1">
      <c r="A472" s="175"/>
      <c r="B472" s="175"/>
      <c r="C472" s="597"/>
      <c r="D472" s="597"/>
      <c r="E472" s="597"/>
      <c r="F472" s="597"/>
      <c r="G472" s="597"/>
      <c r="H472" s="597"/>
      <c r="I472" s="175"/>
      <c r="J472" s="175"/>
      <c r="K472" s="597"/>
      <c r="L472" s="597"/>
      <c r="M472" s="175"/>
      <c r="N472" s="175"/>
      <c r="O472" s="805"/>
      <c r="P472" s="175"/>
      <c r="Q472" s="175"/>
      <c r="R472" s="175"/>
      <c r="S472" s="175"/>
      <c r="T472" s="597"/>
      <c r="U472" s="597"/>
      <c r="V472" s="597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</row>
    <row r="473" ht="12.0" customHeight="1">
      <c r="A473" s="175"/>
      <c r="B473" s="175"/>
      <c r="C473" s="597"/>
      <c r="D473" s="597"/>
      <c r="E473" s="597"/>
      <c r="F473" s="597"/>
      <c r="G473" s="597"/>
      <c r="H473" s="597"/>
      <c r="I473" s="175"/>
      <c r="J473" s="175"/>
      <c r="K473" s="597"/>
      <c r="L473" s="597"/>
      <c r="M473" s="175"/>
      <c r="N473" s="175"/>
      <c r="O473" s="805"/>
      <c r="P473" s="175"/>
      <c r="Q473" s="175"/>
      <c r="R473" s="175"/>
      <c r="S473" s="175"/>
      <c r="T473" s="597"/>
      <c r="U473" s="597"/>
      <c r="V473" s="597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</row>
    <row r="474" ht="12.0" customHeight="1">
      <c r="A474" s="175"/>
      <c r="B474" s="175"/>
      <c r="C474" s="597"/>
      <c r="D474" s="597"/>
      <c r="E474" s="597"/>
      <c r="F474" s="597"/>
      <c r="G474" s="597"/>
      <c r="H474" s="597"/>
      <c r="I474" s="175"/>
      <c r="J474" s="175"/>
      <c r="K474" s="597"/>
      <c r="L474" s="597"/>
      <c r="M474" s="175"/>
      <c r="N474" s="175"/>
      <c r="O474" s="805"/>
      <c r="P474" s="175"/>
      <c r="Q474" s="175"/>
      <c r="R474" s="175"/>
      <c r="S474" s="175"/>
      <c r="T474" s="597"/>
      <c r="U474" s="597"/>
      <c r="V474" s="597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</row>
    <row r="475" ht="12.0" customHeight="1">
      <c r="A475" s="175"/>
      <c r="B475" s="175"/>
      <c r="C475" s="597"/>
      <c r="D475" s="597"/>
      <c r="E475" s="597"/>
      <c r="F475" s="597"/>
      <c r="G475" s="597"/>
      <c r="H475" s="597"/>
      <c r="I475" s="175"/>
      <c r="J475" s="175"/>
      <c r="K475" s="597"/>
      <c r="L475" s="597"/>
      <c r="M475" s="175"/>
      <c r="N475" s="175"/>
      <c r="O475" s="805"/>
      <c r="P475" s="175"/>
      <c r="Q475" s="175"/>
      <c r="R475" s="175"/>
      <c r="S475" s="175"/>
      <c r="T475" s="597"/>
      <c r="U475" s="597"/>
      <c r="V475" s="597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</row>
    <row r="476" ht="12.0" customHeight="1">
      <c r="A476" s="175"/>
      <c r="B476" s="175"/>
      <c r="C476" s="597"/>
      <c r="D476" s="597"/>
      <c r="E476" s="597"/>
      <c r="F476" s="597"/>
      <c r="G476" s="597"/>
      <c r="H476" s="597"/>
      <c r="I476" s="175"/>
      <c r="J476" s="175"/>
      <c r="K476" s="597"/>
      <c r="L476" s="597"/>
      <c r="M476" s="175"/>
      <c r="N476" s="175"/>
      <c r="O476" s="805"/>
      <c r="P476" s="175"/>
      <c r="Q476" s="175"/>
      <c r="R476" s="175"/>
      <c r="S476" s="175"/>
      <c r="T476" s="597"/>
      <c r="U476" s="597"/>
      <c r="V476" s="597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</row>
    <row r="477" ht="12.0" customHeight="1">
      <c r="A477" s="175"/>
      <c r="B477" s="175"/>
      <c r="C477" s="597"/>
      <c r="D477" s="597"/>
      <c r="E477" s="597"/>
      <c r="F477" s="597"/>
      <c r="G477" s="597"/>
      <c r="H477" s="597"/>
      <c r="I477" s="175"/>
      <c r="J477" s="175"/>
      <c r="K477" s="597"/>
      <c r="L477" s="597"/>
      <c r="M477" s="175"/>
      <c r="N477" s="175"/>
      <c r="O477" s="805"/>
      <c r="P477" s="175"/>
      <c r="Q477" s="175"/>
      <c r="R477" s="175"/>
      <c r="S477" s="175"/>
      <c r="T477" s="597"/>
      <c r="U477" s="597"/>
      <c r="V477" s="597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</row>
    <row r="478" ht="12.0" customHeight="1">
      <c r="A478" s="175"/>
      <c r="B478" s="175"/>
      <c r="C478" s="597"/>
      <c r="D478" s="597"/>
      <c r="E478" s="597"/>
      <c r="F478" s="597"/>
      <c r="G478" s="597"/>
      <c r="H478" s="597"/>
      <c r="I478" s="175"/>
      <c r="J478" s="175"/>
      <c r="K478" s="597"/>
      <c r="L478" s="597"/>
      <c r="M478" s="175"/>
      <c r="N478" s="175"/>
      <c r="O478" s="805"/>
      <c r="P478" s="175"/>
      <c r="Q478" s="175"/>
      <c r="R478" s="175"/>
      <c r="S478" s="175"/>
      <c r="T478" s="597"/>
      <c r="U478" s="597"/>
      <c r="V478" s="597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</row>
    <row r="479" ht="12.0" customHeight="1">
      <c r="A479" s="175"/>
      <c r="B479" s="175"/>
      <c r="C479" s="597"/>
      <c r="D479" s="597"/>
      <c r="E479" s="597"/>
      <c r="F479" s="597"/>
      <c r="G479" s="597"/>
      <c r="H479" s="597"/>
      <c r="I479" s="175"/>
      <c r="J479" s="175"/>
      <c r="K479" s="597"/>
      <c r="L479" s="597"/>
      <c r="M479" s="175"/>
      <c r="N479" s="175"/>
      <c r="O479" s="805"/>
      <c r="P479" s="175"/>
      <c r="Q479" s="175"/>
      <c r="R479" s="175"/>
      <c r="S479" s="175"/>
      <c r="T479" s="597"/>
      <c r="U479" s="597"/>
      <c r="V479" s="597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</row>
    <row r="480" ht="12.0" customHeight="1">
      <c r="A480" s="175"/>
      <c r="B480" s="175"/>
      <c r="C480" s="597"/>
      <c r="D480" s="597"/>
      <c r="E480" s="597"/>
      <c r="F480" s="597"/>
      <c r="G480" s="597"/>
      <c r="H480" s="597"/>
      <c r="I480" s="175"/>
      <c r="J480" s="175"/>
      <c r="K480" s="597"/>
      <c r="L480" s="597"/>
      <c r="M480" s="175"/>
      <c r="N480" s="175"/>
      <c r="O480" s="805"/>
      <c r="P480" s="175"/>
      <c r="Q480" s="175"/>
      <c r="R480" s="175"/>
      <c r="S480" s="175"/>
      <c r="T480" s="597"/>
      <c r="U480" s="597"/>
      <c r="V480" s="597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</row>
    <row r="481" ht="12.0" customHeight="1">
      <c r="A481" s="175"/>
      <c r="B481" s="175"/>
      <c r="C481" s="597"/>
      <c r="D481" s="597"/>
      <c r="E481" s="597"/>
      <c r="F481" s="597"/>
      <c r="G481" s="597"/>
      <c r="H481" s="597"/>
      <c r="I481" s="175"/>
      <c r="J481" s="175"/>
      <c r="K481" s="597"/>
      <c r="L481" s="597"/>
      <c r="M481" s="175"/>
      <c r="N481" s="175"/>
      <c r="O481" s="805"/>
      <c r="P481" s="175"/>
      <c r="Q481" s="175"/>
      <c r="R481" s="175"/>
      <c r="S481" s="175"/>
      <c r="T481" s="597"/>
      <c r="U481" s="597"/>
      <c r="V481" s="597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</row>
    <row r="482" ht="12.0" customHeight="1">
      <c r="A482" s="175"/>
      <c r="B482" s="175"/>
      <c r="C482" s="597"/>
      <c r="D482" s="597"/>
      <c r="E482" s="597"/>
      <c r="F482" s="597"/>
      <c r="G482" s="597"/>
      <c r="H482" s="597"/>
      <c r="I482" s="175"/>
      <c r="J482" s="175"/>
      <c r="K482" s="597"/>
      <c r="L482" s="597"/>
      <c r="M482" s="175"/>
      <c r="N482" s="175"/>
      <c r="O482" s="805"/>
      <c r="P482" s="175"/>
      <c r="Q482" s="175"/>
      <c r="R482" s="175"/>
      <c r="S482" s="175"/>
      <c r="T482" s="597"/>
      <c r="U482" s="597"/>
      <c r="V482" s="597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</row>
    <row r="483" ht="12.0" customHeight="1">
      <c r="A483" s="175"/>
      <c r="B483" s="175"/>
      <c r="C483" s="597"/>
      <c r="D483" s="597"/>
      <c r="E483" s="597"/>
      <c r="F483" s="597"/>
      <c r="G483" s="597"/>
      <c r="H483" s="597"/>
      <c r="I483" s="175"/>
      <c r="J483" s="175"/>
      <c r="K483" s="597"/>
      <c r="L483" s="597"/>
      <c r="M483" s="175"/>
      <c r="N483" s="175"/>
      <c r="O483" s="805"/>
      <c r="P483" s="175"/>
      <c r="Q483" s="175"/>
      <c r="R483" s="175"/>
      <c r="S483" s="175"/>
      <c r="T483" s="597"/>
      <c r="U483" s="597"/>
      <c r="V483" s="597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</row>
    <row r="484" ht="12.0" customHeight="1">
      <c r="A484" s="175"/>
      <c r="B484" s="175"/>
      <c r="C484" s="597"/>
      <c r="D484" s="597"/>
      <c r="E484" s="597"/>
      <c r="F484" s="597"/>
      <c r="G484" s="597"/>
      <c r="H484" s="597"/>
      <c r="I484" s="175"/>
      <c r="J484" s="175"/>
      <c r="K484" s="597"/>
      <c r="L484" s="597"/>
      <c r="M484" s="175"/>
      <c r="N484" s="175"/>
      <c r="O484" s="805"/>
      <c r="P484" s="175"/>
      <c r="Q484" s="175"/>
      <c r="R484" s="175"/>
      <c r="S484" s="175"/>
      <c r="T484" s="597"/>
      <c r="U484" s="597"/>
      <c r="V484" s="597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</row>
    <row r="485" ht="12.0" customHeight="1">
      <c r="A485" s="175"/>
      <c r="B485" s="175"/>
      <c r="C485" s="597"/>
      <c r="D485" s="597"/>
      <c r="E485" s="597"/>
      <c r="F485" s="597"/>
      <c r="G485" s="597"/>
      <c r="H485" s="597"/>
      <c r="I485" s="175"/>
      <c r="J485" s="175"/>
      <c r="K485" s="597"/>
      <c r="L485" s="597"/>
      <c r="M485" s="175"/>
      <c r="N485" s="175"/>
      <c r="O485" s="805"/>
      <c r="P485" s="175"/>
      <c r="Q485" s="175"/>
      <c r="R485" s="175"/>
      <c r="S485" s="175"/>
      <c r="T485" s="597"/>
      <c r="U485" s="597"/>
      <c r="V485" s="597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</row>
    <row r="486" ht="12.0" customHeight="1">
      <c r="A486" s="175"/>
      <c r="B486" s="175"/>
      <c r="C486" s="597"/>
      <c r="D486" s="597"/>
      <c r="E486" s="597"/>
      <c r="F486" s="597"/>
      <c r="G486" s="597"/>
      <c r="H486" s="597"/>
      <c r="I486" s="175"/>
      <c r="J486" s="175"/>
      <c r="K486" s="597"/>
      <c r="L486" s="597"/>
      <c r="M486" s="175"/>
      <c r="N486" s="175"/>
      <c r="O486" s="805"/>
      <c r="P486" s="175"/>
      <c r="Q486" s="175"/>
      <c r="R486" s="175"/>
      <c r="S486" s="175"/>
      <c r="T486" s="597"/>
      <c r="U486" s="597"/>
      <c r="V486" s="597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</row>
    <row r="487" ht="12.0" customHeight="1">
      <c r="A487" s="175"/>
      <c r="B487" s="175"/>
      <c r="C487" s="597"/>
      <c r="D487" s="597"/>
      <c r="E487" s="597"/>
      <c r="F487" s="597"/>
      <c r="G487" s="597"/>
      <c r="H487" s="597"/>
      <c r="I487" s="175"/>
      <c r="J487" s="175"/>
      <c r="K487" s="597"/>
      <c r="L487" s="597"/>
      <c r="M487" s="175"/>
      <c r="N487" s="175"/>
      <c r="O487" s="805"/>
      <c r="P487" s="175"/>
      <c r="Q487" s="175"/>
      <c r="R487" s="175"/>
      <c r="S487" s="175"/>
      <c r="T487" s="597"/>
      <c r="U487" s="597"/>
      <c r="V487" s="597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</row>
    <row r="488" ht="12.0" customHeight="1">
      <c r="A488" s="175"/>
      <c r="B488" s="175"/>
      <c r="C488" s="597"/>
      <c r="D488" s="597"/>
      <c r="E488" s="597"/>
      <c r="F488" s="597"/>
      <c r="G488" s="597"/>
      <c r="H488" s="597"/>
      <c r="I488" s="175"/>
      <c r="J488" s="175"/>
      <c r="K488" s="597"/>
      <c r="L488" s="597"/>
      <c r="M488" s="175"/>
      <c r="N488" s="175"/>
      <c r="O488" s="805"/>
      <c r="P488" s="175"/>
      <c r="Q488" s="175"/>
      <c r="R488" s="175"/>
      <c r="S488" s="175"/>
      <c r="T488" s="597"/>
      <c r="U488" s="597"/>
      <c r="V488" s="597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</row>
    <row r="489" ht="12.0" customHeight="1">
      <c r="A489" s="175"/>
      <c r="B489" s="175"/>
      <c r="C489" s="597"/>
      <c r="D489" s="597"/>
      <c r="E489" s="597"/>
      <c r="F489" s="597"/>
      <c r="G489" s="597"/>
      <c r="H489" s="597"/>
      <c r="I489" s="175"/>
      <c r="J489" s="175"/>
      <c r="K489" s="597"/>
      <c r="L489" s="597"/>
      <c r="M489" s="175"/>
      <c r="N489" s="175"/>
      <c r="O489" s="805"/>
      <c r="P489" s="175"/>
      <c r="Q489" s="175"/>
      <c r="R489" s="175"/>
      <c r="S489" s="175"/>
      <c r="T489" s="597"/>
      <c r="U489" s="597"/>
      <c r="V489" s="597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</row>
    <row r="490" ht="12.0" customHeight="1">
      <c r="A490" s="175"/>
      <c r="B490" s="175"/>
      <c r="C490" s="597"/>
      <c r="D490" s="597"/>
      <c r="E490" s="597"/>
      <c r="F490" s="597"/>
      <c r="G490" s="597"/>
      <c r="H490" s="597"/>
      <c r="I490" s="175"/>
      <c r="J490" s="175"/>
      <c r="K490" s="597"/>
      <c r="L490" s="597"/>
      <c r="M490" s="175"/>
      <c r="N490" s="175"/>
      <c r="O490" s="805"/>
      <c r="P490" s="175"/>
      <c r="Q490" s="175"/>
      <c r="R490" s="175"/>
      <c r="S490" s="175"/>
      <c r="T490" s="597"/>
      <c r="U490" s="597"/>
      <c r="V490" s="597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</row>
    <row r="491" ht="12.0" customHeight="1">
      <c r="A491" s="175"/>
      <c r="B491" s="175"/>
      <c r="C491" s="597"/>
      <c r="D491" s="597"/>
      <c r="E491" s="597"/>
      <c r="F491" s="597"/>
      <c r="G491" s="597"/>
      <c r="H491" s="597"/>
      <c r="I491" s="175"/>
      <c r="J491" s="175"/>
      <c r="K491" s="597"/>
      <c r="L491" s="597"/>
      <c r="M491" s="175"/>
      <c r="N491" s="175"/>
      <c r="O491" s="805"/>
      <c r="P491" s="175"/>
      <c r="Q491" s="175"/>
      <c r="R491" s="175"/>
      <c r="S491" s="175"/>
      <c r="T491" s="597"/>
      <c r="U491" s="597"/>
      <c r="V491" s="597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</row>
    <row r="492" ht="12.0" customHeight="1">
      <c r="A492" s="175"/>
      <c r="B492" s="175"/>
      <c r="C492" s="597"/>
      <c r="D492" s="597"/>
      <c r="E492" s="597"/>
      <c r="F492" s="597"/>
      <c r="G492" s="597"/>
      <c r="H492" s="597"/>
      <c r="I492" s="175"/>
      <c r="J492" s="175"/>
      <c r="K492" s="597"/>
      <c r="L492" s="597"/>
      <c r="M492" s="175"/>
      <c r="N492" s="175"/>
      <c r="O492" s="805"/>
      <c r="P492" s="175"/>
      <c r="Q492" s="175"/>
      <c r="R492" s="175"/>
      <c r="S492" s="175"/>
      <c r="T492" s="597"/>
      <c r="U492" s="597"/>
      <c r="V492" s="597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</row>
    <row r="493" ht="12.0" customHeight="1">
      <c r="A493" s="175"/>
      <c r="B493" s="175"/>
      <c r="C493" s="597"/>
      <c r="D493" s="597"/>
      <c r="E493" s="597"/>
      <c r="F493" s="597"/>
      <c r="G493" s="597"/>
      <c r="H493" s="597"/>
      <c r="I493" s="175"/>
      <c r="J493" s="175"/>
      <c r="K493" s="597"/>
      <c r="L493" s="597"/>
      <c r="M493" s="175"/>
      <c r="N493" s="175"/>
      <c r="O493" s="805"/>
      <c r="P493" s="175"/>
      <c r="Q493" s="175"/>
      <c r="R493" s="175"/>
      <c r="S493" s="175"/>
      <c r="T493" s="597"/>
      <c r="U493" s="597"/>
      <c r="V493" s="597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</row>
    <row r="494" ht="12.0" customHeight="1">
      <c r="A494" s="175"/>
      <c r="B494" s="175"/>
      <c r="C494" s="597"/>
      <c r="D494" s="597"/>
      <c r="E494" s="597"/>
      <c r="F494" s="597"/>
      <c r="G494" s="597"/>
      <c r="H494" s="597"/>
      <c r="I494" s="175"/>
      <c r="J494" s="175"/>
      <c r="K494" s="597"/>
      <c r="L494" s="597"/>
      <c r="M494" s="175"/>
      <c r="N494" s="175"/>
      <c r="O494" s="805"/>
      <c r="P494" s="175"/>
      <c r="Q494" s="175"/>
      <c r="R494" s="175"/>
      <c r="S494" s="175"/>
      <c r="T494" s="597"/>
      <c r="U494" s="597"/>
      <c r="V494" s="597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</row>
    <row r="495" ht="12.0" customHeight="1">
      <c r="A495" s="175"/>
      <c r="B495" s="175"/>
      <c r="C495" s="597"/>
      <c r="D495" s="597"/>
      <c r="E495" s="597"/>
      <c r="F495" s="597"/>
      <c r="G495" s="597"/>
      <c r="H495" s="597"/>
      <c r="I495" s="175"/>
      <c r="J495" s="175"/>
      <c r="K495" s="597"/>
      <c r="L495" s="597"/>
      <c r="M495" s="175"/>
      <c r="N495" s="175"/>
      <c r="O495" s="805"/>
      <c r="P495" s="175"/>
      <c r="Q495" s="175"/>
      <c r="R495" s="175"/>
      <c r="S495" s="175"/>
      <c r="T495" s="597"/>
      <c r="U495" s="597"/>
      <c r="V495" s="597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</row>
    <row r="496" ht="12.0" customHeight="1">
      <c r="A496" s="175"/>
      <c r="B496" s="175"/>
      <c r="C496" s="597"/>
      <c r="D496" s="597"/>
      <c r="E496" s="597"/>
      <c r="F496" s="597"/>
      <c r="G496" s="597"/>
      <c r="H496" s="597"/>
      <c r="I496" s="175"/>
      <c r="J496" s="175"/>
      <c r="K496" s="597"/>
      <c r="L496" s="597"/>
      <c r="M496" s="175"/>
      <c r="N496" s="175"/>
      <c r="O496" s="805"/>
      <c r="P496" s="175"/>
      <c r="Q496" s="175"/>
      <c r="R496" s="175"/>
      <c r="S496" s="175"/>
      <c r="T496" s="597"/>
      <c r="U496" s="597"/>
      <c r="V496" s="597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</row>
    <row r="497" ht="12.0" customHeight="1">
      <c r="A497" s="175"/>
      <c r="B497" s="175"/>
      <c r="C497" s="597"/>
      <c r="D497" s="597"/>
      <c r="E497" s="597"/>
      <c r="F497" s="597"/>
      <c r="G497" s="597"/>
      <c r="H497" s="597"/>
      <c r="I497" s="175"/>
      <c r="J497" s="175"/>
      <c r="K497" s="597"/>
      <c r="L497" s="597"/>
      <c r="M497" s="175"/>
      <c r="N497" s="175"/>
      <c r="O497" s="805"/>
      <c r="P497" s="175"/>
      <c r="Q497" s="175"/>
      <c r="R497" s="175"/>
      <c r="S497" s="175"/>
      <c r="T497" s="597"/>
      <c r="U497" s="597"/>
      <c r="V497" s="597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</row>
    <row r="498" ht="12.0" customHeight="1">
      <c r="A498" s="175"/>
      <c r="B498" s="175"/>
      <c r="C498" s="597"/>
      <c r="D498" s="597"/>
      <c r="E498" s="597"/>
      <c r="F498" s="597"/>
      <c r="G498" s="597"/>
      <c r="H498" s="597"/>
      <c r="I498" s="175"/>
      <c r="J498" s="175"/>
      <c r="K498" s="597"/>
      <c r="L498" s="597"/>
      <c r="M498" s="175"/>
      <c r="N498" s="175"/>
      <c r="O498" s="805"/>
      <c r="P498" s="175"/>
      <c r="Q498" s="175"/>
      <c r="R498" s="175"/>
      <c r="S498" s="175"/>
      <c r="T498" s="597"/>
      <c r="U498" s="597"/>
      <c r="V498" s="597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</row>
    <row r="499" ht="12.0" customHeight="1">
      <c r="A499" s="175"/>
      <c r="B499" s="175"/>
      <c r="C499" s="597"/>
      <c r="D499" s="597"/>
      <c r="E499" s="597"/>
      <c r="F499" s="597"/>
      <c r="G499" s="597"/>
      <c r="H499" s="597"/>
      <c r="I499" s="175"/>
      <c r="J499" s="175"/>
      <c r="K499" s="597"/>
      <c r="L499" s="597"/>
      <c r="M499" s="175"/>
      <c r="N499" s="175"/>
      <c r="O499" s="805"/>
      <c r="P499" s="175"/>
      <c r="Q499" s="175"/>
      <c r="R499" s="175"/>
      <c r="S499" s="175"/>
      <c r="T499" s="597"/>
      <c r="U499" s="597"/>
      <c r="V499" s="597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</row>
    <row r="500" ht="12.0" customHeight="1">
      <c r="A500" s="175"/>
      <c r="B500" s="175"/>
      <c r="C500" s="597"/>
      <c r="D500" s="597"/>
      <c r="E500" s="597"/>
      <c r="F500" s="597"/>
      <c r="G500" s="597"/>
      <c r="H500" s="597"/>
      <c r="I500" s="175"/>
      <c r="J500" s="175"/>
      <c r="K500" s="597"/>
      <c r="L500" s="597"/>
      <c r="M500" s="175"/>
      <c r="N500" s="175"/>
      <c r="O500" s="805"/>
      <c r="P500" s="175"/>
      <c r="Q500" s="175"/>
      <c r="R500" s="175"/>
      <c r="S500" s="175"/>
      <c r="T500" s="597"/>
      <c r="U500" s="597"/>
      <c r="V500" s="597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</row>
    <row r="501" ht="12.0" customHeight="1">
      <c r="A501" s="175"/>
      <c r="B501" s="175"/>
      <c r="C501" s="597"/>
      <c r="D501" s="597"/>
      <c r="E501" s="597"/>
      <c r="F501" s="597"/>
      <c r="G501" s="597"/>
      <c r="H501" s="597"/>
      <c r="I501" s="175"/>
      <c r="J501" s="175"/>
      <c r="K501" s="597"/>
      <c r="L501" s="597"/>
      <c r="M501" s="175"/>
      <c r="N501" s="175"/>
      <c r="O501" s="805"/>
      <c r="P501" s="175"/>
      <c r="Q501" s="175"/>
      <c r="R501" s="175"/>
      <c r="S501" s="175"/>
      <c r="T501" s="597"/>
      <c r="U501" s="597"/>
      <c r="V501" s="597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</row>
    <row r="502" ht="12.0" customHeight="1">
      <c r="A502" s="175"/>
      <c r="B502" s="175"/>
      <c r="C502" s="597"/>
      <c r="D502" s="597"/>
      <c r="E502" s="597"/>
      <c r="F502" s="597"/>
      <c r="G502" s="597"/>
      <c r="H502" s="597"/>
      <c r="I502" s="175"/>
      <c r="J502" s="175"/>
      <c r="K502" s="597"/>
      <c r="L502" s="597"/>
      <c r="M502" s="175"/>
      <c r="N502" s="175"/>
      <c r="O502" s="805"/>
      <c r="P502" s="175"/>
      <c r="Q502" s="175"/>
      <c r="R502" s="175"/>
      <c r="S502" s="175"/>
      <c r="T502" s="597"/>
      <c r="U502" s="597"/>
      <c r="V502" s="597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</row>
    <row r="503" ht="12.0" customHeight="1">
      <c r="A503" s="175"/>
      <c r="B503" s="175"/>
      <c r="C503" s="597"/>
      <c r="D503" s="597"/>
      <c r="E503" s="597"/>
      <c r="F503" s="597"/>
      <c r="G503" s="597"/>
      <c r="H503" s="597"/>
      <c r="I503" s="175"/>
      <c r="J503" s="175"/>
      <c r="K503" s="597"/>
      <c r="L503" s="597"/>
      <c r="M503" s="175"/>
      <c r="N503" s="175"/>
      <c r="O503" s="805"/>
      <c r="P503" s="175"/>
      <c r="Q503" s="175"/>
      <c r="R503" s="175"/>
      <c r="S503" s="175"/>
      <c r="T503" s="597"/>
      <c r="U503" s="597"/>
      <c r="V503" s="597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</row>
    <row r="504" ht="12.0" customHeight="1">
      <c r="A504" s="175"/>
      <c r="B504" s="175"/>
      <c r="C504" s="597"/>
      <c r="D504" s="597"/>
      <c r="E504" s="597"/>
      <c r="F504" s="597"/>
      <c r="G504" s="597"/>
      <c r="H504" s="597"/>
      <c r="I504" s="175"/>
      <c r="J504" s="175"/>
      <c r="K504" s="597"/>
      <c r="L504" s="597"/>
      <c r="M504" s="175"/>
      <c r="N504" s="175"/>
      <c r="O504" s="805"/>
      <c r="P504" s="175"/>
      <c r="Q504" s="175"/>
      <c r="R504" s="175"/>
      <c r="S504" s="175"/>
      <c r="T504" s="597"/>
      <c r="U504" s="597"/>
      <c r="V504" s="597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</row>
    <row r="505" ht="12.0" customHeight="1">
      <c r="A505" s="175"/>
      <c r="B505" s="175"/>
      <c r="C505" s="597"/>
      <c r="D505" s="597"/>
      <c r="E505" s="597"/>
      <c r="F505" s="597"/>
      <c r="G505" s="597"/>
      <c r="H505" s="597"/>
      <c r="I505" s="175"/>
      <c r="J505" s="175"/>
      <c r="K505" s="597"/>
      <c r="L505" s="597"/>
      <c r="M505" s="175"/>
      <c r="N505" s="175"/>
      <c r="O505" s="805"/>
      <c r="P505" s="175"/>
      <c r="Q505" s="175"/>
      <c r="R505" s="175"/>
      <c r="S505" s="175"/>
      <c r="T505" s="597"/>
      <c r="U505" s="597"/>
      <c r="V505" s="597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</row>
    <row r="506" ht="12.0" customHeight="1">
      <c r="A506" s="175"/>
      <c r="B506" s="175"/>
      <c r="C506" s="597"/>
      <c r="D506" s="597"/>
      <c r="E506" s="597"/>
      <c r="F506" s="597"/>
      <c r="G506" s="597"/>
      <c r="H506" s="597"/>
      <c r="I506" s="175"/>
      <c r="J506" s="175"/>
      <c r="K506" s="597"/>
      <c r="L506" s="597"/>
      <c r="M506" s="175"/>
      <c r="N506" s="175"/>
      <c r="O506" s="805"/>
      <c r="P506" s="175"/>
      <c r="Q506" s="175"/>
      <c r="R506" s="175"/>
      <c r="S506" s="175"/>
      <c r="T506" s="597"/>
      <c r="U506" s="597"/>
      <c r="V506" s="597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</row>
    <row r="507" ht="12.0" customHeight="1">
      <c r="A507" s="175"/>
      <c r="B507" s="175"/>
      <c r="C507" s="597"/>
      <c r="D507" s="597"/>
      <c r="E507" s="597"/>
      <c r="F507" s="597"/>
      <c r="G507" s="597"/>
      <c r="H507" s="597"/>
      <c r="I507" s="175"/>
      <c r="J507" s="175"/>
      <c r="K507" s="597"/>
      <c r="L507" s="597"/>
      <c r="M507" s="175"/>
      <c r="N507" s="175"/>
      <c r="O507" s="805"/>
      <c r="P507" s="175"/>
      <c r="Q507" s="175"/>
      <c r="R507" s="175"/>
      <c r="S507" s="175"/>
      <c r="T507" s="597"/>
      <c r="U507" s="597"/>
      <c r="V507" s="597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</row>
    <row r="508" ht="12.0" customHeight="1">
      <c r="A508" s="175"/>
      <c r="B508" s="175"/>
      <c r="C508" s="597"/>
      <c r="D508" s="597"/>
      <c r="E508" s="597"/>
      <c r="F508" s="597"/>
      <c r="G508" s="597"/>
      <c r="H508" s="597"/>
      <c r="I508" s="175"/>
      <c r="J508" s="175"/>
      <c r="K508" s="597"/>
      <c r="L508" s="597"/>
      <c r="M508" s="175"/>
      <c r="N508" s="175"/>
      <c r="O508" s="805"/>
      <c r="P508" s="175"/>
      <c r="Q508" s="175"/>
      <c r="R508" s="175"/>
      <c r="S508" s="175"/>
      <c r="T508" s="597"/>
      <c r="U508" s="597"/>
      <c r="V508" s="597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</row>
    <row r="509" ht="12.0" customHeight="1">
      <c r="A509" s="175"/>
      <c r="B509" s="175"/>
      <c r="C509" s="597"/>
      <c r="D509" s="597"/>
      <c r="E509" s="597"/>
      <c r="F509" s="597"/>
      <c r="G509" s="597"/>
      <c r="H509" s="597"/>
      <c r="I509" s="175"/>
      <c r="J509" s="175"/>
      <c r="K509" s="597"/>
      <c r="L509" s="597"/>
      <c r="M509" s="175"/>
      <c r="N509" s="175"/>
      <c r="O509" s="805"/>
      <c r="P509" s="175"/>
      <c r="Q509" s="175"/>
      <c r="R509" s="175"/>
      <c r="S509" s="175"/>
      <c r="T509" s="597"/>
      <c r="U509" s="597"/>
      <c r="V509" s="597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</row>
    <row r="510" ht="12.0" customHeight="1">
      <c r="A510" s="175"/>
      <c r="B510" s="175"/>
      <c r="C510" s="597"/>
      <c r="D510" s="597"/>
      <c r="E510" s="597"/>
      <c r="F510" s="597"/>
      <c r="G510" s="597"/>
      <c r="H510" s="597"/>
      <c r="I510" s="175"/>
      <c r="J510" s="175"/>
      <c r="K510" s="597"/>
      <c r="L510" s="597"/>
      <c r="M510" s="175"/>
      <c r="N510" s="175"/>
      <c r="O510" s="805"/>
      <c r="P510" s="175"/>
      <c r="Q510" s="175"/>
      <c r="R510" s="175"/>
      <c r="S510" s="175"/>
      <c r="T510" s="597"/>
      <c r="U510" s="597"/>
      <c r="V510" s="597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</row>
    <row r="511" ht="12.0" customHeight="1">
      <c r="A511" s="175"/>
      <c r="B511" s="175"/>
      <c r="C511" s="597"/>
      <c r="D511" s="597"/>
      <c r="E511" s="597"/>
      <c r="F511" s="597"/>
      <c r="G511" s="597"/>
      <c r="H511" s="597"/>
      <c r="I511" s="175"/>
      <c r="J511" s="175"/>
      <c r="K511" s="597"/>
      <c r="L511" s="597"/>
      <c r="M511" s="175"/>
      <c r="N511" s="175"/>
      <c r="O511" s="805"/>
      <c r="P511" s="175"/>
      <c r="Q511" s="175"/>
      <c r="R511" s="175"/>
      <c r="S511" s="175"/>
      <c r="T511" s="597"/>
      <c r="U511" s="597"/>
      <c r="V511" s="597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</row>
    <row r="512" ht="12.0" customHeight="1">
      <c r="A512" s="175"/>
      <c r="B512" s="175"/>
      <c r="C512" s="597"/>
      <c r="D512" s="597"/>
      <c r="E512" s="597"/>
      <c r="F512" s="597"/>
      <c r="G512" s="597"/>
      <c r="H512" s="597"/>
      <c r="I512" s="175"/>
      <c r="J512" s="175"/>
      <c r="K512" s="597"/>
      <c r="L512" s="597"/>
      <c r="M512" s="175"/>
      <c r="N512" s="175"/>
      <c r="O512" s="805"/>
      <c r="P512" s="175"/>
      <c r="Q512" s="175"/>
      <c r="R512" s="175"/>
      <c r="S512" s="175"/>
      <c r="T512" s="597"/>
      <c r="U512" s="597"/>
      <c r="V512" s="597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</row>
    <row r="513" ht="12.0" customHeight="1">
      <c r="A513" s="175"/>
      <c r="B513" s="175"/>
      <c r="C513" s="597"/>
      <c r="D513" s="597"/>
      <c r="E513" s="597"/>
      <c r="F513" s="597"/>
      <c r="G513" s="597"/>
      <c r="H513" s="597"/>
      <c r="I513" s="175"/>
      <c r="J513" s="175"/>
      <c r="K513" s="597"/>
      <c r="L513" s="597"/>
      <c r="M513" s="175"/>
      <c r="N513" s="175"/>
      <c r="O513" s="805"/>
      <c r="P513" s="175"/>
      <c r="Q513" s="175"/>
      <c r="R513" s="175"/>
      <c r="S513" s="175"/>
      <c r="T513" s="597"/>
      <c r="U513" s="597"/>
      <c r="V513" s="597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</row>
    <row r="514" ht="12.0" customHeight="1">
      <c r="A514" s="175"/>
      <c r="B514" s="175"/>
      <c r="C514" s="597"/>
      <c r="D514" s="597"/>
      <c r="E514" s="597"/>
      <c r="F514" s="597"/>
      <c r="G514" s="597"/>
      <c r="H514" s="597"/>
      <c r="I514" s="175"/>
      <c r="J514" s="175"/>
      <c r="K514" s="597"/>
      <c r="L514" s="597"/>
      <c r="M514" s="175"/>
      <c r="N514" s="175"/>
      <c r="O514" s="805"/>
      <c r="P514" s="175"/>
      <c r="Q514" s="175"/>
      <c r="R514" s="175"/>
      <c r="S514" s="175"/>
      <c r="T514" s="597"/>
      <c r="U514" s="597"/>
      <c r="V514" s="597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</row>
    <row r="515" ht="12.0" customHeight="1">
      <c r="A515" s="175"/>
      <c r="B515" s="175"/>
      <c r="C515" s="597"/>
      <c r="D515" s="597"/>
      <c r="E515" s="597"/>
      <c r="F515" s="597"/>
      <c r="G515" s="597"/>
      <c r="H515" s="597"/>
      <c r="I515" s="175"/>
      <c r="J515" s="175"/>
      <c r="K515" s="597"/>
      <c r="L515" s="597"/>
      <c r="M515" s="175"/>
      <c r="N515" s="175"/>
      <c r="O515" s="805"/>
      <c r="P515" s="175"/>
      <c r="Q515" s="175"/>
      <c r="R515" s="175"/>
      <c r="S515" s="175"/>
      <c r="T515" s="597"/>
      <c r="U515" s="597"/>
      <c r="V515" s="597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</row>
    <row r="516" ht="12.0" customHeight="1">
      <c r="A516" s="175"/>
      <c r="B516" s="175"/>
      <c r="C516" s="597"/>
      <c r="D516" s="597"/>
      <c r="E516" s="597"/>
      <c r="F516" s="597"/>
      <c r="G516" s="597"/>
      <c r="H516" s="597"/>
      <c r="I516" s="175"/>
      <c r="J516" s="175"/>
      <c r="K516" s="597"/>
      <c r="L516" s="597"/>
      <c r="M516" s="175"/>
      <c r="N516" s="175"/>
      <c r="O516" s="805"/>
      <c r="P516" s="175"/>
      <c r="Q516" s="175"/>
      <c r="R516" s="175"/>
      <c r="S516" s="175"/>
      <c r="T516" s="597"/>
      <c r="U516" s="597"/>
      <c r="V516" s="597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</row>
    <row r="517" ht="12.0" customHeight="1">
      <c r="A517" s="175"/>
      <c r="B517" s="175"/>
      <c r="C517" s="597"/>
      <c r="D517" s="597"/>
      <c r="E517" s="597"/>
      <c r="F517" s="597"/>
      <c r="G517" s="597"/>
      <c r="H517" s="597"/>
      <c r="I517" s="175"/>
      <c r="J517" s="175"/>
      <c r="K517" s="597"/>
      <c r="L517" s="597"/>
      <c r="M517" s="175"/>
      <c r="N517" s="175"/>
      <c r="O517" s="805"/>
      <c r="P517" s="175"/>
      <c r="Q517" s="175"/>
      <c r="R517" s="175"/>
      <c r="S517" s="175"/>
      <c r="T517" s="597"/>
      <c r="U517" s="597"/>
      <c r="V517" s="597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</row>
    <row r="518" ht="12.0" customHeight="1">
      <c r="A518" s="175"/>
      <c r="B518" s="175"/>
      <c r="C518" s="597"/>
      <c r="D518" s="597"/>
      <c r="E518" s="597"/>
      <c r="F518" s="597"/>
      <c r="G518" s="597"/>
      <c r="H518" s="597"/>
      <c r="I518" s="175"/>
      <c r="J518" s="175"/>
      <c r="K518" s="597"/>
      <c r="L518" s="597"/>
      <c r="M518" s="175"/>
      <c r="N518" s="175"/>
      <c r="O518" s="805"/>
      <c r="P518" s="175"/>
      <c r="Q518" s="175"/>
      <c r="R518" s="175"/>
      <c r="S518" s="175"/>
      <c r="T518" s="597"/>
      <c r="U518" s="597"/>
      <c r="V518" s="597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</row>
    <row r="519" ht="12.0" customHeight="1">
      <c r="A519" s="175"/>
      <c r="B519" s="175"/>
      <c r="C519" s="597"/>
      <c r="D519" s="597"/>
      <c r="E519" s="597"/>
      <c r="F519" s="597"/>
      <c r="G519" s="597"/>
      <c r="H519" s="597"/>
      <c r="I519" s="175"/>
      <c r="J519" s="175"/>
      <c r="K519" s="597"/>
      <c r="L519" s="597"/>
      <c r="M519" s="175"/>
      <c r="N519" s="175"/>
      <c r="O519" s="805"/>
      <c r="P519" s="175"/>
      <c r="Q519" s="175"/>
      <c r="R519" s="175"/>
      <c r="S519" s="175"/>
      <c r="T519" s="597"/>
      <c r="U519" s="597"/>
      <c r="V519" s="597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</row>
    <row r="520" ht="12.0" customHeight="1">
      <c r="A520" s="175"/>
      <c r="B520" s="175"/>
      <c r="C520" s="597"/>
      <c r="D520" s="597"/>
      <c r="E520" s="597"/>
      <c r="F520" s="597"/>
      <c r="G520" s="597"/>
      <c r="H520" s="597"/>
      <c r="I520" s="175"/>
      <c r="J520" s="175"/>
      <c r="K520" s="597"/>
      <c r="L520" s="597"/>
      <c r="M520" s="175"/>
      <c r="N520" s="175"/>
      <c r="O520" s="805"/>
      <c r="P520" s="175"/>
      <c r="Q520" s="175"/>
      <c r="R520" s="175"/>
      <c r="S520" s="175"/>
      <c r="T520" s="597"/>
      <c r="U520" s="597"/>
      <c r="V520" s="597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</row>
    <row r="521" ht="12.0" customHeight="1">
      <c r="A521" s="175"/>
      <c r="B521" s="175"/>
      <c r="C521" s="597"/>
      <c r="D521" s="597"/>
      <c r="E521" s="597"/>
      <c r="F521" s="597"/>
      <c r="G521" s="597"/>
      <c r="H521" s="597"/>
      <c r="I521" s="175"/>
      <c r="J521" s="175"/>
      <c r="K521" s="597"/>
      <c r="L521" s="597"/>
      <c r="M521" s="175"/>
      <c r="N521" s="175"/>
      <c r="O521" s="805"/>
      <c r="P521" s="175"/>
      <c r="Q521" s="175"/>
      <c r="R521" s="175"/>
      <c r="S521" s="175"/>
      <c r="T521" s="597"/>
      <c r="U521" s="597"/>
      <c r="V521" s="597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</row>
    <row r="522" ht="12.0" customHeight="1">
      <c r="A522" s="175"/>
      <c r="B522" s="175"/>
      <c r="C522" s="597"/>
      <c r="D522" s="597"/>
      <c r="E522" s="597"/>
      <c r="F522" s="597"/>
      <c r="G522" s="597"/>
      <c r="H522" s="597"/>
      <c r="I522" s="175"/>
      <c r="J522" s="175"/>
      <c r="K522" s="597"/>
      <c r="L522" s="597"/>
      <c r="M522" s="175"/>
      <c r="N522" s="175"/>
      <c r="O522" s="805"/>
      <c r="P522" s="175"/>
      <c r="Q522" s="175"/>
      <c r="R522" s="175"/>
      <c r="S522" s="175"/>
      <c r="T522" s="597"/>
      <c r="U522" s="597"/>
      <c r="V522" s="597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</row>
    <row r="523" ht="12.0" customHeight="1">
      <c r="A523" s="175"/>
      <c r="B523" s="175"/>
      <c r="C523" s="597"/>
      <c r="D523" s="597"/>
      <c r="E523" s="597"/>
      <c r="F523" s="597"/>
      <c r="G523" s="597"/>
      <c r="H523" s="597"/>
      <c r="I523" s="175"/>
      <c r="J523" s="175"/>
      <c r="K523" s="597"/>
      <c r="L523" s="597"/>
      <c r="M523" s="175"/>
      <c r="N523" s="175"/>
      <c r="O523" s="805"/>
      <c r="P523" s="175"/>
      <c r="Q523" s="175"/>
      <c r="R523" s="175"/>
      <c r="S523" s="175"/>
      <c r="T523" s="597"/>
      <c r="U523" s="597"/>
      <c r="V523" s="597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</row>
    <row r="524" ht="12.0" customHeight="1">
      <c r="A524" s="175"/>
      <c r="B524" s="175"/>
      <c r="C524" s="597"/>
      <c r="D524" s="597"/>
      <c r="E524" s="597"/>
      <c r="F524" s="597"/>
      <c r="G524" s="597"/>
      <c r="H524" s="597"/>
      <c r="I524" s="175"/>
      <c r="J524" s="175"/>
      <c r="K524" s="597"/>
      <c r="L524" s="597"/>
      <c r="M524" s="175"/>
      <c r="N524" s="175"/>
      <c r="O524" s="805"/>
      <c r="P524" s="175"/>
      <c r="Q524" s="175"/>
      <c r="R524" s="175"/>
      <c r="S524" s="175"/>
      <c r="T524" s="597"/>
      <c r="U524" s="597"/>
      <c r="V524" s="597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</row>
    <row r="525" ht="12.0" customHeight="1">
      <c r="A525" s="175"/>
      <c r="B525" s="175"/>
      <c r="C525" s="597"/>
      <c r="D525" s="597"/>
      <c r="E525" s="597"/>
      <c r="F525" s="597"/>
      <c r="G525" s="597"/>
      <c r="H525" s="597"/>
      <c r="I525" s="175"/>
      <c r="J525" s="175"/>
      <c r="K525" s="597"/>
      <c r="L525" s="597"/>
      <c r="M525" s="175"/>
      <c r="N525" s="175"/>
      <c r="O525" s="805"/>
      <c r="P525" s="175"/>
      <c r="Q525" s="175"/>
      <c r="R525" s="175"/>
      <c r="S525" s="175"/>
      <c r="T525" s="597"/>
      <c r="U525" s="597"/>
      <c r="V525" s="597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</row>
    <row r="526" ht="12.0" customHeight="1">
      <c r="A526" s="175"/>
      <c r="B526" s="175"/>
      <c r="C526" s="597"/>
      <c r="D526" s="597"/>
      <c r="E526" s="597"/>
      <c r="F526" s="597"/>
      <c r="G526" s="597"/>
      <c r="H526" s="597"/>
      <c r="I526" s="175"/>
      <c r="J526" s="175"/>
      <c r="K526" s="597"/>
      <c r="L526" s="597"/>
      <c r="M526" s="175"/>
      <c r="N526" s="175"/>
      <c r="O526" s="805"/>
      <c r="P526" s="175"/>
      <c r="Q526" s="175"/>
      <c r="R526" s="175"/>
      <c r="S526" s="175"/>
      <c r="T526" s="597"/>
      <c r="U526" s="597"/>
      <c r="V526" s="597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</row>
    <row r="527" ht="12.0" customHeight="1">
      <c r="A527" s="175"/>
      <c r="B527" s="175"/>
      <c r="C527" s="597"/>
      <c r="D527" s="597"/>
      <c r="E527" s="597"/>
      <c r="F527" s="597"/>
      <c r="G527" s="597"/>
      <c r="H527" s="597"/>
      <c r="I527" s="175"/>
      <c r="J527" s="175"/>
      <c r="K527" s="597"/>
      <c r="L527" s="597"/>
      <c r="M527" s="175"/>
      <c r="N527" s="175"/>
      <c r="O527" s="805"/>
      <c r="P527" s="175"/>
      <c r="Q527" s="175"/>
      <c r="R527" s="175"/>
      <c r="S527" s="175"/>
      <c r="T527" s="597"/>
      <c r="U527" s="597"/>
      <c r="V527" s="597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</row>
    <row r="528" ht="12.0" customHeight="1">
      <c r="A528" s="175"/>
      <c r="B528" s="175"/>
      <c r="C528" s="597"/>
      <c r="D528" s="597"/>
      <c r="E528" s="597"/>
      <c r="F528" s="597"/>
      <c r="G528" s="597"/>
      <c r="H528" s="597"/>
      <c r="I528" s="175"/>
      <c r="J528" s="175"/>
      <c r="K528" s="597"/>
      <c r="L528" s="597"/>
      <c r="M528" s="175"/>
      <c r="N528" s="175"/>
      <c r="O528" s="805"/>
      <c r="P528" s="175"/>
      <c r="Q528" s="175"/>
      <c r="R528" s="175"/>
      <c r="S528" s="175"/>
      <c r="T528" s="597"/>
      <c r="U528" s="597"/>
      <c r="V528" s="597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</row>
    <row r="529" ht="12.0" customHeight="1">
      <c r="A529" s="175"/>
      <c r="B529" s="175"/>
      <c r="C529" s="597"/>
      <c r="D529" s="597"/>
      <c r="E529" s="597"/>
      <c r="F529" s="597"/>
      <c r="G529" s="597"/>
      <c r="H529" s="597"/>
      <c r="I529" s="175"/>
      <c r="J529" s="175"/>
      <c r="K529" s="597"/>
      <c r="L529" s="597"/>
      <c r="M529" s="175"/>
      <c r="N529" s="175"/>
      <c r="O529" s="805"/>
      <c r="P529" s="175"/>
      <c r="Q529" s="175"/>
      <c r="R529" s="175"/>
      <c r="S529" s="175"/>
      <c r="T529" s="597"/>
      <c r="U529" s="597"/>
      <c r="V529" s="597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</row>
    <row r="530" ht="12.0" customHeight="1">
      <c r="A530" s="175"/>
      <c r="B530" s="175"/>
      <c r="C530" s="597"/>
      <c r="D530" s="597"/>
      <c r="E530" s="597"/>
      <c r="F530" s="597"/>
      <c r="G530" s="597"/>
      <c r="H530" s="597"/>
      <c r="I530" s="175"/>
      <c r="J530" s="175"/>
      <c r="K530" s="597"/>
      <c r="L530" s="597"/>
      <c r="M530" s="175"/>
      <c r="N530" s="175"/>
      <c r="O530" s="805"/>
      <c r="P530" s="175"/>
      <c r="Q530" s="175"/>
      <c r="R530" s="175"/>
      <c r="S530" s="175"/>
      <c r="T530" s="597"/>
      <c r="U530" s="597"/>
      <c r="V530" s="597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</row>
    <row r="531" ht="12.0" customHeight="1">
      <c r="A531" s="175"/>
      <c r="B531" s="175"/>
      <c r="C531" s="597"/>
      <c r="D531" s="597"/>
      <c r="E531" s="597"/>
      <c r="F531" s="597"/>
      <c r="G531" s="597"/>
      <c r="H531" s="597"/>
      <c r="I531" s="175"/>
      <c r="J531" s="175"/>
      <c r="K531" s="597"/>
      <c r="L531" s="597"/>
      <c r="M531" s="175"/>
      <c r="N531" s="175"/>
      <c r="O531" s="805"/>
      <c r="P531" s="175"/>
      <c r="Q531" s="175"/>
      <c r="R531" s="175"/>
      <c r="S531" s="175"/>
      <c r="T531" s="597"/>
      <c r="U531" s="597"/>
      <c r="V531" s="597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</row>
    <row r="532" ht="12.0" customHeight="1">
      <c r="A532" s="175"/>
      <c r="B532" s="175"/>
      <c r="C532" s="597"/>
      <c r="D532" s="597"/>
      <c r="E532" s="597"/>
      <c r="F532" s="597"/>
      <c r="G532" s="597"/>
      <c r="H532" s="597"/>
      <c r="I532" s="175"/>
      <c r="J532" s="175"/>
      <c r="K532" s="597"/>
      <c r="L532" s="597"/>
      <c r="M532" s="175"/>
      <c r="N532" s="175"/>
      <c r="O532" s="805"/>
      <c r="P532" s="175"/>
      <c r="Q532" s="175"/>
      <c r="R532" s="175"/>
      <c r="S532" s="175"/>
      <c r="T532" s="597"/>
      <c r="U532" s="597"/>
      <c r="V532" s="597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</row>
    <row r="533" ht="12.0" customHeight="1">
      <c r="A533" s="175"/>
      <c r="B533" s="175"/>
      <c r="C533" s="597"/>
      <c r="D533" s="597"/>
      <c r="E533" s="597"/>
      <c r="F533" s="597"/>
      <c r="G533" s="597"/>
      <c r="H533" s="597"/>
      <c r="I533" s="175"/>
      <c r="J533" s="175"/>
      <c r="K533" s="597"/>
      <c r="L533" s="597"/>
      <c r="M533" s="175"/>
      <c r="N533" s="175"/>
      <c r="O533" s="805"/>
      <c r="P533" s="175"/>
      <c r="Q533" s="175"/>
      <c r="R533" s="175"/>
      <c r="S533" s="175"/>
      <c r="T533" s="597"/>
      <c r="U533" s="597"/>
      <c r="V533" s="597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</row>
    <row r="534" ht="12.0" customHeight="1">
      <c r="A534" s="175"/>
      <c r="B534" s="175"/>
      <c r="C534" s="597"/>
      <c r="D534" s="597"/>
      <c r="E534" s="597"/>
      <c r="F534" s="597"/>
      <c r="G534" s="597"/>
      <c r="H534" s="597"/>
      <c r="I534" s="175"/>
      <c r="J534" s="175"/>
      <c r="K534" s="597"/>
      <c r="L534" s="597"/>
      <c r="M534" s="175"/>
      <c r="N534" s="175"/>
      <c r="O534" s="805"/>
      <c r="P534" s="175"/>
      <c r="Q534" s="175"/>
      <c r="R534" s="175"/>
      <c r="S534" s="175"/>
      <c r="T534" s="597"/>
      <c r="U534" s="597"/>
      <c r="V534" s="597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</row>
    <row r="535" ht="12.0" customHeight="1">
      <c r="A535" s="175"/>
      <c r="B535" s="175"/>
      <c r="C535" s="597"/>
      <c r="D535" s="597"/>
      <c r="E535" s="597"/>
      <c r="F535" s="597"/>
      <c r="G535" s="597"/>
      <c r="H535" s="597"/>
      <c r="I535" s="175"/>
      <c r="J535" s="175"/>
      <c r="K535" s="597"/>
      <c r="L535" s="597"/>
      <c r="M535" s="175"/>
      <c r="N535" s="175"/>
      <c r="O535" s="805"/>
      <c r="P535" s="175"/>
      <c r="Q535" s="175"/>
      <c r="R535" s="175"/>
      <c r="S535" s="175"/>
      <c r="T535" s="597"/>
      <c r="U535" s="597"/>
      <c r="V535" s="597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</row>
    <row r="536" ht="12.0" customHeight="1">
      <c r="A536" s="175"/>
      <c r="B536" s="175"/>
      <c r="C536" s="597"/>
      <c r="D536" s="597"/>
      <c r="E536" s="597"/>
      <c r="F536" s="597"/>
      <c r="G536" s="597"/>
      <c r="H536" s="597"/>
      <c r="I536" s="175"/>
      <c r="J536" s="175"/>
      <c r="K536" s="597"/>
      <c r="L536" s="597"/>
      <c r="M536" s="175"/>
      <c r="N536" s="175"/>
      <c r="O536" s="805"/>
      <c r="P536" s="175"/>
      <c r="Q536" s="175"/>
      <c r="R536" s="175"/>
      <c r="S536" s="175"/>
      <c r="T536" s="597"/>
      <c r="U536" s="597"/>
      <c r="V536" s="597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</row>
    <row r="537" ht="12.0" customHeight="1">
      <c r="A537" s="175"/>
      <c r="B537" s="175"/>
      <c r="C537" s="597"/>
      <c r="D537" s="597"/>
      <c r="E537" s="597"/>
      <c r="F537" s="597"/>
      <c r="G537" s="597"/>
      <c r="H537" s="597"/>
      <c r="I537" s="175"/>
      <c r="J537" s="175"/>
      <c r="K537" s="597"/>
      <c r="L537" s="597"/>
      <c r="M537" s="175"/>
      <c r="N537" s="175"/>
      <c r="O537" s="805"/>
      <c r="P537" s="175"/>
      <c r="Q537" s="175"/>
      <c r="R537" s="175"/>
      <c r="S537" s="175"/>
      <c r="T537" s="597"/>
      <c r="U537" s="597"/>
      <c r="V537" s="597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</row>
    <row r="538" ht="12.0" customHeight="1">
      <c r="A538" s="175"/>
      <c r="B538" s="175"/>
      <c r="C538" s="597"/>
      <c r="D538" s="597"/>
      <c r="E538" s="597"/>
      <c r="F538" s="597"/>
      <c r="G538" s="597"/>
      <c r="H538" s="597"/>
      <c r="I538" s="175"/>
      <c r="J538" s="175"/>
      <c r="K538" s="597"/>
      <c r="L538" s="597"/>
      <c r="M538" s="175"/>
      <c r="N538" s="175"/>
      <c r="O538" s="805"/>
      <c r="P538" s="175"/>
      <c r="Q538" s="175"/>
      <c r="R538" s="175"/>
      <c r="S538" s="175"/>
      <c r="T538" s="597"/>
      <c r="U538" s="597"/>
      <c r="V538" s="597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</row>
    <row r="539" ht="12.0" customHeight="1">
      <c r="A539" s="175"/>
      <c r="B539" s="175"/>
      <c r="C539" s="597"/>
      <c r="D539" s="597"/>
      <c r="E539" s="597"/>
      <c r="F539" s="597"/>
      <c r="G539" s="597"/>
      <c r="H539" s="597"/>
      <c r="I539" s="175"/>
      <c r="J539" s="175"/>
      <c r="K539" s="597"/>
      <c r="L539" s="597"/>
      <c r="M539" s="175"/>
      <c r="N539" s="175"/>
      <c r="O539" s="805"/>
      <c r="P539" s="175"/>
      <c r="Q539" s="175"/>
      <c r="R539" s="175"/>
      <c r="S539" s="175"/>
      <c r="T539" s="597"/>
      <c r="U539" s="597"/>
      <c r="V539" s="597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</row>
    <row r="540" ht="12.0" customHeight="1">
      <c r="A540" s="175"/>
      <c r="B540" s="175"/>
      <c r="C540" s="597"/>
      <c r="D540" s="597"/>
      <c r="E540" s="597"/>
      <c r="F540" s="597"/>
      <c r="G540" s="597"/>
      <c r="H540" s="597"/>
      <c r="I540" s="175"/>
      <c r="J540" s="175"/>
      <c r="K540" s="597"/>
      <c r="L540" s="597"/>
      <c r="M540" s="175"/>
      <c r="N540" s="175"/>
      <c r="O540" s="805"/>
      <c r="P540" s="175"/>
      <c r="Q540" s="175"/>
      <c r="R540" s="175"/>
      <c r="S540" s="175"/>
      <c r="T540" s="597"/>
      <c r="U540" s="597"/>
      <c r="V540" s="597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</row>
    <row r="541" ht="12.0" customHeight="1">
      <c r="A541" s="175"/>
      <c r="B541" s="175"/>
      <c r="C541" s="597"/>
      <c r="D541" s="597"/>
      <c r="E541" s="597"/>
      <c r="F541" s="597"/>
      <c r="G541" s="597"/>
      <c r="H541" s="597"/>
      <c r="I541" s="175"/>
      <c r="J541" s="175"/>
      <c r="K541" s="597"/>
      <c r="L541" s="597"/>
      <c r="M541" s="175"/>
      <c r="N541" s="175"/>
      <c r="O541" s="805"/>
      <c r="P541" s="175"/>
      <c r="Q541" s="175"/>
      <c r="R541" s="175"/>
      <c r="S541" s="175"/>
      <c r="T541" s="597"/>
      <c r="U541" s="597"/>
      <c r="V541" s="597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</row>
    <row r="542" ht="12.0" customHeight="1">
      <c r="A542" s="175"/>
      <c r="B542" s="175"/>
      <c r="C542" s="597"/>
      <c r="D542" s="597"/>
      <c r="E542" s="597"/>
      <c r="F542" s="597"/>
      <c r="G542" s="597"/>
      <c r="H542" s="597"/>
      <c r="I542" s="175"/>
      <c r="J542" s="175"/>
      <c r="K542" s="597"/>
      <c r="L542" s="597"/>
      <c r="M542" s="175"/>
      <c r="N542" s="175"/>
      <c r="O542" s="805"/>
      <c r="P542" s="175"/>
      <c r="Q542" s="175"/>
      <c r="R542" s="175"/>
      <c r="S542" s="175"/>
      <c r="T542" s="597"/>
      <c r="U542" s="597"/>
      <c r="V542" s="597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</row>
    <row r="543" ht="12.0" customHeight="1">
      <c r="A543" s="175"/>
      <c r="B543" s="175"/>
      <c r="C543" s="597"/>
      <c r="D543" s="597"/>
      <c r="E543" s="597"/>
      <c r="F543" s="597"/>
      <c r="G543" s="597"/>
      <c r="H543" s="597"/>
      <c r="I543" s="175"/>
      <c r="J543" s="175"/>
      <c r="K543" s="597"/>
      <c r="L543" s="597"/>
      <c r="M543" s="175"/>
      <c r="N543" s="175"/>
      <c r="O543" s="805"/>
      <c r="P543" s="175"/>
      <c r="Q543" s="175"/>
      <c r="R543" s="175"/>
      <c r="S543" s="175"/>
      <c r="T543" s="597"/>
      <c r="U543" s="597"/>
      <c r="V543" s="597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</row>
    <row r="544" ht="12.0" customHeight="1">
      <c r="A544" s="175"/>
      <c r="B544" s="175"/>
      <c r="C544" s="597"/>
      <c r="D544" s="597"/>
      <c r="E544" s="597"/>
      <c r="F544" s="597"/>
      <c r="G544" s="597"/>
      <c r="H544" s="597"/>
      <c r="I544" s="175"/>
      <c r="J544" s="175"/>
      <c r="K544" s="597"/>
      <c r="L544" s="597"/>
      <c r="M544" s="175"/>
      <c r="N544" s="175"/>
      <c r="O544" s="805"/>
      <c r="P544" s="175"/>
      <c r="Q544" s="175"/>
      <c r="R544" s="175"/>
      <c r="S544" s="175"/>
      <c r="T544" s="597"/>
      <c r="U544" s="597"/>
      <c r="V544" s="597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</row>
    <row r="545" ht="12.0" customHeight="1">
      <c r="A545" s="175"/>
      <c r="B545" s="175"/>
      <c r="C545" s="597"/>
      <c r="D545" s="597"/>
      <c r="E545" s="597"/>
      <c r="F545" s="597"/>
      <c r="G545" s="597"/>
      <c r="H545" s="597"/>
      <c r="I545" s="175"/>
      <c r="J545" s="175"/>
      <c r="K545" s="597"/>
      <c r="L545" s="597"/>
      <c r="M545" s="175"/>
      <c r="N545" s="175"/>
      <c r="O545" s="805"/>
      <c r="P545" s="175"/>
      <c r="Q545" s="175"/>
      <c r="R545" s="175"/>
      <c r="S545" s="175"/>
      <c r="T545" s="597"/>
      <c r="U545" s="597"/>
      <c r="V545" s="597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</row>
    <row r="546" ht="12.0" customHeight="1">
      <c r="A546" s="175"/>
      <c r="B546" s="175"/>
      <c r="C546" s="597"/>
      <c r="D546" s="597"/>
      <c r="E546" s="597"/>
      <c r="F546" s="597"/>
      <c r="G546" s="597"/>
      <c r="H546" s="597"/>
      <c r="I546" s="175"/>
      <c r="J546" s="175"/>
      <c r="K546" s="597"/>
      <c r="L546" s="597"/>
      <c r="M546" s="175"/>
      <c r="N546" s="175"/>
      <c r="O546" s="805"/>
      <c r="P546" s="175"/>
      <c r="Q546" s="175"/>
      <c r="R546" s="175"/>
      <c r="S546" s="175"/>
      <c r="T546" s="597"/>
      <c r="U546" s="597"/>
      <c r="V546" s="597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</row>
    <row r="547" ht="12.0" customHeight="1">
      <c r="A547" s="175"/>
      <c r="B547" s="175"/>
      <c r="C547" s="597"/>
      <c r="D547" s="597"/>
      <c r="E547" s="597"/>
      <c r="F547" s="597"/>
      <c r="G547" s="597"/>
      <c r="H547" s="597"/>
      <c r="I547" s="175"/>
      <c r="J547" s="175"/>
      <c r="K547" s="597"/>
      <c r="L547" s="597"/>
      <c r="M547" s="175"/>
      <c r="N547" s="175"/>
      <c r="O547" s="805"/>
      <c r="P547" s="175"/>
      <c r="Q547" s="175"/>
      <c r="R547" s="175"/>
      <c r="S547" s="175"/>
      <c r="T547" s="597"/>
      <c r="U547" s="597"/>
      <c r="V547" s="597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</row>
    <row r="548" ht="12.0" customHeight="1">
      <c r="A548" s="175"/>
      <c r="B548" s="175"/>
      <c r="C548" s="597"/>
      <c r="D548" s="597"/>
      <c r="E548" s="597"/>
      <c r="F548" s="597"/>
      <c r="G548" s="597"/>
      <c r="H548" s="597"/>
      <c r="I548" s="175"/>
      <c r="J548" s="175"/>
      <c r="K548" s="597"/>
      <c r="L548" s="597"/>
      <c r="M548" s="175"/>
      <c r="N548" s="175"/>
      <c r="O548" s="805"/>
      <c r="P548" s="175"/>
      <c r="Q548" s="175"/>
      <c r="R548" s="175"/>
      <c r="S548" s="175"/>
      <c r="T548" s="597"/>
      <c r="U548" s="597"/>
      <c r="V548" s="597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</row>
    <row r="549" ht="12.0" customHeight="1">
      <c r="A549" s="175"/>
      <c r="B549" s="175"/>
      <c r="C549" s="597"/>
      <c r="D549" s="597"/>
      <c r="E549" s="597"/>
      <c r="F549" s="597"/>
      <c r="G549" s="597"/>
      <c r="H549" s="597"/>
      <c r="I549" s="175"/>
      <c r="J549" s="175"/>
      <c r="K549" s="597"/>
      <c r="L549" s="597"/>
      <c r="M549" s="175"/>
      <c r="N549" s="175"/>
      <c r="O549" s="805"/>
      <c r="P549" s="175"/>
      <c r="Q549" s="175"/>
      <c r="R549" s="175"/>
      <c r="S549" s="175"/>
      <c r="T549" s="597"/>
      <c r="U549" s="597"/>
      <c r="V549" s="597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</row>
    <row r="550" ht="12.0" customHeight="1">
      <c r="A550" s="175"/>
      <c r="B550" s="175"/>
      <c r="C550" s="597"/>
      <c r="D550" s="597"/>
      <c r="E550" s="597"/>
      <c r="F550" s="597"/>
      <c r="G550" s="597"/>
      <c r="H550" s="597"/>
      <c r="I550" s="175"/>
      <c r="J550" s="175"/>
      <c r="K550" s="597"/>
      <c r="L550" s="597"/>
      <c r="M550" s="175"/>
      <c r="N550" s="175"/>
      <c r="O550" s="805"/>
      <c r="P550" s="175"/>
      <c r="Q550" s="175"/>
      <c r="R550" s="175"/>
      <c r="S550" s="175"/>
      <c r="T550" s="597"/>
      <c r="U550" s="597"/>
      <c r="V550" s="597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</row>
    <row r="551" ht="12.0" customHeight="1">
      <c r="A551" s="175"/>
      <c r="B551" s="175"/>
      <c r="C551" s="597"/>
      <c r="D551" s="597"/>
      <c r="E551" s="597"/>
      <c r="F551" s="597"/>
      <c r="G551" s="597"/>
      <c r="H551" s="597"/>
      <c r="I551" s="175"/>
      <c r="J551" s="175"/>
      <c r="K551" s="597"/>
      <c r="L551" s="597"/>
      <c r="M551" s="175"/>
      <c r="N551" s="175"/>
      <c r="O551" s="805"/>
      <c r="P551" s="175"/>
      <c r="Q551" s="175"/>
      <c r="R551" s="175"/>
      <c r="S551" s="175"/>
      <c r="T551" s="597"/>
      <c r="U551" s="597"/>
      <c r="V551" s="597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</row>
    <row r="552" ht="12.0" customHeight="1">
      <c r="A552" s="175"/>
      <c r="B552" s="175"/>
      <c r="C552" s="597"/>
      <c r="D552" s="597"/>
      <c r="E552" s="597"/>
      <c r="F552" s="597"/>
      <c r="G552" s="597"/>
      <c r="H552" s="597"/>
      <c r="I552" s="175"/>
      <c r="J552" s="175"/>
      <c r="K552" s="597"/>
      <c r="L552" s="597"/>
      <c r="M552" s="175"/>
      <c r="N552" s="175"/>
      <c r="O552" s="805"/>
      <c r="P552" s="175"/>
      <c r="Q552" s="175"/>
      <c r="R552" s="175"/>
      <c r="S552" s="175"/>
      <c r="T552" s="597"/>
      <c r="U552" s="597"/>
      <c r="V552" s="597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</row>
    <row r="553" ht="12.0" customHeight="1">
      <c r="A553" s="175"/>
      <c r="B553" s="175"/>
      <c r="C553" s="597"/>
      <c r="D553" s="597"/>
      <c r="E553" s="597"/>
      <c r="F553" s="597"/>
      <c r="G553" s="597"/>
      <c r="H553" s="597"/>
      <c r="I553" s="175"/>
      <c r="J553" s="175"/>
      <c r="K553" s="597"/>
      <c r="L553" s="597"/>
      <c r="M553" s="175"/>
      <c r="N553" s="175"/>
      <c r="O553" s="805"/>
      <c r="P553" s="175"/>
      <c r="Q553" s="175"/>
      <c r="R553" s="175"/>
      <c r="S553" s="175"/>
      <c r="T553" s="597"/>
      <c r="U553" s="597"/>
      <c r="V553" s="597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</row>
    <row r="554" ht="12.0" customHeight="1">
      <c r="A554" s="175"/>
      <c r="B554" s="175"/>
      <c r="C554" s="597"/>
      <c r="D554" s="597"/>
      <c r="E554" s="597"/>
      <c r="F554" s="597"/>
      <c r="G554" s="597"/>
      <c r="H554" s="597"/>
      <c r="I554" s="175"/>
      <c r="J554" s="175"/>
      <c r="K554" s="597"/>
      <c r="L554" s="597"/>
      <c r="M554" s="175"/>
      <c r="N554" s="175"/>
      <c r="O554" s="805"/>
      <c r="P554" s="175"/>
      <c r="Q554" s="175"/>
      <c r="R554" s="175"/>
      <c r="S554" s="175"/>
      <c r="T554" s="597"/>
      <c r="U554" s="597"/>
      <c r="V554" s="597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</row>
    <row r="555" ht="12.0" customHeight="1">
      <c r="A555" s="175"/>
      <c r="B555" s="175"/>
      <c r="C555" s="597"/>
      <c r="D555" s="597"/>
      <c r="E555" s="597"/>
      <c r="F555" s="597"/>
      <c r="G555" s="597"/>
      <c r="H555" s="597"/>
      <c r="I555" s="175"/>
      <c r="J555" s="175"/>
      <c r="K555" s="597"/>
      <c r="L555" s="597"/>
      <c r="M555" s="175"/>
      <c r="N555" s="175"/>
      <c r="O555" s="805"/>
      <c r="P555" s="175"/>
      <c r="Q555" s="175"/>
      <c r="R555" s="175"/>
      <c r="S555" s="175"/>
      <c r="T555" s="597"/>
      <c r="U555" s="597"/>
      <c r="V555" s="597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</row>
    <row r="556" ht="12.0" customHeight="1">
      <c r="A556" s="175"/>
      <c r="B556" s="175"/>
      <c r="C556" s="597"/>
      <c r="D556" s="597"/>
      <c r="E556" s="597"/>
      <c r="F556" s="597"/>
      <c r="G556" s="597"/>
      <c r="H556" s="597"/>
      <c r="I556" s="175"/>
      <c r="J556" s="175"/>
      <c r="K556" s="597"/>
      <c r="L556" s="597"/>
      <c r="M556" s="175"/>
      <c r="N556" s="175"/>
      <c r="O556" s="805"/>
      <c r="P556" s="175"/>
      <c r="Q556" s="175"/>
      <c r="R556" s="175"/>
      <c r="S556" s="175"/>
      <c r="T556" s="597"/>
      <c r="U556" s="597"/>
      <c r="V556" s="597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</row>
    <row r="557" ht="12.0" customHeight="1">
      <c r="A557" s="175"/>
      <c r="B557" s="175"/>
      <c r="C557" s="597"/>
      <c r="D557" s="597"/>
      <c r="E557" s="597"/>
      <c r="F557" s="597"/>
      <c r="G557" s="597"/>
      <c r="H557" s="597"/>
      <c r="I557" s="175"/>
      <c r="J557" s="175"/>
      <c r="K557" s="597"/>
      <c r="L557" s="597"/>
      <c r="M557" s="175"/>
      <c r="N557" s="175"/>
      <c r="O557" s="805"/>
      <c r="P557" s="175"/>
      <c r="Q557" s="175"/>
      <c r="R557" s="175"/>
      <c r="S557" s="175"/>
      <c r="T557" s="597"/>
      <c r="U557" s="597"/>
      <c r="V557" s="597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</row>
    <row r="558" ht="12.0" customHeight="1">
      <c r="A558" s="175"/>
      <c r="B558" s="175"/>
      <c r="C558" s="597"/>
      <c r="D558" s="597"/>
      <c r="E558" s="597"/>
      <c r="F558" s="597"/>
      <c r="G558" s="597"/>
      <c r="H558" s="597"/>
      <c r="I558" s="175"/>
      <c r="J558" s="175"/>
      <c r="K558" s="597"/>
      <c r="L558" s="597"/>
      <c r="M558" s="175"/>
      <c r="N558" s="175"/>
      <c r="O558" s="805"/>
      <c r="P558" s="175"/>
      <c r="Q558" s="175"/>
      <c r="R558" s="175"/>
      <c r="S558" s="175"/>
      <c r="T558" s="597"/>
      <c r="U558" s="597"/>
      <c r="V558" s="597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</row>
    <row r="559" ht="12.0" customHeight="1">
      <c r="A559" s="175"/>
      <c r="B559" s="175"/>
      <c r="C559" s="597"/>
      <c r="D559" s="597"/>
      <c r="E559" s="597"/>
      <c r="F559" s="597"/>
      <c r="G559" s="597"/>
      <c r="H559" s="597"/>
      <c r="I559" s="175"/>
      <c r="J559" s="175"/>
      <c r="K559" s="597"/>
      <c r="L559" s="597"/>
      <c r="M559" s="175"/>
      <c r="N559" s="175"/>
      <c r="O559" s="805"/>
      <c r="P559" s="175"/>
      <c r="Q559" s="175"/>
      <c r="R559" s="175"/>
      <c r="S559" s="175"/>
      <c r="T559" s="597"/>
      <c r="U559" s="597"/>
      <c r="V559" s="597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</row>
    <row r="560" ht="12.0" customHeight="1">
      <c r="A560" s="175"/>
      <c r="B560" s="175"/>
      <c r="C560" s="597"/>
      <c r="D560" s="597"/>
      <c r="E560" s="597"/>
      <c r="F560" s="597"/>
      <c r="G560" s="597"/>
      <c r="H560" s="597"/>
      <c r="I560" s="175"/>
      <c r="J560" s="175"/>
      <c r="K560" s="597"/>
      <c r="L560" s="597"/>
      <c r="M560" s="175"/>
      <c r="N560" s="175"/>
      <c r="O560" s="805"/>
      <c r="P560" s="175"/>
      <c r="Q560" s="175"/>
      <c r="R560" s="175"/>
      <c r="S560" s="175"/>
      <c r="T560" s="597"/>
      <c r="U560" s="597"/>
      <c r="V560" s="597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</row>
    <row r="561" ht="12.0" customHeight="1">
      <c r="A561" s="175"/>
      <c r="B561" s="175"/>
      <c r="C561" s="597"/>
      <c r="D561" s="597"/>
      <c r="E561" s="597"/>
      <c r="F561" s="597"/>
      <c r="G561" s="597"/>
      <c r="H561" s="597"/>
      <c r="I561" s="175"/>
      <c r="J561" s="175"/>
      <c r="K561" s="597"/>
      <c r="L561" s="597"/>
      <c r="M561" s="175"/>
      <c r="N561" s="175"/>
      <c r="O561" s="805"/>
      <c r="P561" s="175"/>
      <c r="Q561" s="175"/>
      <c r="R561" s="175"/>
      <c r="S561" s="175"/>
      <c r="T561" s="597"/>
      <c r="U561" s="597"/>
      <c r="V561" s="597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</row>
    <row r="562" ht="12.0" customHeight="1">
      <c r="A562" s="175"/>
      <c r="B562" s="175"/>
      <c r="C562" s="597"/>
      <c r="D562" s="597"/>
      <c r="E562" s="597"/>
      <c r="F562" s="597"/>
      <c r="G562" s="597"/>
      <c r="H562" s="597"/>
      <c r="I562" s="175"/>
      <c r="J562" s="175"/>
      <c r="K562" s="597"/>
      <c r="L562" s="597"/>
      <c r="M562" s="175"/>
      <c r="N562" s="175"/>
      <c r="O562" s="805"/>
      <c r="P562" s="175"/>
      <c r="Q562" s="175"/>
      <c r="R562" s="175"/>
      <c r="S562" s="175"/>
      <c r="T562" s="597"/>
      <c r="U562" s="597"/>
      <c r="V562" s="597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</row>
    <row r="563" ht="12.0" customHeight="1">
      <c r="A563" s="175"/>
      <c r="B563" s="175"/>
      <c r="C563" s="597"/>
      <c r="D563" s="597"/>
      <c r="E563" s="597"/>
      <c r="F563" s="597"/>
      <c r="G563" s="597"/>
      <c r="H563" s="597"/>
      <c r="I563" s="175"/>
      <c r="J563" s="175"/>
      <c r="K563" s="597"/>
      <c r="L563" s="597"/>
      <c r="M563" s="175"/>
      <c r="N563" s="175"/>
      <c r="O563" s="805"/>
      <c r="P563" s="175"/>
      <c r="Q563" s="175"/>
      <c r="R563" s="175"/>
      <c r="S563" s="175"/>
      <c r="T563" s="597"/>
      <c r="U563" s="597"/>
      <c r="V563" s="597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</row>
    <row r="564" ht="12.0" customHeight="1">
      <c r="A564" s="175"/>
      <c r="B564" s="175"/>
      <c r="C564" s="597"/>
      <c r="D564" s="597"/>
      <c r="E564" s="597"/>
      <c r="F564" s="597"/>
      <c r="G564" s="597"/>
      <c r="H564" s="597"/>
      <c r="I564" s="175"/>
      <c r="J564" s="175"/>
      <c r="K564" s="597"/>
      <c r="L564" s="597"/>
      <c r="M564" s="175"/>
      <c r="N564" s="175"/>
      <c r="O564" s="805"/>
      <c r="P564" s="175"/>
      <c r="Q564" s="175"/>
      <c r="R564" s="175"/>
      <c r="S564" s="175"/>
      <c r="T564" s="597"/>
      <c r="U564" s="597"/>
      <c r="V564" s="597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</row>
    <row r="565" ht="12.0" customHeight="1">
      <c r="A565" s="175"/>
      <c r="B565" s="175"/>
      <c r="C565" s="597"/>
      <c r="D565" s="597"/>
      <c r="E565" s="597"/>
      <c r="F565" s="597"/>
      <c r="G565" s="597"/>
      <c r="H565" s="597"/>
      <c r="I565" s="175"/>
      <c r="J565" s="175"/>
      <c r="K565" s="597"/>
      <c r="L565" s="597"/>
      <c r="M565" s="175"/>
      <c r="N565" s="175"/>
      <c r="O565" s="805"/>
      <c r="P565" s="175"/>
      <c r="Q565" s="175"/>
      <c r="R565" s="175"/>
      <c r="S565" s="175"/>
      <c r="T565" s="597"/>
      <c r="U565" s="597"/>
      <c r="V565" s="597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</row>
    <row r="566" ht="12.0" customHeight="1">
      <c r="A566" s="175"/>
      <c r="B566" s="175"/>
      <c r="C566" s="597"/>
      <c r="D566" s="597"/>
      <c r="E566" s="597"/>
      <c r="F566" s="597"/>
      <c r="G566" s="597"/>
      <c r="H566" s="597"/>
      <c r="I566" s="175"/>
      <c r="J566" s="175"/>
      <c r="K566" s="597"/>
      <c r="L566" s="597"/>
      <c r="M566" s="175"/>
      <c r="N566" s="175"/>
      <c r="O566" s="805"/>
      <c r="P566" s="175"/>
      <c r="Q566" s="175"/>
      <c r="R566" s="175"/>
      <c r="S566" s="175"/>
      <c r="T566" s="597"/>
      <c r="U566" s="597"/>
      <c r="V566" s="597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</row>
    <row r="567" ht="12.0" customHeight="1">
      <c r="A567" s="175"/>
      <c r="B567" s="175"/>
      <c r="C567" s="597"/>
      <c r="D567" s="597"/>
      <c r="E567" s="597"/>
      <c r="F567" s="597"/>
      <c r="G567" s="597"/>
      <c r="H567" s="597"/>
      <c r="I567" s="175"/>
      <c r="J567" s="175"/>
      <c r="K567" s="597"/>
      <c r="L567" s="597"/>
      <c r="M567" s="175"/>
      <c r="N567" s="175"/>
      <c r="O567" s="805"/>
      <c r="P567" s="175"/>
      <c r="Q567" s="175"/>
      <c r="R567" s="175"/>
      <c r="S567" s="175"/>
      <c r="T567" s="597"/>
      <c r="U567" s="597"/>
      <c r="V567" s="597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</row>
    <row r="568" ht="12.0" customHeight="1">
      <c r="A568" s="175"/>
      <c r="B568" s="175"/>
      <c r="C568" s="597"/>
      <c r="D568" s="597"/>
      <c r="E568" s="597"/>
      <c r="F568" s="597"/>
      <c r="G568" s="597"/>
      <c r="H568" s="597"/>
      <c r="I568" s="175"/>
      <c r="J568" s="175"/>
      <c r="K568" s="597"/>
      <c r="L568" s="597"/>
      <c r="M568" s="175"/>
      <c r="N568" s="175"/>
      <c r="O568" s="805"/>
      <c r="P568" s="175"/>
      <c r="Q568" s="175"/>
      <c r="R568" s="175"/>
      <c r="S568" s="175"/>
      <c r="T568" s="597"/>
      <c r="U568" s="597"/>
      <c r="V568" s="597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</row>
    <row r="569" ht="12.0" customHeight="1">
      <c r="A569" s="175"/>
      <c r="B569" s="175"/>
      <c r="C569" s="597"/>
      <c r="D569" s="597"/>
      <c r="E569" s="597"/>
      <c r="F569" s="597"/>
      <c r="G569" s="597"/>
      <c r="H569" s="597"/>
      <c r="I569" s="175"/>
      <c r="J569" s="175"/>
      <c r="K569" s="597"/>
      <c r="L569" s="597"/>
      <c r="M569" s="175"/>
      <c r="N569" s="175"/>
      <c r="O569" s="805"/>
      <c r="P569" s="175"/>
      <c r="Q569" s="175"/>
      <c r="R569" s="175"/>
      <c r="S569" s="175"/>
      <c r="T569" s="597"/>
      <c r="U569" s="597"/>
      <c r="V569" s="597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</row>
    <row r="570" ht="12.0" customHeight="1">
      <c r="A570" s="175"/>
      <c r="B570" s="175"/>
      <c r="C570" s="597"/>
      <c r="D570" s="597"/>
      <c r="E570" s="597"/>
      <c r="F570" s="597"/>
      <c r="G570" s="597"/>
      <c r="H570" s="597"/>
      <c r="I570" s="175"/>
      <c r="J570" s="175"/>
      <c r="K570" s="597"/>
      <c r="L570" s="597"/>
      <c r="M570" s="175"/>
      <c r="N570" s="175"/>
      <c r="O570" s="805"/>
      <c r="P570" s="175"/>
      <c r="Q570" s="175"/>
      <c r="R570" s="175"/>
      <c r="S570" s="175"/>
      <c r="T570" s="597"/>
      <c r="U570" s="597"/>
      <c r="V570" s="597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</row>
    <row r="571" ht="12.0" customHeight="1">
      <c r="A571" s="175"/>
      <c r="B571" s="175"/>
      <c r="C571" s="597"/>
      <c r="D571" s="597"/>
      <c r="E571" s="597"/>
      <c r="F571" s="597"/>
      <c r="G571" s="597"/>
      <c r="H571" s="597"/>
      <c r="I571" s="175"/>
      <c r="J571" s="175"/>
      <c r="K571" s="597"/>
      <c r="L571" s="597"/>
      <c r="M571" s="175"/>
      <c r="N571" s="175"/>
      <c r="O571" s="805"/>
      <c r="P571" s="175"/>
      <c r="Q571" s="175"/>
      <c r="R571" s="175"/>
      <c r="S571" s="175"/>
      <c r="T571" s="597"/>
      <c r="U571" s="597"/>
      <c r="V571" s="597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</row>
    <row r="572" ht="12.0" customHeight="1">
      <c r="A572" s="175"/>
      <c r="B572" s="175"/>
      <c r="C572" s="597"/>
      <c r="D572" s="597"/>
      <c r="E572" s="597"/>
      <c r="F572" s="597"/>
      <c r="G572" s="597"/>
      <c r="H572" s="597"/>
      <c r="I572" s="175"/>
      <c r="J572" s="175"/>
      <c r="K572" s="597"/>
      <c r="L572" s="597"/>
      <c r="M572" s="175"/>
      <c r="N572" s="175"/>
      <c r="O572" s="805"/>
      <c r="P572" s="175"/>
      <c r="Q572" s="175"/>
      <c r="R572" s="175"/>
      <c r="S572" s="175"/>
      <c r="T572" s="597"/>
      <c r="U572" s="597"/>
      <c r="V572" s="597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</row>
    <row r="573" ht="12.0" customHeight="1">
      <c r="A573" s="175"/>
      <c r="B573" s="175"/>
      <c r="C573" s="597"/>
      <c r="D573" s="597"/>
      <c r="E573" s="597"/>
      <c r="F573" s="597"/>
      <c r="G573" s="597"/>
      <c r="H573" s="597"/>
      <c r="I573" s="175"/>
      <c r="J573" s="175"/>
      <c r="K573" s="597"/>
      <c r="L573" s="597"/>
      <c r="M573" s="175"/>
      <c r="N573" s="175"/>
      <c r="O573" s="805"/>
      <c r="P573" s="175"/>
      <c r="Q573" s="175"/>
      <c r="R573" s="175"/>
      <c r="S573" s="175"/>
      <c r="T573" s="597"/>
      <c r="U573" s="597"/>
      <c r="V573" s="597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</row>
    <row r="574" ht="12.0" customHeight="1">
      <c r="A574" s="175"/>
      <c r="B574" s="175"/>
      <c r="C574" s="597"/>
      <c r="D574" s="597"/>
      <c r="E574" s="597"/>
      <c r="F574" s="597"/>
      <c r="G574" s="597"/>
      <c r="H574" s="597"/>
      <c r="I574" s="175"/>
      <c r="J574" s="175"/>
      <c r="K574" s="597"/>
      <c r="L574" s="597"/>
      <c r="M574" s="175"/>
      <c r="N574" s="175"/>
      <c r="O574" s="805"/>
      <c r="P574" s="175"/>
      <c r="Q574" s="175"/>
      <c r="R574" s="175"/>
      <c r="S574" s="175"/>
      <c r="T574" s="597"/>
      <c r="U574" s="597"/>
      <c r="V574" s="597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</row>
    <row r="575" ht="12.0" customHeight="1">
      <c r="A575" s="175"/>
      <c r="B575" s="175"/>
      <c r="C575" s="597"/>
      <c r="D575" s="597"/>
      <c r="E575" s="597"/>
      <c r="F575" s="597"/>
      <c r="G575" s="597"/>
      <c r="H575" s="597"/>
      <c r="I575" s="175"/>
      <c r="J575" s="175"/>
      <c r="K575" s="597"/>
      <c r="L575" s="597"/>
      <c r="M575" s="175"/>
      <c r="N575" s="175"/>
      <c r="O575" s="805"/>
      <c r="P575" s="175"/>
      <c r="Q575" s="175"/>
      <c r="R575" s="175"/>
      <c r="S575" s="175"/>
      <c r="T575" s="597"/>
      <c r="U575" s="597"/>
      <c r="V575" s="597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</row>
    <row r="576" ht="12.0" customHeight="1">
      <c r="A576" s="175"/>
      <c r="B576" s="175"/>
      <c r="C576" s="597"/>
      <c r="D576" s="597"/>
      <c r="E576" s="597"/>
      <c r="F576" s="597"/>
      <c r="G576" s="597"/>
      <c r="H576" s="597"/>
      <c r="I576" s="175"/>
      <c r="J576" s="175"/>
      <c r="K576" s="597"/>
      <c r="L576" s="597"/>
      <c r="M576" s="175"/>
      <c r="N576" s="175"/>
      <c r="O576" s="805"/>
      <c r="P576" s="175"/>
      <c r="Q576" s="175"/>
      <c r="R576" s="175"/>
      <c r="S576" s="175"/>
      <c r="T576" s="597"/>
      <c r="U576" s="597"/>
      <c r="V576" s="597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</row>
    <row r="577" ht="12.0" customHeight="1">
      <c r="A577" s="175"/>
      <c r="B577" s="175"/>
      <c r="C577" s="597"/>
      <c r="D577" s="597"/>
      <c r="E577" s="597"/>
      <c r="F577" s="597"/>
      <c r="G577" s="597"/>
      <c r="H577" s="597"/>
      <c r="I577" s="175"/>
      <c r="J577" s="175"/>
      <c r="K577" s="597"/>
      <c r="L577" s="597"/>
      <c r="M577" s="175"/>
      <c r="N577" s="175"/>
      <c r="O577" s="805"/>
      <c r="P577" s="175"/>
      <c r="Q577" s="175"/>
      <c r="R577" s="175"/>
      <c r="S577" s="175"/>
      <c r="T577" s="597"/>
      <c r="U577" s="597"/>
      <c r="V577" s="597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</row>
    <row r="578" ht="12.0" customHeight="1">
      <c r="A578" s="175"/>
      <c r="B578" s="175"/>
      <c r="C578" s="597"/>
      <c r="D578" s="597"/>
      <c r="E578" s="597"/>
      <c r="F578" s="597"/>
      <c r="G578" s="597"/>
      <c r="H578" s="597"/>
      <c r="I578" s="175"/>
      <c r="J578" s="175"/>
      <c r="K578" s="597"/>
      <c r="L578" s="597"/>
      <c r="M578" s="175"/>
      <c r="N578" s="175"/>
      <c r="O578" s="805"/>
      <c r="P578" s="175"/>
      <c r="Q578" s="175"/>
      <c r="R578" s="175"/>
      <c r="S578" s="175"/>
      <c r="T578" s="597"/>
      <c r="U578" s="597"/>
      <c r="V578" s="597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</row>
    <row r="579" ht="12.0" customHeight="1">
      <c r="A579" s="175"/>
      <c r="B579" s="175"/>
      <c r="C579" s="597"/>
      <c r="D579" s="597"/>
      <c r="E579" s="597"/>
      <c r="F579" s="597"/>
      <c r="G579" s="597"/>
      <c r="H579" s="597"/>
      <c r="I579" s="175"/>
      <c r="J579" s="175"/>
      <c r="K579" s="597"/>
      <c r="L579" s="597"/>
      <c r="M579" s="175"/>
      <c r="N579" s="175"/>
      <c r="O579" s="805"/>
      <c r="P579" s="175"/>
      <c r="Q579" s="175"/>
      <c r="R579" s="175"/>
      <c r="S579" s="175"/>
      <c r="T579" s="597"/>
      <c r="U579" s="597"/>
      <c r="V579" s="597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</row>
    <row r="580" ht="12.0" customHeight="1">
      <c r="A580" s="175"/>
      <c r="B580" s="175"/>
      <c r="C580" s="597"/>
      <c r="D580" s="597"/>
      <c r="E580" s="597"/>
      <c r="F580" s="597"/>
      <c r="G580" s="597"/>
      <c r="H580" s="597"/>
      <c r="I580" s="175"/>
      <c r="J580" s="175"/>
      <c r="K580" s="597"/>
      <c r="L580" s="597"/>
      <c r="M580" s="175"/>
      <c r="N580" s="175"/>
      <c r="O580" s="805"/>
      <c r="P580" s="175"/>
      <c r="Q580" s="175"/>
      <c r="R580" s="175"/>
      <c r="S580" s="175"/>
      <c r="T580" s="597"/>
      <c r="U580" s="597"/>
      <c r="V580" s="597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</row>
    <row r="581" ht="12.0" customHeight="1">
      <c r="A581" s="175"/>
      <c r="B581" s="175"/>
      <c r="C581" s="597"/>
      <c r="D581" s="597"/>
      <c r="E581" s="597"/>
      <c r="F581" s="597"/>
      <c r="G581" s="597"/>
      <c r="H581" s="597"/>
      <c r="I581" s="175"/>
      <c r="J581" s="175"/>
      <c r="K581" s="597"/>
      <c r="L581" s="597"/>
      <c r="M581" s="175"/>
      <c r="N581" s="175"/>
      <c r="O581" s="805"/>
      <c r="P581" s="175"/>
      <c r="Q581" s="175"/>
      <c r="R581" s="175"/>
      <c r="S581" s="175"/>
      <c r="T581" s="597"/>
      <c r="U581" s="597"/>
      <c r="V581" s="597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</row>
    <row r="582" ht="12.0" customHeight="1">
      <c r="A582" s="175"/>
      <c r="B582" s="175"/>
      <c r="C582" s="597"/>
      <c r="D582" s="597"/>
      <c r="E582" s="597"/>
      <c r="F582" s="597"/>
      <c r="G582" s="597"/>
      <c r="H582" s="597"/>
      <c r="I582" s="175"/>
      <c r="J582" s="175"/>
      <c r="K582" s="597"/>
      <c r="L582" s="597"/>
      <c r="M582" s="175"/>
      <c r="N582" s="175"/>
      <c r="O582" s="805"/>
      <c r="P582" s="175"/>
      <c r="Q582" s="175"/>
      <c r="R582" s="175"/>
      <c r="S582" s="175"/>
      <c r="T582" s="597"/>
      <c r="U582" s="597"/>
      <c r="V582" s="597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</row>
    <row r="583" ht="12.0" customHeight="1">
      <c r="A583" s="175"/>
      <c r="B583" s="175"/>
      <c r="C583" s="597"/>
      <c r="D583" s="597"/>
      <c r="E583" s="597"/>
      <c r="F583" s="597"/>
      <c r="G583" s="597"/>
      <c r="H583" s="597"/>
      <c r="I583" s="175"/>
      <c r="J583" s="175"/>
      <c r="K583" s="597"/>
      <c r="L583" s="597"/>
      <c r="M583" s="175"/>
      <c r="N583" s="175"/>
      <c r="O583" s="805"/>
      <c r="P583" s="175"/>
      <c r="Q583" s="175"/>
      <c r="R583" s="175"/>
      <c r="S583" s="175"/>
      <c r="T583" s="597"/>
      <c r="U583" s="597"/>
      <c r="V583" s="597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</row>
    <row r="584" ht="12.0" customHeight="1">
      <c r="A584" s="175"/>
      <c r="B584" s="175"/>
      <c r="C584" s="597"/>
      <c r="D584" s="597"/>
      <c r="E584" s="597"/>
      <c r="F584" s="597"/>
      <c r="G584" s="597"/>
      <c r="H584" s="597"/>
      <c r="I584" s="175"/>
      <c r="J584" s="175"/>
      <c r="K584" s="597"/>
      <c r="L584" s="597"/>
      <c r="M584" s="175"/>
      <c r="N584" s="175"/>
      <c r="O584" s="805"/>
      <c r="P584" s="175"/>
      <c r="Q584" s="175"/>
      <c r="R584" s="175"/>
      <c r="S584" s="175"/>
      <c r="T584" s="597"/>
      <c r="U584" s="597"/>
      <c r="V584" s="597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</row>
    <row r="585" ht="12.0" customHeight="1">
      <c r="A585" s="175"/>
      <c r="B585" s="175"/>
      <c r="C585" s="597"/>
      <c r="D585" s="597"/>
      <c r="E585" s="597"/>
      <c r="F585" s="597"/>
      <c r="G585" s="597"/>
      <c r="H585" s="597"/>
      <c r="I585" s="175"/>
      <c r="J585" s="175"/>
      <c r="K585" s="597"/>
      <c r="L585" s="597"/>
      <c r="M585" s="175"/>
      <c r="N585" s="175"/>
      <c r="O585" s="805"/>
      <c r="P585" s="175"/>
      <c r="Q585" s="175"/>
      <c r="R585" s="175"/>
      <c r="S585" s="175"/>
      <c r="T585" s="597"/>
      <c r="U585" s="597"/>
      <c r="V585" s="597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</row>
    <row r="586" ht="12.0" customHeight="1">
      <c r="A586" s="175"/>
      <c r="B586" s="175"/>
      <c r="C586" s="597"/>
      <c r="D586" s="597"/>
      <c r="E586" s="597"/>
      <c r="F586" s="597"/>
      <c r="G586" s="597"/>
      <c r="H586" s="597"/>
      <c r="I586" s="175"/>
      <c r="J586" s="175"/>
      <c r="K586" s="597"/>
      <c r="L586" s="597"/>
      <c r="M586" s="175"/>
      <c r="N586" s="175"/>
      <c r="O586" s="805"/>
      <c r="P586" s="175"/>
      <c r="Q586" s="175"/>
      <c r="R586" s="175"/>
      <c r="S586" s="175"/>
      <c r="T586" s="597"/>
      <c r="U586" s="597"/>
      <c r="V586" s="597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</row>
    <row r="587" ht="12.0" customHeight="1">
      <c r="A587" s="175"/>
      <c r="B587" s="175"/>
      <c r="C587" s="597"/>
      <c r="D587" s="597"/>
      <c r="E587" s="597"/>
      <c r="F587" s="597"/>
      <c r="G587" s="597"/>
      <c r="H587" s="597"/>
      <c r="I587" s="175"/>
      <c r="J587" s="175"/>
      <c r="K587" s="597"/>
      <c r="L587" s="597"/>
      <c r="M587" s="175"/>
      <c r="N587" s="175"/>
      <c r="O587" s="805"/>
      <c r="P587" s="175"/>
      <c r="Q587" s="175"/>
      <c r="R587" s="175"/>
      <c r="S587" s="175"/>
      <c r="T587" s="597"/>
      <c r="U587" s="597"/>
      <c r="V587" s="597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</row>
    <row r="588" ht="12.0" customHeight="1">
      <c r="A588" s="175"/>
      <c r="B588" s="175"/>
      <c r="C588" s="597"/>
      <c r="D588" s="597"/>
      <c r="E588" s="597"/>
      <c r="F588" s="597"/>
      <c r="G588" s="597"/>
      <c r="H588" s="597"/>
      <c r="I588" s="175"/>
      <c r="J588" s="175"/>
      <c r="K588" s="597"/>
      <c r="L588" s="597"/>
      <c r="M588" s="175"/>
      <c r="N588" s="175"/>
      <c r="O588" s="805"/>
      <c r="P588" s="175"/>
      <c r="Q588" s="175"/>
      <c r="R588" s="175"/>
      <c r="S588" s="175"/>
      <c r="T588" s="597"/>
      <c r="U588" s="597"/>
      <c r="V588" s="597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</row>
    <row r="589" ht="12.0" customHeight="1">
      <c r="A589" s="175"/>
      <c r="B589" s="175"/>
      <c r="C589" s="597"/>
      <c r="D589" s="597"/>
      <c r="E589" s="597"/>
      <c r="F589" s="597"/>
      <c r="G589" s="597"/>
      <c r="H589" s="597"/>
      <c r="I589" s="175"/>
      <c r="J589" s="175"/>
      <c r="K589" s="597"/>
      <c r="L589" s="597"/>
      <c r="M589" s="175"/>
      <c r="N589" s="175"/>
      <c r="O589" s="805"/>
      <c r="P589" s="175"/>
      <c r="Q589" s="175"/>
      <c r="R589" s="175"/>
      <c r="S589" s="175"/>
      <c r="T589" s="597"/>
      <c r="U589" s="597"/>
      <c r="V589" s="597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</row>
    <row r="590" ht="12.0" customHeight="1">
      <c r="A590" s="175"/>
      <c r="B590" s="175"/>
      <c r="C590" s="597"/>
      <c r="D590" s="597"/>
      <c r="E590" s="597"/>
      <c r="F590" s="597"/>
      <c r="G590" s="597"/>
      <c r="H590" s="597"/>
      <c r="I590" s="175"/>
      <c r="J590" s="175"/>
      <c r="K590" s="597"/>
      <c r="L590" s="597"/>
      <c r="M590" s="175"/>
      <c r="N590" s="175"/>
      <c r="O590" s="805"/>
      <c r="P590" s="175"/>
      <c r="Q590" s="175"/>
      <c r="R590" s="175"/>
      <c r="S590" s="175"/>
      <c r="T590" s="597"/>
      <c r="U590" s="597"/>
      <c r="V590" s="597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</row>
    <row r="591" ht="12.0" customHeight="1">
      <c r="A591" s="175"/>
      <c r="B591" s="175"/>
      <c r="C591" s="597"/>
      <c r="D591" s="597"/>
      <c r="E591" s="597"/>
      <c r="F591" s="597"/>
      <c r="G591" s="597"/>
      <c r="H591" s="597"/>
      <c r="I591" s="175"/>
      <c r="J591" s="175"/>
      <c r="K591" s="597"/>
      <c r="L591" s="597"/>
      <c r="M591" s="175"/>
      <c r="N591" s="175"/>
      <c r="O591" s="805"/>
      <c r="P591" s="175"/>
      <c r="Q591" s="175"/>
      <c r="R591" s="175"/>
      <c r="S591" s="175"/>
      <c r="T591" s="597"/>
      <c r="U591" s="597"/>
      <c r="V591" s="597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</row>
    <row r="592" ht="12.0" customHeight="1">
      <c r="A592" s="175"/>
      <c r="B592" s="175"/>
      <c r="C592" s="597"/>
      <c r="D592" s="597"/>
      <c r="E592" s="597"/>
      <c r="F592" s="597"/>
      <c r="G592" s="597"/>
      <c r="H592" s="597"/>
      <c r="I592" s="175"/>
      <c r="J592" s="175"/>
      <c r="K592" s="597"/>
      <c r="L592" s="597"/>
      <c r="M592" s="175"/>
      <c r="N592" s="175"/>
      <c r="O592" s="805"/>
      <c r="P592" s="175"/>
      <c r="Q592" s="175"/>
      <c r="R592" s="175"/>
      <c r="S592" s="175"/>
      <c r="T592" s="597"/>
      <c r="U592" s="597"/>
      <c r="V592" s="597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</row>
    <row r="593" ht="12.0" customHeight="1">
      <c r="A593" s="175"/>
      <c r="B593" s="175"/>
      <c r="C593" s="597"/>
      <c r="D593" s="597"/>
      <c r="E593" s="597"/>
      <c r="F593" s="597"/>
      <c r="G593" s="597"/>
      <c r="H593" s="597"/>
      <c r="I593" s="175"/>
      <c r="J593" s="175"/>
      <c r="K593" s="597"/>
      <c r="L593" s="597"/>
      <c r="M593" s="175"/>
      <c r="N593" s="175"/>
      <c r="O593" s="805"/>
      <c r="P593" s="175"/>
      <c r="Q593" s="175"/>
      <c r="R593" s="175"/>
      <c r="S593" s="175"/>
      <c r="T593" s="597"/>
      <c r="U593" s="597"/>
      <c r="V593" s="597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</row>
    <row r="594" ht="12.0" customHeight="1">
      <c r="A594" s="175"/>
      <c r="B594" s="175"/>
      <c r="C594" s="597"/>
      <c r="D594" s="597"/>
      <c r="E594" s="597"/>
      <c r="F594" s="597"/>
      <c r="G594" s="597"/>
      <c r="H594" s="597"/>
      <c r="I594" s="175"/>
      <c r="J594" s="175"/>
      <c r="K594" s="597"/>
      <c r="L594" s="597"/>
      <c r="M594" s="175"/>
      <c r="N594" s="175"/>
      <c r="O594" s="805"/>
      <c r="P594" s="175"/>
      <c r="Q594" s="175"/>
      <c r="R594" s="175"/>
      <c r="S594" s="175"/>
      <c r="T594" s="597"/>
      <c r="U594" s="597"/>
      <c r="V594" s="597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</row>
    <row r="595" ht="12.0" customHeight="1">
      <c r="A595" s="175"/>
      <c r="B595" s="175"/>
      <c r="C595" s="597"/>
      <c r="D595" s="597"/>
      <c r="E595" s="597"/>
      <c r="F595" s="597"/>
      <c r="G595" s="597"/>
      <c r="H595" s="597"/>
      <c r="I595" s="175"/>
      <c r="J595" s="175"/>
      <c r="K595" s="597"/>
      <c r="L595" s="597"/>
      <c r="M595" s="175"/>
      <c r="N595" s="175"/>
      <c r="O595" s="805"/>
      <c r="P595" s="175"/>
      <c r="Q595" s="175"/>
      <c r="R595" s="175"/>
      <c r="S595" s="175"/>
      <c r="T595" s="597"/>
      <c r="U595" s="597"/>
      <c r="V595" s="597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</row>
    <row r="596" ht="12.0" customHeight="1">
      <c r="A596" s="175"/>
      <c r="B596" s="175"/>
      <c r="C596" s="597"/>
      <c r="D596" s="597"/>
      <c r="E596" s="597"/>
      <c r="F596" s="597"/>
      <c r="G596" s="597"/>
      <c r="H596" s="597"/>
      <c r="I596" s="175"/>
      <c r="J596" s="175"/>
      <c r="K596" s="597"/>
      <c r="L596" s="597"/>
      <c r="M596" s="175"/>
      <c r="N596" s="175"/>
      <c r="O596" s="805"/>
      <c r="P596" s="175"/>
      <c r="Q596" s="175"/>
      <c r="R596" s="175"/>
      <c r="S596" s="175"/>
      <c r="T596" s="597"/>
      <c r="U596" s="597"/>
      <c r="V596" s="597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</row>
    <row r="597" ht="12.0" customHeight="1">
      <c r="A597" s="175"/>
      <c r="B597" s="175"/>
      <c r="C597" s="597"/>
      <c r="D597" s="597"/>
      <c r="E597" s="597"/>
      <c r="F597" s="597"/>
      <c r="G597" s="597"/>
      <c r="H597" s="597"/>
      <c r="I597" s="175"/>
      <c r="J597" s="175"/>
      <c r="K597" s="597"/>
      <c r="L597" s="597"/>
      <c r="M597" s="175"/>
      <c r="N597" s="175"/>
      <c r="O597" s="805"/>
      <c r="P597" s="175"/>
      <c r="Q597" s="175"/>
      <c r="R597" s="175"/>
      <c r="S597" s="175"/>
      <c r="T597" s="597"/>
      <c r="U597" s="597"/>
      <c r="V597" s="597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</row>
    <row r="598" ht="12.0" customHeight="1">
      <c r="A598" s="175"/>
      <c r="B598" s="175"/>
      <c r="C598" s="597"/>
      <c r="D598" s="597"/>
      <c r="E598" s="597"/>
      <c r="F598" s="597"/>
      <c r="G598" s="597"/>
      <c r="H598" s="597"/>
      <c r="I598" s="175"/>
      <c r="J598" s="175"/>
      <c r="K598" s="597"/>
      <c r="L598" s="597"/>
      <c r="M598" s="175"/>
      <c r="N598" s="175"/>
      <c r="O598" s="805"/>
      <c r="P598" s="175"/>
      <c r="Q598" s="175"/>
      <c r="R598" s="175"/>
      <c r="S598" s="175"/>
      <c r="T598" s="597"/>
      <c r="U598" s="597"/>
      <c r="V598" s="597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</row>
    <row r="599" ht="12.0" customHeight="1">
      <c r="A599" s="175"/>
      <c r="B599" s="175"/>
      <c r="C599" s="597"/>
      <c r="D599" s="597"/>
      <c r="E599" s="597"/>
      <c r="F599" s="597"/>
      <c r="G599" s="597"/>
      <c r="H599" s="597"/>
      <c r="I599" s="175"/>
      <c r="J599" s="175"/>
      <c r="K599" s="597"/>
      <c r="L599" s="597"/>
      <c r="M599" s="175"/>
      <c r="N599" s="175"/>
      <c r="O599" s="805"/>
      <c r="P599" s="175"/>
      <c r="Q599" s="175"/>
      <c r="R599" s="175"/>
      <c r="S599" s="175"/>
      <c r="T599" s="597"/>
      <c r="U599" s="597"/>
      <c r="V599" s="597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</row>
    <row r="600" ht="12.0" customHeight="1">
      <c r="A600" s="175"/>
      <c r="B600" s="175"/>
      <c r="C600" s="597"/>
      <c r="D600" s="597"/>
      <c r="E600" s="597"/>
      <c r="F600" s="597"/>
      <c r="G600" s="597"/>
      <c r="H600" s="597"/>
      <c r="I600" s="175"/>
      <c r="J600" s="175"/>
      <c r="K600" s="597"/>
      <c r="L600" s="597"/>
      <c r="M600" s="175"/>
      <c r="N600" s="175"/>
      <c r="O600" s="805"/>
      <c r="P600" s="175"/>
      <c r="Q600" s="175"/>
      <c r="R600" s="175"/>
      <c r="S600" s="175"/>
      <c r="T600" s="597"/>
      <c r="U600" s="597"/>
      <c r="V600" s="597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</row>
    <row r="601" ht="12.0" customHeight="1">
      <c r="A601" s="175"/>
      <c r="B601" s="175"/>
      <c r="C601" s="597"/>
      <c r="D601" s="597"/>
      <c r="E601" s="597"/>
      <c r="F601" s="597"/>
      <c r="G601" s="597"/>
      <c r="H601" s="597"/>
      <c r="I601" s="175"/>
      <c r="J601" s="175"/>
      <c r="K601" s="597"/>
      <c r="L601" s="597"/>
      <c r="M601" s="175"/>
      <c r="N601" s="175"/>
      <c r="O601" s="805"/>
      <c r="P601" s="175"/>
      <c r="Q601" s="175"/>
      <c r="R601" s="175"/>
      <c r="S601" s="175"/>
      <c r="T601" s="597"/>
      <c r="U601" s="597"/>
      <c r="V601" s="597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</row>
    <row r="602" ht="12.0" customHeight="1">
      <c r="A602" s="175"/>
      <c r="B602" s="175"/>
      <c r="C602" s="597"/>
      <c r="D602" s="597"/>
      <c r="E602" s="597"/>
      <c r="F602" s="597"/>
      <c r="G602" s="597"/>
      <c r="H602" s="597"/>
      <c r="I602" s="175"/>
      <c r="J602" s="175"/>
      <c r="K602" s="597"/>
      <c r="L602" s="597"/>
      <c r="M602" s="175"/>
      <c r="N602" s="175"/>
      <c r="O602" s="805"/>
      <c r="P602" s="175"/>
      <c r="Q602" s="175"/>
      <c r="R602" s="175"/>
      <c r="S602" s="175"/>
      <c r="T602" s="597"/>
      <c r="U602" s="597"/>
      <c r="V602" s="597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</row>
    <row r="603" ht="12.0" customHeight="1">
      <c r="A603" s="175"/>
      <c r="B603" s="175"/>
      <c r="C603" s="597"/>
      <c r="D603" s="597"/>
      <c r="E603" s="597"/>
      <c r="F603" s="597"/>
      <c r="G603" s="597"/>
      <c r="H603" s="597"/>
      <c r="I603" s="175"/>
      <c r="J603" s="175"/>
      <c r="K603" s="597"/>
      <c r="L603" s="597"/>
      <c r="M603" s="175"/>
      <c r="N603" s="175"/>
      <c r="O603" s="805"/>
      <c r="P603" s="175"/>
      <c r="Q603" s="175"/>
      <c r="R603" s="175"/>
      <c r="S603" s="175"/>
      <c r="T603" s="597"/>
      <c r="U603" s="597"/>
      <c r="V603" s="597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</row>
    <row r="604" ht="12.0" customHeight="1">
      <c r="A604" s="175"/>
      <c r="B604" s="175"/>
      <c r="C604" s="597"/>
      <c r="D604" s="597"/>
      <c r="E604" s="597"/>
      <c r="F604" s="597"/>
      <c r="G604" s="597"/>
      <c r="H604" s="597"/>
      <c r="I604" s="175"/>
      <c r="J604" s="175"/>
      <c r="K604" s="597"/>
      <c r="L604" s="597"/>
      <c r="M604" s="175"/>
      <c r="N604" s="175"/>
      <c r="O604" s="805"/>
      <c r="P604" s="175"/>
      <c r="Q604" s="175"/>
      <c r="R604" s="175"/>
      <c r="S604" s="175"/>
      <c r="T604" s="597"/>
      <c r="U604" s="597"/>
      <c r="V604" s="597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</row>
    <row r="605" ht="12.0" customHeight="1">
      <c r="A605" s="175"/>
      <c r="B605" s="175"/>
      <c r="C605" s="597"/>
      <c r="D605" s="597"/>
      <c r="E605" s="597"/>
      <c r="F605" s="597"/>
      <c r="G605" s="597"/>
      <c r="H605" s="597"/>
      <c r="I605" s="175"/>
      <c r="J605" s="175"/>
      <c r="K605" s="597"/>
      <c r="L605" s="597"/>
      <c r="M605" s="175"/>
      <c r="N605" s="175"/>
      <c r="O605" s="805"/>
      <c r="P605" s="175"/>
      <c r="Q605" s="175"/>
      <c r="R605" s="175"/>
      <c r="S605" s="175"/>
      <c r="T605" s="597"/>
      <c r="U605" s="597"/>
      <c r="V605" s="597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</row>
    <row r="606" ht="12.0" customHeight="1">
      <c r="A606" s="175"/>
      <c r="B606" s="175"/>
      <c r="C606" s="597"/>
      <c r="D606" s="597"/>
      <c r="E606" s="597"/>
      <c r="F606" s="597"/>
      <c r="G606" s="597"/>
      <c r="H606" s="597"/>
      <c r="I606" s="175"/>
      <c r="J606" s="175"/>
      <c r="K606" s="597"/>
      <c r="L606" s="597"/>
      <c r="M606" s="175"/>
      <c r="N606" s="175"/>
      <c r="O606" s="805"/>
      <c r="P606" s="175"/>
      <c r="Q606" s="175"/>
      <c r="R606" s="175"/>
      <c r="S606" s="175"/>
      <c r="T606" s="597"/>
      <c r="U606" s="597"/>
      <c r="V606" s="597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</row>
    <row r="607" ht="12.0" customHeight="1">
      <c r="A607" s="175"/>
      <c r="B607" s="175"/>
      <c r="C607" s="597"/>
      <c r="D607" s="597"/>
      <c r="E607" s="597"/>
      <c r="F607" s="597"/>
      <c r="G607" s="597"/>
      <c r="H607" s="597"/>
      <c r="I607" s="175"/>
      <c r="J607" s="175"/>
      <c r="K607" s="597"/>
      <c r="L607" s="597"/>
      <c r="M607" s="175"/>
      <c r="N607" s="175"/>
      <c r="O607" s="805"/>
      <c r="P607" s="175"/>
      <c r="Q607" s="175"/>
      <c r="R607" s="175"/>
      <c r="S607" s="175"/>
      <c r="T607" s="597"/>
      <c r="U607" s="597"/>
      <c r="V607" s="597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</row>
    <row r="608" ht="12.0" customHeight="1">
      <c r="A608" s="175"/>
      <c r="B608" s="175"/>
      <c r="C608" s="597"/>
      <c r="D608" s="597"/>
      <c r="E608" s="597"/>
      <c r="F608" s="597"/>
      <c r="G608" s="597"/>
      <c r="H608" s="597"/>
      <c r="I608" s="175"/>
      <c r="J608" s="175"/>
      <c r="K608" s="597"/>
      <c r="L608" s="597"/>
      <c r="M608" s="175"/>
      <c r="N608" s="175"/>
      <c r="O608" s="805"/>
      <c r="P608" s="175"/>
      <c r="Q608" s="175"/>
      <c r="R608" s="175"/>
      <c r="S608" s="175"/>
      <c r="T608" s="597"/>
      <c r="U608" s="597"/>
      <c r="V608" s="597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</row>
    <row r="609" ht="12.0" customHeight="1">
      <c r="A609" s="175"/>
      <c r="B609" s="175"/>
      <c r="C609" s="597"/>
      <c r="D609" s="597"/>
      <c r="E609" s="597"/>
      <c r="F609" s="597"/>
      <c r="G609" s="597"/>
      <c r="H609" s="597"/>
      <c r="I609" s="175"/>
      <c r="J609" s="175"/>
      <c r="K609" s="597"/>
      <c r="L609" s="597"/>
      <c r="M609" s="175"/>
      <c r="N609" s="175"/>
      <c r="O609" s="805"/>
      <c r="P609" s="175"/>
      <c r="Q609" s="175"/>
      <c r="R609" s="175"/>
      <c r="S609" s="175"/>
      <c r="T609" s="597"/>
      <c r="U609" s="597"/>
      <c r="V609" s="597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</row>
    <row r="610" ht="12.0" customHeight="1">
      <c r="A610" s="175"/>
      <c r="B610" s="175"/>
      <c r="C610" s="597"/>
      <c r="D610" s="597"/>
      <c r="E610" s="597"/>
      <c r="F610" s="597"/>
      <c r="G610" s="597"/>
      <c r="H610" s="597"/>
      <c r="I610" s="175"/>
      <c r="J610" s="175"/>
      <c r="K610" s="597"/>
      <c r="L610" s="597"/>
      <c r="M610" s="175"/>
      <c r="N610" s="175"/>
      <c r="O610" s="805"/>
      <c r="P610" s="175"/>
      <c r="Q610" s="175"/>
      <c r="R610" s="175"/>
      <c r="S610" s="175"/>
      <c r="T610" s="597"/>
      <c r="U610" s="597"/>
      <c r="V610" s="597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</row>
    <row r="611" ht="12.0" customHeight="1">
      <c r="A611" s="175"/>
      <c r="B611" s="175"/>
      <c r="C611" s="597"/>
      <c r="D611" s="597"/>
      <c r="E611" s="597"/>
      <c r="F611" s="597"/>
      <c r="G611" s="597"/>
      <c r="H611" s="597"/>
      <c r="I611" s="175"/>
      <c r="J611" s="175"/>
      <c r="K611" s="597"/>
      <c r="L611" s="597"/>
      <c r="M611" s="175"/>
      <c r="N611" s="175"/>
      <c r="O611" s="805"/>
      <c r="P611" s="175"/>
      <c r="Q611" s="175"/>
      <c r="R611" s="175"/>
      <c r="S611" s="175"/>
      <c r="T611" s="597"/>
      <c r="U611" s="597"/>
      <c r="V611" s="597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</row>
    <row r="612" ht="12.0" customHeight="1">
      <c r="A612" s="175"/>
      <c r="B612" s="175"/>
      <c r="C612" s="597"/>
      <c r="D612" s="597"/>
      <c r="E612" s="597"/>
      <c r="F612" s="597"/>
      <c r="G612" s="597"/>
      <c r="H612" s="597"/>
      <c r="I612" s="175"/>
      <c r="J612" s="175"/>
      <c r="K612" s="597"/>
      <c r="L612" s="597"/>
      <c r="M612" s="175"/>
      <c r="N612" s="175"/>
      <c r="O612" s="805"/>
      <c r="P612" s="175"/>
      <c r="Q612" s="175"/>
      <c r="R612" s="175"/>
      <c r="S612" s="175"/>
      <c r="T612" s="597"/>
      <c r="U612" s="597"/>
      <c r="V612" s="597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</row>
    <row r="613" ht="12.0" customHeight="1">
      <c r="A613" s="175"/>
      <c r="B613" s="175"/>
      <c r="C613" s="597"/>
      <c r="D613" s="597"/>
      <c r="E613" s="597"/>
      <c r="F613" s="597"/>
      <c r="G613" s="597"/>
      <c r="H613" s="597"/>
      <c r="I613" s="175"/>
      <c r="J613" s="175"/>
      <c r="K613" s="597"/>
      <c r="L613" s="597"/>
      <c r="M613" s="175"/>
      <c r="N613" s="175"/>
      <c r="O613" s="805"/>
      <c r="P613" s="175"/>
      <c r="Q613" s="175"/>
      <c r="R613" s="175"/>
      <c r="S613" s="175"/>
      <c r="T613" s="597"/>
      <c r="U613" s="597"/>
      <c r="V613" s="597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</row>
    <row r="614" ht="12.0" customHeight="1">
      <c r="A614" s="175"/>
      <c r="B614" s="175"/>
      <c r="C614" s="597"/>
      <c r="D614" s="597"/>
      <c r="E614" s="597"/>
      <c r="F614" s="597"/>
      <c r="G614" s="597"/>
      <c r="H614" s="597"/>
      <c r="I614" s="175"/>
      <c r="J614" s="175"/>
      <c r="K614" s="597"/>
      <c r="L614" s="597"/>
      <c r="M614" s="175"/>
      <c r="N614" s="175"/>
      <c r="O614" s="805"/>
      <c r="P614" s="175"/>
      <c r="Q614" s="175"/>
      <c r="R614" s="175"/>
      <c r="S614" s="175"/>
      <c r="T614" s="597"/>
      <c r="U614" s="597"/>
      <c r="V614" s="597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</row>
    <row r="615" ht="12.0" customHeight="1">
      <c r="A615" s="175"/>
      <c r="B615" s="175"/>
      <c r="C615" s="597"/>
      <c r="D615" s="597"/>
      <c r="E615" s="597"/>
      <c r="F615" s="597"/>
      <c r="G615" s="597"/>
      <c r="H615" s="597"/>
      <c r="I615" s="175"/>
      <c r="J615" s="175"/>
      <c r="K615" s="597"/>
      <c r="L615" s="597"/>
      <c r="M615" s="175"/>
      <c r="N615" s="175"/>
      <c r="O615" s="805"/>
      <c r="P615" s="175"/>
      <c r="Q615" s="175"/>
      <c r="R615" s="175"/>
      <c r="S615" s="175"/>
      <c r="T615" s="597"/>
      <c r="U615" s="597"/>
      <c r="V615" s="597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</row>
    <row r="616" ht="12.0" customHeight="1">
      <c r="A616" s="175"/>
      <c r="B616" s="175"/>
      <c r="C616" s="597"/>
      <c r="D616" s="597"/>
      <c r="E616" s="597"/>
      <c r="F616" s="597"/>
      <c r="G616" s="597"/>
      <c r="H616" s="597"/>
      <c r="I616" s="175"/>
      <c r="J616" s="175"/>
      <c r="K616" s="597"/>
      <c r="L616" s="597"/>
      <c r="M616" s="175"/>
      <c r="N616" s="175"/>
      <c r="O616" s="805"/>
      <c r="P616" s="175"/>
      <c r="Q616" s="175"/>
      <c r="R616" s="175"/>
      <c r="S616" s="175"/>
      <c r="T616" s="597"/>
      <c r="U616" s="597"/>
      <c r="V616" s="597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</row>
    <row r="617" ht="12.0" customHeight="1">
      <c r="A617" s="175"/>
      <c r="B617" s="175"/>
      <c r="C617" s="597"/>
      <c r="D617" s="597"/>
      <c r="E617" s="597"/>
      <c r="F617" s="597"/>
      <c r="G617" s="597"/>
      <c r="H617" s="597"/>
      <c r="I617" s="175"/>
      <c r="J617" s="175"/>
      <c r="K617" s="597"/>
      <c r="L617" s="597"/>
      <c r="M617" s="175"/>
      <c r="N617" s="175"/>
      <c r="O617" s="805"/>
      <c r="P617" s="175"/>
      <c r="Q617" s="175"/>
      <c r="R617" s="175"/>
      <c r="S617" s="175"/>
      <c r="T617" s="597"/>
      <c r="U617" s="597"/>
      <c r="V617" s="597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</row>
    <row r="618" ht="12.0" customHeight="1">
      <c r="A618" s="175"/>
      <c r="B618" s="175"/>
      <c r="C618" s="597"/>
      <c r="D618" s="597"/>
      <c r="E618" s="597"/>
      <c r="F618" s="597"/>
      <c r="G618" s="597"/>
      <c r="H618" s="597"/>
      <c r="I618" s="175"/>
      <c r="J618" s="175"/>
      <c r="K618" s="597"/>
      <c r="L618" s="597"/>
      <c r="M618" s="175"/>
      <c r="N618" s="175"/>
      <c r="O618" s="805"/>
      <c r="P618" s="175"/>
      <c r="Q618" s="175"/>
      <c r="R618" s="175"/>
      <c r="S618" s="175"/>
      <c r="T618" s="597"/>
      <c r="U618" s="597"/>
      <c r="V618" s="597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</row>
    <row r="619" ht="12.0" customHeight="1">
      <c r="A619" s="175"/>
      <c r="B619" s="175"/>
      <c r="C619" s="597"/>
      <c r="D619" s="597"/>
      <c r="E619" s="597"/>
      <c r="F619" s="597"/>
      <c r="G619" s="597"/>
      <c r="H619" s="597"/>
      <c r="I619" s="175"/>
      <c r="J619" s="175"/>
      <c r="K619" s="597"/>
      <c r="L619" s="597"/>
      <c r="M619" s="175"/>
      <c r="N619" s="175"/>
      <c r="O619" s="805"/>
      <c r="P619" s="175"/>
      <c r="Q619" s="175"/>
      <c r="R619" s="175"/>
      <c r="S619" s="175"/>
      <c r="T619" s="597"/>
      <c r="U619" s="597"/>
      <c r="V619" s="597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</row>
    <row r="620" ht="12.0" customHeight="1">
      <c r="A620" s="175"/>
      <c r="B620" s="175"/>
      <c r="C620" s="597"/>
      <c r="D620" s="597"/>
      <c r="E620" s="597"/>
      <c r="F620" s="597"/>
      <c r="G620" s="597"/>
      <c r="H620" s="597"/>
      <c r="I620" s="175"/>
      <c r="J620" s="175"/>
      <c r="K620" s="597"/>
      <c r="L620" s="597"/>
      <c r="M620" s="175"/>
      <c r="N620" s="175"/>
      <c r="O620" s="805"/>
      <c r="P620" s="175"/>
      <c r="Q620" s="175"/>
      <c r="R620" s="175"/>
      <c r="S620" s="175"/>
      <c r="T620" s="597"/>
      <c r="U620" s="597"/>
      <c r="V620" s="597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</row>
    <row r="621" ht="12.0" customHeight="1">
      <c r="A621" s="175"/>
      <c r="B621" s="175"/>
      <c r="C621" s="597"/>
      <c r="D621" s="597"/>
      <c r="E621" s="597"/>
      <c r="F621" s="597"/>
      <c r="G621" s="597"/>
      <c r="H621" s="597"/>
      <c r="I621" s="175"/>
      <c r="J621" s="175"/>
      <c r="K621" s="597"/>
      <c r="L621" s="597"/>
      <c r="M621" s="175"/>
      <c r="N621" s="175"/>
      <c r="O621" s="805"/>
      <c r="P621" s="175"/>
      <c r="Q621" s="175"/>
      <c r="R621" s="175"/>
      <c r="S621" s="175"/>
      <c r="T621" s="597"/>
      <c r="U621" s="597"/>
      <c r="V621" s="597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</row>
    <row r="622" ht="12.0" customHeight="1">
      <c r="A622" s="175"/>
      <c r="B622" s="175"/>
      <c r="C622" s="597"/>
      <c r="D622" s="597"/>
      <c r="E622" s="597"/>
      <c r="F622" s="597"/>
      <c r="G622" s="597"/>
      <c r="H622" s="597"/>
      <c r="I622" s="175"/>
      <c r="J622" s="175"/>
      <c r="K622" s="597"/>
      <c r="L622" s="597"/>
      <c r="M622" s="175"/>
      <c r="N622" s="175"/>
      <c r="O622" s="805"/>
      <c r="P622" s="175"/>
      <c r="Q622" s="175"/>
      <c r="R622" s="175"/>
      <c r="S622" s="175"/>
      <c r="T622" s="597"/>
      <c r="U622" s="597"/>
      <c r="V622" s="597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</row>
    <row r="623" ht="12.0" customHeight="1">
      <c r="A623" s="175"/>
      <c r="B623" s="175"/>
      <c r="C623" s="597"/>
      <c r="D623" s="597"/>
      <c r="E623" s="597"/>
      <c r="F623" s="597"/>
      <c r="G623" s="597"/>
      <c r="H623" s="597"/>
      <c r="I623" s="175"/>
      <c r="J623" s="175"/>
      <c r="K623" s="597"/>
      <c r="L623" s="597"/>
      <c r="M623" s="175"/>
      <c r="N623" s="175"/>
      <c r="O623" s="805"/>
      <c r="P623" s="175"/>
      <c r="Q623" s="175"/>
      <c r="R623" s="175"/>
      <c r="S623" s="175"/>
      <c r="T623" s="597"/>
      <c r="U623" s="597"/>
      <c r="V623" s="597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</row>
    <row r="624" ht="12.0" customHeight="1">
      <c r="A624" s="175"/>
      <c r="B624" s="175"/>
      <c r="C624" s="597"/>
      <c r="D624" s="597"/>
      <c r="E624" s="597"/>
      <c r="F624" s="597"/>
      <c r="G624" s="597"/>
      <c r="H624" s="597"/>
      <c r="I624" s="175"/>
      <c r="J624" s="175"/>
      <c r="K624" s="597"/>
      <c r="L624" s="597"/>
      <c r="M624" s="175"/>
      <c r="N624" s="175"/>
      <c r="O624" s="805"/>
      <c r="P624" s="175"/>
      <c r="Q624" s="175"/>
      <c r="R624" s="175"/>
      <c r="S624" s="175"/>
      <c r="T624" s="597"/>
      <c r="U624" s="597"/>
      <c r="V624" s="597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</row>
    <row r="625" ht="12.0" customHeight="1">
      <c r="A625" s="175"/>
      <c r="B625" s="175"/>
      <c r="C625" s="597"/>
      <c r="D625" s="597"/>
      <c r="E625" s="597"/>
      <c r="F625" s="597"/>
      <c r="G625" s="597"/>
      <c r="H625" s="597"/>
      <c r="I625" s="175"/>
      <c r="J625" s="175"/>
      <c r="K625" s="597"/>
      <c r="L625" s="597"/>
      <c r="M625" s="175"/>
      <c r="N625" s="175"/>
      <c r="O625" s="805"/>
      <c r="P625" s="175"/>
      <c r="Q625" s="175"/>
      <c r="R625" s="175"/>
      <c r="S625" s="175"/>
      <c r="T625" s="597"/>
      <c r="U625" s="597"/>
      <c r="V625" s="597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</row>
    <row r="626" ht="12.0" customHeight="1">
      <c r="A626" s="175"/>
      <c r="B626" s="175"/>
      <c r="C626" s="597"/>
      <c r="D626" s="597"/>
      <c r="E626" s="597"/>
      <c r="F626" s="597"/>
      <c r="G626" s="597"/>
      <c r="H626" s="597"/>
      <c r="I626" s="175"/>
      <c r="J626" s="175"/>
      <c r="K626" s="597"/>
      <c r="L626" s="597"/>
      <c r="M626" s="175"/>
      <c r="N626" s="175"/>
      <c r="O626" s="805"/>
      <c r="P626" s="175"/>
      <c r="Q626" s="175"/>
      <c r="R626" s="175"/>
      <c r="S626" s="175"/>
      <c r="T626" s="597"/>
      <c r="U626" s="597"/>
      <c r="V626" s="597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</row>
    <row r="627" ht="12.0" customHeight="1">
      <c r="A627" s="175"/>
      <c r="B627" s="175"/>
      <c r="C627" s="597"/>
      <c r="D627" s="597"/>
      <c r="E627" s="597"/>
      <c r="F627" s="597"/>
      <c r="G627" s="597"/>
      <c r="H627" s="597"/>
      <c r="I627" s="175"/>
      <c r="J627" s="175"/>
      <c r="K627" s="597"/>
      <c r="L627" s="597"/>
      <c r="M627" s="175"/>
      <c r="N627" s="175"/>
      <c r="O627" s="805"/>
      <c r="P627" s="175"/>
      <c r="Q627" s="175"/>
      <c r="R627" s="175"/>
      <c r="S627" s="175"/>
      <c r="T627" s="597"/>
      <c r="U627" s="597"/>
      <c r="V627" s="597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</row>
    <row r="628" ht="12.0" customHeight="1">
      <c r="A628" s="175"/>
      <c r="B628" s="175"/>
      <c r="C628" s="597"/>
      <c r="D628" s="597"/>
      <c r="E628" s="597"/>
      <c r="F628" s="597"/>
      <c r="G628" s="597"/>
      <c r="H628" s="597"/>
      <c r="I628" s="175"/>
      <c r="J628" s="175"/>
      <c r="K628" s="597"/>
      <c r="L628" s="597"/>
      <c r="M628" s="175"/>
      <c r="N628" s="175"/>
      <c r="O628" s="805"/>
      <c r="P628" s="175"/>
      <c r="Q628" s="175"/>
      <c r="R628" s="175"/>
      <c r="S628" s="175"/>
      <c r="T628" s="597"/>
      <c r="U628" s="597"/>
      <c r="V628" s="597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</row>
    <row r="629" ht="12.0" customHeight="1">
      <c r="A629" s="175"/>
      <c r="B629" s="175"/>
      <c r="C629" s="597"/>
      <c r="D629" s="597"/>
      <c r="E629" s="597"/>
      <c r="F629" s="597"/>
      <c r="G629" s="597"/>
      <c r="H629" s="597"/>
      <c r="I629" s="175"/>
      <c r="J629" s="175"/>
      <c r="K629" s="597"/>
      <c r="L629" s="597"/>
      <c r="M629" s="175"/>
      <c r="N629" s="175"/>
      <c r="O629" s="805"/>
      <c r="P629" s="175"/>
      <c r="Q629" s="175"/>
      <c r="R629" s="175"/>
      <c r="S629" s="175"/>
      <c r="T629" s="597"/>
      <c r="U629" s="597"/>
      <c r="V629" s="597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</row>
    <row r="630" ht="12.0" customHeight="1">
      <c r="A630" s="175"/>
      <c r="B630" s="175"/>
      <c r="C630" s="597"/>
      <c r="D630" s="597"/>
      <c r="E630" s="597"/>
      <c r="F630" s="597"/>
      <c r="G630" s="597"/>
      <c r="H630" s="597"/>
      <c r="I630" s="175"/>
      <c r="J630" s="175"/>
      <c r="K630" s="597"/>
      <c r="L630" s="597"/>
      <c r="M630" s="175"/>
      <c r="N630" s="175"/>
      <c r="O630" s="805"/>
      <c r="P630" s="175"/>
      <c r="Q630" s="175"/>
      <c r="R630" s="175"/>
      <c r="S630" s="175"/>
      <c r="T630" s="597"/>
      <c r="U630" s="597"/>
      <c r="V630" s="597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</row>
    <row r="631" ht="12.0" customHeight="1">
      <c r="A631" s="175"/>
      <c r="B631" s="175"/>
      <c r="C631" s="597"/>
      <c r="D631" s="597"/>
      <c r="E631" s="597"/>
      <c r="F631" s="597"/>
      <c r="G631" s="597"/>
      <c r="H631" s="597"/>
      <c r="I631" s="175"/>
      <c r="J631" s="175"/>
      <c r="K631" s="597"/>
      <c r="L631" s="597"/>
      <c r="M631" s="175"/>
      <c r="N631" s="175"/>
      <c r="O631" s="805"/>
      <c r="P631" s="175"/>
      <c r="Q631" s="175"/>
      <c r="R631" s="175"/>
      <c r="S631" s="175"/>
      <c r="T631" s="597"/>
      <c r="U631" s="597"/>
      <c r="V631" s="597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</row>
    <row r="632" ht="12.0" customHeight="1">
      <c r="A632" s="175"/>
      <c r="B632" s="175"/>
      <c r="C632" s="597"/>
      <c r="D632" s="597"/>
      <c r="E632" s="597"/>
      <c r="F632" s="597"/>
      <c r="G632" s="597"/>
      <c r="H632" s="597"/>
      <c r="I632" s="175"/>
      <c r="J632" s="175"/>
      <c r="K632" s="597"/>
      <c r="L632" s="597"/>
      <c r="M632" s="175"/>
      <c r="N632" s="175"/>
      <c r="O632" s="805"/>
      <c r="P632" s="175"/>
      <c r="Q632" s="175"/>
      <c r="R632" s="175"/>
      <c r="S632" s="175"/>
      <c r="T632" s="597"/>
      <c r="U632" s="597"/>
      <c r="V632" s="597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</row>
    <row r="633" ht="12.0" customHeight="1">
      <c r="A633" s="175"/>
      <c r="B633" s="175"/>
      <c r="C633" s="597"/>
      <c r="D633" s="597"/>
      <c r="E633" s="597"/>
      <c r="F633" s="597"/>
      <c r="G633" s="597"/>
      <c r="H633" s="597"/>
      <c r="I633" s="175"/>
      <c r="J633" s="175"/>
      <c r="K633" s="597"/>
      <c r="L633" s="597"/>
      <c r="M633" s="175"/>
      <c r="N633" s="175"/>
      <c r="O633" s="805"/>
      <c r="P633" s="175"/>
      <c r="Q633" s="175"/>
      <c r="R633" s="175"/>
      <c r="S633" s="175"/>
      <c r="T633" s="597"/>
      <c r="U633" s="597"/>
      <c r="V633" s="597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</row>
    <row r="634" ht="12.0" customHeight="1">
      <c r="A634" s="175"/>
      <c r="B634" s="175"/>
      <c r="C634" s="597"/>
      <c r="D634" s="597"/>
      <c r="E634" s="597"/>
      <c r="F634" s="597"/>
      <c r="G634" s="597"/>
      <c r="H634" s="597"/>
      <c r="I634" s="175"/>
      <c r="J634" s="175"/>
      <c r="K634" s="597"/>
      <c r="L634" s="597"/>
      <c r="M634" s="175"/>
      <c r="N634" s="175"/>
      <c r="O634" s="805"/>
      <c r="P634" s="175"/>
      <c r="Q634" s="175"/>
      <c r="R634" s="175"/>
      <c r="S634" s="175"/>
      <c r="T634" s="597"/>
      <c r="U634" s="597"/>
      <c r="V634" s="597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</row>
    <row r="635" ht="12.0" customHeight="1">
      <c r="A635" s="175"/>
      <c r="B635" s="175"/>
      <c r="C635" s="597"/>
      <c r="D635" s="597"/>
      <c r="E635" s="597"/>
      <c r="F635" s="597"/>
      <c r="G635" s="597"/>
      <c r="H635" s="597"/>
      <c r="I635" s="175"/>
      <c r="J635" s="175"/>
      <c r="K635" s="597"/>
      <c r="L635" s="597"/>
      <c r="M635" s="175"/>
      <c r="N635" s="175"/>
      <c r="O635" s="805"/>
      <c r="P635" s="175"/>
      <c r="Q635" s="175"/>
      <c r="R635" s="175"/>
      <c r="S635" s="175"/>
      <c r="T635" s="597"/>
      <c r="U635" s="597"/>
      <c r="V635" s="597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</row>
    <row r="636" ht="12.0" customHeight="1">
      <c r="A636" s="175"/>
      <c r="B636" s="175"/>
      <c r="C636" s="597"/>
      <c r="D636" s="597"/>
      <c r="E636" s="597"/>
      <c r="F636" s="597"/>
      <c r="G636" s="597"/>
      <c r="H636" s="597"/>
      <c r="I636" s="175"/>
      <c r="J636" s="175"/>
      <c r="K636" s="597"/>
      <c r="L636" s="597"/>
      <c r="M636" s="175"/>
      <c r="N636" s="175"/>
      <c r="O636" s="805"/>
      <c r="P636" s="175"/>
      <c r="Q636" s="175"/>
      <c r="R636" s="175"/>
      <c r="S636" s="175"/>
      <c r="T636" s="597"/>
      <c r="U636" s="597"/>
      <c r="V636" s="597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</row>
    <row r="637" ht="12.0" customHeight="1">
      <c r="A637" s="175"/>
      <c r="B637" s="175"/>
      <c r="C637" s="597"/>
      <c r="D637" s="597"/>
      <c r="E637" s="597"/>
      <c r="F637" s="597"/>
      <c r="G637" s="597"/>
      <c r="H637" s="597"/>
      <c r="I637" s="175"/>
      <c r="J637" s="175"/>
      <c r="K637" s="597"/>
      <c r="L637" s="597"/>
      <c r="M637" s="175"/>
      <c r="N637" s="175"/>
      <c r="O637" s="805"/>
      <c r="P637" s="175"/>
      <c r="Q637" s="175"/>
      <c r="R637" s="175"/>
      <c r="S637" s="175"/>
      <c r="T637" s="597"/>
      <c r="U637" s="597"/>
      <c r="V637" s="597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</row>
    <row r="638" ht="12.0" customHeight="1">
      <c r="A638" s="175"/>
      <c r="B638" s="175"/>
      <c r="C638" s="597"/>
      <c r="D638" s="597"/>
      <c r="E638" s="597"/>
      <c r="F638" s="597"/>
      <c r="G638" s="597"/>
      <c r="H638" s="597"/>
      <c r="I638" s="175"/>
      <c r="J638" s="175"/>
      <c r="K638" s="597"/>
      <c r="L638" s="597"/>
      <c r="M638" s="175"/>
      <c r="N638" s="175"/>
      <c r="O638" s="805"/>
      <c r="P638" s="175"/>
      <c r="Q638" s="175"/>
      <c r="R638" s="175"/>
      <c r="S638" s="175"/>
      <c r="T638" s="597"/>
      <c r="U638" s="597"/>
      <c r="V638" s="597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</row>
    <row r="639" ht="12.0" customHeight="1">
      <c r="A639" s="175"/>
      <c r="B639" s="175"/>
      <c r="C639" s="597"/>
      <c r="D639" s="597"/>
      <c r="E639" s="597"/>
      <c r="F639" s="597"/>
      <c r="G639" s="597"/>
      <c r="H639" s="597"/>
      <c r="I639" s="175"/>
      <c r="J639" s="175"/>
      <c r="K639" s="597"/>
      <c r="L639" s="597"/>
      <c r="M639" s="175"/>
      <c r="N639" s="175"/>
      <c r="O639" s="805"/>
      <c r="P639" s="175"/>
      <c r="Q639" s="175"/>
      <c r="R639" s="175"/>
      <c r="S639" s="175"/>
      <c r="T639" s="597"/>
      <c r="U639" s="597"/>
      <c r="V639" s="597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</row>
    <row r="640" ht="12.0" customHeight="1">
      <c r="A640" s="175"/>
      <c r="B640" s="175"/>
      <c r="C640" s="597"/>
      <c r="D640" s="597"/>
      <c r="E640" s="597"/>
      <c r="F640" s="597"/>
      <c r="G640" s="597"/>
      <c r="H640" s="597"/>
      <c r="I640" s="175"/>
      <c r="J640" s="175"/>
      <c r="K640" s="597"/>
      <c r="L640" s="597"/>
      <c r="M640" s="175"/>
      <c r="N640" s="175"/>
      <c r="O640" s="805"/>
      <c r="P640" s="175"/>
      <c r="Q640" s="175"/>
      <c r="R640" s="175"/>
      <c r="S640" s="175"/>
      <c r="T640" s="597"/>
      <c r="U640" s="597"/>
      <c r="V640" s="597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</row>
    <row r="641" ht="12.0" customHeight="1">
      <c r="A641" s="175"/>
      <c r="B641" s="175"/>
      <c r="C641" s="597"/>
      <c r="D641" s="597"/>
      <c r="E641" s="597"/>
      <c r="F641" s="597"/>
      <c r="G641" s="597"/>
      <c r="H641" s="597"/>
      <c r="I641" s="175"/>
      <c r="J641" s="175"/>
      <c r="K641" s="597"/>
      <c r="L641" s="597"/>
      <c r="M641" s="175"/>
      <c r="N641" s="175"/>
      <c r="O641" s="805"/>
      <c r="P641" s="175"/>
      <c r="Q641" s="175"/>
      <c r="R641" s="175"/>
      <c r="S641" s="175"/>
      <c r="T641" s="597"/>
      <c r="U641" s="597"/>
      <c r="V641" s="597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</row>
    <row r="642" ht="12.0" customHeight="1">
      <c r="A642" s="175"/>
      <c r="B642" s="175"/>
      <c r="C642" s="597"/>
      <c r="D642" s="597"/>
      <c r="E642" s="597"/>
      <c r="F642" s="597"/>
      <c r="G642" s="597"/>
      <c r="H642" s="597"/>
      <c r="I642" s="175"/>
      <c r="J642" s="175"/>
      <c r="K642" s="597"/>
      <c r="L642" s="597"/>
      <c r="M642" s="175"/>
      <c r="N642" s="175"/>
      <c r="O642" s="805"/>
      <c r="P642" s="175"/>
      <c r="Q642" s="175"/>
      <c r="R642" s="175"/>
      <c r="S642" s="175"/>
      <c r="T642" s="597"/>
      <c r="U642" s="597"/>
      <c r="V642" s="597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</row>
    <row r="643" ht="12.0" customHeight="1">
      <c r="A643" s="175"/>
      <c r="B643" s="175"/>
      <c r="C643" s="597"/>
      <c r="D643" s="597"/>
      <c r="E643" s="597"/>
      <c r="F643" s="597"/>
      <c r="G643" s="597"/>
      <c r="H643" s="597"/>
      <c r="I643" s="175"/>
      <c r="J643" s="175"/>
      <c r="K643" s="597"/>
      <c r="L643" s="597"/>
      <c r="M643" s="175"/>
      <c r="N643" s="175"/>
      <c r="O643" s="805"/>
      <c r="P643" s="175"/>
      <c r="Q643" s="175"/>
      <c r="R643" s="175"/>
      <c r="S643" s="175"/>
      <c r="T643" s="597"/>
      <c r="U643" s="597"/>
      <c r="V643" s="597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</row>
    <row r="644" ht="12.0" customHeight="1">
      <c r="A644" s="175"/>
      <c r="B644" s="175"/>
      <c r="C644" s="597"/>
      <c r="D644" s="597"/>
      <c r="E644" s="597"/>
      <c r="F644" s="597"/>
      <c r="G644" s="597"/>
      <c r="H644" s="597"/>
      <c r="I644" s="175"/>
      <c r="J644" s="175"/>
      <c r="K644" s="597"/>
      <c r="L644" s="597"/>
      <c r="M644" s="175"/>
      <c r="N644" s="175"/>
      <c r="O644" s="805"/>
      <c r="P644" s="175"/>
      <c r="Q644" s="175"/>
      <c r="R644" s="175"/>
      <c r="S644" s="175"/>
      <c r="T644" s="597"/>
      <c r="U644" s="597"/>
      <c r="V644" s="597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</row>
    <row r="645" ht="12.0" customHeight="1">
      <c r="A645" s="175"/>
      <c r="B645" s="175"/>
      <c r="C645" s="597"/>
      <c r="D645" s="597"/>
      <c r="E645" s="597"/>
      <c r="F645" s="597"/>
      <c r="G645" s="597"/>
      <c r="H645" s="597"/>
      <c r="I645" s="175"/>
      <c r="J645" s="175"/>
      <c r="K645" s="597"/>
      <c r="L645" s="597"/>
      <c r="M645" s="175"/>
      <c r="N645" s="175"/>
      <c r="O645" s="805"/>
      <c r="P645" s="175"/>
      <c r="Q645" s="175"/>
      <c r="R645" s="175"/>
      <c r="S645" s="175"/>
      <c r="T645" s="597"/>
      <c r="U645" s="597"/>
      <c r="V645" s="597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</row>
    <row r="646" ht="12.0" customHeight="1">
      <c r="A646" s="175"/>
      <c r="B646" s="175"/>
      <c r="C646" s="597"/>
      <c r="D646" s="597"/>
      <c r="E646" s="597"/>
      <c r="F646" s="597"/>
      <c r="G646" s="597"/>
      <c r="H646" s="597"/>
      <c r="I646" s="175"/>
      <c r="J646" s="175"/>
      <c r="K646" s="597"/>
      <c r="L646" s="597"/>
      <c r="M646" s="175"/>
      <c r="N646" s="175"/>
      <c r="O646" s="805"/>
      <c r="P646" s="175"/>
      <c r="Q646" s="175"/>
      <c r="R646" s="175"/>
      <c r="S646" s="175"/>
      <c r="T646" s="597"/>
      <c r="U646" s="597"/>
      <c r="V646" s="597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</row>
    <row r="647" ht="12.0" customHeight="1">
      <c r="A647" s="175"/>
      <c r="B647" s="175"/>
      <c r="C647" s="597"/>
      <c r="D647" s="597"/>
      <c r="E647" s="597"/>
      <c r="F647" s="597"/>
      <c r="G647" s="597"/>
      <c r="H647" s="597"/>
      <c r="I647" s="175"/>
      <c r="J647" s="175"/>
      <c r="K647" s="597"/>
      <c r="L647" s="597"/>
      <c r="M647" s="175"/>
      <c r="N647" s="175"/>
      <c r="O647" s="805"/>
      <c r="P647" s="175"/>
      <c r="Q647" s="175"/>
      <c r="R647" s="175"/>
      <c r="S647" s="175"/>
      <c r="T647" s="597"/>
      <c r="U647" s="597"/>
      <c r="V647" s="597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</row>
    <row r="648" ht="12.0" customHeight="1">
      <c r="A648" s="175"/>
      <c r="B648" s="175"/>
      <c r="C648" s="597"/>
      <c r="D648" s="597"/>
      <c r="E648" s="597"/>
      <c r="F648" s="597"/>
      <c r="G648" s="597"/>
      <c r="H648" s="597"/>
      <c r="I648" s="175"/>
      <c r="J648" s="175"/>
      <c r="K648" s="597"/>
      <c r="L648" s="597"/>
      <c r="M648" s="175"/>
      <c r="N648" s="175"/>
      <c r="O648" s="805"/>
      <c r="P648" s="175"/>
      <c r="Q648" s="175"/>
      <c r="R648" s="175"/>
      <c r="S648" s="175"/>
      <c r="T648" s="597"/>
      <c r="U648" s="597"/>
      <c r="V648" s="597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</row>
    <row r="649" ht="12.0" customHeight="1">
      <c r="A649" s="175"/>
      <c r="B649" s="175"/>
      <c r="C649" s="597"/>
      <c r="D649" s="597"/>
      <c r="E649" s="597"/>
      <c r="F649" s="597"/>
      <c r="G649" s="597"/>
      <c r="H649" s="597"/>
      <c r="I649" s="175"/>
      <c r="J649" s="175"/>
      <c r="K649" s="597"/>
      <c r="L649" s="597"/>
      <c r="M649" s="175"/>
      <c r="N649" s="175"/>
      <c r="O649" s="805"/>
      <c r="P649" s="175"/>
      <c r="Q649" s="175"/>
      <c r="R649" s="175"/>
      <c r="S649" s="175"/>
      <c r="T649" s="597"/>
      <c r="U649" s="597"/>
      <c r="V649" s="597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</row>
    <row r="650" ht="12.0" customHeight="1">
      <c r="A650" s="175"/>
      <c r="B650" s="175"/>
      <c r="C650" s="597"/>
      <c r="D650" s="597"/>
      <c r="E650" s="597"/>
      <c r="F650" s="597"/>
      <c r="G650" s="597"/>
      <c r="H650" s="597"/>
      <c r="I650" s="175"/>
      <c r="J650" s="175"/>
      <c r="K650" s="597"/>
      <c r="L650" s="597"/>
      <c r="M650" s="175"/>
      <c r="N650" s="175"/>
      <c r="O650" s="805"/>
      <c r="P650" s="175"/>
      <c r="Q650" s="175"/>
      <c r="R650" s="175"/>
      <c r="S650" s="175"/>
      <c r="T650" s="597"/>
      <c r="U650" s="597"/>
      <c r="V650" s="597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</row>
    <row r="651" ht="12.0" customHeight="1">
      <c r="A651" s="175"/>
      <c r="B651" s="175"/>
      <c r="C651" s="597"/>
      <c r="D651" s="597"/>
      <c r="E651" s="597"/>
      <c r="F651" s="597"/>
      <c r="G651" s="597"/>
      <c r="H651" s="597"/>
      <c r="I651" s="175"/>
      <c r="J651" s="175"/>
      <c r="K651" s="597"/>
      <c r="L651" s="597"/>
      <c r="M651" s="175"/>
      <c r="N651" s="175"/>
      <c r="O651" s="805"/>
      <c r="P651" s="175"/>
      <c r="Q651" s="175"/>
      <c r="R651" s="175"/>
      <c r="S651" s="175"/>
      <c r="T651" s="597"/>
      <c r="U651" s="597"/>
      <c r="V651" s="597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</row>
    <row r="652" ht="12.0" customHeight="1">
      <c r="A652" s="175"/>
      <c r="B652" s="175"/>
      <c r="C652" s="597"/>
      <c r="D652" s="597"/>
      <c r="E652" s="597"/>
      <c r="F652" s="597"/>
      <c r="G652" s="597"/>
      <c r="H652" s="597"/>
      <c r="I652" s="175"/>
      <c r="J652" s="175"/>
      <c r="K652" s="597"/>
      <c r="L652" s="597"/>
      <c r="M652" s="175"/>
      <c r="N652" s="175"/>
      <c r="O652" s="805"/>
      <c r="P652" s="175"/>
      <c r="Q652" s="175"/>
      <c r="R652" s="175"/>
      <c r="S652" s="175"/>
      <c r="T652" s="597"/>
      <c r="U652" s="597"/>
      <c r="V652" s="597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</row>
    <row r="653" ht="12.0" customHeight="1">
      <c r="A653" s="175"/>
      <c r="B653" s="175"/>
      <c r="C653" s="597"/>
      <c r="D653" s="597"/>
      <c r="E653" s="597"/>
      <c r="F653" s="597"/>
      <c r="G653" s="597"/>
      <c r="H653" s="597"/>
      <c r="I653" s="175"/>
      <c r="J653" s="175"/>
      <c r="K653" s="597"/>
      <c r="L653" s="597"/>
      <c r="M653" s="175"/>
      <c r="N653" s="175"/>
      <c r="O653" s="805"/>
      <c r="P653" s="175"/>
      <c r="Q653" s="175"/>
      <c r="R653" s="175"/>
      <c r="S653" s="175"/>
      <c r="T653" s="597"/>
      <c r="U653" s="597"/>
      <c r="V653" s="597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</row>
    <row r="654" ht="12.0" customHeight="1">
      <c r="A654" s="175"/>
      <c r="B654" s="175"/>
      <c r="C654" s="597"/>
      <c r="D654" s="597"/>
      <c r="E654" s="597"/>
      <c r="F654" s="597"/>
      <c r="G654" s="597"/>
      <c r="H654" s="597"/>
      <c r="I654" s="175"/>
      <c r="J654" s="175"/>
      <c r="K654" s="597"/>
      <c r="L654" s="597"/>
      <c r="M654" s="175"/>
      <c r="N654" s="175"/>
      <c r="O654" s="805"/>
      <c r="P654" s="175"/>
      <c r="Q654" s="175"/>
      <c r="R654" s="175"/>
      <c r="S654" s="175"/>
      <c r="T654" s="597"/>
      <c r="U654" s="597"/>
      <c r="V654" s="597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</row>
    <row r="655" ht="12.0" customHeight="1">
      <c r="A655" s="175"/>
      <c r="B655" s="175"/>
      <c r="C655" s="597"/>
      <c r="D655" s="597"/>
      <c r="E655" s="597"/>
      <c r="F655" s="597"/>
      <c r="G655" s="597"/>
      <c r="H655" s="597"/>
      <c r="I655" s="175"/>
      <c r="J655" s="175"/>
      <c r="K655" s="597"/>
      <c r="L655" s="597"/>
      <c r="M655" s="175"/>
      <c r="N655" s="175"/>
      <c r="O655" s="805"/>
      <c r="P655" s="175"/>
      <c r="Q655" s="175"/>
      <c r="R655" s="175"/>
      <c r="S655" s="175"/>
      <c r="T655" s="597"/>
      <c r="U655" s="597"/>
      <c r="V655" s="597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</row>
    <row r="656" ht="12.0" customHeight="1">
      <c r="A656" s="175"/>
      <c r="B656" s="175"/>
      <c r="C656" s="597"/>
      <c r="D656" s="597"/>
      <c r="E656" s="597"/>
      <c r="F656" s="597"/>
      <c r="G656" s="597"/>
      <c r="H656" s="597"/>
      <c r="I656" s="175"/>
      <c r="J656" s="175"/>
      <c r="K656" s="597"/>
      <c r="L656" s="597"/>
      <c r="M656" s="175"/>
      <c r="N656" s="175"/>
      <c r="O656" s="805"/>
      <c r="P656" s="175"/>
      <c r="Q656" s="175"/>
      <c r="R656" s="175"/>
      <c r="S656" s="175"/>
      <c r="T656" s="597"/>
      <c r="U656" s="597"/>
      <c r="V656" s="597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</row>
    <row r="657" ht="12.0" customHeight="1">
      <c r="A657" s="175"/>
      <c r="B657" s="175"/>
      <c r="C657" s="597"/>
      <c r="D657" s="597"/>
      <c r="E657" s="597"/>
      <c r="F657" s="597"/>
      <c r="G657" s="597"/>
      <c r="H657" s="597"/>
      <c r="I657" s="175"/>
      <c r="J657" s="175"/>
      <c r="K657" s="597"/>
      <c r="L657" s="597"/>
      <c r="M657" s="175"/>
      <c r="N657" s="175"/>
      <c r="O657" s="805"/>
      <c r="P657" s="175"/>
      <c r="Q657" s="175"/>
      <c r="R657" s="175"/>
      <c r="S657" s="175"/>
      <c r="T657" s="597"/>
      <c r="U657" s="597"/>
      <c r="V657" s="597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</row>
    <row r="658" ht="12.0" customHeight="1">
      <c r="A658" s="175"/>
      <c r="B658" s="175"/>
      <c r="C658" s="597"/>
      <c r="D658" s="597"/>
      <c r="E658" s="597"/>
      <c r="F658" s="597"/>
      <c r="G658" s="597"/>
      <c r="H658" s="597"/>
      <c r="I658" s="175"/>
      <c r="J658" s="175"/>
      <c r="K658" s="597"/>
      <c r="L658" s="597"/>
      <c r="M658" s="175"/>
      <c r="N658" s="175"/>
      <c r="O658" s="805"/>
      <c r="P658" s="175"/>
      <c r="Q658" s="175"/>
      <c r="R658" s="175"/>
      <c r="S658" s="175"/>
      <c r="T658" s="597"/>
      <c r="U658" s="597"/>
      <c r="V658" s="597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</row>
    <row r="659" ht="12.0" customHeight="1">
      <c r="A659" s="175"/>
      <c r="B659" s="175"/>
      <c r="C659" s="597"/>
      <c r="D659" s="597"/>
      <c r="E659" s="597"/>
      <c r="F659" s="597"/>
      <c r="G659" s="597"/>
      <c r="H659" s="597"/>
      <c r="I659" s="175"/>
      <c r="J659" s="175"/>
      <c r="K659" s="597"/>
      <c r="L659" s="597"/>
      <c r="M659" s="175"/>
      <c r="N659" s="175"/>
      <c r="O659" s="805"/>
      <c r="P659" s="175"/>
      <c r="Q659" s="175"/>
      <c r="R659" s="175"/>
      <c r="S659" s="175"/>
      <c r="T659" s="597"/>
      <c r="U659" s="597"/>
      <c r="V659" s="597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</row>
    <row r="660" ht="12.0" customHeight="1">
      <c r="A660" s="175"/>
      <c r="B660" s="175"/>
      <c r="C660" s="597"/>
      <c r="D660" s="597"/>
      <c r="E660" s="597"/>
      <c r="F660" s="597"/>
      <c r="G660" s="597"/>
      <c r="H660" s="597"/>
      <c r="I660" s="175"/>
      <c r="J660" s="175"/>
      <c r="K660" s="597"/>
      <c r="L660" s="597"/>
      <c r="M660" s="175"/>
      <c r="N660" s="175"/>
      <c r="O660" s="805"/>
      <c r="P660" s="175"/>
      <c r="Q660" s="175"/>
      <c r="R660" s="175"/>
      <c r="S660" s="175"/>
      <c r="T660" s="597"/>
      <c r="U660" s="597"/>
      <c r="V660" s="597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</row>
    <row r="661" ht="12.0" customHeight="1">
      <c r="A661" s="175"/>
      <c r="B661" s="175"/>
      <c r="C661" s="597"/>
      <c r="D661" s="597"/>
      <c r="E661" s="597"/>
      <c r="F661" s="597"/>
      <c r="G661" s="597"/>
      <c r="H661" s="597"/>
      <c r="I661" s="175"/>
      <c r="J661" s="175"/>
      <c r="K661" s="597"/>
      <c r="L661" s="597"/>
      <c r="M661" s="175"/>
      <c r="N661" s="175"/>
      <c r="O661" s="805"/>
      <c r="P661" s="175"/>
      <c r="Q661" s="175"/>
      <c r="R661" s="175"/>
      <c r="S661" s="175"/>
      <c r="T661" s="597"/>
      <c r="U661" s="597"/>
      <c r="V661" s="597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</row>
    <row r="662" ht="12.0" customHeight="1">
      <c r="A662" s="175"/>
      <c r="B662" s="175"/>
      <c r="C662" s="597"/>
      <c r="D662" s="597"/>
      <c r="E662" s="597"/>
      <c r="F662" s="597"/>
      <c r="G662" s="597"/>
      <c r="H662" s="597"/>
      <c r="I662" s="175"/>
      <c r="J662" s="175"/>
      <c r="K662" s="597"/>
      <c r="L662" s="597"/>
      <c r="M662" s="175"/>
      <c r="N662" s="175"/>
      <c r="O662" s="805"/>
      <c r="P662" s="175"/>
      <c r="Q662" s="175"/>
      <c r="R662" s="175"/>
      <c r="S662" s="175"/>
      <c r="T662" s="597"/>
      <c r="U662" s="597"/>
      <c r="V662" s="597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</row>
    <row r="663" ht="12.0" customHeight="1">
      <c r="A663" s="175"/>
      <c r="B663" s="175"/>
      <c r="C663" s="597"/>
      <c r="D663" s="597"/>
      <c r="E663" s="597"/>
      <c r="F663" s="597"/>
      <c r="G663" s="597"/>
      <c r="H663" s="597"/>
      <c r="I663" s="175"/>
      <c r="J663" s="175"/>
      <c r="K663" s="597"/>
      <c r="L663" s="597"/>
      <c r="M663" s="175"/>
      <c r="N663" s="175"/>
      <c r="O663" s="805"/>
      <c r="P663" s="175"/>
      <c r="Q663" s="175"/>
      <c r="R663" s="175"/>
      <c r="S663" s="175"/>
      <c r="T663" s="597"/>
      <c r="U663" s="597"/>
      <c r="V663" s="597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</row>
    <row r="664" ht="12.0" customHeight="1">
      <c r="A664" s="175"/>
      <c r="B664" s="175"/>
      <c r="C664" s="597"/>
      <c r="D664" s="597"/>
      <c r="E664" s="597"/>
      <c r="F664" s="597"/>
      <c r="G664" s="597"/>
      <c r="H664" s="597"/>
      <c r="I664" s="175"/>
      <c r="J664" s="175"/>
      <c r="K664" s="597"/>
      <c r="L664" s="597"/>
      <c r="M664" s="175"/>
      <c r="N664" s="175"/>
      <c r="O664" s="805"/>
      <c r="P664" s="175"/>
      <c r="Q664" s="175"/>
      <c r="R664" s="175"/>
      <c r="S664" s="175"/>
      <c r="T664" s="597"/>
      <c r="U664" s="597"/>
      <c r="V664" s="597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</row>
    <row r="665" ht="12.0" customHeight="1">
      <c r="A665" s="175"/>
      <c r="B665" s="175"/>
      <c r="C665" s="597"/>
      <c r="D665" s="597"/>
      <c r="E665" s="597"/>
      <c r="F665" s="597"/>
      <c r="G665" s="597"/>
      <c r="H665" s="597"/>
      <c r="I665" s="175"/>
      <c r="J665" s="175"/>
      <c r="K665" s="597"/>
      <c r="L665" s="597"/>
      <c r="M665" s="175"/>
      <c r="N665" s="175"/>
      <c r="O665" s="805"/>
      <c r="P665" s="175"/>
      <c r="Q665" s="175"/>
      <c r="R665" s="175"/>
      <c r="S665" s="175"/>
      <c r="T665" s="597"/>
      <c r="U665" s="597"/>
      <c r="V665" s="597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</row>
    <row r="666" ht="12.0" customHeight="1">
      <c r="A666" s="175"/>
      <c r="B666" s="175"/>
      <c r="C666" s="597"/>
      <c r="D666" s="597"/>
      <c r="E666" s="597"/>
      <c r="F666" s="597"/>
      <c r="G666" s="597"/>
      <c r="H666" s="597"/>
      <c r="I666" s="175"/>
      <c r="J666" s="175"/>
      <c r="K666" s="597"/>
      <c r="L666" s="597"/>
      <c r="M666" s="175"/>
      <c r="N666" s="175"/>
      <c r="O666" s="805"/>
      <c r="P666" s="175"/>
      <c r="Q666" s="175"/>
      <c r="R666" s="175"/>
      <c r="S666" s="175"/>
      <c r="T666" s="597"/>
      <c r="U666" s="597"/>
      <c r="V666" s="597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</row>
    <row r="667" ht="12.0" customHeight="1">
      <c r="A667" s="175"/>
      <c r="B667" s="175"/>
      <c r="C667" s="597"/>
      <c r="D667" s="597"/>
      <c r="E667" s="597"/>
      <c r="F667" s="597"/>
      <c r="G667" s="597"/>
      <c r="H667" s="597"/>
      <c r="I667" s="175"/>
      <c r="J667" s="175"/>
      <c r="K667" s="597"/>
      <c r="L667" s="597"/>
      <c r="M667" s="175"/>
      <c r="N667" s="175"/>
      <c r="O667" s="805"/>
      <c r="P667" s="175"/>
      <c r="Q667" s="175"/>
      <c r="R667" s="175"/>
      <c r="S667" s="175"/>
      <c r="T667" s="597"/>
      <c r="U667" s="597"/>
      <c r="V667" s="597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</row>
    <row r="668" ht="12.0" customHeight="1">
      <c r="A668" s="175"/>
      <c r="B668" s="175"/>
      <c r="C668" s="597"/>
      <c r="D668" s="597"/>
      <c r="E668" s="597"/>
      <c r="F668" s="597"/>
      <c r="G668" s="597"/>
      <c r="H668" s="597"/>
      <c r="I668" s="175"/>
      <c r="J668" s="175"/>
      <c r="K668" s="597"/>
      <c r="L668" s="597"/>
      <c r="M668" s="175"/>
      <c r="N668" s="175"/>
      <c r="O668" s="805"/>
      <c r="P668" s="175"/>
      <c r="Q668" s="175"/>
      <c r="R668" s="175"/>
      <c r="S668" s="175"/>
      <c r="T668" s="597"/>
      <c r="U668" s="597"/>
      <c r="V668" s="597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</row>
    <row r="669" ht="12.0" customHeight="1">
      <c r="A669" s="175"/>
      <c r="B669" s="175"/>
      <c r="C669" s="597"/>
      <c r="D669" s="597"/>
      <c r="E669" s="597"/>
      <c r="F669" s="597"/>
      <c r="G669" s="597"/>
      <c r="H669" s="597"/>
      <c r="I669" s="175"/>
      <c r="J669" s="175"/>
      <c r="K669" s="597"/>
      <c r="L669" s="597"/>
      <c r="M669" s="175"/>
      <c r="N669" s="175"/>
      <c r="O669" s="805"/>
      <c r="P669" s="175"/>
      <c r="Q669" s="175"/>
      <c r="R669" s="175"/>
      <c r="S669" s="175"/>
      <c r="T669" s="597"/>
      <c r="U669" s="597"/>
      <c r="V669" s="597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</row>
    <row r="670" ht="12.0" customHeight="1">
      <c r="A670" s="175"/>
      <c r="B670" s="175"/>
      <c r="C670" s="597"/>
      <c r="D670" s="597"/>
      <c r="E670" s="597"/>
      <c r="F670" s="597"/>
      <c r="G670" s="597"/>
      <c r="H670" s="597"/>
      <c r="I670" s="175"/>
      <c r="J670" s="175"/>
      <c r="K670" s="597"/>
      <c r="L670" s="597"/>
      <c r="M670" s="175"/>
      <c r="N670" s="175"/>
      <c r="O670" s="805"/>
      <c r="P670" s="175"/>
      <c r="Q670" s="175"/>
      <c r="R670" s="175"/>
      <c r="S670" s="175"/>
      <c r="T670" s="597"/>
      <c r="U670" s="597"/>
      <c r="V670" s="597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</row>
    <row r="671" ht="12.0" customHeight="1">
      <c r="A671" s="175"/>
      <c r="B671" s="175"/>
      <c r="C671" s="597"/>
      <c r="D671" s="597"/>
      <c r="E671" s="597"/>
      <c r="F671" s="597"/>
      <c r="G671" s="597"/>
      <c r="H671" s="597"/>
      <c r="I671" s="175"/>
      <c r="J671" s="175"/>
      <c r="K671" s="597"/>
      <c r="L671" s="597"/>
      <c r="M671" s="175"/>
      <c r="N671" s="175"/>
      <c r="O671" s="805"/>
      <c r="P671" s="175"/>
      <c r="Q671" s="175"/>
      <c r="R671" s="175"/>
      <c r="S671" s="175"/>
      <c r="T671" s="597"/>
      <c r="U671" s="597"/>
      <c r="V671" s="597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</row>
    <row r="672" ht="12.0" customHeight="1">
      <c r="A672" s="175"/>
      <c r="B672" s="175"/>
      <c r="C672" s="597"/>
      <c r="D672" s="597"/>
      <c r="E672" s="597"/>
      <c r="F672" s="597"/>
      <c r="G672" s="597"/>
      <c r="H672" s="597"/>
      <c r="I672" s="175"/>
      <c r="J672" s="175"/>
      <c r="K672" s="597"/>
      <c r="L672" s="597"/>
      <c r="M672" s="175"/>
      <c r="N672" s="175"/>
      <c r="O672" s="805"/>
      <c r="P672" s="175"/>
      <c r="Q672" s="175"/>
      <c r="R672" s="175"/>
      <c r="S672" s="175"/>
      <c r="T672" s="597"/>
      <c r="U672" s="597"/>
      <c r="V672" s="597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</row>
    <row r="673" ht="12.0" customHeight="1">
      <c r="A673" s="175"/>
      <c r="B673" s="175"/>
      <c r="C673" s="597"/>
      <c r="D673" s="597"/>
      <c r="E673" s="597"/>
      <c r="F673" s="597"/>
      <c r="G673" s="597"/>
      <c r="H673" s="597"/>
      <c r="I673" s="175"/>
      <c r="J673" s="175"/>
      <c r="K673" s="597"/>
      <c r="L673" s="597"/>
      <c r="M673" s="175"/>
      <c r="N673" s="175"/>
      <c r="O673" s="805"/>
      <c r="P673" s="175"/>
      <c r="Q673" s="175"/>
      <c r="R673" s="175"/>
      <c r="S673" s="175"/>
      <c r="T673" s="597"/>
      <c r="U673" s="597"/>
      <c r="V673" s="597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</row>
    <row r="674" ht="12.0" customHeight="1">
      <c r="A674" s="175"/>
      <c r="B674" s="175"/>
      <c r="C674" s="597"/>
      <c r="D674" s="597"/>
      <c r="E674" s="597"/>
      <c r="F674" s="597"/>
      <c r="G674" s="597"/>
      <c r="H674" s="597"/>
      <c r="I674" s="175"/>
      <c r="J674" s="175"/>
      <c r="K674" s="597"/>
      <c r="L674" s="597"/>
      <c r="M674" s="175"/>
      <c r="N674" s="175"/>
      <c r="O674" s="805"/>
      <c r="P674" s="175"/>
      <c r="Q674" s="175"/>
      <c r="R674" s="175"/>
      <c r="S674" s="175"/>
      <c r="T674" s="597"/>
      <c r="U674" s="597"/>
      <c r="V674" s="597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</row>
    <row r="675" ht="12.0" customHeight="1">
      <c r="A675" s="175"/>
      <c r="B675" s="175"/>
      <c r="C675" s="597"/>
      <c r="D675" s="597"/>
      <c r="E675" s="597"/>
      <c r="F675" s="597"/>
      <c r="G675" s="597"/>
      <c r="H675" s="597"/>
      <c r="I675" s="175"/>
      <c r="J675" s="175"/>
      <c r="K675" s="597"/>
      <c r="L675" s="597"/>
      <c r="M675" s="175"/>
      <c r="N675" s="175"/>
      <c r="O675" s="805"/>
      <c r="P675" s="175"/>
      <c r="Q675" s="175"/>
      <c r="R675" s="175"/>
      <c r="S675" s="175"/>
      <c r="T675" s="597"/>
      <c r="U675" s="597"/>
      <c r="V675" s="597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</row>
    <row r="676" ht="12.0" customHeight="1">
      <c r="A676" s="175"/>
      <c r="B676" s="175"/>
      <c r="C676" s="597"/>
      <c r="D676" s="597"/>
      <c r="E676" s="597"/>
      <c r="F676" s="597"/>
      <c r="G676" s="597"/>
      <c r="H676" s="597"/>
      <c r="I676" s="175"/>
      <c r="J676" s="175"/>
      <c r="K676" s="597"/>
      <c r="L676" s="597"/>
      <c r="M676" s="175"/>
      <c r="N676" s="175"/>
      <c r="O676" s="805"/>
      <c r="P676" s="175"/>
      <c r="Q676" s="175"/>
      <c r="R676" s="175"/>
      <c r="S676" s="175"/>
      <c r="T676" s="597"/>
      <c r="U676" s="597"/>
      <c r="V676" s="597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</row>
    <row r="677" ht="12.0" customHeight="1">
      <c r="A677" s="175"/>
      <c r="B677" s="175"/>
      <c r="C677" s="597"/>
      <c r="D677" s="597"/>
      <c r="E677" s="597"/>
      <c r="F677" s="597"/>
      <c r="G677" s="597"/>
      <c r="H677" s="597"/>
      <c r="I677" s="175"/>
      <c r="J677" s="175"/>
      <c r="K677" s="597"/>
      <c r="L677" s="597"/>
      <c r="M677" s="175"/>
      <c r="N677" s="175"/>
      <c r="O677" s="805"/>
      <c r="P677" s="175"/>
      <c r="Q677" s="175"/>
      <c r="R677" s="175"/>
      <c r="S677" s="175"/>
      <c r="T677" s="597"/>
      <c r="U677" s="597"/>
      <c r="V677" s="597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</row>
    <row r="678" ht="12.0" customHeight="1">
      <c r="A678" s="175"/>
      <c r="B678" s="175"/>
      <c r="C678" s="597"/>
      <c r="D678" s="597"/>
      <c r="E678" s="597"/>
      <c r="F678" s="597"/>
      <c r="G678" s="597"/>
      <c r="H678" s="597"/>
      <c r="I678" s="175"/>
      <c r="J678" s="175"/>
      <c r="K678" s="597"/>
      <c r="L678" s="597"/>
      <c r="M678" s="175"/>
      <c r="N678" s="175"/>
      <c r="O678" s="805"/>
      <c r="P678" s="175"/>
      <c r="Q678" s="175"/>
      <c r="R678" s="175"/>
      <c r="S678" s="175"/>
      <c r="T678" s="597"/>
      <c r="U678" s="597"/>
      <c r="V678" s="597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</row>
    <row r="679" ht="12.0" customHeight="1">
      <c r="A679" s="175"/>
      <c r="B679" s="175"/>
      <c r="C679" s="597"/>
      <c r="D679" s="597"/>
      <c r="E679" s="597"/>
      <c r="F679" s="597"/>
      <c r="G679" s="597"/>
      <c r="H679" s="597"/>
      <c r="I679" s="175"/>
      <c r="J679" s="175"/>
      <c r="K679" s="597"/>
      <c r="L679" s="597"/>
      <c r="M679" s="175"/>
      <c r="N679" s="175"/>
      <c r="O679" s="805"/>
      <c r="P679" s="175"/>
      <c r="Q679" s="175"/>
      <c r="R679" s="175"/>
      <c r="S679" s="175"/>
      <c r="T679" s="597"/>
      <c r="U679" s="597"/>
      <c r="V679" s="597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</row>
    <row r="680" ht="12.0" customHeight="1">
      <c r="A680" s="175"/>
      <c r="B680" s="175"/>
      <c r="C680" s="597"/>
      <c r="D680" s="597"/>
      <c r="E680" s="597"/>
      <c r="F680" s="597"/>
      <c r="G680" s="597"/>
      <c r="H680" s="597"/>
      <c r="I680" s="175"/>
      <c r="J680" s="175"/>
      <c r="K680" s="597"/>
      <c r="L680" s="597"/>
      <c r="M680" s="175"/>
      <c r="N680" s="175"/>
      <c r="O680" s="805"/>
      <c r="P680" s="175"/>
      <c r="Q680" s="175"/>
      <c r="R680" s="175"/>
      <c r="S680" s="175"/>
      <c r="T680" s="597"/>
      <c r="U680" s="597"/>
      <c r="V680" s="597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</row>
    <row r="681" ht="12.0" customHeight="1">
      <c r="A681" s="175"/>
      <c r="B681" s="175"/>
      <c r="C681" s="597"/>
      <c r="D681" s="597"/>
      <c r="E681" s="597"/>
      <c r="F681" s="597"/>
      <c r="G681" s="597"/>
      <c r="H681" s="597"/>
      <c r="I681" s="175"/>
      <c r="J681" s="175"/>
      <c r="K681" s="597"/>
      <c r="L681" s="597"/>
      <c r="M681" s="175"/>
      <c r="N681" s="175"/>
      <c r="O681" s="805"/>
      <c r="P681" s="175"/>
      <c r="Q681" s="175"/>
      <c r="R681" s="175"/>
      <c r="S681" s="175"/>
      <c r="T681" s="597"/>
      <c r="U681" s="597"/>
      <c r="V681" s="597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</row>
    <row r="682" ht="12.0" customHeight="1">
      <c r="A682" s="175"/>
      <c r="B682" s="175"/>
      <c r="C682" s="597"/>
      <c r="D682" s="597"/>
      <c r="E682" s="597"/>
      <c r="F682" s="597"/>
      <c r="G682" s="597"/>
      <c r="H682" s="597"/>
      <c r="I682" s="175"/>
      <c r="J682" s="175"/>
      <c r="K682" s="597"/>
      <c r="L682" s="597"/>
      <c r="M682" s="175"/>
      <c r="N682" s="175"/>
      <c r="O682" s="805"/>
      <c r="P682" s="175"/>
      <c r="Q682" s="175"/>
      <c r="R682" s="175"/>
      <c r="S682" s="175"/>
      <c r="T682" s="597"/>
      <c r="U682" s="597"/>
      <c r="V682" s="597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</row>
    <row r="683" ht="12.0" customHeight="1">
      <c r="A683" s="175"/>
      <c r="B683" s="175"/>
      <c r="C683" s="597"/>
      <c r="D683" s="597"/>
      <c r="E683" s="597"/>
      <c r="F683" s="597"/>
      <c r="G683" s="597"/>
      <c r="H683" s="597"/>
      <c r="I683" s="175"/>
      <c r="J683" s="175"/>
      <c r="K683" s="597"/>
      <c r="L683" s="597"/>
      <c r="M683" s="175"/>
      <c r="N683" s="175"/>
      <c r="O683" s="805"/>
      <c r="P683" s="175"/>
      <c r="Q683" s="175"/>
      <c r="R683" s="175"/>
      <c r="S683" s="175"/>
      <c r="T683" s="597"/>
      <c r="U683" s="597"/>
      <c r="V683" s="597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</row>
    <row r="684" ht="12.0" customHeight="1">
      <c r="A684" s="175"/>
      <c r="B684" s="175"/>
      <c r="C684" s="597"/>
      <c r="D684" s="597"/>
      <c r="E684" s="597"/>
      <c r="F684" s="597"/>
      <c r="G684" s="597"/>
      <c r="H684" s="597"/>
      <c r="I684" s="175"/>
      <c r="J684" s="175"/>
      <c r="K684" s="597"/>
      <c r="L684" s="597"/>
      <c r="M684" s="175"/>
      <c r="N684" s="175"/>
      <c r="O684" s="805"/>
      <c r="P684" s="175"/>
      <c r="Q684" s="175"/>
      <c r="R684" s="175"/>
      <c r="S684" s="175"/>
      <c r="T684" s="597"/>
      <c r="U684" s="597"/>
      <c r="V684" s="597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</row>
    <row r="685" ht="12.0" customHeight="1">
      <c r="A685" s="175"/>
      <c r="B685" s="175"/>
      <c r="C685" s="597"/>
      <c r="D685" s="597"/>
      <c r="E685" s="597"/>
      <c r="F685" s="597"/>
      <c r="G685" s="597"/>
      <c r="H685" s="597"/>
      <c r="I685" s="175"/>
      <c r="J685" s="175"/>
      <c r="K685" s="597"/>
      <c r="L685" s="597"/>
      <c r="M685" s="175"/>
      <c r="N685" s="175"/>
      <c r="O685" s="805"/>
      <c r="P685" s="175"/>
      <c r="Q685" s="175"/>
      <c r="R685" s="175"/>
      <c r="S685" s="175"/>
      <c r="T685" s="597"/>
      <c r="U685" s="597"/>
      <c r="V685" s="597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</row>
    <row r="686" ht="12.0" customHeight="1">
      <c r="A686" s="175"/>
      <c r="B686" s="175"/>
      <c r="C686" s="597"/>
      <c r="D686" s="597"/>
      <c r="E686" s="597"/>
      <c r="F686" s="597"/>
      <c r="G686" s="597"/>
      <c r="H686" s="597"/>
      <c r="I686" s="175"/>
      <c r="J686" s="175"/>
      <c r="K686" s="597"/>
      <c r="L686" s="597"/>
      <c r="M686" s="175"/>
      <c r="N686" s="175"/>
      <c r="O686" s="805"/>
      <c r="P686" s="175"/>
      <c r="Q686" s="175"/>
      <c r="R686" s="175"/>
      <c r="S686" s="175"/>
      <c r="T686" s="597"/>
      <c r="U686" s="597"/>
      <c r="V686" s="597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</row>
    <row r="687" ht="12.0" customHeight="1">
      <c r="A687" s="175"/>
      <c r="B687" s="175"/>
      <c r="C687" s="597"/>
      <c r="D687" s="597"/>
      <c r="E687" s="597"/>
      <c r="F687" s="597"/>
      <c r="G687" s="597"/>
      <c r="H687" s="597"/>
      <c r="I687" s="175"/>
      <c r="J687" s="175"/>
      <c r="K687" s="597"/>
      <c r="L687" s="597"/>
      <c r="M687" s="175"/>
      <c r="N687" s="175"/>
      <c r="O687" s="805"/>
      <c r="P687" s="175"/>
      <c r="Q687" s="175"/>
      <c r="R687" s="175"/>
      <c r="S687" s="175"/>
      <c r="T687" s="597"/>
      <c r="U687" s="597"/>
      <c r="V687" s="597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</row>
    <row r="688" ht="12.0" customHeight="1">
      <c r="A688" s="175"/>
      <c r="B688" s="175"/>
      <c r="C688" s="597"/>
      <c r="D688" s="597"/>
      <c r="E688" s="597"/>
      <c r="F688" s="597"/>
      <c r="G688" s="597"/>
      <c r="H688" s="597"/>
      <c r="I688" s="175"/>
      <c r="J688" s="175"/>
      <c r="K688" s="597"/>
      <c r="L688" s="597"/>
      <c r="M688" s="175"/>
      <c r="N688" s="175"/>
      <c r="O688" s="805"/>
      <c r="P688" s="175"/>
      <c r="Q688" s="175"/>
      <c r="R688" s="175"/>
      <c r="S688" s="175"/>
      <c r="T688" s="597"/>
      <c r="U688" s="597"/>
      <c r="V688" s="597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</row>
    <row r="689" ht="12.0" customHeight="1">
      <c r="A689" s="175"/>
      <c r="B689" s="175"/>
      <c r="C689" s="597"/>
      <c r="D689" s="597"/>
      <c r="E689" s="597"/>
      <c r="F689" s="597"/>
      <c r="G689" s="597"/>
      <c r="H689" s="597"/>
      <c r="I689" s="175"/>
      <c r="J689" s="175"/>
      <c r="K689" s="597"/>
      <c r="L689" s="597"/>
      <c r="M689" s="175"/>
      <c r="N689" s="175"/>
      <c r="O689" s="805"/>
      <c r="P689" s="175"/>
      <c r="Q689" s="175"/>
      <c r="R689" s="175"/>
      <c r="S689" s="175"/>
      <c r="T689" s="597"/>
      <c r="U689" s="597"/>
      <c r="V689" s="597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</row>
    <row r="690" ht="12.0" customHeight="1">
      <c r="A690" s="175"/>
      <c r="B690" s="175"/>
      <c r="C690" s="597"/>
      <c r="D690" s="597"/>
      <c r="E690" s="597"/>
      <c r="F690" s="597"/>
      <c r="G690" s="597"/>
      <c r="H690" s="597"/>
      <c r="I690" s="175"/>
      <c r="J690" s="175"/>
      <c r="K690" s="597"/>
      <c r="L690" s="597"/>
      <c r="M690" s="175"/>
      <c r="N690" s="175"/>
      <c r="O690" s="805"/>
      <c r="P690" s="175"/>
      <c r="Q690" s="175"/>
      <c r="R690" s="175"/>
      <c r="S690" s="175"/>
      <c r="T690" s="597"/>
      <c r="U690" s="597"/>
      <c r="V690" s="597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</row>
    <row r="691" ht="12.0" customHeight="1">
      <c r="A691" s="175"/>
      <c r="B691" s="175"/>
      <c r="C691" s="597"/>
      <c r="D691" s="597"/>
      <c r="E691" s="597"/>
      <c r="F691" s="597"/>
      <c r="G691" s="597"/>
      <c r="H691" s="597"/>
      <c r="I691" s="175"/>
      <c r="J691" s="175"/>
      <c r="K691" s="597"/>
      <c r="L691" s="597"/>
      <c r="M691" s="175"/>
      <c r="N691" s="175"/>
      <c r="O691" s="805"/>
      <c r="P691" s="175"/>
      <c r="Q691" s="175"/>
      <c r="R691" s="175"/>
      <c r="S691" s="175"/>
      <c r="T691" s="597"/>
      <c r="U691" s="597"/>
      <c r="V691" s="597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</row>
    <row r="692" ht="12.0" customHeight="1">
      <c r="A692" s="175"/>
      <c r="B692" s="175"/>
      <c r="C692" s="597"/>
      <c r="D692" s="597"/>
      <c r="E692" s="597"/>
      <c r="F692" s="597"/>
      <c r="G692" s="597"/>
      <c r="H692" s="597"/>
      <c r="I692" s="175"/>
      <c r="J692" s="175"/>
      <c r="K692" s="597"/>
      <c r="L692" s="597"/>
      <c r="M692" s="175"/>
      <c r="N692" s="175"/>
      <c r="O692" s="805"/>
      <c r="P692" s="175"/>
      <c r="Q692" s="175"/>
      <c r="R692" s="175"/>
      <c r="S692" s="175"/>
      <c r="T692" s="597"/>
      <c r="U692" s="597"/>
      <c r="V692" s="597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</row>
    <row r="693" ht="12.0" customHeight="1">
      <c r="A693" s="175"/>
      <c r="B693" s="175"/>
      <c r="C693" s="597"/>
      <c r="D693" s="597"/>
      <c r="E693" s="597"/>
      <c r="F693" s="597"/>
      <c r="G693" s="597"/>
      <c r="H693" s="597"/>
      <c r="I693" s="175"/>
      <c r="J693" s="175"/>
      <c r="K693" s="597"/>
      <c r="L693" s="597"/>
      <c r="M693" s="175"/>
      <c r="N693" s="175"/>
      <c r="O693" s="805"/>
      <c r="P693" s="175"/>
      <c r="Q693" s="175"/>
      <c r="R693" s="175"/>
      <c r="S693" s="175"/>
      <c r="T693" s="597"/>
      <c r="U693" s="597"/>
      <c r="V693" s="597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</row>
    <row r="694" ht="12.0" customHeight="1">
      <c r="A694" s="175"/>
      <c r="B694" s="175"/>
      <c r="C694" s="597"/>
      <c r="D694" s="597"/>
      <c r="E694" s="597"/>
      <c r="F694" s="597"/>
      <c r="G694" s="597"/>
      <c r="H694" s="597"/>
      <c r="I694" s="175"/>
      <c r="J694" s="175"/>
      <c r="K694" s="597"/>
      <c r="L694" s="597"/>
      <c r="M694" s="175"/>
      <c r="N694" s="175"/>
      <c r="O694" s="805"/>
      <c r="P694" s="175"/>
      <c r="Q694" s="175"/>
      <c r="R694" s="175"/>
      <c r="S694" s="175"/>
      <c r="T694" s="597"/>
      <c r="U694" s="597"/>
      <c r="V694" s="597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</row>
    <row r="695" ht="12.0" customHeight="1">
      <c r="A695" s="175"/>
      <c r="B695" s="175"/>
      <c r="C695" s="597"/>
      <c r="D695" s="597"/>
      <c r="E695" s="597"/>
      <c r="F695" s="597"/>
      <c r="G695" s="597"/>
      <c r="H695" s="597"/>
      <c r="I695" s="175"/>
      <c r="J695" s="175"/>
      <c r="K695" s="597"/>
      <c r="L695" s="597"/>
      <c r="M695" s="175"/>
      <c r="N695" s="175"/>
      <c r="O695" s="805"/>
      <c r="P695" s="175"/>
      <c r="Q695" s="175"/>
      <c r="R695" s="175"/>
      <c r="S695" s="175"/>
      <c r="T695" s="597"/>
      <c r="U695" s="597"/>
      <c r="V695" s="597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</row>
    <row r="696" ht="12.0" customHeight="1">
      <c r="A696" s="175"/>
      <c r="B696" s="175"/>
      <c r="C696" s="597"/>
      <c r="D696" s="597"/>
      <c r="E696" s="597"/>
      <c r="F696" s="597"/>
      <c r="G696" s="597"/>
      <c r="H696" s="597"/>
      <c r="I696" s="175"/>
      <c r="J696" s="175"/>
      <c r="K696" s="597"/>
      <c r="L696" s="597"/>
      <c r="M696" s="175"/>
      <c r="N696" s="175"/>
      <c r="O696" s="805"/>
      <c r="P696" s="175"/>
      <c r="Q696" s="175"/>
      <c r="R696" s="175"/>
      <c r="S696" s="175"/>
      <c r="T696" s="597"/>
      <c r="U696" s="597"/>
      <c r="V696" s="597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</row>
    <row r="697" ht="12.0" customHeight="1">
      <c r="A697" s="175"/>
      <c r="B697" s="175"/>
      <c r="C697" s="597"/>
      <c r="D697" s="597"/>
      <c r="E697" s="597"/>
      <c r="F697" s="597"/>
      <c r="G697" s="597"/>
      <c r="H697" s="597"/>
      <c r="I697" s="175"/>
      <c r="J697" s="175"/>
      <c r="K697" s="597"/>
      <c r="L697" s="597"/>
      <c r="M697" s="175"/>
      <c r="N697" s="175"/>
      <c r="O697" s="805"/>
      <c r="P697" s="175"/>
      <c r="Q697" s="175"/>
      <c r="R697" s="175"/>
      <c r="S697" s="175"/>
      <c r="T697" s="597"/>
      <c r="U697" s="597"/>
      <c r="V697" s="597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</row>
    <row r="698" ht="12.0" customHeight="1">
      <c r="A698" s="175"/>
      <c r="B698" s="175"/>
      <c r="C698" s="597"/>
      <c r="D698" s="597"/>
      <c r="E698" s="597"/>
      <c r="F698" s="597"/>
      <c r="G698" s="597"/>
      <c r="H698" s="597"/>
      <c r="I698" s="175"/>
      <c r="J698" s="175"/>
      <c r="K698" s="597"/>
      <c r="L698" s="597"/>
      <c r="M698" s="175"/>
      <c r="N698" s="175"/>
      <c r="O698" s="805"/>
      <c r="P698" s="175"/>
      <c r="Q698" s="175"/>
      <c r="R698" s="175"/>
      <c r="S698" s="175"/>
      <c r="T698" s="597"/>
      <c r="U698" s="597"/>
      <c r="V698" s="597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</row>
    <row r="699" ht="12.0" customHeight="1">
      <c r="A699" s="175"/>
      <c r="B699" s="175"/>
      <c r="C699" s="597"/>
      <c r="D699" s="597"/>
      <c r="E699" s="597"/>
      <c r="F699" s="597"/>
      <c r="G699" s="597"/>
      <c r="H699" s="597"/>
      <c r="I699" s="175"/>
      <c r="J699" s="175"/>
      <c r="K699" s="597"/>
      <c r="L699" s="597"/>
      <c r="M699" s="175"/>
      <c r="N699" s="175"/>
      <c r="O699" s="805"/>
      <c r="P699" s="175"/>
      <c r="Q699" s="175"/>
      <c r="R699" s="175"/>
      <c r="S699" s="175"/>
      <c r="T699" s="597"/>
      <c r="U699" s="597"/>
      <c r="V699" s="597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</row>
    <row r="700" ht="12.0" customHeight="1">
      <c r="A700" s="175"/>
      <c r="B700" s="175"/>
      <c r="C700" s="597"/>
      <c r="D700" s="597"/>
      <c r="E700" s="597"/>
      <c r="F700" s="597"/>
      <c r="G700" s="597"/>
      <c r="H700" s="597"/>
      <c r="I700" s="175"/>
      <c r="J700" s="175"/>
      <c r="K700" s="597"/>
      <c r="L700" s="597"/>
      <c r="M700" s="175"/>
      <c r="N700" s="175"/>
      <c r="O700" s="805"/>
      <c r="P700" s="175"/>
      <c r="Q700" s="175"/>
      <c r="R700" s="175"/>
      <c r="S700" s="175"/>
      <c r="T700" s="597"/>
      <c r="U700" s="597"/>
      <c r="V700" s="597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</row>
    <row r="701" ht="12.0" customHeight="1">
      <c r="A701" s="175"/>
      <c r="B701" s="175"/>
      <c r="C701" s="597"/>
      <c r="D701" s="597"/>
      <c r="E701" s="597"/>
      <c r="F701" s="597"/>
      <c r="G701" s="597"/>
      <c r="H701" s="597"/>
      <c r="I701" s="175"/>
      <c r="J701" s="175"/>
      <c r="K701" s="597"/>
      <c r="L701" s="597"/>
      <c r="M701" s="175"/>
      <c r="N701" s="175"/>
      <c r="O701" s="805"/>
      <c r="P701" s="175"/>
      <c r="Q701" s="175"/>
      <c r="R701" s="175"/>
      <c r="S701" s="175"/>
      <c r="T701" s="597"/>
      <c r="U701" s="597"/>
      <c r="V701" s="597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</row>
    <row r="702" ht="12.0" customHeight="1">
      <c r="A702" s="175"/>
      <c r="B702" s="175"/>
      <c r="C702" s="597"/>
      <c r="D702" s="597"/>
      <c r="E702" s="597"/>
      <c r="F702" s="597"/>
      <c r="G702" s="597"/>
      <c r="H702" s="597"/>
      <c r="I702" s="175"/>
      <c r="J702" s="175"/>
      <c r="K702" s="597"/>
      <c r="L702" s="597"/>
      <c r="M702" s="175"/>
      <c r="N702" s="175"/>
      <c r="O702" s="805"/>
      <c r="P702" s="175"/>
      <c r="Q702" s="175"/>
      <c r="R702" s="175"/>
      <c r="S702" s="175"/>
      <c r="T702" s="597"/>
      <c r="U702" s="597"/>
      <c r="V702" s="597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</row>
    <row r="703" ht="12.0" customHeight="1">
      <c r="A703" s="175"/>
      <c r="B703" s="175"/>
      <c r="C703" s="597"/>
      <c r="D703" s="597"/>
      <c r="E703" s="597"/>
      <c r="F703" s="597"/>
      <c r="G703" s="597"/>
      <c r="H703" s="597"/>
      <c r="I703" s="175"/>
      <c r="J703" s="175"/>
      <c r="K703" s="597"/>
      <c r="L703" s="597"/>
      <c r="M703" s="175"/>
      <c r="N703" s="175"/>
      <c r="O703" s="805"/>
      <c r="P703" s="175"/>
      <c r="Q703" s="175"/>
      <c r="R703" s="175"/>
      <c r="S703" s="175"/>
      <c r="T703" s="597"/>
      <c r="U703" s="597"/>
      <c r="V703" s="597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</row>
    <row r="704" ht="12.0" customHeight="1">
      <c r="A704" s="175"/>
      <c r="B704" s="175"/>
      <c r="C704" s="597"/>
      <c r="D704" s="597"/>
      <c r="E704" s="597"/>
      <c r="F704" s="597"/>
      <c r="G704" s="597"/>
      <c r="H704" s="597"/>
      <c r="I704" s="175"/>
      <c r="J704" s="175"/>
      <c r="K704" s="597"/>
      <c r="L704" s="597"/>
      <c r="M704" s="175"/>
      <c r="N704" s="175"/>
      <c r="O704" s="805"/>
      <c r="P704" s="175"/>
      <c r="Q704" s="175"/>
      <c r="R704" s="175"/>
      <c r="S704" s="175"/>
      <c r="T704" s="597"/>
      <c r="U704" s="597"/>
      <c r="V704" s="597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</row>
    <row r="705" ht="12.0" customHeight="1">
      <c r="A705" s="175"/>
      <c r="B705" s="175"/>
      <c r="C705" s="597"/>
      <c r="D705" s="597"/>
      <c r="E705" s="597"/>
      <c r="F705" s="597"/>
      <c r="G705" s="597"/>
      <c r="H705" s="597"/>
      <c r="I705" s="175"/>
      <c r="J705" s="175"/>
      <c r="K705" s="597"/>
      <c r="L705" s="597"/>
      <c r="M705" s="175"/>
      <c r="N705" s="175"/>
      <c r="O705" s="805"/>
      <c r="P705" s="175"/>
      <c r="Q705" s="175"/>
      <c r="R705" s="175"/>
      <c r="S705" s="175"/>
      <c r="T705" s="597"/>
      <c r="U705" s="597"/>
      <c r="V705" s="597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</row>
    <row r="706" ht="12.0" customHeight="1">
      <c r="A706" s="175"/>
      <c r="B706" s="175"/>
      <c r="C706" s="597"/>
      <c r="D706" s="597"/>
      <c r="E706" s="597"/>
      <c r="F706" s="597"/>
      <c r="G706" s="597"/>
      <c r="H706" s="597"/>
      <c r="I706" s="175"/>
      <c r="J706" s="175"/>
      <c r="K706" s="597"/>
      <c r="L706" s="597"/>
      <c r="M706" s="175"/>
      <c r="N706" s="175"/>
      <c r="O706" s="805"/>
      <c r="P706" s="175"/>
      <c r="Q706" s="175"/>
      <c r="R706" s="175"/>
      <c r="S706" s="175"/>
      <c r="T706" s="597"/>
      <c r="U706" s="597"/>
      <c r="V706" s="597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</row>
    <row r="707" ht="12.0" customHeight="1">
      <c r="A707" s="175"/>
      <c r="B707" s="175"/>
      <c r="C707" s="597"/>
      <c r="D707" s="597"/>
      <c r="E707" s="597"/>
      <c r="F707" s="597"/>
      <c r="G707" s="597"/>
      <c r="H707" s="597"/>
      <c r="I707" s="175"/>
      <c r="J707" s="175"/>
      <c r="K707" s="597"/>
      <c r="L707" s="597"/>
      <c r="M707" s="175"/>
      <c r="N707" s="175"/>
      <c r="O707" s="805"/>
      <c r="P707" s="175"/>
      <c r="Q707" s="175"/>
      <c r="R707" s="175"/>
      <c r="S707" s="175"/>
      <c r="T707" s="597"/>
      <c r="U707" s="597"/>
      <c r="V707" s="597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</row>
    <row r="708" ht="12.0" customHeight="1">
      <c r="A708" s="175"/>
      <c r="B708" s="175"/>
      <c r="C708" s="597"/>
      <c r="D708" s="597"/>
      <c r="E708" s="597"/>
      <c r="F708" s="597"/>
      <c r="G708" s="597"/>
      <c r="H708" s="597"/>
      <c r="I708" s="175"/>
      <c r="J708" s="175"/>
      <c r="K708" s="597"/>
      <c r="L708" s="597"/>
      <c r="M708" s="175"/>
      <c r="N708" s="175"/>
      <c r="O708" s="805"/>
      <c r="P708" s="175"/>
      <c r="Q708" s="175"/>
      <c r="R708" s="175"/>
      <c r="S708" s="175"/>
      <c r="T708" s="597"/>
      <c r="U708" s="597"/>
      <c r="V708" s="597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</row>
    <row r="709" ht="12.0" customHeight="1">
      <c r="A709" s="175"/>
      <c r="B709" s="175"/>
      <c r="C709" s="597"/>
      <c r="D709" s="597"/>
      <c r="E709" s="597"/>
      <c r="F709" s="597"/>
      <c r="G709" s="597"/>
      <c r="H709" s="597"/>
      <c r="I709" s="175"/>
      <c r="J709" s="175"/>
      <c r="K709" s="597"/>
      <c r="L709" s="597"/>
      <c r="M709" s="175"/>
      <c r="N709" s="175"/>
      <c r="O709" s="805"/>
      <c r="P709" s="175"/>
      <c r="Q709" s="175"/>
      <c r="R709" s="175"/>
      <c r="S709" s="175"/>
      <c r="T709" s="597"/>
      <c r="U709" s="597"/>
      <c r="V709" s="597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</row>
    <row r="710" ht="12.0" customHeight="1">
      <c r="A710" s="175"/>
      <c r="B710" s="175"/>
      <c r="C710" s="597"/>
      <c r="D710" s="597"/>
      <c r="E710" s="597"/>
      <c r="F710" s="597"/>
      <c r="G710" s="597"/>
      <c r="H710" s="597"/>
      <c r="I710" s="175"/>
      <c r="J710" s="175"/>
      <c r="K710" s="597"/>
      <c r="L710" s="597"/>
      <c r="M710" s="175"/>
      <c r="N710" s="175"/>
      <c r="O710" s="805"/>
      <c r="P710" s="175"/>
      <c r="Q710" s="175"/>
      <c r="R710" s="175"/>
      <c r="S710" s="175"/>
      <c r="T710" s="597"/>
      <c r="U710" s="597"/>
      <c r="V710" s="597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</row>
    <row r="711" ht="12.0" customHeight="1">
      <c r="A711" s="175"/>
      <c r="B711" s="175"/>
      <c r="C711" s="597"/>
      <c r="D711" s="597"/>
      <c r="E711" s="597"/>
      <c r="F711" s="597"/>
      <c r="G711" s="597"/>
      <c r="H711" s="597"/>
      <c r="I711" s="175"/>
      <c r="J711" s="175"/>
      <c r="K711" s="597"/>
      <c r="L711" s="597"/>
      <c r="M711" s="175"/>
      <c r="N711" s="175"/>
      <c r="O711" s="805"/>
      <c r="P711" s="175"/>
      <c r="Q711" s="175"/>
      <c r="R711" s="175"/>
      <c r="S711" s="175"/>
      <c r="T711" s="597"/>
      <c r="U711" s="597"/>
      <c r="V711" s="597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</row>
    <row r="712" ht="12.0" customHeight="1">
      <c r="A712" s="175"/>
      <c r="B712" s="175"/>
      <c r="C712" s="597"/>
      <c r="D712" s="597"/>
      <c r="E712" s="597"/>
      <c r="F712" s="597"/>
      <c r="G712" s="597"/>
      <c r="H712" s="597"/>
      <c r="I712" s="175"/>
      <c r="J712" s="175"/>
      <c r="K712" s="597"/>
      <c r="L712" s="597"/>
      <c r="M712" s="175"/>
      <c r="N712" s="175"/>
      <c r="O712" s="805"/>
      <c r="P712" s="175"/>
      <c r="Q712" s="175"/>
      <c r="R712" s="175"/>
      <c r="S712" s="175"/>
      <c r="T712" s="597"/>
      <c r="U712" s="597"/>
      <c r="V712" s="597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</row>
    <row r="713" ht="12.0" customHeight="1">
      <c r="A713" s="175"/>
      <c r="B713" s="175"/>
      <c r="C713" s="597"/>
      <c r="D713" s="597"/>
      <c r="E713" s="597"/>
      <c r="F713" s="597"/>
      <c r="G713" s="597"/>
      <c r="H713" s="597"/>
      <c r="I713" s="175"/>
      <c r="J713" s="175"/>
      <c r="K713" s="597"/>
      <c r="L713" s="597"/>
      <c r="M713" s="175"/>
      <c r="N713" s="175"/>
      <c r="O713" s="805"/>
      <c r="P713" s="175"/>
      <c r="Q713" s="175"/>
      <c r="R713" s="175"/>
      <c r="S713" s="175"/>
      <c r="T713" s="597"/>
      <c r="U713" s="597"/>
      <c r="V713" s="597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</row>
    <row r="714" ht="12.0" customHeight="1">
      <c r="A714" s="175"/>
      <c r="B714" s="175"/>
      <c r="C714" s="597"/>
      <c r="D714" s="597"/>
      <c r="E714" s="597"/>
      <c r="F714" s="597"/>
      <c r="G714" s="597"/>
      <c r="H714" s="597"/>
      <c r="I714" s="175"/>
      <c r="J714" s="175"/>
      <c r="K714" s="597"/>
      <c r="L714" s="597"/>
      <c r="M714" s="175"/>
      <c r="N714" s="175"/>
      <c r="O714" s="805"/>
      <c r="P714" s="175"/>
      <c r="Q714" s="175"/>
      <c r="R714" s="175"/>
      <c r="S714" s="175"/>
      <c r="T714" s="597"/>
      <c r="U714" s="597"/>
      <c r="V714" s="597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</row>
    <row r="715" ht="12.0" customHeight="1">
      <c r="A715" s="175"/>
      <c r="B715" s="175"/>
      <c r="C715" s="597"/>
      <c r="D715" s="597"/>
      <c r="E715" s="597"/>
      <c r="F715" s="597"/>
      <c r="G715" s="597"/>
      <c r="H715" s="597"/>
      <c r="I715" s="175"/>
      <c r="J715" s="175"/>
      <c r="K715" s="597"/>
      <c r="L715" s="597"/>
      <c r="M715" s="175"/>
      <c r="N715" s="175"/>
      <c r="O715" s="805"/>
      <c r="P715" s="175"/>
      <c r="Q715" s="175"/>
      <c r="R715" s="175"/>
      <c r="S715" s="175"/>
      <c r="T715" s="597"/>
      <c r="U715" s="597"/>
      <c r="V715" s="597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</row>
    <row r="716" ht="12.0" customHeight="1">
      <c r="A716" s="175"/>
      <c r="B716" s="175"/>
      <c r="C716" s="597"/>
      <c r="D716" s="597"/>
      <c r="E716" s="597"/>
      <c r="F716" s="597"/>
      <c r="G716" s="597"/>
      <c r="H716" s="597"/>
      <c r="I716" s="175"/>
      <c r="J716" s="175"/>
      <c r="K716" s="597"/>
      <c r="L716" s="597"/>
      <c r="M716" s="175"/>
      <c r="N716" s="175"/>
      <c r="O716" s="805"/>
      <c r="P716" s="175"/>
      <c r="Q716" s="175"/>
      <c r="R716" s="175"/>
      <c r="S716" s="175"/>
      <c r="T716" s="597"/>
      <c r="U716" s="597"/>
      <c r="V716" s="597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</row>
    <row r="717" ht="12.0" customHeight="1">
      <c r="A717" s="175"/>
      <c r="B717" s="175"/>
      <c r="C717" s="597"/>
      <c r="D717" s="597"/>
      <c r="E717" s="597"/>
      <c r="F717" s="597"/>
      <c r="G717" s="597"/>
      <c r="H717" s="597"/>
      <c r="I717" s="175"/>
      <c r="J717" s="175"/>
      <c r="K717" s="597"/>
      <c r="L717" s="597"/>
      <c r="M717" s="175"/>
      <c r="N717" s="175"/>
      <c r="O717" s="805"/>
      <c r="P717" s="175"/>
      <c r="Q717" s="175"/>
      <c r="R717" s="175"/>
      <c r="S717" s="175"/>
      <c r="T717" s="597"/>
      <c r="U717" s="597"/>
      <c r="V717" s="597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</row>
    <row r="718" ht="12.0" customHeight="1">
      <c r="A718" s="175"/>
      <c r="B718" s="175"/>
      <c r="C718" s="597"/>
      <c r="D718" s="597"/>
      <c r="E718" s="597"/>
      <c r="F718" s="597"/>
      <c r="G718" s="597"/>
      <c r="H718" s="597"/>
      <c r="I718" s="175"/>
      <c r="J718" s="175"/>
      <c r="K718" s="597"/>
      <c r="L718" s="597"/>
      <c r="M718" s="175"/>
      <c r="N718" s="175"/>
      <c r="O718" s="805"/>
      <c r="P718" s="175"/>
      <c r="Q718" s="175"/>
      <c r="R718" s="175"/>
      <c r="S718" s="175"/>
      <c r="T718" s="597"/>
      <c r="U718" s="597"/>
      <c r="V718" s="597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</row>
    <row r="719" ht="12.0" customHeight="1">
      <c r="A719" s="175"/>
      <c r="B719" s="175"/>
      <c r="C719" s="597"/>
      <c r="D719" s="597"/>
      <c r="E719" s="597"/>
      <c r="F719" s="597"/>
      <c r="G719" s="597"/>
      <c r="H719" s="597"/>
      <c r="I719" s="175"/>
      <c r="J719" s="175"/>
      <c r="K719" s="597"/>
      <c r="L719" s="597"/>
      <c r="M719" s="175"/>
      <c r="N719" s="175"/>
      <c r="O719" s="805"/>
      <c r="P719" s="175"/>
      <c r="Q719" s="175"/>
      <c r="R719" s="175"/>
      <c r="S719" s="175"/>
      <c r="T719" s="597"/>
      <c r="U719" s="597"/>
      <c r="V719" s="597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</row>
    <row r="720" ht="12.0" customHeight="1">
      <c r="A720" s="175"/>
      <c r="B720" s="175"/>
      <c r="C720" s="597"/>
      <c r="D720" s="597"/>
      <c r="E720" s="597"/>
      <c r="F720" s="597"/>
      <c r="G720" s="597"/>
      <c r="H720" s="597"/>
      <c r="I720" s="175"/>
      <c r="J720" s="175"/>
      <c r="K720" s="597"/>
      <c r="L720" s="597"/>
      <c r="M720" s="175"/>
      <c r="N720" s="175"/>
      <c r="O720" s="805"/>
      <c r="P720" s="175"/>
      <c r="Q720" s="175"/>
      <c r="R720" s="175"/>
      <c r="S720" s="175"/>
      <c r="T720" s="597"/>
      <c r="U720" s="597"/>
      <c r="V720" s="597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</row>
    <row r="721" ht="12.0" customHeight="1">
      <c r="A721" s="175"/>
      <c r="B721" s="175"/>
      <c r="C721" s="597"/>
      <c r="D721" s="597"/>
      <c r="E721" s="597"/>
      <c r="F721" s="597"/>
      <c r="G721" s="597"/>
      <c r="H721" s="597"/>
      <c r="I721" s="175"/>
      <c r="J721" s="175"/>
      <c r="K721" s="597"/>
      <c r="L721" s="597"/>
      <c r="M721" s="175"/>
      <c r="N721" s="175"/>
      <c r="O721" s="805"/>
      <c r="P721" s="175"/>
      <c r="Q721" s="175"/>
      <c r="R721" s="175"/>
      <c r="S721" s="175"/>
      <c r="T721" s="597"/>
      <c r="U721" s="597"/>
      <c r="V721" s="597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</row>
    <row r="722" ht="12.0" customHeight="1">
      <c r="A722" s="175"/>
      <c r="B722" s="175"/>
      <c r="C722" s="597"/>
      <c r="D722" s="597"/>
      <c r="E722" s="597"/>
      <c r="F722" s="597"/>
      <c r="G722" s="597"/>
      <c r="H722" s="597"/>
      <c r="I722" s="175"/>
      <c r="J722" s="175"/>
      <c r="K722" s="597"/>
      <c r="L722" s="597"/>
      <c r="M722" s="175"/>
      <c r="N722" s="175"/>
      <c r="O722" s="805"/>
      <c r="P722" s="175"/>
      <c r="Q722" s="175"/>
      <c r="R722" s="175"/>
      <c r="S722" s="175"/>
      <c r="T722" s="597"/>
      <c r="U722" s="597"/>
      <c r="V722" s="597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</row>
    <row r="723" ht="12.0" customHeight="1">
      <c r="A723" s="175"/>
      <c r="B723" s="175"/>
      <c r="C723" s="597"/>
      <c r="D723" s="597"/>
      <c r="E723" s="597"/>
      <c r="F723" s="597"/>
      <c r="G723" s="597"/>
      <c r="H723" s="597"/>
      <c r="I723" s="175"/>
      <c r="J723" s="175"/>
      <c r="K723" s="597"/>
      <c r="L723" s="597"/>
      <c r="M723" s="175"/>
      <c r="N723" s="175"/>
      <c r="O723" s="805"/>
      <c r="P723" s="175"/>
      <c r="Q723" s="175"/>
      <c r="R723" s="175"/>
      <c r="S723" s="175"/>
      <c r="T723" s="597"/>
      <c r="U723" s="597"/>
      <c r="V723" s="597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</row>
    <row r="724" ht="12.0" customHeight="1">
      <c r="A724" s="175"/>
      <c r="B724" s="175"/>
      <c r="C724" s="597"/>
      <c r="D724" s="597"/>
      <c r="E724" s="597"/>
      <c r="F724" s="597"/>
      <c r="G724" s="597"/>
      <c r="H724" s="597"/>
      <c r="I724" s="175"/>
      <c r="J724" s="175"/>
      <c r="K724" s="597"/>
      <c r="L724" s="597"/>
      <c r="M724" s="175"/>
      <c r="N724" s="175"/>
      <c r="O724" s="805"/>
      <c r="P724" s="175"/>
      <c r="Q724" s="175"/>
      <c r="R724" s="175"/>
      <c r="S724" s="175"/>
      <c r="T724" s="597"/>
      <c r="U724" s="597"/>
      <c r="V724" s="597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</row>
    <row r="725" ht="12.0" customHeight="1">
      <c r="A725" s="175"/>
      <c r="B725" s="175"/>
      <c r="C725" s="597"/>
      <c r="D725" s="597"/>
      <c r="E725" s="597"/>
      <c r="F725" s="597"/>
      <c r="G725" s="597"/>
      <c r="H725" s="597"/>
      <c r="I725" s="175"/>
      <c r="J725" s="175"/>
      <c r="K725" s="597"/>
      <c r="L725" s="597"/>
      <c r="M725" s="175"/>
      <c r="N725" s="175"/>
      <c r="O725" s="805"/>
      <c r="P725" s="175"/>
      <c r="Q725" s="175"/>
      <c r="R725" s="175"/>
      <c r="S725" s="175"/>
      <c r="T725" s="597"/>
      <c r="U725" s="597"/>
      <c r="V725" s="597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</row>
    <row r="726" ht="12.0" customHeight="1">
      <c r="A726" s="175"/>
      <c r="B726" s="175"/>
      <c r="C726" s="597"/>
      <c r="D726" s="597"/>
      <c r="E726" s="597"/>
      <c r="F726" s="597"/>
      <c r="G726" s="597"/>
      <c r="H726" s="597"/>
      <c r="I726" s="175"/>
      <c r="J726" s="175"/>
      <c r="K726" s="597"/>
      <c r="L726" s="597"/>
      <c r="M726" s="175"/>
      <c r="N726" s="175"/>
      <c r="O726" s="805"/>
      <c r="P726" s="175"/>
      <c r="Q726" s="175"/>
      <c r="R726" s="175"/>
      <c r="S726" s="175"/>
      <c r="T726" s="597"/>
      <c r="U726" s="597"/>
      <c r="V726" s="597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</row>
    <row r="727" ht="12.0" customHeight="1">
      <c r="A727" s="175"/>
      <c r="B727" s="175"/>
      <c r="C727" s="597"/>
      <c r="D727" s="597"/>
      <c r="E727" s="597"/>
      <c r="F727" s="597"/>
      <c r="G727" s="597"/>
      <c r="H727" s="597"/>
      <c r="I727" s="175"/>
      <c r="J727" s="175"/>
      <c r="K727" s="597"/>
      <c r="L727" s="597"/>
      <c r="M727" s="175"/>
      <c r="N727" s="175"/>
      <c r="O727" s="805"/>
      <c r="P727" s="175"/>
      <c r="Q727" s="175"/>
      <c r="R727" s="175"/>
      <c r="S727" s="175"/>
      <c r="T727" s="597"/>
      <c r="U727" s="597"/>
      <c r="V727" s="597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</row>
    <row r="728" ht="12.0" customHeight="1">
      <c r="A728" s="175"/>
      <c r="B728" s="175"/>
      <c r="C728" s="597"/>
      <c r="D728" s="597"/>
      <c r="E728" s="597"/>
      <c r="F728" s="597"/>
      <c r="G728" s="597"/>
      <c r="H728" s="597"/>
      <c r="I728" s="175"/>
      <c r="J728" s="175"/>
      <c r="K728" s="597"/>
      <c r="L728" s="597"/>
      <c r="M728" s="175"/>
      <c r="N728" s="175"/>
      <c r="O728" s="805"/>
      <c r="P728" s="175"/>
      <c r="Q728" s="175"/>
      <c r="R728" s="175"/>
      <c r="S728" s="175"/>
      <c r="T728" s="597"/>
      <c r="U728" s="597"/>
      <c r="V728" s="597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</row>
    <row r="729" ht="12.0" customHeight="1">
      <c r="A729" s="175"/>
      <c r="B729" s="175"/>
      <c r="C729" s="597"/>
      <c r="D729" s="597"/>
      <c r="E729" s="597"/>
      <c r="F729" s="597"/>
      <c r="G729" s="597"/>
      <c r="H729" s="597"/>
      <c r="I729" s="175"/>
      <c r="J729" s="175"/>
      <c r="K729" s="597"/>
      <c r="L729" s="597"/>
      <c r="M729" s="175"/>
      <c r="N729" s="175"/>
      <c r="O729" s="805"/>
      <c r="P729" s="175"/>
      <c r="Q729" s="175"/>
      <c r="R729" s="175"/>
      <c r="S729" s="175"/>
      <c r="T729" s="597"/>
      <c r="U729" s="597"/>
      <c r="V729" s="597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</row>
    <row r="730" ht="12.0" customHeight="1">
      <c r="A730" s="175"/>
      <c r="B730" s="175"/>
      <c r="C730" s="597"/>
      <c r="D730" s="597"/>
      <c r="E730" s="597"/>
      <c r="F730" s="597"/>
      <c r="G730" s="597"/>
      <c r="H730" s="597"/>
      <c r="I730" s="175"/>
      <c r="J730" s="175"/>
      <c r="K730" s="597"/>
      <c r="L730" s="597"/>
      <c r="M730" s="175"/>
      <c r="N730" s="175"/>
      <c r="O730" s="805"/>
      <c r="P730" s="175"/>
      <c r="Q730" s="175"/>
      <c r="R730" s="175"/>
      <c r="S730" s="175"/>
      <c r="T730" s="597"/>
      <c r="U730" s="597"/>
      <c r="V730" s="597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</row>
    <row r="731" ht="12.0" customHeight="1">
      <c r="A731" s="175"/>
      <c r="B731" s="175"/>
      <c r="C731" s="597"/>
      <c r="D731" s="597"/>
      <c r="E731" s="597"/>
      <c r="F731" s="597"/>
      <c r="G731" s="597"/>
      <c r="H731" s="597"/>
      <c r="I731" s="175"/>
      <c r="J731" s="175"/>
      <c r="K731" s="597"/>
      <c r="L731" s="597"/>
      <c r="M731" s="175"/>
      <c r="N731" s="175"/>
      <c r="O731" s="805"/>
      <c r="P731" s="175"/>
      <c r="Q731" s="175"/>
      <c r="R731" s="175"/>
      <c r="S731" s="175"/>
      <c r="T731" s="597"/>
      <c r="U731" s="597"/>
      <c r="V731" s="597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</row>
    <row r="732" ht="12.0" customHeight="1">
      <c r="A732" s="175"/>
      <c r="B732" s="175"/>
      <c r="C732" s="597"/>
      <c r="D732" s="597"/>
      <c r="E732" s="597"/>
      <c r="F732" s="597"/>
      <c r="G732" s="597"/>
      <c r="H732" s="597"/>
      <c r="I732" s="175"/>
      <c r="J732" s="175"/>
      <c r="K732" s="597"/>
      <c r="L732" s="597"/>
      <c r="M732" s="175"/>
      <c r="N732" s="175"/>
      <c r="O732" s="805"/>
      <c r="P732" s="175"/>
      <c r="Q732" s="175"/>
      <c r="R732" s="175"/>
      <c r="S732" s="175"/>
      <c r="T732" s="597"/>
      <c r="U732" s="597"/>
      <c r="V732" s="597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</row>
    <row r="733" ht="12.0" customHeight="1">
      <c r="A733" s="175"/>
      <c r="B733" s="175"/>
      <c r="C733" s="597"/>
      <c r="D733" s="597"/>
      <c r="E733" s="597"/>
      <c r="F733" s="597"/>
      <c r="G733" s="597"/>
      <c r="H733" s="597"/>
      <c r="I733" s="175"/>
      <c r="J733" s="175"/>
      <c r="K733" s="597"/>
      <c r="L733" s="597"/>
      <c r="M733" s="175"/>
      <c r="N733" s="175"/>
      <c r="O733" s="805"/>
      <c r="P733" s="175"/>
      <c r="Q733" s="175"/>
      <c r="R733" s="175"/>
      <c r="S733" s="175"/>
      <c r="T733" s="597"/>
      <c r="U733" s="597"/>
      <c r="V733" s="597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</row>
    <row r="734" ht="12.0" customHeight="1">
      <c r="A734" s="175"/>
      <c r="B734" s="175"/>
      <c r="C734" s="597"/>
      <c r="D734" s="597"/>
      <c r="E734" s="597"/>
      <c r="F734" s="597"/>
      <c r="G734" s="597"/>
      <c r="H734" s="597"/>
      <c r="I734" s="175"/>
      <c r="J734" s="175"/>
      <c r="K734" s="597"/>
      <c r="L734" s="597"/>
      <c r="M734" s="175"/>
      <c r="N734" s="175"/>
      <c r="O734" s="805"/>
      <c r="P734" s="175"/>
      <c r="Q734" s="175"/>
      <c r="R734" s="175"/>
      <c r="S734" s="175"/>
      <c r="T734" s="597"/>
      <c r="U734" s="597"/>
      <c r="V734" s="597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</row>
    <row r="735" ht="12.0" customHeight="1">
      <c r="A735" s="175"/>
      <c r="B735" s="175"/>
      <c r="C735" s="597"/>
      <c r="D735" s="597"/>
      <c r="E735" s="597"/>
      <c r="F735" s="597"/>
      <c r="G735" s="597"/>
      <c r="H735" s="597"/>
      <c r="I735" s="175"/>
      <c r="J735" s="175"/>
      <c r="K735" s="597"/>
      <c r="L735" s="597"/>
      <c r="M735" s="175"/>
      <c r="N735" s="175"/>
      <c r="O735" s="805"/>
      <c r="P735" s="175"/>
      <c r="Q735" s="175"/>
      <c r="R735" s="175"/>
      <c r="S735" s="175"/>
      <c r="T735" s="597"/>
      <c r="U735" s="597"/>
      <c r="V735" s="597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</row>
    <row r="736" ht="12.0" customHeight="1">
      <c r="A736" s="175"/>
      <c r="B736" s="175"/>
      <c r="C736" s="597"/>
      <c r="D736" s="597"/>
      <c r="E736" s="597"/>
      <c r="F736" s="597"/>
      <c r="G736" s="597"/>
      <c r="H736" s="597"/>
      <c r="I736" s="175"/>
      <c r="J736" s="175"/>
      <c r="K736" s="597"/>
      <c r="L736" s="597"/>
      <c r="M736" s="175"/>
      <c r="N736" s="175"/>
      <c r="O736" s="805"/>
      <c r="P736" s="175"/>
      <c r="Q736" s="175"/>
      <c r="R736" s="175"/>
      <c r="S736" s="175"/>
      <c r="T736" s="597"/>
      <c r="U736" s="597"/>
      <c r="V736" s="597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</row>
    <row r="737" ht="12.0" customHeight="1">
      <c r="A737" s="175"/>
      <c r="B737" s="175"/>
      <c r="C737" s="597"/>
      <c r="D737" s="597"/>
      <c r="E737" s="597"/>
      <c r="F737" s="597"/>
      <c r="G737" s="597"/>
      <c r="H737" s="597"/>
      <c r="I737" s="175"/>
      <c r="J737" s="175"/>
      <c r="K737" s="597"/>
      <c r="L737" s="597"/>
      <c r="M737" s="175"/>
      <c r="N737" s="175"/>
      <c r="O737" s="805"/>
      <c r="P737" s="175"/>
      <c r="Q737" s="175"/>
      <c r="R737" s="175"/>
      <c r="S737" s="175"/>
      <c r="T737" s="597"/>
      <c r="U737" s="597"/>
      <c r="V737" s="597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</row>
    <row r="738" ht="12.0" customHeight="1">
      <c r="A738" s="175"/>
      <c r="B738" s="175"/>
      <c r="C738" s="597"/>
      <c r="D738" s="597"/>
      <c r="E738" s="597"/>
      <c r="F738" s="597"/>
      <c r="G738" s="597"/>
      <c r="H738" s="597"/>
      <c r="I738" s="175"/>
      <c r="J738" s="175"/>
      <c r="K738" s="597"/>
      <c r="L738" s="597"/>
      <c r="M738" s="175"/>
      <c r="N738" s="175"/>
      <c r="O738" s="805"/>
      <c r="P738" s="175"/>
      <c r="Q738" s="175"/>
      <c r="R738" s="175"/>
      <c r="S738" s="175"/>
      <c r="T738" s="597"/>
      <c r="U738" s="597"/>
      <c r="V738" s="597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</row>
    <row r="739" ht="12.0" customHeight="1">
      <c r="A739" s="175"/>
      <c r="B739" s="175"/>
      <c r="C739" s="597"/>
      <c r="D739" s="597"/>
      <c r="E739" s="597"/>
      <c r="F739" s="597"/>
      <c r="G739" s="597"/>
      <c r="H739" s="597"/>
      <c r="I739" s="175"/>
      <c r="J739" s="175"/>
      <c r="K739" s="597"/>
      <c r="L739" s="597"/>
      <c r="M739" s="175"/>
      <c r="N739" s="175"/>
      <c r="O739" s="805"/>
      <c r="P739" s="175"/>
      <c r="Q739" s="175"/>
      <c r="R739" s="175"/>
      <c r="S739" s="175"/>
      <c r="T739" s="597"/>
      <c r="U739" s="597"/>
      <c r="V739" s="597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</row>
    <row r="740" ht="12.0" customHeight="1">
      <c r="A740" s="175"/>
      <c r="B740" s="175"/>
      <c r="C740" s="597"/>
      <c r="D740" s="597"/>
      <c r="E740" s="597"/>
      <c r="F740" s="597"/>
      <c r="G740" s="597"/>
      <c r="H740" s="597"/>
      <c r="I740" s="175"/>
      <c r="J740" s="175"/>
      <c r="K740" s="597"/>
      <c r="L740" s="597"/>
      <c r="M740" s="175"/>
      <c r="N740" s="175"/>
      <c r="O740" s="805"/>
      <c r="P740" s="175"/>
      <c r="Q740" s="175"/>
      <c r="R740" s="175"/>
      <c r="S740" s="175"/>
      <c r="T740" s="597"/>
      <c r="U740" s="597"/>
      <c r="V740" s="597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</row>
    <row r="741" ht="12.0" customHeight="1">
      <c r="A741" s="175"/>
      <c r="B741" s="175"/>
      <c r="C741" s="597"/>
      <c r="D741" s="597"/>
      <c r="E741" s="597"/>
      <c r="F741" s="597"/>
      <c r="G741" s="597"/>
      <c r="H741" s="597"/>
      <c r="I741" s="175"/>
      <c r="J741" s="175"/>
      <c r="K741" s="597"/>
      <c r="L741" s="597"/>
      <c r="M741" s="175"/>
      <c r="N741" s="175"/>
      <c r="O741" s="805"/>
      <c r="P741" s="175"/>
      <c r="Q741" s="175"/>
      <c r="R741" s="175"/>
      <c r="S741" s="175"/>
      <c r="T741" s="597"/>
      <c r="U741" s="597"/>
      <c r="V741" s="597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</row>
    <row r="742" ht="12.0" customHeight="1">
      <c r="A742" s="175"/>
      <c r="B742" s="175"/>
      <c r="C742" s="597"/>
      <c r="D742" s="597"/>
      <c r="E742" s="597"/>
      <c r="F742" s="597"/>
      <c r="G742" s="597"/>
      <c r="H742" s="597"/>
      <c r="I742" s="175"/>
      <c r="J742" s="175"/>
      <c r="K742" s="597"/>
      <c r="L742" s="597"/>
      <c r="M742" s="175"/>
      <c r="N742" s="175"/>
      <c r="O742" s="805"/>
      <c r="P742" s="175"/>
      <c r="Q742" s="175"/>
      <c r="R742" s="175"/>
      <c r="S742" s="175"/>
      <c r="T742" s="597"/>
      <c r="U742" s="597"/>
      <c r="V742" s="597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</row>
    <row r="743" ht="12.0" customHeight="1">
      <c r="A743" s="175"/>
      <c r="B743" s="175"/>
      <c r="C743" s="597"/>
      <c r="D743" s="597"/>
      <c r="E743" s="597"/>
      <c r="F743" s="597"/>
      <c r="G743" s="597"/>
      <c r="H743" s="597"/>
      <c r="I743" s="175"/>
      <c r="J743" s="175"/>
      <c r="K743" s="597"/>
      <c r="L743" s="597"/>
      <c r="M743" s="175"/>
      <c r="N743" s="175"/>
      <c r="O743" s="805"/>
      <c r="P743" s="175"/>
      <c r="Q743" s="175"/>
      <c r="R743" s="175"/>
      <c r="S743" s="175"/>
      <c r="T743" s="597"/>
      <c r="U743" s="597"/>
      <c r="V743" s="597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</row>
    <row r="744" ht="12.0" customHeight="1">
      <c r="A744" s="175"/>
      <c r="B744" s="175"/>
      <c r="C744" s="597"/>
      <c r="D744" s="597"/>
      <c r="E744" s="597"/>
      <c r="F744" s="597"/>
      <c r="G744" s="597"/>
      <c r="H744" s="597"/>
      <c r="I744" s="175"/>
      <c r="J744" s="175"/>
      <c r="K744" s="597"/>
      <c r="L744" s="597"/>
      <c r="M744" s="175"/>
      <c r="N744" s="175"/>
      <c r="O744" s="805"/>
      <c r="P744" s="175"/>
      <c r="Q744" s="175"/>
      <c r="R744" s="175"/>
      <c r="S744" s="175"/>
      <c r="T744" s="597"/>
      <c r="U744" s="597"/>
      <c r="V744" s="597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</row>
    <row r="745" ht="12.0" customHeight="1">
      <c r="A745" s="175"/>
      <c r="B745" s="175"/>
      <c r="C745" s="597"/>
      <c r="D745" s="597"/>
      <c r="E745" s="597"/>
      <c r="F745" s="597"/>
      <c r="G745" s="597"/>
      <c r="H745" s="597"/>
      <c r="I745" s="175"/>
      <c r="J745" s="175"/>
      <c r="K745" s="597"/>
      <c r="L745" s="597"/>
      <c r="M745" s="175"/>
      <c r="N745" s="175"/>
      <c r="O745" s="805"/>
      <c r="P745" s="175"/>
      <c r="Q745" s="175"/>
      <c r="R745" s="175"/>
      <c r="S745" s="175"/>
      <c r="T745" s="597"/>
      <c r="U745" s="597"/>
      <c r="V745" s="597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</row>
    <row r="746" ht="12.0" customHeight="1">
      <c r="A746" s="175"/>
      <c r="B746" s="175"/>
      <c r="C746" s="597"/>
      <c r="D746" s="597"/>
      <c r="E746" s="597"/>
      <c r="F746" s="597"/>
      <c r="G746" s="597"/>
      <c r="H746" s="597"/>
      <c r="I746" s="175"/>
      <c r="J746" s="175"/>
      <c r="K746" s="597"/>
      <c r="L746" s="597"/>
      <c r="M746" s="175"/>
      <c r="N746" s="175"/>
      <c r="O746" s="805"/>
      <c r="P746" s="175"/>
      <c r="Q746" s="175"/>
      <c r="R746" s="175"/>
      <c r="S746" s="175"/>
      <c r="T746" s="597"/>
      <c r="U746" s="597"/>
      <c r="V746" s="597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</row>
    <row r="747" ht="12.0" customHeight="1">
      <c r="A747" s="175"/>
      <c r="B747" s="175"/>
      <c r="C747" s="597"/>
      <c r="D747" s="597"/>
      <c r="E747" s="597"/>
      <c r="F747" s="597"/>
      <c r="G747" s="597"/>
      <c r="H747" s="597"/>
      <c r="I747" s="175"/>
      <c r="J747" s="175"/>
      <c r="K747" s="597"/>
      <c r="L747" s="597"/>
      <c r="M747" s="175"/>
      <c r="N747" s="175"/>
      <c r="O747" s="805"/>
      <c r="P747" s="175"/>
      <c r="Q747" s="175"/>
      <c r="R747" s="175"/>
      <c r="S747" s="175"/>
      <c r="T747" s="597"/>
      <c r="U747" s="597"/>
      <c r="V747" s="597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</row>
    <row r="748" ht="12.0" customHeight="1">
      <c r="A748" s="175"/>
      <c r="B748" s="175"/>
      <c r="C748" s="597"/>
      <c r="D748" s="597"/>
      <c r="E748" s="597"/>
      <c r="F748" s="597"/>
      <c r="G748" s="597"/>
      <c r="H748" s="597"/>
      <c r="I748" s="175"/>
      <c r="J748" s="175"/>
      <c r="K748" s="597"/>
      <c r="L748" s="597"/>
      <c r="M748" s="175"/>
      <c r="N748" s="175"/>
      <c r="O748" s="805"/>
      <c r="P748" s="175"/>
      <c r="Q748" s="175"/>
      <c r="R748" s="175"/>
      <c r="S748" s="175"/>
      <c r="T748" s="597"/>
      <c r="U748" s="597"/>
      <c r="V748" s="597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</row>
    <row r="749" ht="12.0" customHeight="1">
      <c r="A749" s="175"/>
      <c r="B749" s="175"/>
      <c r="C749" s="597"/>
      <c r="D749" s="597"/>
      <c r="E749" s="597"/>
      <c r="F749" s="597"/>
      <c r="G749" s="597"/>
      <c r="H749" s="597"/>
      <c r="I749" s="175"/>
      <c r="J749" s="175"/>
      <c r="K749" s="597"/>
      <c r="L749" s="597"/>
      <c r="M749" s="175"/>
      <c r="N749" s="175"/>
      <c r="O749" s="805"/>
      <c r="P749" s="175"/>
      <c r="Q749" s="175"/>
      <c r="R749" s="175"/>
      <c r="S749" s="175"/>
      <c r="T749" s="597"/>
      <c r="U749" s="597"/>
      <c r="V749" s="597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</row>
    <row r="750" ht="12.0" customHeight="1">
      <c r="A750" s="175"/>
      <c r="B750" s="175"/>
      <c r="C750" s="597"/>
      <c r="D750" s="597"/>
      <c r="E750" s="597"/>
      <c r="F750" s="597"/>
      <c r="G750" s="597"/>
      <c r="H750" s="597"/>
      <c r="I750" s="175"/>
      <c r="J750" s="175"/>
      <c r="K750" s="597"/>
      <c r="L750" s="597"/>
      <c r="M750" s="175"/>
      <c r="N750" s="175"/>
      <c r="O750" s="805"/>
      <c r="P750" s="175"/>
      <c r="Q750" s="175"/>
      <c r="R750" s="175"/>
      <c r="S750" s="175"/>
      <c r="T750" s="597"/>
      <c r="U750" s="597"/>
      <c r="V750" s="597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</row>
    <row r="751" ht="12.0" customHeight="1">
      <c r="A751" s="175"/>
      <c r="B751" s="175"/>
      <c r="C751" s="597"/>
      <c r="D751" s="597"/>
      <c r="E751" s="597"/>
      <c r="F751" s="597"/>
      <c r="G751" s="597"/>
      <c r="H751" s="597"/>
      <c r="I751" s="175"/>
      <c r="J751" s="175"/>
      <c r="K751" s="597"/>
      <c r="L751" s="597"/>
      <c r="M751" s="175"/>
      <c r="N751" s="175"/>
      <c r="O751" s="805"/>
      <c r="P751" s="175"/>
      <c r="Q751" s="175"/>
      <c r="R751" s="175"/>
      <c r="S751" s="175"/>
      <c r="T751" s="597"/>
      <c r="U751" s="597"/>
      <c r="V751" s="597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</row>
    <row r="752" ht="12.0" customHeight="1">
      <c r="A752" s="175"/>
      <c r="B752" s="175"/>
      <c r="C752" s="597"/>
      <c r="D752" s="597"/>
      <c r="E752" s="597"/>
      <c r="F752" s="597"/>
      <c r="G752" s="597"/>
      <c r="H752" s="597"/>
      <c r="I752" s="175"/>
      <c r="J752" s="175"/>
      <c r="K752" s="597"/>
      <c r="L752" s="597"/>
      <c r="M752" s="175"/>
      <c r="N752" s="175"/>
      <c r="O752" s="805"/>
      <c r="P752" s="175"/>
      <c r="Q752" s="175"/>
      <c r="R752" s="175"/>
      <c r="S752" s="175"/>
      <c r="T752" s="597"/>
      <c r="U752" s="597"/>
      <c r="V752" s="597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</row>
    <row r="753" ht="12.0" customHeight="1">
      <c r="A753" s="175"/>
      <c r="B753" s="175"/>
      <c r="C753" s="597"/>
      <c r="D753" s="597"/>
      <c r="E753" s="597"/>
      <c r="F753" s="597"/>
      <c r="G753" s="597"/>
      <c r="H753" s="597"/>
      <c r="I753" s="175"/>
      <c r="J753" s="175"/>
      <c r="K753" s="597"/>
      <c r="L753" s="597"/>
      <c r="M753" s="175"/>
      <c r="N753" s="175"/>
      <c r="O753" s="805"/>
      <c r="P753" s="175"/>
      <c r="Q753" s="175"/>
      <c r="R753" s="175"/>
      <c r="S753" s="175"/>
      <c r="T753" s="597"/>
      <c r="U753" s="597"/>
      <c r="V753" s="597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</row>
    <row r="754" ht="12.0" customHeight="1">
      <c r="A754" s="175"/>
      <c r="B754" s="175"/>
      <c r="C754" s="597"/>
      <c r="D754" s="597"/>
      <c r="E754" s="597"/>
      <c r="F754" s="597"/>
      <c r="G754" s="597"/>
      <c r="H754" s="597"/>
      <c r="I754" s="175"/>
      <c r="J754" s="175"/>
      <c r="K754" s="597"/>
      <c r="L754" s="597"/>
      <c r="M754" s="175"/>
      <c r="N754" s="175"/>
      <c r="O754" s="805"/>
      <c r="P754" s="175"/>
      <c r="Q754" s="175"/>
      <c r="R754" s="175"/>
      <c r="S754" s="175"/>
      <c r="T754" s="597"/>
      <c r="U754" s="597"/>
      <c r="V754" s="597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</row>
    <row r="755" ht="12.0" customHeight="1">
      <c r="A755" s="175"/>
      <c r="B755" s="175"/>
      <c r="C755" s="597"/>
      <c r="D755" s="597"/>
      <c r="E755" s="597"/>
      <c r="F755" s="597"/>
      <c r="G755" s="597"/>
      <c r="H755" s="597"/>
      <c r="I755" s="175"/>
      <c r="J755" s="175"/>
      <c r="K755" s="597"/>
      <c r="L755" s="597"/>
      <c r="M755" s="175"/>
      <c r="N755" s="175"/>
      <c r="O755" s="805"/>
      <c r="P755" s="175"/>
      <c r="Q755" s="175"/>
      <c r="R755" s="175"/>
      <c r="S755" s="175"/>
      <c r="T755" s="597"/>
      <c r="U755" s="597"/>
      <c r="V755" s="597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</row>
    <row r="756" ht="12.0" customHeight="1">
      <c r="A756" s="175"/>
      <c r="B756" s="175"/>
      <c r="C756" s="597"/>
      <c r="D756" s="597"/>
      <c r="E756" s="597"/>
      <c r="F756" s="597"/>
      <c r="G756" s="597"/>
      <c r="H756" s="597"/>
      <c r="I756" s="175"/>
      <c r="J756" s="175"/>
      <c r="K756" s="597"/>
      <c r="L756" s="597"/>
      <c r="M756" s="175"/>
      <c r="N756" s="175"/>
      <c r="O756" s="805"/>
      <c r="P756" s="175"/>
      <c r="Q756" s="175"/>
      <c r="R756" s="175"/>
      <c r="S756" s="175"/>
      <c r="T756" s="597"/>
      <c r="U756" s="597"/>
      <c r="V756" s="597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</row>
    <row r="757" ht="12.0" customHeight="1">
      <c r="A757" s="175"/>
      <c r="B757" s="175"/>
      <c r="C757" s="597"/>
      <c r="D757" s="597"/>
      <c r="E757" s="597"/>
      <c r="F757" s="597"/>
      <c r="G757" s="597"/>
      <c r="H757" s="597"/>
      <c r="I757" s="175"/>
      <c r="J757" s="175"/>
      <c r="K757" s="597"/>
      <c r="L757" s="597"/>
      <c r="M757" s="175"/>
      <c r="N757" s="175"/>
      <c r="O757" s="805"/>
      <c r="P757" s="175"/>
      <c r="Q757" s="175"/>
      <c r="R757" s="175"/>
      <c r="S757" s="175"/>
      <c r="T757" s="597"/>
      <c r="U757" s="597"/>
      <c r="V757" s="597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</row>
    <row r="758" ht="12.0" customHeight="1">
      <c r="A758" s="175"/>
      <c r="B758" s="175"/>
      <c r="C758" s="597"/>
      <c r="D758" s="597"/>
      <c r="E758" s="597"/>
      <c r="F758" s="597"/>
      <c r="G758" s="597"/>
      <c r="H758" s="597"/>
      <c r="I758" s="175"/>
      <c r="J758" s="175"/>
      <c r="K758" s="597"/>
      <c r="L758" s="597"/>
      <c r="M758" s="175"/>
      <c r="N758" s="175"/>
      <c r="O758" s="805"/>
      <c r="P758" s="175"/>
      <c r="Q758" s="175"/>
      <c r="R758" s="175"/>
      <c r="S758" s="175"/>
      <c r="T758" s="597"/>
      <c r="U758" s="597"/>
      <c r="V758" s="597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</row>
    <row r="759" ht="12.0" customHeight="1">
      <c r="A759" s="175"/>
      <c r="B759" s="175"/>
      <c r="C759" s="597"/>
      <c r="D759" s="597"/>
      <c r="E759" s="597"/>
      <c r="F759" s="597"/>
      <c r="G759" s="597"/>
      <c r="H759" s="597"/>
      <c r="I759" s="175"/>
      <c r="J759" s="175"/>
      <c r="K759" s="597"/>
      <c r="L759" s="597"/>
      <c r="M759" s="175"/>
      <c r="N759" s="175"/>
      <c r="O759" s="805"/>
      <c r="P759" s="175"/>
      <c r="Q759" s="175"/>
      <c r="R759" s="175"/>
      <c r="S759" s="175"/>
      <c r="T759" s="597"/>
      <c r="U759" s="597"/>
      <c r="V759" s="597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</row>
    <row r="760" ht="12.0" customHeight="1">
      <c r="A760" s="175"/>
      <c r="B760" s="175"/>
      <c r="C760" s="597"/>
      <c r="D760" s="597"/>
      <c r="E760" s="597"/>
      <c r="F760" s="597"/>
      <c r="G760" s="597"/>
      <c r="H760" s="597"/>
      <c r="I760" s="175"/>
      <c r="J760" s="175"/>
      <c r="K760" s="597"/>
      <c r="L760" s="597"/>
      <c r="M760" s="175"/>
      <c r="N760" s="175"/>
      <c r="O760" s="805"/>
      <c r="P760" s="175"/>
      <c r="Q760" s="175"/>
      <c r="R760" s="175"/>
      <c r="S760" s="175"/>
      <c r="T760" s="597"/>
      <c r="U760" s="597"/>
      <c r="V760" s="597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</row>
    <row r="761" ht="12.0" customHeight="1">
      <c r="A761" s="175"/>
      <c r="B761" s="175"/>
      <c r="C761" s="597"/>
      <c r="D761" s="597"/>
      <c r="E761" s="597"/>
      <c r="F761" s="597"/>
      <c r="G761" s="597"/>
      <c r="H761" s="597"/>
      <c r="I761" s="175"/>
      <c r="J761" s="175"/>
      <c r="K761" s="597"/>
      <c r="L761" s="597"/>
      <c r="M761" s="175"/>
      <c r="N761" s="175"/>
      <c r="O761" s="805"/>
      <c r="P761" s="175"/>
      <c r="Q761" s="175"/>
      <c r="R761" s="175"/>
      <c r="S761" s="175"/>
      <c r="T761" s="597"/>
      <c r="U761" s="597"/>
      <c r="V761" s="597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</row>
    <row r="762" ht="12.0" customHeight="1">
      <c r="A762" s="175"/>
      <c r="B762" s="175"/>
      <c r="C762" s="597"/>
      <c r="D762" s="597"/>
      <c r="E762" s="597"/>
      <c r="F762" s="597"/>
      <c r="G762" s="597"/>
      <c r="H762" s="597"/>
      <c r="I762" s="175"/>
      <c r="J762" s="175"/>
      <c r="K762" s="597"/>
      <c r="L762" s="597"/>
      <c r="M762" s="175"/>
      <c r="N762" s="175"/>
      <c r="O762" s="805"/>
      <c r="P762" s="175"/>
      <c r="Q762" s="175"/>
      <c r="R762" s="175"/>
      <c r="S762" s="175"/>
      <c r="T762" s="597"/>
      <c r="U762" s="597"/>
      <c r="V762" s="597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</row>
    <row r="763" ht="12.0" customHeight="1">
      <c r="A763" s="175"/>
      <c r="B763" s="175"/>
      <c r="C763" s="597"/>
      <c r="D763" s="597"/>
      <c r="E763" s="597"/>
      <c r="F763" s="597"/>
      <c r="G763" s="597"/>
      <c r="H763" s="597"/>
      <c r="I763" s="175"/>
      <c r="J763" s="175"/>
      <c r="K763" s="597"/>
      <c r="L763" s="597"/>
      <c r="M763" s="175"/>
      <c r="N763" s="175"/>
      <c r="O763" s="805"/>
      <c r="P763" s="175"/>
      <c r="Q763" s="175"/>
      <c r="R763" s="175"/>
      <c r="S763" s="175"/>
      <c r="T763" s="597"/>
      <c r="U763" s="597"/>
      <c r="V763" s="597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</row>
    <row r="764" ht="12.0" customHeight="1">
      <c r="A764" s="175"/>
      <c r="B764" s="175"/>
      <c r="C764" s="597"/>
      <c r="D764" s="597"/>
      <c r="E764" s="597"/>
      <c r="F764" s="597"/>
      <c r="G764" s="597"/>
      <c r="H764" s="597"/>
      <c r="I764" s="175"/>
      <c r="J764" s="175"/>
      <c r="K764" s="597"/>
      <c r="L764" s="597"/>
      <c r="M764" s="175"/>
      <c r="N764" s="175"/>
      <c r="O764" s="805"/>
      <c r="P764" s="175"/>
      <c r="Q764" s="175"/>
      <c r="R764" s="175"/>
      <c r="S764" s="175"/>
      <c r="T764" s="597"/>
      <c r="U764" s="597"/>
      <c r="V764" s="597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</row>
    <row r="765" ht="12.0" customHeight="1">
      <c r="A765" s="175"/>
      <c r="B765" s="175"/>
      <c r="C765" s="597"/>
      <c r="D765" s="597"/>
      <c r="E765" s="597"/>
      <c r="F765" s="597"/>
      <c r="G765" s="597"/>
      <c r="H765" s="597"/>
      <c r="I765" s="175"/>
      <c r="J765" s="175"/>
      <c r="K765" s="597"/>
      <c r="L765" s="597"/>
      <c r="M765" s="175"/>
      <c r="N765" s="175"/>
      <c r="O765" s="805"/>
      <c r="P765" s="175"/>
      <c r="Q765" s="175"/>
      <c r="R765" s="175"/>
      <c r="S765" s="175"/>
      <c r="T765" s="597"/>
      <c r="U765" s="597"/>
      <c r="V765" s="597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</row>
    <row r="766" ht="12.0" customHeight="1">
      <c r="A766" s="175"/>
      <c r="B766" s="175"/>
      <c r="C766" s="597"/>
      <c r="D766" s="597"/>
      <c r="E766" s="597"/>
      <c r="F766" s="597"/>
      <c r="G766" s="597"/>
      <c r="H766" s="597"/>
      <c r="I766" s="175"/>
      <c r="J766" s="175"/>
      <c r="K766" s="597"/>
      <c r="L766" s="597"/>
      <c r="M766" s="175"/>
      <c r="N766" s="175"/>
      <c r="O766" s="805"/>
      <c r="P766" s="175"/>
      <c r="Q766" s="175"/>
      <c r="R766" s="175"/>
      <c r="S766" s="175"/>
      <c r="T766" s="597"/>
      <c r="U766" s="597"/>
      <c r="V766" s="597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</row>
    <row r="767" ht="12.0" customHeight="1">
      <c r="A767" s="175"/>
      <c r="B767" s="175"/>
      <c r="C767" s="597"/>
      <c r="D767" s="597"/>
      <c r="E767" s="597"/>
      <c r="F767" s="597"/>
      <c r="G767" s="597"/>
      <c r="H767" s="597"/>
      <c r="I767" s="175"/>
      <c r="J767" s="175"/>
      <c r="K767" s="597"/>
      <c r="L767" s="597"/>
      <c r="M767" s="175"/>
      <c r="N767" s="175"/>
      <c r="O767" s="805"/>
      <c r="P767" s="175"/>
      <c r="Q767" s="175"/>
      <c r="R767" s="175"/>
      <c r="S767" s="175"/>
      <c r="T767" s="597"/>
      <c r="U767" s="597"/>
      <c r="V767" s="597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</row>
    <row r="768" ht="12.0" customHeight="1">
      <c r="A768" s="175"/>
      <c r="B768" s="175"/>
      <c r="C768" s="597"/>
      <c r="D768" s="597"/>
      <c r="E768" s="597"/>
      <c r="F768" s="597"/>
      <c r="G768" s="597"/>
      <c r="H768" s="597"/>
      <c r="I768" s="175"/>
      <c r="J768" s="175"/>
      <c r="K768" s="597"/>
      <c r="L768" s="597"/>
      <c r="M768" s="175"/>
      <c r="N768" s="175"/>
      <c r="O768" s="805"/>
      <c r="P768" s="175"/>
      <c r="Q768" s="175"/>
      <c r="R768" s="175"/>
      <c r="S768" s="175"/>
      <c r="T768" s="597"/>
      <c r="U768" s="597"/>
      <c r="V768" s="597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</row>
    <row r="769" ht="12.0" customHeight="1">
      <c r="A769" s="175"/>
      <c r="B769" s="175"/>
      <c r="C769" s="597"/>
      <c r="D769" s="597"/>
      <c r="E769" s="597"/>
      <c r="F769" s="597"/>
      <c r="G769" s="597"/>
      <c r="H769" s="597"/>
      <c r="I769" s="175"/>
      <c r="J769" s="175"/>
      <c r="K769" s="597"/>
      <c r="L769" s="597"/>
      <c r="M769" s="175"/>
      <c r="N769" s="175"/>
      <c r="O769" s="805"/>
      <c r="P769" s="175"/>
      <c r="Q769" s="175"/>
      <c r="R769" s="175"/>
      <c r="S769" s="175"/>
      <c r="T769" s="597"/>
      <c r="U769" s="597"/>
      <c r="V769" s="597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</row>
    <row r="770" ht="12.0" customHeight="1">
      <c r="A770" s="175"/>
      <c r="B770" s="175"/>
      <c r="C770" s="597"/>
      <c r="D770" s="597"/>
      <c r="E770" s="597"/>
      <c r="F770" s="597"/>
      <c r="G770" s="597"/>
      <c r="H770" s="597"/>
      <c r="I770" s="175"/>
      <c r="J770" s="175"/>
      <c r="K770" s="597"/>
      <c r="L770" s="597"/>
      <c r="M770" s="175"/>
      <c r="N770" s="175"/>
      <c r="O770" s="805"/>
      <c r="P770" s="175"/>
      <c r="Q770" s="175"/>
      <c r="R770" s="175"/>
      <c r="S770" s="175"/>
      <c r="T770" s="597"/>
      <c r="U770" s="597"/>
      <c r="V770" s="597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</row>
    <row r="771" ht="12.0" customHeight="1">
      <c r="A771" s="175"/>
      <c r="B771" s="175"/>
      <c r="C771" s="597"/>
      <c r="D771" s="597"/>
      <c r="E771" s="597"/>
      <c r="F771" s="597"/>
      <c r="G771" s="597"/>
      <c r="H771" s="597"/>
      <c r="I771" s="175"/>
      <c r="J771" s="175"/>
      <c r="K771" s="597"/>
      <c r="L771" s="597"/>
      <c r="M771" s="175"/>
      <c r="N771" s="175"/>
      <c r="O771" s="805"/>
      <c r="P771" s="175"/>
      <c r="Q771" s="175"/>
      <c r="R771" s="175"/>
      <c r="S771" s="175"/>
      <c r="T771" s="597"/>
      <c r="U771" s="597"/>
      <c r="V771" s="597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</row>
    <row r="772" ht="12.0" customHeight="1">
      <c r="A772" s="175"/>
      <c r="B772" s="175"/>
      <c r="C772" s="597"/>
      <c r="D772" s="597"/>
      <c r="E772" s="597"/>
      <c r="F772" s="597"/>
      <c r="G772" s="597"/>
      <c r="H772" s="597"/>
      <c r="I772" s="175"/>
      <c r="J772" s="175"/>
      <c r="K772" s="597"/>
      <c r="L772" s="597"/>
      <c r="M772" s="175"/>
      <c r="N772" s="175"/>
      <c r="O772" s="805"/>
      <c r="P772" s="175"/>
      <c r="Q772" s="175"/>
      <c r="R772" s="175"/>
      <c r="S772" s="175"/>
      <c r="T772" s="597"/>
      <c r="U772" s="597"/>
      <c r="V772" s="597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</row>
    <row r="773" ht="12.0" customHeight="1">
      <c r="A773" s="175"/>
      <c r="B773" s="175"/>
      <c r="C773" s="597"/>
      <c r="D773" s="597"/>
      <c r="E773" s="597"/>
      <c r="F773" s="597"/>
      <c r="G773" s="597"/>
      <c r="H773" s="597"/>
      <c r="I773" s="175"/>
      <c r="J773" s="175"/>
      <c r="K773" s="597"/>
      <c r="L773" s="597"/>
      <c r="M773" s="175"/>
      <c r="N773" s="175"/>
      <c r="O773" s="805"/>
      <c r="P773" s="175"/>
      <c r="Q773" s="175"/>
      <c r="R773" s="175"/>
      <c r="S773" s="175"/>
      <c r="T773" s="597"/>
      <c r="U773" s="597"/>
      <c r="V773" s="597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</row>
    <row r="774" ht="12.0" customHeight="1">
      <c r="A774" s="175"/>
      <c r="B774" s="175"/>
      <c r="C774" s="597"/>
      <c r="D774" s="597"/>
      <c r="E774" s="597"/>
      <c r="F774" s="597"/>
      <c r="G774" s="597"/>
      <c r="H774" s="597"/>
      <c r="I774" s="175"/>
      <c r="J774" s="175"/>
      <c r="K774" s="597"/>
      <c r="L774" s="597"/>
      <c r="M774" s="175"/>
      <c r="N774" s="175"/>
      <c r="O774" s="805"/>
      <c r="P774" s="175"/>
      <c r="Q774" s="175"/>
      <c r="R774" s="175"/>
      <c r="S774" s="175"/>
      <c r="T774" s="597"/>
      <c r="U774" s="597"/>
      <c r="V774" s="597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</row>
    <row r="775" ht="12.0" customHeight="1">
      <c r="A775" s="175"/>
      <c r="B775" s="175"/>
      <c r="C775" s="597"/>
      <c r="D775" s="597"/>
      <c r="E775" s="597"/>
      <c r="F775" s="597"/>
      <c r="G775" s="597"/>
      <c r="H775" s="597"/>
      <c r="I775" s="175"/>
      <c r="J775" s="175"/>
      <c r="K775" s="597"/>
      <c r="L775" s="597"/>
      <c r="M775" s="175"/>
      <c r="N775" s="175"/>
      <c r="O775" s="805"/>
      <c r="P775" s="175"/>
      <c r="Q775" s="175"/>
      <c r="R775" s="175"/>
      <c r="S775" s="175"/>
      <c r="T775" s="597"/>
      <c r="U775" s="597"/>
      <c r="V775" s="597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</row>
    <row r="776" ht="12.0" customHeight="1">
      <c r="A776" s="175"/>
      <c r="B776" s="175"/>
      <c r="C776" s="597"/>
      <c r="D776" s="597"/>
      <c r="E776" s="597"/>
      <c r="F776" s="597"/>
      <c r="G776" s="597"/>
      <c r="H776" s="597"/>
      <c r="I776" s="175"/>
      <c r="J776" s="175"/>
      <c r="K776" s="597"/>
      <c r="L776" s="597"/>
      <c r="M776" s="175"/>
      <c r="N776" s="175"/>
      <c r="O776" s="805"/>
      <c r="P776" s="175"/>
      <c r="Q776" s="175"/>
      <c r="R776" s="175"/>
      <c r="S776" s="175"/>
      <c r="T776" s="597"/>
      <c r="U776" s="597"/>
      <c r="V776" s="597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</row>
    <row r="777" ht="12.0" customHeight="1">
      <c r="A777" s="175"/>
      <c r="B777" s="175"/>
      <c r="C777" s="597"/>
      <c r="D777" s="597"/>
      <c r="E777" s="597"/>
      <c r="F777" s="597"/>
      <c r="G777" s="597"/>
      <c r="H777" s="597"/>
      <c r="I777" s="175"/>
      <c r="J777" s="175"/>
      <c r="K777" s="597"/>
      <c r="L777" s="597"/>
      <c r="M777" s="175"/>
      <c r="N777" s="175"/>
      <c r="O777" s="805"/>
      <c r="P777" s="175"/>
      <c r="Q777" s="175"/>
      <c r="R777" s="175"/>
      <c r="S777" s="175"/>
      <c r="T777" s="597"/>
      <c r="U777" s="597"/>
      <c r="V777" s="597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</row>
    <row r="778" ht="12.0" customHeight="1">
      <c r="A778" s="175"/>
      <c r="B778" s="175"/>
      <c r="C778" s="597"/>
      <c r="D778" s="597"/>
      <c r="E778" s="597"/>
      <c r="F778" s="597"/>
      <c r="G778" s="597"/>
      <c r="H778" s="597"/>
      <c r="I778" s="175"/>
      <c r="J778" s="175"/>
      <c r="K778" s="597"/>
      <c r="L778" s="597"/>
      <c r="M778" s="175"/>
      <c r="N778" s="175"/>
      <c r="O778" s="805"/>
      <c r="P778" s="175"/>
      <c r="Q778" s="175"/>
      <c r="R778" s="175"/>
      <c r="S778" s="175"/>
      <c r="T778" s="597"/>
      <c r="U778" s="597"/>
      <c r="V778" s="597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</row>
    <row r="779" ht="12.0" customHeight="1">
      <c r="A779" s="175"/>
      <c r="B779" s="175"/>
      <c r="C779" s="597"/>
      <c r="D779" s="597"/>
      <c r="E779" s="597"/>
      <c r="F779" s="597"/>
      <c r="G779" s="597"/>
      <c r="H779" s="597"/>
      <c r="I779" s="175"/>
      <c r="J779" s="175"/>
      <c r="K779" s="597"/>
      <c r="L779" s="597"/>
      <c r="M779" s="175"/>
      <c r="N779" s="175"/>
      <c r="O779" s="805"/>
      <c r="P779" s="175"/>
      <c r="Q779" s="175"/>
      <c r="R779" s="175"/>
      <c r="S779" s="175"/>
      <c r="T779" s="597"/>
      <c r="U779" s="597"/>
      <c r="V779" s="597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</row>
    <row r="780" ht="12.0" customHeight="1">
      <c r="A780" s="175"/>
      <c r="B780" s="175"/>
      <c r="C780" s="597"/>
      <c r="D780" s="597"/>
      <c r="E780" s="597"/>
      <c r="F780" s="597"/>
      <c r="G780" s="597"/>
      <c r="H780" s="597"/>
      <c r="I780" s="175"/>
      <c r="J780" s="175"/>
      <c r="K780" s="597"/>
      <c r="L780" s="597"/>
      <c r="M780" s="175"/>
      <c r="N780" s="175"/>
      <c r="O780" s="805"/>
      <c r="P780" s="175"/>
      <c r="Q780" s="175"/>
      <c r="R780" s="175"/>
      <c r="S780" s="175"/>
      <c r="T780" s="597"/>
      <c r="U780" s="597"/>
      <c r="V780" s="597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</row>
    <row r="781" ht="12.0" customHeight="1">
      <c r="A781" s="175"/>
      <c r="B781" s="175"/>
      <c r="C781" s="597"/>
      <c r="D781" s="597"/>
      <c r="E781" s="597"/>
      <c r="F781" s="597"/>
      <c r="G781" s="597"/>
      <c r="H781" s="597"/>
      <c r="I781" s="175"/>
      <c r="J781" s="175"/>
      <c r="K781" s="597"/>
      <c r="L781" s="597"/>
      <c r="M781" s="175"/>
      <c r="N781" s="175"/>
      <c r="O781" s="805"/>
      <c r="P781" s="175"/>
      <c r="Q781" s="175"/>
      <c r="R781" s="175"/>
      <c r="S781" s="175"/>
      <c r="T781" s="597"/>
      <c r="U781" s="597"/>
      <c r="V781" s="597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</row>
    <row r="782" ht="12.0" customHeight="1">
      <c r="A782" s="175"/>
      <c r="B782" s="175"/>
      <c r="C782" s="597"/>
      <c r="D782" s="597"/>
      <c r="E782" s="597"/>
      <c r="F782" s="597"/>
      <c r="G782" s="597"/>
      <c r="H782" s="597"/>
      <c r="I782" s="175"/>
      <c r="J782" s="175"/>
      <c r="K782" s="597"/>
      <c r="L782" s="597"/>
      <c r="M782" s="175"/>
      <c r="N782" s="175"/>
      <c r="O782" s="805"/>
      <c r="P782" s="175"/>
      <c r="Q782" s="175"/>
      <c r="R782" s="175"/>
      <c r="S782" s="175"/>
      <c r="T782" s="597"/>
      <c r="U782" s="597"/>
      <c r="V782" s="597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</row>
    <row r="783" ht="12.0" customHeight="1">
      <c r="A783" s="175"/>
      <c r="B783" s="175"/>
      <c r="C783" s="597"/>
      <c r="D783" s="597"/>
      <c r="E783" s="597"/>
      <c r="F783" s="597"/>
      <c r="G783" s="597"/>
      <c r="H783" s="597"/>
      <c r="I783" s="175"/>
      <c r="J783" s="175"/>
      <c r="K783" s="597"/>
      <c r="L783" s="597"/>
      <c r="M783" s="175"/>
      <c r="N783" s="175"/>
      <c r="O783" s="805"/>
      <c r="P783" s="175"/>
      <c r="Q783" s="175"/>
      <c r="R783" s="175"/>
      <c r="S783" s="175"/>
      <c r="T783" s="597"/>
      <c r="U783" s="597"/>
      <c r="V783" s="597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</row>
    <row r="784" ht="12.0" customHeight="1">
      <c r="A784" s="175"/>
      <c r="B784" s="175"/>
      <c r="C784" s="597"/>
      <c r="D784" s="597"/>
      <c r="E784" s="597"/>
      <c r="F784" s="597"/>
      <c r="G784" s="597"/>
      <c r="H784" s="597"/>
      <c r="I784" s="175"/>
      <c r="J784" s="175"/>
      <c r="K784" s="597"/>
      <c r="L784" s="597"/>
      <c r="M784" s="175"/>
      <c r="N784" s="175"/>
      <c r="O784" s="805"/>
      <c r="P784" s="175"/>
      <c r="Q784" s="175"/>
      <c r="R784" s="175"/>
      <c r="S784" s="175"/>
      <c r="T784" s="597"/>
      <c r="U784" s="597"/>
      <c r="V784" s="597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</row>
    <row r="785" ht="12.0" customHeight="1">
      <c r="A785" s="175"/>
      <c r="B785" s="175"/>
      <c r="C785" s="597"/>
      <c r="D785" s="597"/>
      <c r="E785" s="597"/>
      <c r="F785" s="597"/>
      <c r="G785" s="597"/>
      <c r="H785" s="597"/>
      <c r="I785" s="175"/>
      <c r="J785" s="175"/>
      <c r="K785" s="597"/>
      <c r="L785" s="597"/>
      <c r="M785" s="175"/>
      <c r="N785" s="175"/>
      <c r="O785" s="805"/>
      <c r="P785" s="175"/>
      <c r="Q785" s="175"/>
      <c r="R785" s="175"/>
      <c r="S785" s="175"/>
      <c r="T785" s="597"/>
      <c r="U785" s="597"/>
      <c r="V785" s="597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</row>
    <row r="786" ht="12.0" customHeight="1">
      <c r="A786" s="175"/>
      <c r="B786" s="175"/>
      <c r="C786" s="597"/>
      <c r="D786" s="597"/>
      <c r="E786" s="597"/>
      <c r="F786" s="597"/>
      <c r="G786" s="597"/>
      <c r="H786" s="597"/>
      <c r="I786" s="175"/>
      <c r="J786" s="175"/>
      <c r="K786" s="597"/>
      <c r="L786" s="597"/>
      <c r="M786" s="175"/>
      <c r="N786" s="175"/>
      <c r="O786" s="805"/>
      <c r="P786" s="175"/>
      <c r="Q786" s="175"/>
      <c r="R786" s="175"/>
      <c r="S786" s="175"/>
      <c r="T786" s="597"/>
      <c r="U786" s="597"/>
      <c r="V786" s="597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</row>
    <row r="787" ht="12.0" customHeight="1">
      <c r="A787" s="175"/>
      <c r="B787" s="175"/>
      <c r="C787" s="597"/>
      <c r="D787" s="597"/>
      <c r="E787" s="597"/>
      <c r="F787" s="597"/>
      <c r="G787" s="597"/>
      <c r="H787" s="597"/>
      <c r="I787" s="175"/>
      <c r="J787" s="175"/>
      <c r="K787" s="597"/>
      <c r="L787" s="597"/>
      <c r="M787" s="175"/>
      <c r="N787" s="175"/>
      <c r="O787" s="805"/>
      <c r="P787" s="175"/>
      <c r="Q787" s="175"/>
      <c r="R787" s="175"/>
      <c r="S787" s="175"/>
      <c r="T787" s="597"/>
      <c r="U787" s="597"/>
      <c r="V787" s="597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</row>
    <row r="788" ht="12.0" customHeight="1">
      <c r="A788" s="175"/>
      <c r="B788" s="175"/>
      <c r="C788" s="597"/>
      <c r="D788" s="597"/>
      <c r="E788" s="597"/>
      <c r="F788" s="597"/>
      <c r="G788" s="597"/>
      <c r="H788" s="597"/>
      <c r="I788" s="175"/>
      <c r="J788" s="175"/>
      <c r="K788" s="597"/>
      <c r="L788" s="597"/>
      <c r="M788" s="175"/>
      <c r="N788" s="175"/>
      <c r="O788" s="805"/>
      <c r="P788" s="175"/>
      <c r="Q788" s="175"/>
      <c r="R788" s="175"/>
      <c r="S788" s="175"/>
      <c r="T788" s="597"/>
      <c r="U788" s="597"/>
      <c r="V788" s="597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</row>
    <row r="789" ht="12.0" customHeight="1">
      <c r="A789" s="175"/>
      <c r="B789" s="175"/>
      <c r="C789" s="597"/>
      <c r="D789" s="597"/>
      <c r="E789" s="597"/>
      <c r="F789" s="597"/>
      <c r="G789" s="597"/>
      <c r="H789" s="597"/>
      <c r="I789" s="175"/>
      <c r="J789" s="175"/>
      <c r="K789" s="597"/>
      <c r="L789" s="597"/>
      <c r="M789" s="175"/>
      <c r="N789" s="175"/>
      <c r="O789" s="805"/>
      <c r="P789" s="175"/>
      <c r="Q789" s="175"/>
      <c r="R789" s="175"/>
      <c r="S789" s="175"/>
      <c r="T789" s="597"/>
      <c r="U789" s="597"/>
      <c r="V789" s="597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</row>
    <row r="790" ht="12.0" customHeight="1">
      <c r="A790" s="175"/>
      <c r="B790" s="175"/>
      <c r="C790" s="597"/>
      <c r="D790" s="597"/>
      <c r="E790" s="597"/>
      <c r="F790" s="597"/>
      <c r="G790" s="597"/>
      <c r="H790" s="597"/>
      <c r="I790" s="175"/>
      <c r="J790" s="175"/>
      <c r="K790" s="597"/>
      <c r="L790" s="597"/>
      <c r="M790" s="175"/>
      <c r="N790" s="175"/>
      <c r="O790" s="805"/>
      <c r="P790" s="175"/>
      <c r="Q790" s="175"/>
      <c r="R790" s="175"/>
      <c r="S790" s="175"/>
      <c r="T790" s="597"/>
      <c r="U790" s="597"/>
      <c r="V790" s="597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</row>
    <row r="791" ht="12.0" customHeight="1">
      <c r="A791" s="175"/>
      <c r="B791" s="175"/>
      <c r="C791" s="597"/>
      <c r="D791" s="597"/>
      <c r="E791" s="597"/>
      <c r="F791" s="597"/>
      <c r="G791" s="597"/>
      <c r="H791" s="597"/>
      <c r="I791" s="175"/>
      <c r="J791" s="175"/>
      <c r="K791" s="597"/>
      <c r="L791" s="597"/>
      <c r="M791" s="175"/>
      <c r="N791" s="175"/>
      <c r="O791" s="805"/>
      <c r="P791" s="175"/>
      <c r="Q791" s="175"/>
      <c r="R791" s="175"/>
      <c r="S791" s="175"/>
      <c r="T791" s="597"/>
      <c r="U791" s="597"/>
      <c r="V791" s="597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</row>
    <row r="792" ht="12.0" customHeight="1">
      <c r="A792" s="175"/>
      <c r="B792" s="175"/>
      <c r="C792" s="597"/>
      <c r="D792" s="597"/>
      <c r="E792" s="597"/>
      <c r="F792" s="597"/>
      <c r="G792" s="597"/>
      <c r="H792" s="597"/>
      <c r="I792" s="175"/>
      <c r="J792" s="175"/>
      <c r="K792" s="597"/>
      <c r="L792" s="597"/>
      <c r="M792" s="175"/>
      <c r="N792" s="175"/>
      <c r="O792" s="805"/>
      <c r="P792" s="175"/>
      <c r="Q792" s="175"/>
      <c r="R792" s="175"/>
      <c r="S792" s="175"/>
      <c r="T792" s="597"/>
      <c r="U792" s="597"/>
      <c r="V792" s="597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</row>
    <row r="793" ht="12.0" customHeight="1">
      <c r="A793" s="175"/>
      <c r="B793" s="175"/>
      <c r="C793" s="597"/>
      <c r="D793" s="597"/>
      <c r="E793" s="597"/>
      <c r="F793" s="597"/>
      <c r="G793" s="597"/>
      <c r="H793" s="597"/>
      <c r="I793" s="175"/>
      <c r="J793" s="175"/>
      <c r="K793" s="597"/>
      <c r="L793" s="597"/>
      <c r="M793" s="175"/>
      <c r="N793" s="175"/>
      <c r="O793" s="805"/>
      <c r="P793" s="175"/>
      <c r="Q793" s="175"/>
      <c r="R793" s="175"/>
      <c r="S793" s="175"/>
      <c r="T793" s="597"/>
      <c r="U793" s="597"/>
      <c r="V793" s="597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</row>
    <row r="794" ht="12.0" customHeight="1">
      <c r="A794" s="175"/>
      <c r="B794" s="175"/>
      <c r="C794" s="597"/>
      <c r="D794" s="597"/>
      <c r="E794" s="597"/>
      <c r="F794" s="597"/>
      <c r="G794" s="597"/>
      <c r="H794" s="597"/>
      <c r="I794" s="175"/>
      <c r="J794" s="175"/>
      <c r="K794" s="597"/>
      <c r="L794" s="597"/>
      <c r="M794" s="175"/>
      <c r="N794" s="175"/>
      <c r="O794" s="805"/>
      <c r="P794" s="175"/>
      <c r="Q794" s="175"/>
      <c r="R794" s="175"/>
      <c r="S794" s="175"/>
      <c r="T794" s="597"/>
      <c r="U794" s="597"/>
      <c r="V794" s="597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</row>
    <row r="795" ht="12.0" customHeight="1">
      <c r="A795" s="175"/>
      <c r="B795" s="175"/>
      <c r="C795" s="597"/>
      <c r="D795" s="597"/>
      <c r="E795" s="597"/>
      <c r="F795" s="597"/>
      <c r="G795" s="597"/>
      <c r="H795" s="597"/>
      <c r="I795" s="175"/>
      <c r="J795" s="175"/>
      <c r="K795" s="597"/>
      <c r="L795" s="597"/>
      <c r="M795" s="175"/>
      <c r="N795" s="175"/>
      <c r="O795" s="805"/>
      <c r="P795" s="175"/>
      <c r="Q795" s="175"/>
      <c r="R795" s="175"/>
      <c r="S795" s="175"/>
      <c r="T795" s="597"/>
      <c r="U795" s="597"/>
      <c r="V795" s="597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</row>
    <row r="796" ht="12.0" customHeight="1">
      <c r="A796" s="175"/>
      <c r="B796" s="175"/>
      <c r="C796" s="597"/>
      <c r="D796" s="597"/>
      <c r="E796" s="597"/>
      <c r="F796" s="597"/>
      <c r="G796" s="597"/>
      <c r="H796" s="597"/>
      <c r="I796" s="175"/>
      <c r="J796" s="175"/>
      <c r="K796" s="597"/>
      <c r="L796" s="597"/>
      <c r="M796" s="175"/>
      <c r="N796" s="175"/>
      <c r="O796" s="805"/>
      <c r="P796" s="175"/>
      <c r="Q796" s="175"/>
      <c r="R796" s="175"/>
      <c r="S796" s="175"/>
      <c r="T796" s="597"/>
      <c r="U796" s="597"/>
      <c r="V796" s="597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</row>
    <row r="797" ht="12.0" customHeight="1">
      <c r="A797" s="175"/>
      <c r="B797" s="175"/>
      <c r="C797" s="597"/>
      <c r="D797" s="597"/>
      <c r="E797" s="597"/>
      <c r="F797" s="597"/>
      <c r="G797" s="597"/>
      <c r="H797" s="597"/>
      <c r="I797" s="175"/>
      <c r="J797" s="175"/>
      <c r="K797" s="597"/>
      <c r="L797" s="597"/>
      <c r="M797" s="175"/>
      <c r="N797" s="175"/>
      <c r="O797" s="805"/>
      <c r="P797" s="175"/>
      <c r="Q797" s="175"/>
      <c r="R797" s="175"/>
      <c r="S797" s="175"/>
      <c r="T797" s="597"/>
      <c r="U797" s="597"/>
      <c r="V797" s="597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</row>
    <row r="798" ht="12.0" customHeight="1">
      <c r="A798" s="175"/>
      <c r="B798" s="175"/>
      <c r="C798" s="597"/>
      <c r="D798" s="597"/>
      <c r="E798" s="597"/>
      <c r="F798" s="597"/>
      <c r="G798" s="597"/>
      <c r="H798" s="597"/>
      <c r="I798" s="175"/>
      <c r="J798" s="175"/>
      <c r="K798" s="597"/>
      <c r="L798" s="597"/>
      <c r="M798" s="175"/>
      <c r="N798" s="175"/>
      <c r="O798" s="805"/>
      <c r="P798" s="175"/>
      <c r="Q798" s="175"/>
      <c r="R798" s="175"/>
      <c r="S798" s="175"/>
      <c r="T798" s="597"/>
      <c r="U798" s="597"/>
      <c r="V798" s="597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</row>
    <row r="799" ht="12.0" customHeight="1">
      <c r="A799" s="175"/>
      <c r="B799" s="175"/>
      <c r="C799" s="597"/>
      <c r="D799" s="597"/>
      <c r="E799" s="597"/>
      <c r="F799" s="597"/>
      <c r="G799" s="597"/>
      <c r="H799" s="597"/>
      <c r="I799" s="175"/>
      <c r="J799" s="175"/>
      <c r="K799" s="597"/>
      <c r="L799" s="597"/>
      <c r="M799" s="175"/>
      <c r="N799" s="175"/>
      <c r="O799" s="805"/>
      <c r="P799" s="175"/>
      <c r="Q799" s="175"/>
      <c r="R799" s="175"/>
      <c r="S799" s="175"/>
      <c r="T799" s="597"/>
      <c r="U799" s="597"/>
      <c r="V799" s="597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</row>
    <row r="800" ht="12.0" customHeight="1">
      <c r="A800" s="175"/>
      <c r="B800" s="175"/>
      <c r="C800" s="597"/>
      <c r="D800" s="597"/>
      <c r="E800" s="597"/>
      <c r="F800" s="597"/>
      <c r="G800" s="597"/>
      <c r="H800" s="597"/>
      <c r="I800" s="175"/>
      <c r="J800" s="175"/>
      <c r="K800" s="597"/>
      <c r="L800" s="597"/>
      <c r="M800" s="175"/>
      <c r="N800" s="175"/>
      <c r="O800" s="805"/>
      <c r="P800" s="175"/>
      <c r="Q800" s="175"/>
      <c r="R800" s="175"/>
      <c r="S800" s="175"/>
      <c r="T800" s="597"/>
      <c r="U800" s="597"/>
      <c r="V800" s="597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</row>
    <row r="801" ht="12.0" customHeight="1">
      <c r="A801" s="175"/>
      <c r="B801" s="175"/>
      <c r="C801" s="597"/>
      <c r="D801" s="597"/>
      <c r="E801" s="597"/>
      <c r="F801" s="597"/>
      <c r="G801" s="597"/>
      <c r="H801" s="597"/>
      <c r="I801" s="175"/>
      <c r="J801" s="175"/>
      <c r="K801" s="597"/>
      <c r="L801" s="597"/>
      <c r="M801" s="175"/>
      <c r="N801" s="175"/>
      <c r="O801" s="805"/>
      <c r="P801" s="175"/>
      <c r="Q801" s="175"/>
      <c r="R801" s="175"/>
      <c r="S801" s="175"/>
      <c r="T801" s="597"/>
      <c r="U801" s="597"/>
      <c r="V801" s="597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</row>
    <row r="802" ht="12.0" customHeight="1">
      <c r="A802" s="175"/>
      <c r="B802" s="175"/>
      <c r="C802" s="597"/>
      <c r="D802" s="597"/>
      <c r="E802" s="597"/>
      <c r="F802" s="597"/>
      <c r="G802" s="597"/>
      <c r="H802" s="597"/>
      <c r="I802" s="175"/>
      <c r="J802" s="175"/>
      <c r="K802" s="597"/>
      <c r="L802" s="597"/>
      <c r="M802" s="175"/>
      <c r="N802" s="175"/>
      <c r="O802" s="805"/>
      <c r="P802" s="175"/>
      <c r="Q802" s="175"/>
      <c r="R802" s="175"/>
      <c r="S802" s="175"/>
      <c r="T802" s="597"/>
      <c r="U802" s="597"/>
      <c r="V802" s="597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</row>
    <row r="803" ht="12.0" customHeight="1">
      <c r="A803" s="175"/>
      <c r="B803" s="175"/>
      <c r="C803" s="597"/>
      <c r="D803" s="597"/>
      <c r="E803" s="597"/>
      <c r="F803" s="597"/>
      <c r="G803" s="597"/>
      <c r="H803" s="597"/>
      <c r="I803" s="175"/>
      <c r="J803" s="175"/>
      <c r="K803" s="597"/>
      <c r="L803" s="597"/>
      <c r="M803" s="175"/>
      <c r="N803" s="175"/>
      <c r="O803" s="805"/>
      <c r="P803" s="175"/>
      <c r="Q803" s="175"/>
      <c r="R803" s="175"/>
      <c r="S803" s="175"/>
      <c r="T803" s="597"/>
      <c r="U803" s="597"/>
      <c r="V803" s="597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</row>
    <row r="804" ht="12.0" customHeight="1">
      <c r="A804" s="175"/>
      <c r="B804" s="175"/>
      <c r="C804" s="597"/>
      <c r="D804" s="597"/>
      <c r="E804" s="597"/>
      <c r="F804" s="597"/>
      <c r="G804" s="597"/>
      <c r="H804" s="597"/>
      <c r="I804" s="175"/>
      <c r="J804" s="175"/>
      <c r="K804" s="597"/>
      <c r="L804" s="597"/>
      <c r="M804" s="175"/>
      <c r="N804" s="175"/>
      <c r="O804" s="805"/>
      <c r="P804" s="175"/>
      <c r="Q804" s="175"/>
      <c r="R804" s="175"/>
      <c r="S804" s="175"/>
      <c r="T804" s="597"/>
      <c r="U804" s="597"/>
      <c r="V804" s="597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</row>
    <row r="805" ht="12.0" customHeight="1">
      <c r="A805" s="175"/>
      <c r="B805" s="175"/>
      <c r="C805" s="597"/>
      <c r="D805" s="597"/>
      <c r="E805" s="597"/>
      <c r="F805" s="597"/>
      <c r="G805" s="597"/>
      <c r="H805" s="597"/>
      <c r="I805" s="175"/>
      <c r="J805" s="175"/>
      <c r="K805" s="597"/>
      <c r="L805" s="597"/>
      <c r="M805" s="175"/>
      <c r="N805" s="175"/>
      <c r="O805" s="805"/>
      <c r="P805" s="175"/>
      <c r="Q805" s="175"/>
      <c r="R805" s="175"/>
      <c r="S805" s="175"/>
      <c r="T805" s="597"/>
      <c r="U805" s="597"/>
      <c r="V805" s="597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</row>
    <row r="806" ht="12.0" customHeight="1">
      <c r="A806" s="175"/>
      <c r="B806" s="175"/>
      <c r="C806" s="597"/>
      <c r="D806" s="597"/>
      <c r="E806" s="597"/>
      <c r="F806" s="597"/>
      <c r="G806" s="597"/>
      <c r="H806" s="597"/>
      <c r="I806" s="175"/>
      <c r="J806" s="175"/>
      <c r="K806" s="597"/>
      <c r="L806" s="597"/>
      <c r="M806" s="175"/>
      <c r="N806" s="175"/>
      <c r="O806" s="805"/>
      <c r="P806" s="175"/>
      <c r="Q806" s="175"/>
      <c r="R806" s="175"/>
      <c r="S806" s="175"/>
      <c r="T806" s="597"/>
      <c r="U806" s="597"/>
      <c r="V806" s="597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</row>
    <row r="807" ht="12.0" customHeight="1">
      <c r="A807" s="175"/>
      <c r="B807" s="175"/>
      <c r="C807" s="597"/>
      <c r="D807" s="597"/>
      <c r="E807" s="597"/>
      <c r="F807" s="597"/>
      <c r="G807" s="597"/>
      <c r="H807" s="597"/>
      <c r="I807" s="175"/>
      <c r="J807" s="175"/>
      <c r="K807" s="597"/>
      <c r="L807" s="597"/>
      <c r="M807" s="175"/>
      <c r="N807" s="175"/>
      <c r="O807" s="805"/>
      <c r="P807" s="175"/>
      <c r="Q807" s="175"/>
      <c r="R807" s="175"/>
      <c r="S807" s="175"/>
      <c r="T807" s="597"/>
      <c r="U807" s="597"/>
      <c r="V807" s="597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</row>
    <row r="808" ht="12.0" customHeight="1">
      <c r="A808" s="175"/>
      <c r="B808" s="175"/>
      <c r="C808" s="597"/>
      <c r="D808" s="597"/>
      <c r="E808" s="597"/>
      <c r="F808" s="597"/>
      <c r="G808" s="597"/>
      <c r="H808" s="597"/>
      <c r="I808" s="175"/>
      <c r="J808" s="175"/>
      <c r="K808" s="597"/>
      <c r="L808" s="597"/>
      <c r="M808" s="175"/>
      <c r="N808" s="175"/>
      <c r="O808" s="805"/>
      <c r="P808" s="175"/>
      <c r="Q808" s="175"/>
      <c r="R808" s="175"/>
      <c r="S808" s="175"/>
      <c r="T808" s="597"/>
      <c r="U808" s="597"/>
      <c r="V808" s="597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</row>
    <row r="809" ht="12.0" customHeight="1">
      <c r="A809" s="175"/>
      <c r="B809" s="175"/>
      <c r="C809" s="597"/>
      <c r="D809" s="597"/>
      <c r="E809" s="597"/>
      <c r="F809" s="597"/>
      <c r="G809" s="597"/>
      <c r="H809" s="597"/>
      <c r="I809" s="175"/>
      <c r="J809" s="175"/>
      <c r="K809" s="597"/>
      <c r="L809" s="597"/>
      <c r="M809" s="175"/>
      <c r="N809" s="175"/>
      <c r="O809" s="805"/>
      <c r="P809" s="175"/>
      <c r="Q809" s="175"/>
      <c r="R809" s="175"/>
      <c r="S809" s="175"/>
      <c r="T809" s="597"/>
      <c r="U809" s="597"/>
      <c r="V809" s="597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</row>
    <row r="810" ht="12.0" customHeight="1">
      <c r="A810" s="175"/>
      <c r="B810" s="175"/>
      <c r="C810" s="597"/>
      <c r="D810" s="597"/>
      <c r="E810" s="597"/>
      <c r="F810" s="597"/>
      <c r="G810" s="597"/>
      <c r="H810" s="597"/>
      <c r="I810" s="175"/>
      <c r="J810" s="175"/>
      <c r="K810" s="597"/>
      <c r="L810" s="597"/>
      <c r="M810" s="175"/>
      <c r="N810" s="175"/>
      <c r="O810" s="805"/>
      <c r="P810" s="175"/>
      <c r="Q810" s="175"/>
      <c r="R810" s="175"/>
      <c r="S810" s="175"/>
      <c r="T810" s="597"/>
      <c r="U810" s="597"/>
      <c r="V810" s="597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</row>
    <row r="811" ht="12.0" customHeight="1">
      <c r="A811" s="175"/>
      <c r="B811" s="175"/>
      <c r="C811" s="597"/>
      <c r="D811" s="597"/>
      <c r="E811" s="597"/>
      <c r="F811" s="597"/>
      <c r="G811" s="597"/>
      <c r="H811" s="597"/>
      <c r="I811" s="175"/>
      <c r="J811" s="175"/>
      <c r="K811" s="597"/>
      <c r="L811" s="597"/>
      <c r="M811" s="175"/>
      <c r="N811" s="175"/>
      <c r="O811" s="805"/>
      <c r="P811" s="175"/>
      <c r="Q811" s="175"/>
      <c r="R811" s="175"/>
      <c r="S811" s="175"/>
      <c r="T811" s="597"/>
      <c r="U811" s="597"/>
      <c r="V811" s="597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</row>
    <row r="812" ht="12.0" customHeight="1">
      <c r="A812" s="175"/>
      <c r="B812" s="175"/>
      <c r="C812" s="597"/>
      <c r="D812" s="597"/>
      <c r="E812" s="597"/>
      <c r="F812" s="597"/>
      <c r="G812" s="597"/>
      <c r="H812" s="597"/>
      <c r="I812" s="175"/>
      <c r="J812" s="175"/>
      <c r="K812" s="597"/>
      <c r="L812" s="597"/>
      <c r="M812" s="175"/>
      <c r="N812" s="175"/>
      <c r="O812" s="805"/>
      <c r="P812" s="175"/>
      <c r="Q812" s="175"/>
      <c r="R812" s="175"/>
      <c r="S812" s="175"/>
      <c r="T812" s="597"/>
      <c r="U812" s="597"/>
      <c r="V812" s="597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</row>
    <row r="813" ht="12.0" customHeight="1">
      <c r="A813" s="175"/>
      <c r="B813" s="175"/>
      <c r="C813" s="597"/>
      <c r="D813" s="597"/>
      <c r="E813" s="597"/>
      <c r="F813" s="597"/>
      <c r="G813" s="597"/>
      <c r="H813" s="597"/>
      <c r="I813" s="175"/>
      <c r="J813" s="175"/>
      <c r="K813" s="597"/>
      <c r="L813" s="597"/>
      <c r="M813" s="175"/>
      <c r="N813" s="175"/>
      <c r="O813" s="805"/>
      <c r="P813" s="175"/>
      <c r="Q813" s="175"/>
      <c r="R813" s="175"/>
      <c r="S813" s="175"/>
      <c r="T813" s="597"/>
      <c r="U813" s="597"/>
      <c r="V813" s="597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</row>
    <row r="814" ht="12.0" customHeight="1">
      <c r="A814" s="175"/>
      <c r="B814" s="175"/>
      <c r="C814" s="597"/>
      <c r="D814" s="597"/>
      <c r="E814" s="597"/>
      <c r="F814" s="597"/>
      <c r="G814" s="597"/>
      <c r="H814" s="597"/>
      <c r="I814" s="175"/>
      <c r="J814" s="175"/>
      <c r="K814" s="597"/>
      <c r="L814" s="597"/>
      <c r="M814" s="175"/>
      <c r="N814" s="175"/>
      <c r="O814" s="805"/>
      <c r="P814" s="175"/>
      <c r="Q814" s="175"/>
      <c r="R814" s="175"/>
      <c r="S814" s="175"/>
      <c r="T814" s="597"/>
      <c r="U814" s="597"/>
      <c r="V814" s="597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</row>
    <row r="815" ht="12.0" customHeight="1">
      <c r="A815" s="175"/>
      <c r="B815" s="175"/>
      <c r="C815" s="597"/>
      <c r="D815" s="597"/>
      <c r="E815" s="597"/>
      <c r="F815" s="597"/>
      <c r="G815" s="597"/>
      <c r="H815" s="597"/>
      <c r="I815" s="175"/>
      <c r="J815" s="175"/>
      <c r="K815" s="597"/>
      <c r="L815" s="597"/>
      <c r="M815" s="175"/>
      <c r="N815" s="175"/>
      <c r="O815" s="805"/>
      <c r="P815" s="175"/>
      <c r="Q815" s="175"/>
      <c r="R815" s="175"/>
      <c r="S815" s="175"/>
      <c r="T815" s="597"/>
      <c r="U815" s="597"/>
      <c r="V815" s="597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</row>
    <row r="816" ht="12.0" customHeight="1">
      <c r="A816" s="175"/>
      <c r="B816" s="175"/>
      <c r="C816" s="597"/>
      <c r="D816" s="597"/>
      <c r="E816" s="597"/>
      <c r="F816" s="597"/>
      <c r="G816" s="597"/>
      <c r="H816" s="597"/>
      <c r="I816" s="175"/>
      <c r="J816" s="175"/>
      <c r="K816" s="597"/>
      <c r="L816" s="597"/>
      <c r="M816" s="175"/>
      <c r="N816" s="175"/>
      <c r="O816" s="805"/>
      <c r="P816" s="175"/>
      <c r="Q816" s="175"/>
      <c r="R816" s="175"/>
      <c r="S816" s="175"/>
      <c r="T816" s="597"/>
      <c r="U816" s="597"/>
      <c r="V816" s="597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</row>
    <row r="817" ht="12.0" customHeight="1">
      <c r="A817" s="175"/>
      <c r="B817" s="175"/>
      <c r="C817" s="597"/>
      <c r="D817" s="597"/>
      <c r="E817" s="597"/>
      <c r="F817" s="597"/>
      <c r="G817" s="597"/>
      <c r="H817" s="597"/>
      <c r="I817" s="175"/>
      <c r="J817" s="175"/>
      <c r="K817" s="597"/>
      <c r="L817" s="597"/>
      <c r="M817" s="175"/>
      <c r="N817" s="175"/>
      <c r="O817" s="805"/>
      <c r="P817" s="175"/>
      <c r="Q817" s="175"/>
      <c r="R817" s="175"/>
      <c r="S817" s="175"/>
      <c r="T817" s="597"/>
      <c r="U817" s="597"/>
      <c r="V817" s="597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</row>
    <row r="818" ht="12.0" customHeight="1">
      <c r="A818" s="175"/>
      <c r="B818" s="175"/>
      <c r="C818" s="597"/>
      <c r="D818" s="597"/>
      <c r="E818" s="597"/>
      <c r="F818" s="597"/>
      <c r="G818" s="597"/>
      <c r="H818" s="597"/>
      <c r="I818" s="175"/>
      <c r="J818" s="175"/>
      <c r="K818" s="597"/>
      <c r="L818" s="597"/>
      <c r="M818" s="175"/>
      <c r="N818" s="175"/>
      <c r="O818" s="805"/>
      <c r="P818" s="175"/>
      <c r="Q818" s="175"/>
      <c r="R818" s="175"/>
      <c r="S818" s="175"/>
      <c r="T818" s="597"/>
      <c r="U818" s="597"/>
      <c r="V818" s="597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</row>
    <row r="819" ht="12.0" customHeight="1">
      <c r="A819" s="175"/>
      <c r="B819" s="175"/>
      <c r="C819" s="597"/>
      <c r="D819" s="597"/>
      <c r="E819" s="597"/>
      <c r="F819" s="597"/>
      <c r="G819" s="597"/>
      <c r="H819" s="597"/>
      <c r="I819" s="175"/>
      <c r="J819" s="175"/>
      <c r="K819" s="597"/>
      <c r="L819" s="597"/>
      <c r="M819" s="175"/>
      <c r="N819" s="175"/>
      <c r="O819" s="805"/>
      <c r="P819" s="175"/>
      <c r="Q819" s="175"/>
      <c r="R819" s="175"/>
      <c r="S819" s="175"/>
      <c r="T819" s="597"/>
      <c r="U819" s="597"/>
      <c r="V819" s="597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</row>
    <row r="820" ht="12.0" customHeight="1">
      <c r="A820" s="175"/>
      <c r="B820" s="175"/>
      <c r="C820" s="597"/>
      <c r="D820" s="597"/>
      <c r="E820" s="597"/>
      <c r="F820" s="597"/>
      <c r="G820" s="597"/>
      <c r="H820" s="597"/>
      <c r="I820" s="175"/>
      <c r="J820" s="175"/>
      <c r="K820" s="597"/>
      <c r="L820" s="597"/>
      <c r="M820" s="175"/>
      <c r="N820" s="175"/>
      <c r="O820" s="805"/>
      <c r="P820" s="175"/>
      <c r="Q820" s="175"/>
      <c r="R820" s="175"/>
      <c r="S820" s="175"/>
      <c r="T820" s="597"/>
      <c r="U820" s="597"/>
      <c r="V820" s="597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</row>
    <row r="821" ht="12.0" customHeight="1">
      <c r="A821" s="175"/>
      <c r="B821" s="175"/>
      <c r="C821" s="597"/>
      <c r="D821" s="597"/>
      <c r="E821" s="597"/>
      <c r="F821" s="597"/>
      <c r="G821" s="597"/>
      <c r="H821" s="597"/>
      <c r="I821" s="175"/>
      <c r="J821" s="175"/>
      <c r="K821" s="597"/>
      <c r="L821" s="597"/>
      <c r="M821" s="175"/>
      <c r="N821" s="175"/>
      <c r="O821" s="805"/>
      <c r="P821" s="175"/>
      <c r="Q821" s="175"/>
      <c r="R821" s="175"/>
      <c r="S821" s="175"/>
      <c r="T821" s="597"/>
      <c r="U821" s="597"/>
      <c r="V821" s="597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</row>
    <row r="822" ht="12.0" customHeight="1">
      <c r="A822" s="175"/>
      <c r="B822" s="175"/>
      <c r="C822" s="597"/>
      <c r="D822" s="597"/>
      <c r="E822" s="597"/>
      <c r="F822" s="597"/>
      <c r="G822" s="597"/>
      <c r="H822" s="597"/>
      <c r="I822" s="175"/>
      <c r="J822" s="175"/>
      <c r="K822" s="597"/>
      <c r="L822" s="597"/>
      <c r="M822" s="175"/>
      <c r="N822" s="175"/>
      <c r="O822" s="805"/>
      <c r="P822" s="175"/>
      <c r="Q822" s="175"/>
      <c r="R822" s="175"/>
      <c r="S822" s="175"/>
      <c r="T822" s="597"/>
      <c r="U822" s="597"/>
      <c r="V822" s="597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</row>
    <row r="823" ht="12.0" customHeight="1">
      <c r="A823" s="175"/>
      <c r="B823" s="175"/>
      <c r="C823" s="597"/>
      <c r="D823" s="597"/>
      <c r="E823" s="597"/>
      <c r="F823" s="597"/>
      <c r="G823" s="597"/>
      <c r="H823" s="597"/>
      <c r="I823" s="175"/>
      <c r="J823" s="175"/>
      <c r="K823" s="597"/>
      <c r="L823" s="597"/>
      <c r="M823" s="175"/>
      <c r="N823" s="175"/>
      <c r="O823" s="805"/>
      <c r="P823" s="175"/>
      <c r="Q823" s="175"/>
      <c r="R823" s="175"/>
      <c r="S823" s="175"/>
      <c r="T823" s="597"/>
      <c r="U823" s="597"/>
      <c r="V823" s="597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</row>
    <row r="824" ht="12.0" customHeight="1">
      <c r="A824" s="175"/>
      <c r="B824" s="175"/>
      <c r="C824" s="597"/>
      <c r="D824" s="597"/>
      <c r="E824" s="597"/>
      <c r="F824" s="597"/>
      <c r="G824" s="597"/>
      <c r="H824" s="597"/>
      <c r="I824" s="175"/>
      <c r="J824" s="175"/>
      <c r="K824" s="597"/>
      <c r="L824" s="597"/>
      <c r="M824" s="175"/>
      <c r="N824" s="175"/>
      <c r="O824" s="805"/>
      <c r="P824" s="175"/>
      <c r="Q824" s="175"/>
      <c r="R824" s="175"/>
      <c r="S824" s="175"/>
      <c r="T824" s="597"/>
      <c r="U824" s="597"/>
      <c r="V824" s="597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</row>
    <row r="825" ht="12.0" customHeight="1">
      <c r="A825" s="175"/>
      <c r="B825" s="175"/>
      <c r="C825" s="597"/>
      <c r="D825" s="597"/>
      <c r="E825" s="597"/>
      <c r="F825" s="597"/>
      <c r="G825" s="597"/>
      <c r="H825" s="597"/>
      <c r="I825" s="175"/>
      <c r="J825" s="175"/>
      <c r="K825" s="597"/>
      <c r="L825" s="597"/>
      <c r="M825" s="175"/>
      <c r="N825" s="175"/>
      <c r="O825" s="805"/>
      <c r="P825" s="175"/>
      <c r="Q825" s="175"/>
      <c r="R825" s="175"/>
      <c r="S825" s="175"/>
      <c r="T825" s="597"/>
      <c r="U825" s="597"/>
      <c r="V825" s="597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</row>
    <row r="826" ht="12.0" customHeight="1">
      <c r="A826" s="175"/>
      <c r="B826" s="175"/>
      <c r="C826" s="597"/>
      <c r="D826" s="597"/>
      <c r="E826" s="597"/>
      <c r="F826" s="597"/>
      <c r="G826" s="597"/>
      <c r="H826" s="597"/>
      <c r="I826" s="175"/>
      <c r="J826" s="175"/>
      <c r="K826" s="597"/>
      <c r="L826" s="597"/>
      <c r="M826" s="175"/>
      <c r="N826" s="175"/>
      <c r="O826" s="805"/>
      <c r="P826" s="175"/>
      <c r="Q826" s="175"/>
      <c r="R826" s="175"/>
      <c r="S826" s="175"/>
      <c r="T826" s="597"/>
      <c r="U826" s="597"/>
      <c r="V826" s="597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</row>
    <row r="827" ht="12.0" customHeight="1">
      <c r="A827" s="175"/>
      <c r="B827" s="175"/>
      <c r="C827" s="597"/>
      <c r="D827" s="597"/>
      <c r="E827" s="597"/>
      <c r="F827" s="597"/>
      <c r="G827" s="597"/>
      <c r="H827" s="597"/>
      <c r="I827" s="175"/>
      <c r="J827" s="175"/>
      <c r="K827" s="597"/>
      <c r="L827" s="597"/>
      <c r="M827" s="175"/>
      <c r="N827" s="175"/>
      <c r="O827" s="805"/>
      <c r="P827" s="175"/>
      <c r="Q827" s="175"/>
      <c r="R827" s="175"/>
      <c r="S827" s="175"/>
      <c r="T827" s="597"/>
      <c r="U827" s="597"/>
      <c r="V827" s="597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</row>
    <row r="828" ht="12.0" customHeight="1">
      <c r="A828" s="175"/>
      <c r="B828" s="175"/>
      <c r="C828" s="597"/>
      <c r="D828" s="597"/>
      <c r="E828" s="597"/>
      <c r="F828" s="597"/>
      <c r="G828" s="597"/>
      <c r="H828" s="597"/>
      <c r="I828" s="175"/>
      <c r="J828" s="175"/>
      <c r="K828" s="597"/>
      <c r="L828" s="597"/>
      <c r="M828" s="175"/>
      <c r="N828" s="175"/>
      <c r="O828" s="805"/>
      <c r="P828" s="175"/>
      <c r="Q828" s="175"/>
      <c r="R828" s="175"/>
      <c r="S828" s="175"/>
      <c r="T828" s="597"/>
      <c r="U828" s="597"/>
      <c r="V828" s="597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</row>
    <row r="829" ht="12.0" customHeight="1">
      <c r="A829" s="175"/>
      <c r="B829" s="175"/>
      <c r="C829" s="597"/>
      <c r="D829" s="597"/>
      <c r="E829" s="597"/>
      <c r="F829" s="597"/>
      <c r="G829" s="597"/>
      <c r="H829" s="597"/>
      <c r="I829" s="175"/>
      <c r="J829" s="175"/>
      <c r="K829" s="597"/>
      <c r="L829" s="597"/>
      <c r="M829" s="175"/>
      <c r="N829" s="175"/>
      <c r="O829" s="805"/>
      <c r="P829" s="175"/>
      <c r="Q829" s="175"/>
      <c r="R829" s="175"/>
      <c r="S829" s="175"/>
      <c r="T829" s="597"/>
      <c r="U829" s="597"/>
      <c r="V829" s="597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</row>
    <row r="830" ht="12.0" customHeight="1">
      <c r="A830" s="175"/>
      <c r="B830" s="175"/>
      <c r="C830" s="597"/>
      <c r="D830" s="597"/>
      <c r="E830" s="597"/>
      <c r="F830" s="597"/>
      <c r="G830" s="597"/>
      <c r="H830" s="597"/>
      <c r="I830" s="175"/>
      <c r="J830" s="175"/>
      <c r="K830" s="597"/>
      <c r="L830" s="597"/>
      <c r="M830" s="175"/>
      <c r="N830" s="175"/>
      <c r="O830" s="805"/>
      <c r="P830" s="175"/>
      <c r="Q830" s="175"/>
      <c r="R830" s="175"/>
      <c r="S830" s="175"/>
      <c r="T830" s="597"/>
      <c r="U830" s="597"/>
      <c r="V830" s="597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</row>
    <row r="831" ht="12.0" customHeight="1">
      <c r="A831" s="175"/>
      <c r="B831" s="175"/>
      <c r="C831" s="597"/>
      <c r="D831" s="597"/>
      <c r="E831" s="597"/>
      <c r="F831" s="597"/>
      <c r="G831" s="597"/>
      <c r="H831" s="597"/>
      <c r="I831" s="175"/>
      <c r="J831" s="175"/>
      <c r="K831" s="597"/>
      <c r="L831" s="597"/>
      <c r="M831" s="175"/>
      <c r="N831" s="175"/>
      <c r="O831" s="805"/>
      <c r="P831" s="175"/>
      <c r="Q831" s="175"/>
      <c r="R831" s="175"/>
      <c r="S831" s="175"/>
      <c r="T831" s="597"/>
      <c r="U831" s="597"/>
      <c r="V831" s="597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</row>
    <row r="832" ht="12.0" customHeight="1">
      <c r="A832" s="175"/>
      <c r="B832" s="175"/>
      <c r="C832" s="597"/>
      <c r="D832" s="597"/>
      <c r="E832" s="597"/>
      <c r="F832" s="597"/>
      <c r="G832" s="597"/>
      <c r="H832" s="597"/>
      <c r="I832" s="175"/>
      <c r="J832" s="175"/>
      <c r="K832" s="597"/>
      <c r="L832" s="597"/>
      <c r="M832" s="175"/>
      <c r="N832" s="175"/>
      <c r="O832" s="805"/>
      <c r="P832" s="175"/>
      <c r="Q832" s="175"/>
      <c r="R832" s="175"/>
      <c r="S832" s="175"/>
      <c r="T832" s="597"/>
      <c r="U832" s="597"/>
      <c r="V832" s="597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</row>
    <row r="833" ht="12.0" customHeight="1">
      <c r="A833" s="175"/>
      <c r="B833" s="175"/>
      <c r="C833" s="597"/>
      <c r="D833" s="597"/>
      <c r="E833" s="597"/>
      <c r="F833" s="597"/>
      <c r="G833" s="597"/>
      <c r="H833" s="597"/>
      <c r="I833" s="175"/>
      <c r="J833" s="175"/>
      <c r="K833" s="597"/>
      <c r="L833" s="597"/>
      <c r="M833" s="175"/>
      <c r="N833" s="175"/>
      <c r="O833" s="805"/>
      <c r="P833" s="175"/>
      <c r="Q833" s="175"/>
      <c r="R833" s="175"/>
      <c r="S833" s="175"/>
      <c r="T833" s="597"/>
      <c r="U833" s="597"/>
      <c r="V833" s="597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</row>
    <row r="834" ht="12.0" customHeight="1">
      <c r="A834" s="175"/>
      <c r="B834" s="175"/>
      <c r="C834" s="597"/>
      <c r="D834" s="597"/>
      <c r="E834" s="597"/>
      <c r="F834" s="597"/>
      <c r="G834" s="597"/>
      <c r="H834" s="597"/>
      <c r="I834" s="175"/>
      <c r="J834" s="175"/>
      <c r="K834" s="597"/>
      <c r="L834" s="597"/>
      <c r="M834" s="175"/>
      <c r="N834" s="175"/>
      <c r="O834" s="805"/>
      <c r="P834" s="175"/>
      <c r="Q834" s="175"/>
      <c r="R834" s="175"/>
      <c r="S834" s="175"/>
      <c r="T834" s="597"/>
      <c r="U834" s="597"/>
      <c r="V834" s="597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</row>
    <row r="835" ht="12.0" customHeight="1">
      <c r="A835" s="175"/>
      <c r="B835" s="175"/>
      <c r="C835" s="597"/>
      <c r="D835" s="597"/>
      <c r="E835" s="597"/>
      <c r="F835" s="597"/>
      <c r="G835" s="597"/>
      <c r="H835" s="597"/>
      <c r="I835" s="175"/>
      <c r="J835" s="175"/>
      <c r="K835" s="597"/>
      <c r="L835" s="597"/>
      <c r="M835" s="175"/>
      <c r="N835" s="175"/>
      <c r="O835" s="805"/>
      <c r="P835" s="175"/>
      <c r="Q835" s="175"/>
      <c r="R835" s="175"/>
      <c r="S835" s="175"/>
      <c r="T835" s="597"/>
      <c r="U835" s="597"/>
      <c r="V835" s="597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</row>
    <row r="836" ht="12.0" customHeight="1">
      <c r="A836" s="175"/>
      <c r="B836" s="175"/>
      <c r="C836" s="597"/>
      <c r="D836" s="597"/>
      <c r="E836" s="597"/>
      <c r="F836" s="597"/>
      <c r="G836" s="597"/>
      <c r="H836" s="597"/>
      <c r="I836" s="175"/>
      <c r="J836" s="175"/>
      <c r="K836" s="597"/>
      <c r="L836" s="597"/>
      <c r="M836" s="175"/>
      <c r="N836" s="175"/>
      <c r="O836" s="805"/>
      <c r="P836" s="175"/>
      <c r="Q836" s="175"/>
      <c r="R836" s="175"/>
      <c r="S836" s="175"/>
      <c r="T836" s="597"/>
      <c r="U836" s="597"/>
      <c r="V836" s="597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</row>
    <row r="837" ht="12.0" customHeight="1">
      <c r="A837" s="175"/>
      <c r="B837" s="175"/>
      <c r="C837" s="597"/>
      <c r="D837" s="597"/>
      <c r="E837" s="597"/>
      <c r="F837" s="597"/>
      <c r="G837" s="597"/>
      <c r="H837" s="597"/>
      <c r="I837" s="175"/>
      <c r="J837" s="175"/>
      <c r="K837" s="597"/>
      <c r="L837" s="597"/>
      <c r="M837" s="175"/>
      <c r="N837" s="175"/>
      <c r="O837" s="805"/>
      <c r="P837" s="175"/>
      <c r="Q837" s="175"/>
      <c r="R837" s="175"/>
      <c r="S837" s="175"/>
      <c r="T837" s="597"/>
      <c r="U837" s="597"/>
      <c r="V837" s="597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</row>
    <row r="838" ht="12.0" customHeight="1">
      <c r="A838" s="175"/>
      <c r="B838" s="175"/>
      <c r="C838" s="597"/>
      <c r="D838" s="597"/>
      <c r="E838" s="597"/>
      <c r="F838" s="597"/>
      <c r="G838" s="597"/>
      <c r="H838" s="597"/>
      <c r="I838" s="175"/>
      <c r="J838" s="175"/>
      <c r="K838" s="597"/>
      <c r="L838" s="597"/>
      <c r="M838" s="175"/>
      <c r="N838" s="175"/>
      <c r="O838" s="805"/>
      <c r="P838" s="175"/>
      <c r="Q838" s="175"/>
      <c r="R838" s="175"/>
      <c r="S838" s="175"/>
      <c r="T838" s="597"/>
      <c r="U838" s="597"/>
      <c r="V838" s="597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</row>
    <row r="839" ht="12.0" customHeight="1">
      <c r="A839" s="175"/>
      <c r="B839" s="175"/>
      <c r="C839" s="597"/>
      <c r="D839" s="597"/>
      <c r="E839" s="597"/>
      <c r="F839" s="597"/>
      <c r="G839" s="597"/>
      <c r="H839" s="597"/>
      <c r="I839" s="175"/>
      <c r="J839" s="175"/>
      <c r="K839" s="597"/>
      <c r="L839" s="597"/>
      <c r="M839" s="175"/>
      <c r="N839" s="175"/>
      <c r="O839" s="805"/>
      <c r="P839" s="175"/>
      <c r="Q839" s="175"/>
      <c r="R839" s="175"/>
      <c r="S839" s="175"/>
      <c r="T839" s="597"/>
      <c r="U839" s="597"/>
      <c r="V839" s="597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</row>
    <row r="840" ht="12.0" customHeight="1">
      <c r="A840" s="175"/>
      <c r="B840" s="175"/>
      <c r="C840" s="597"/>
      <c r="D840" s="597"/>
      <c r="E840" s="597"/>
      <c r="F840" s="597"/>
      <c r="G840" s="597"/>
      <c r="H840" s="597"/>
      <c r="I840" s="175"/>
      <c r="J840" s="175"/>
      <c r="K840" s="597"/>
      <c r="L840" s="597"/>
      <c r="M840" s="175"/>
      <c r="N840" s="175"/>
      <c r="O840" s="805"/>
      <c r="P840" s="175"/>
      <c r="Q840" s="175"/>
      <c r="R840" s="175"/>
      <c r="S840" s="175"/>
      <c r="T840" s="597"/>
      <c r="U840" s="597"/>
      <c r="V840" s="597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</row>
    <row r="841" ht="12.0" customHeight="1">
      <c r="A841" s="175"/>
      <c r="B841" s="175"/>
      <c r="C841" s="597"/>
      <c r="D841" s="597"/>
      <c r="E841" s="597"/>
      <c r="F841" s="597"/>
      <c r="G841" s="597"/>
      <c r="H841" s="597"/>
      <c r="I841" s="175"/>
      <c r="J841" s="175"/>
      <c r="K841" s="597"/>
      <c r="L841" s="597"/>
      <c r="M841" s="175"/>
      <c r="N841" s="175"/>
      <c r="O841" s="805"/>
      <c r="P841" s="175"/>
      <c r="Q841" s="175"/>
      <c r="R841" s="175"/>
      <c r="S841" s="175"/>
      <c r="T841" s="597"/>
      <c r="U841" s="597"/>
      <c r="V841" s="597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</row>
    <row r="842" ht="12.0" customHeight="1">
      <c r="A842" s="175"/>
      <c r="B842" s="175"/>
      <c r="C842" s="597"/>
      <c r="D842" s="597"/>
      <c r="E842" s="597"/>
      <c r="F842" s="597"/>
      <c r="G842" s="597"/>
      <c r="H842" s="597"/>
      <c r="I842" s="175"/>
      <c r="J842" s="175"/>
      <c r="K842" s="597"/>
      <c r="L842" s="597"/>
      <c r="M842" s="175"/>
      <c r="N842" s="175"/>
      <c r="O842" s="805"/>
      <c r="P842" s="175"/>
      <c r="Q842" s="175"/>
      <c r="R842" s="175"/>
      <c r="S842" s="175"/>
      <c r="T842" s="597"/>
      <c r="U842" s="597"/>
      <c r="V842" s="597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</row>
    <row r="843" ht="12.0" customHeight="1">
      <c r="A843" s="175"/>
      <c r="B843" s="175"/>
      <c r="C843" s="597"/>
      <c r="D843" s="597"/>
      <c r="E843" s="597"/>
      <c r="F843" s="597"/>
      <c r="G843" s="597"/>
      <c r="H843" s="597"/>
      <c r="I843" s="175"/>
      <c r="J843" s="175"/>
      <c r="K843" s="597"/>
      <c r="L843" s="597"/>
      <c r="M843" s="175"/>
      <c r="N843" s="175"/>
      <c r="O843" s="805"/>
      <c r="P843" s="175"/>
      <c r="Q843" s="175"/>
      <c r="R843" s="175"/>
      <c r="S843" s="175"/>
      <c r="T843" s="597"/>
      <c r="U843" s="597"/>
      <c r="V843" s="597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</row>
    <row r="844" ht="12.0" customHeight="1">
      <c r="A844" s="175"/>
      <c r="B844" s="175"/>
      <c r="C844" s="597"/>
      <c r="D844" s="597"/>
      <c r="E844" s="597"/>
      <c r="F844" s="597"/>
      <c r="G844" s="597"/>
      <c r="H844" s="597"/>
      <c r="I844" s="175"/>
      <c r="J844" s="175"/>
      <c r="K844" s="597"/>
      <c r="L844" s="597"/>
      <c r="M844" s="175"/>
      <c r="N844" s="175"/>
      <c r="O844" s="805"/>
      <c r="P844" s="175"/>
      <c r="Q844" s="175"/>
      <c r="R844" s="175"/>
      <c r="S844" s="175"/>
      <c r="T844" s="597"/>
      <c r="U844" s="597"/>
      <c r="V844" s="597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</row>
    <row r="845" ht="12.0" customHeight="1">
      <c r="A845" s="175"/>
      <c r="B845" s="175"/>
      <c r="C845" s="597"/>
      <c r="D845" s="597"/>
      <c r="E845" s="597"/>
      <c r="F845" s="597"/>
      <c r="G845" s="597"/>
      <c r="H845" s="597"/>
      <c r="I845" s="175"/>
      <c r="J845" s="175"/>
      <c r="K845" s="597"/>
      <c r="L845" s="597"/>
      <c r="M845" s="175"/>
      <c r="N845" s="175"/>
      <c r="O845" s="805"/>
      <c r="P845" s="175"/>
      <c r="Q845" s="175"/>
      <c r="R845" s="175"/>
      <c r="S845" s="175"/>
      <c r="T845" s="597"/>
      <c r="U845" s="597"/>
      <c r="V845" s="597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</row>
    <row r="846" ht="12.0" customHeight="1">
      <c r="A846" s="175"/>
      <c r="B846" s="175"/>
      <c r="C846" s="597"/>
      <c r="D846" s="597"/>
      <c r="E846" s="597"/>
      <c r="F846" s="597"/>
      <c r="G846" s="597"/>
      <c r="H846" s="597"/>
      <c r="I846" s="175"/>
      <c r="J846" s="175"/>
      <c r="K846" s="597"/>
      <c r="L846" s="597"/>
      <c r="M846" s="175"/>
      <c r="N846" s="175"/>
      <c r="O846" s="805"/>
      <c r="P846" s="175"/>
      <c r="Q846" s="175"/>
      <c r="R846" s="175"/>
      <c r="S846" s="175"/>
      <c r="T846" s="597"/>
      <c r="U846" s="597"/>
      <c r="V846" s="597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</row>
    <row r="847" ht="12.0" customHeight="1">
      <c r="A847" s="175"/>
      <c r="B847" s="175"/>
      <c r="C847" s="597"/>
      <c r="D847" s="597"/>
      <c r="E847" s="597"/>
      <c r="F847" s="597"/>
      <c r="G847" s="597"/>
      <c r="H847" s="597"/>
      <c r="I847" s="175"/>
      <c r="J847" s="175"/>
      <c r="K847" s="597"/>
      <c r="L847" s="597"/>
      <c r="M847" s="175"/>
      <c r="N847" s="175"/>
      <c r="O847" s="805"/>
      <c r="P847" s="175"/>
      <c r="Q847" s="175"/>
      <c r="R847" s="175"/>
      <c r="S847" s="175"/>
      <c r="T847" s="597"/>
      <c r="U847" s="597"/>
      <c r="V847" s="597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</row>
    <row r="848" ht="12.0" customHeight="1">
      <c r="A848" s="175"/>
      <c r="B848" s="175"/>
      <c r="C848" s="597"/>
      <c r="D848" s="597"/>
      <c r="E848" s="597"/>
      <c r="F848" s="597"/>
      <c r="G848" s="597"/>
      <c r="H848" s="597"/>
      <c r="I848" s="175"/>
      <c r="J848" s="175"/>
      <c r="K848" s="597"/>
      <c r="L848" s="597"/>
      <c r="M848" s="175"/>
      <c r="N848" s="175"/>
      <c r="O848" s="805"/>
      <c r="P848" s="175"/>
      <c r="Q848" s="175"/>
      <c r="R848" s="175"/>
      <c r="S848" s="175"/>
      <c r="T848" s="597"/>
      <c r="U848" s="597"/>
      <c r="V848" s="597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</row>
    <row r="849" ht="12.0" customHeight="1">
      <c r="A849" s="175"/>
      <c r="B849" s="175"/>
      <c r="C849" s="597"/>
      <c r="D849" s="597"/>
      <c r="E849" s="597"/>
      <c r="F849" s="597"/>
      <c r="G849" s="597"/>
      <c r="H849" s="597"/>
      <c r="I849" s="175"/>
      <c r="J849" s="175"/>
      <c r="K849" s="597"/>
      <c r="L849" s="597"/>
      <c r="M849" s="175"/>
      <c r="N849" s="175"/>
      <c r="O849" s="805"/>
      <c r="P849" s="175"/>
      <c r="Q849" s="175"/>
      <c r="R849" s="175"/>
      <c r="S849" s="175"/>
      <c r="T849" s="597"/>
      <c r="U849" s="597"/>
      <c r="V849" s="597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</row>
    <row r="850" ht="12.0" customHeight="1">
      <c r="A850" s="175"/>
      <c r="B850" s="175"/>
      <c r="C850" s="597"/>
      <c r="D850" s="597"/>
      <c r="E850" s="597"/>
      <c r="F850" s="597"/>
      <c r="G850" s="597"/>
      <c r="H850" s="597"/>
      <c r="I850" s="175"/>
      <c r="J850" s="175"/>
      <c r="K850" s="597"/>
      <c r="L850" s="597"/>
      <c r="M850" s="175"/>
      <c r="N850" s="175"/>
      <c r="O850" s="805"/>
      <c r="P850" s="175"/>
      <c r="Q850" s="175"/>
      <c r="R850" s="175"/>
      <c r="S850" s="175"/>
      <c r="T850" s="597"/>
      <c r="U850" s="597"/>
      <c r="V850" s="597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</row>
    <row r="851" ht="12.0" customHeight="1">
      <c r="A851" s="175"/>
      <c r="B851" s="175"/>
      <c r="C851" s="597"/>
      <c r="D851" s="597"/>
      <c r="E851" s="597"/>
      <c r="F851" s="597"/>
      <c r="G851" s="597"/>
      <c r="H851" s="597"/>
      <c r="I851" s="175"/>
      <c r="J851" s="175"/>
      <c r="K851" s="597"/>
      <c r="L851" s="597"/>
      <c r="M851" s="175"/>
      <c r="N851" s="175"/>
      <c r="O851" s="805"/>
      <c r="P851" s="175"/>
      <c r="Q851" s="175"/>
      <c r="R851" s="175"/>
      <c r="S851" s="175"/>
      <c r="T851" s="597"/>
      <c r="U851" s="597"/>
      <c r="V851" s="597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</row>
    <row r="852" ht="12.0" customHeight="1">
      <c r="A852" s="175"/>
      <c r="B852" s="175"/>
      <c r="C852" s="597"/>
      <c r="D852" s="597"/>
      <c r="E852" s="597"/>
      <c r="F852" s="597"/>
      <c r="G852" s="597"/>
      <c r="H852" s="597"/>
      <c r="I852" s="175"/>
      <c r="J852" s="175"/>
      <c r="K852" s="597"/>
      <c r="L852" s="597"/>
      <c r="M852" s="175"/>
      <c r="N852" s="175"/>
      <c r="O852" s="805"/>
      <c r="P852" s="175"/>
      <c r="Q852" s="175"/>
      <c r="R852" s="175"/>
      <c r="S852" s="175"/>
      <c r="T852" s="597"/>
      <c r="U852" s="597"/>
      <c r="V852" s="597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</row>
    <row r="853" ht="12.0" customHeight="1">
      <c r="A853" s="175"/>
      <c r="B853" s="175"/>
      <c r="C853" s="597"/>
      <c r="D853" s="597"/>
      <c r="E853" s="597"/>
      <c r="F853" s="597"/>
      <c r="G853" s="597"/>
      <c r="H853" s="597"/>
      <c r="I853" s="175"/>
      <c r="J853" s="175"/>
      <c r="K853" s="597"/>
      <c r="L853" s="597"/>
      <c r="M853" s="175"/>
      <c r="N853" s="175"/>
      <c r="O853" s="805"/>
      <c r="P853" s="175"/>
      <c r="Q853" s="175"/>
      <c r="R853" s="175"/>
      <c r="S853" s="175"/>
      <c r="T853" s="597"/>
      <c r="U853" s="597"/>
      <c r="V853" s="597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</row>
    <row r="854" ht="12.0" customHeight="1">
      <c r="A854" s="175"/>
      <c r="B854" s="175"/>
      <c r="C854" s="597"/>
      <c r="D854" s="597"/>
      <c r="E854" s="597"/>
      <c r="F854" s="597"/>
      <c r="G854" s="597"/>
      <c r="H854" s="597"/>
      <c r="I854" s="175"/>
      <c r="J854" s="175"/>
      <c r="K854" s="597"/>
      <c r="L854" s="597"/>
      <c r="M854" s="175"/>
      <c r="N854" s="175"/>
      <c r="O854" s="805"/>
      <c r="P854" s="175"/>
      <c r="Q854" s="175"/>
      <c r="R854" s="175"/>
      <c r="S854" s="175"/>
      <c r="T854" s="597"/>
      <c r="U854" s="597"/>
      <c r="V854" s="597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</row>
    <row r="855" ht="12.0" customHeight="1">
      <c r="A855" s="175"/>
      <c r="B855" s="175"/>
      <c r="C855" s="597"/>
      <c r="D855" s="597"/>
      <c r="E855" s="597"/>
      <c r="F855" s="597"/>
      <c r="G855" s="597"/>
      <c r="H855" s="597"/>
      <c r="I855" s="175"/>
      <c r="J855" s="175"/>
      <c r="K855" s="597"/>
      <c r="L855" s="597"/>
      <c r="M855" s="175"/>
      <c r="N855" s="175"/>
      <c r="O855" s="805"/>
      <c r="P855" s="175"/>
      <c r="Q855" s="175"/>
      <c r="R855" s="175"/>
      <c r="S855" s="175"/>
      <c r="T855" s="597"/>
      <c r="U855" s="597"/>
      <c r="V855" s="597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</row>
    <row r="856" ht="12.0" customHeight="1">
      <c r="A856" s="175"/>
      <c r="B856" s="175"/>
      <c r="C856" s="597"/>
      <c r="D856" s="597"/>
      <c r="E856" s="597"/>
      <c r="F856" s="597"/>
      <c r="G856" s="597"/>
      <c r="H856" s="597"/>
      <c r="I856" s="175"/>
      <c r="J856" s="175"/>
      <c r="K856" s="597"/>
      <c r="L856" s="597"/>
      <c r="M856" s="175"/>
      <c r="N856" s="175"/>
      <c r="O856" s="805"/>
      <c r="P856" s="175"/>
      <c r="Q856" s="175"/>
      <c r="R856" s="175"/>
      <c r="S856" s="175"/>
      <c r="T856" s="597"/>
      <c r="U856" s="597"/>
      <c r="V856" s="597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</row>
    <row r="857" ht="12.0" customHeight="1">
      <c r="A857" s="175"/>
      <c r="B857" s="175"/>
      <c r="C857" s="597"/>
      <c r="D857" s="597"/>
      <c r="E857" s="597"/>
      <c r="F857" s="597"/>
      <c r="G857" s="597"/>
      <c r="H857" s="597"/>
      <c r="I857" s="175"/>
      <c r="J857" s="175"/>
      <c r="K857" s="597"/>
      <c r="L857" s="597"/>
      <c r="M857" s="175"/>
      <c r="N857" s="175"/>
      <c r="O857" s="805"/>
      <c r="P857" s="175"/>
      <c r="Q857" s="175"/>
      <c r="R857" s="175"/>
      <c r="S857" s="175"/>
      <c r="T857" s="597"/>
      <c r="U857" s="597"/>
      <c r="V857" s="597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</row>
    <row r="858" ht="12.0" customHeight="1">
      <c r="A858" s="175"/>
      <c r="B858" s="175"/>
      <c r="C858" s="597"/>
      <c r="D858" s="597"/>
      <c r="E858" s="597"/>
      <c r="F858" s="597"/>
      <c r="G858" s="597"/>
      <c r="H858" s="597"/>
      <c r="I858" s="175"/>
      <c r="J858" s="175"/>
      <c r="K858" s="597"/>
      <c r="L858" s="597"/>
      <c r="M858" s="175"/>
      <c r="N858" s="175"/>
      <c r="O858" s="805"/>
      <c r="P858" s="175"/>
      <c r="Q858" s="175"/>
      <c r="R858" s="175"/>
      <c r="S858" s="175"/>
      <c r="T858" s="597"/>
      <c r="U858" s="597"/>
      <c r="V858" s="597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</row>
    <row r="859" ht="12.0" customHeight="1">
      <c r="A859" s="175"/>
      <c r="B859" s="175"/>
      <c r="C859" s="597"/>
      <c r="D859" s="597"/>
      <c r="E859" s="597"/>
      <c r="F859" s="597"/>
      <c r="G859" s="597"/>
      <c r="H859" s="597"/>
      <c r="I859" s="175"/>
      <c r="J859" s="175"/>
      <c r="K859" s="597"/>
      <c r="L859" s="597"/>
      <c r="M859" s="175"/>
      <c r="N859" s="175"/>
      <c r="O859" s="805"/>
      <c r="P859" s="175"/>
      <c r="Q859" s="175"/>
      <c r="R859" s="175"/>
      <c r="S859" s="175"/>
      <c r="T859" s="597"/>
      <c r="U859" s="597"/>
      <c r="V859" s="597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</row>
    <row r="860" ht="12.0" customHeight="1">
      <c r="A860" s="175"/>
      <c r="B860" s="175"/>
      <c r="C860" s="597"/>
      <c r="D860" s="597"/>
      <c r="E860" s="597"/>
      <c r="F860" s="597"/>
      <c r="G860" s="597"/>
      <c r="H860" s="597"/>
      <c r="I860" s="175"/>
      <c r="J860" s="175"/>
      <c r="K860" s="597"/>
      <c r="L860" s="597"/>
      <c r="M860" s="175"/>
      <c r="N860" s="175"/>
      <c r="O860" s="805"/>
      <c r="P860" s="175"/>
      <c r="Q860" s="175"/>
      <c r="R860" s="175"/>
      <c r="S860" s="175"/>
      <c r="T860" s="597"/>
      <c r="U860" s="597"/>
      <c r="V860" s="597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</row>
    <row r="861" ht="12.0" customHeight="1">
      <c r="A861" s="175"/>
      <c r="B861" s="175"/>
      <c r="C861" s="597"/>
      <c r="D861" s="597"/>
      <c r="E861" s="597"/>
      <c r="F861" s="597"/>
      <c r="G861" s="597"/>
      <c r="H861" s="597"/>
      <c r="I861" s="175"/>
      <c r="J861" s="175"/>
      <c r="K861" s="597"/>
      <c r="L861" s="597"/>
      <c r="M861" s="175"/>
      <c r="N861" s="175"/>
      <c r="O861" s="805"/>
      <c r="P861" s="175"/>
      <c r="Q861" s="175"/>
      <c r="R861" s="175"/>
      <c r="S861" s="175"/>
      <c r="T861" s="597"/>
      <c r="U861" s="597"/>
      <c r="V861" s="597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</row>
    <row r="862" ht="12.0" customHeight="1">
      <c r="A862" s="175"/>
      <c r="B862" s="175"/>
      <c r="C862" s="597"/>
      <c r="D862" s="597"/>
      <c r="E862" s="597"/>
      <c r="F862" s="597"/>
      <c r="G862" s="597"/>
      <c r="H862" s="597"/>
      <c r="I862" s="175"/>
      <c r="J862" s="175"/>
      <c r="K862" s="597"/>
      <c r="L862" s="597"/>
      <c r="M862" s="175"/>
      <c r="N862" s="175"/>
      <c r="O862" s="805"/>
      <c r="P862" s="175"/>
      <c r="Q862" s="175"/>
      <c r="R862" s="175"/>
      <c r="S862" s="175"/>
      <c r="T862" s="597"/>
      <c r="U862" s="597"/>
      <c r="V862" s="597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</row>
    <row r="863" ht="12.0" customHeight="1">
      <c r="A863" s="175"/>
      <c r="B863" s="175"/>
      <c r="C863" s="597"/>
      <c r="D863" s="597"/>
      <c r="E863" s="597"/>
      <c r="F863" s="597"/>
      <c r="G863" s="597"/>
      <c r="H863" s="597"/>
      <c r="I863" s="175"/>
      <c r="J863" s="175"/>
      <c r="K863" s="597"/>
      <c r="L863" s="597"/>
      <c r="M863" s="175"/>
      <c r="N863" s="175"/>
      <c r="O863" s="805"/>
      <c r="P863" s="175"/>
      <c r="Q863" s="175"/>
      <c r="R863" s="175"/>
      <c r="S863" s="175"/>
      <c r="T863" s="597"/>
      <c r="U863" s="597"/>
      <c r="V863" s="597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</row>
    <row r="864" ht="12.0" customHeight="1">
      <c r="A864" s="175"/>
      <c r="B864" s="175"/>
      <c r="C864" s="597"/>
      <c r="D864" s="597"/>
      <c r="E864" s="597"/>
      <c r="F864" s="597"/>
      <c r="G864" s="597"/>
      <c r="H864" s="597"/>
      <c r="I864" s="175"/>
      <c r="J864" s="175"/>
      <c r="K864" s="597"/>
      <c r="L864" s="597"/>
      <c r="M864" s="175"/>
      <c r="N864" s="175"/>
      <c r="O864" s="805"/>
      <c r="P864" s="175"/>
      <c r="Q864" s="175"/>
      <c r="R864" s="175"/>
      <c r="S864" s="175"/>
      <c r="T864" s="597"/>
      <c r="U864" s="597"/>
      <c r="V864" s="597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</row>
    <row r="865" ht="12.0" customHeight="1">
      <c r="A865" s="175"/>
      <c r="B865" s="175"/>
      <c r="C865" s="597"/>
      <c r="D865" s="597"/>
      <c r="E865" s="597"/>
      <c r="F865" s="597"/>
      <c r="G865" s="597"/>
      <c r="H865" s="597"/>
      <c r="I865" s="175"/>
      <c r="J865" s="175"/>
      <c r="K865" s="597"/>
      <c r="L865" s="597"/>
      <c r="M865" s="175"/>
      <c r="N865" s="175"/>
      <c r="O865" s="805"/>
      <c r="P865" s="175"/>
      <c r="Q865" s="175"/>
      <c r="R865" s="175"/>
      <c r="S865" s="175"/>
      <c r="T865" s="597"/>
      <c r="U865" s="597"/>
      <c r="V865" s="597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</row>
    <row r="866" ht="12.0" customHeight="1">
      <c r="A866" s="175"/>
      <c r="B866" s="175"/>
      <c r="C866" s="597"/>
      <c r="D866" s="597"/>
      <c r="E866" s="597"/>
      <c r="F866" s="597"/>
      <c r="G866" s="597"/>
      <c r="H866" s="597"/>
      <c r="I866" s="175"/>
      <c r="J866" s="175"/>
      <c r="K866" s="597"/>
      <c r="L866" s="597"/>
      <c r="M866" s="175"/>
      <c r="N866" s="175"/>
      <c r="O866" s="805"/>
      <c r="P866" s="175"/>
      <c r="Q866" s="175"/>
      <c r="R866" s="175"/>
      <c r="S866" s="175"/>
      <c r="T866" s="597"/>
      <c r="U866" s="597"/>
      <c r="V866" s="597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</row>
    <row r="867" ht="12.0" customHeight="1">
      <c r="A867" s="175"/>
      <c r="B867" s="175"/>
      <c r="C867" s="597"/>
      <c r="D867" s="597"/>
      <c r="E867" s="597"/>
      <c r="F867" s="597"/>
      <c r="G867" s="597"/>
      <c r="H867" s="597"/>
      <c r="I867" s="175"/>
      <c r="J867" s="175"/>
      <c r="K867" s="597"/>
      <c r="L867" s="597"/>
      <c r="M867" s="175"/>
      <c r="N867" s="175"/>
      <c r="O867" s="805"/>
      <c r="P867" s="175"/>
      <c r="Q867" s="175"/>
      <c r="R867" s="175"/>
      <c r="S867" s="175"/>
      <c r="T867" s="597"/>
      <c r="U867" s="597"/>
      <c r="V867" s="597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</row>
    <row r="868" ht="12.0" customHeight="1">
      <c r="A868" s="175"/>
      <c r="B868" s="175"/>
      <c r="C868" s="597"/>
      <c r="D868" s="597"/>
      <c r="E868" s="597"/>
      <c r="F868" s="597"/>
      <c r="G868" s="597"/>
      <c r="H868" s="597"/>
      <c r="I868" s="175"/>
      <c r="J868" s="175"/>
      <c r="K868" s="597"/>
      <c r="L868" s="597"/>
      <c r="M868" s="175"/>
      <c r="N868" s="175"/>
      <c r="O868" s="805"/>
      <c r="P868" s="175"/>
      <c r="Q868" s="175"/>
      <c r="R868" s="175"/>
      <c r="S868" s="175"/>
      <c r="T868" s="597"/>
      <c r="U868" s="597"/>
      <c r="V868" s="597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</row>
    <row r="869" ht="12.0" customHeight="1">
      <c r="A869" s="175"/>
      <c r="B869" s="175"/>
      <c r="C869" s="597"/>
      <c r="D869" s="597"/>
      <c r="E869" s="597"/>
      <c r="F869" s="597"/>
      <c r="G869" s="597"/>
      <c r="H869" s="597"/>
      <c r="I869" s="175"/>
      <c r="J869" s="175"/>
      <c r="K869" s="597"/>
      <c r="L869" s="597"/>
      <c r="M869" s="175"/>
      <c r="N869" s="175"/>
      <c r="O869" s="805"/>
      <c r="P869" s="175"/>
      <c r="Q869" s="175"/>
      <c r="R869" s="175"/>
      <c r="S869" s="175"/>
      <c r="T869" s="597"/>
      <c r="U869" s="597"/>
      <c r="V869" s="597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</row>
    <row r="870" ht="12.0" customHeight="1">
      <c r="A870" s="175"/>
      <c r="B870" s="175"/>
      <c r="C870" s="597"/>
      <c r="D870" s="597"/>
      <c r="E870" s="597"/>
      <c r="F870" s="597"/>
      <c r="G870" s="597"/>
      <c r="H870" s="597"/>
      <c r="I870" s="175"/>
      <c r="J870" s="175"/>
      <c r="K870" s="597"/>
      <c r="L870" s="597"/>
      <c r="M870" s="175"/>
      <c r="N870" s="175"/>
      <c r="O870" s="805"/>
      <c r="P870" s="175"/>
      <c r="Q870" s="175"/>
      <c r="R870" s="175"/>
      <c r="S870" s="175"/>
      <c r="T870" s="597"/>
      <c r="U870" s="597"/>
      <c r="V870" s="597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</row>
    <row r="871" ht="12.0" customHeight="1">
      <c r="A871" s="175"/>
      <c r="B871" s="175"/>
      <c r="C871" s="597"/>
      <c r="D871" s="597"/>
      <c r="E871" s="597"/>
      <c r="F871" s="597"/>
      <c r="G871" s="597"/>
      <c r="H871" s="597"/>
      <c r="I871" s="175"/>
      <c r="J871" s="175"/>
      <c r="K871" s="597"/>
      <c r="L871" s="597"/>
      <c r="M871" s="175"/>
      <c r="N871" s="175"/>
      <c r="O871" s="805"/>
      <c r="P871" s="175"/>
      <c r="Q871" s="175"/>
      <c r="R871" s="175"/>
      <c r="S871" s="175"/>
      <c r="T871" s="597"/>
      <c r="U871" s="597"/>
      <c r="V871" s="597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</row>
    <row r="872" ht="12.0" customHeight="1">
      <c r="A872" s="175"/>
      <c r="B872" s="175"/>
      <c r="C872" s="597"/>
      <c r="D872" s="597"/>
      <c r="E872" s="597"/>
      <c r="F872" s="597"/>
      <c r="G872" s="597"/>
      <c r="H872" s="597"/>
      <c r="I872" s="175"/>
      <c r="J872" s="175"/>
      <c r="K872" s="597"/>
      <c r="L872" s="597"/>
      <c r="M872" s="175"/>
      <c r="N872" s="175"/>
      <c r="O872" s="805"/>
      <c r="P872" s="175"/>
      <c r="Q872" s="175"/>
      <c r="R872" s="175"/>
      <c r="S872" s="175"/>
      <c r="T872" s="597"/>
      <c r="U872" s="597"/>
      <c r="V872" s="597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</row>
    <row r="873" ht="12.0" customHeight="1">
      <c r="A873" s="175"/>
      <c r="B873" s="175"/>
      <c r="C873" s="597"/>
      <c r="D873" s="597"/>
      <c r="E873" s="597"/>
      <c r="F873" s="597"/>
      <c r="G873" s="597"/>
      <c r="H873" s="597"/>
      <c r="I873" s="175"/>
      <c r="J873" s="175"/>
      <c r="K873" s="597"/>
      <c r="L873" s="597"/>
      <c r="M873" s="175"/>
      <c r="N873" s="175"/>
      <c r="O873" s="805"/>
      <c r="P873" s="175"/>
      <c r="Q873" s="175"/>
      <c r="R873" s="175"/>
      <c r="S873" s="175"/>
      <c r="T873" s="597"/>
      <c r="U873" s="597"/>
      <c r="V873" s="597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</row>
    <row r="874" ht="12.0" customHeight="1">
      <c r="A874" s="175"/>
      <c r="B874" s="175"/>
      <c r="C874" s="597"/>
      <c r="D874" s="597"/>
      <c r="E874" s="597"/>
      <c r="F874" s="597"/>
      <c r="G874" s="597"/>
      <c r="H874" s="597"/>
      <c r="I874" s="175"/>
      <c r="J874" s="175"/>
      <c r="K874" s="597"/>
      <c r="L874" s="597"/>
      <c r="M874" s="175"/>
      <c r="N874" s="175"/>
      <c r="O874" s="805"/>
      <c r="P874" s="175"/>
      <c r="Q874" s="175"/>
      <c r="R874" s="175"/>
      <c r="S874" s="175"/>
      <c r="T874" s="597"/>
      <c r="U874" s="597"/>
      <c r="V874" s="597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</row>
    <row r="875" ht="12.0" customHeight="1">
      <c r="A875" s="175"/>
      <c r="B875" s="175"/>
      <c r="C875" s="597"/>
      <c r="D875" s="597"/>
      <c r="E875" s="597"/>
      <c r="F875" s="597"/>
      <c r="G875" s="597"/>
      <c r="H875" s="597"/>
      <c r="I875" s="175"/>
      <c r="J875" s="175"/>
      <c r="K875" s="597"/>
      <c r="L875" s="597"/>
      <c r="M875" s="175"/>
      <c r="N875" s="175"/>
      <c r="O875" s="805"/>
      <c r="P875" s="175"/>
      <c r="Q875" s="175"/>
      <c r="R875" s="175"/>
      <c r="S875" s="175"/>
      <c r="T875" s="597"/>
      <c r="U875" s="597"/>
      <c r="V875" s="597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</row>
    <row r="876" ht="12.0" customHeight="1">
      <c r="A876" s="175"/>
      <c r="B876" s="175"/>
      <c r="C876" s="597"/>
      <c r="D876" s="597"/>
      <c r="E876" s="597"/>
      <c r="F876" s="597"/>
      <c r="G876" s="597"/>
      <c r="H876" s="597"/>
      <c r="I876" s="175"/>
      <c r="J876" s="175"/>
      <c r="K876" s="597"/>
      <c r="L876" s="597"/>
      <c r="M876" s="175"/>
      <c r="N876" s="175"/>
      <c r="O876" s="805"/>
      <c r="P876" s="175"/>
      <c r="Q876" s="175"/>
      <c r="R876" s="175"/>
      <c r="S876" s="175"/>
      <c r="T876" s="597"/>
      <c r="U876" s="597"/>
      <c r="V876" s="597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</row>
    <row r="877" ht="12.0" customHeight="1">
      <c r="A877" s="175"/>
      <c r="B877" s="175"/>
      <c r="C877" s="597"/>
      <c r="D877" s="597"/>
      <c r="E877" s="597"/>
      <c r="F877" s="597"/>
      <c r="G877" s="597"/>
      <c r="H877" s="597"/>
      <c r="I877" s="175"/>
      <c r="J877" s="175"/>
      <c r="K877" s="597"/>
      <c r="L877" s="597"/>
      <c r="M877" s="175"/>
      <c r="N877" s="175"/>
      <c r="O877" s="805"/>
      <c r="P877" s="175"/>
      <c r="Q877" s="175"/>
      <c r="R877" s="175"/>
      <c r="S877" s="175"/>
      <c r="T877" s="597"/>
      <c r="U877" s="597"/>
      <c r="V877" s="597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</row>
    <row r="878" ht="12.0" customHeight="1">
      <c r="A878" s="175"/>
      <c r="B878" s="175"/>
      <c r="C878" s="597"/>
      <c r="D878" s="597"/>
      <c r="E878" s="597"/>
      <c r="F878" s="597"/>
      <c r="G878" s="597"/>
      <c r="H878" s="597"/>
      <c r="I878" s="175"/>
      <c r="J878" s="175"/>
      <c r="K878" s="597"/>
      <c r="L878" s="597"/>
      <c r="M878" s="175"/>
      <c r="N878" s="175"/>
      <c r="O878" s="805"/>
      <c r="P878" s="175"/>
      <c r="Q878" s="175"/>
      <c r="R878" s="175"/>
      <c r="S878" s="175"/>
      <c r="T878" s="597"/>
      <c r="U878" s="597"/>
      <c r="V878" s="597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</row>
    <row r="879" ht="12.0" customHeight="1">
      <c r="A879" s="175"/>
      <c r="B879" s="175"/>
      <c r="C879" s="597"/>
      <c r="D879" s="597"/>
      <c r="E879" s="597"/>
      <c r="F879" s="597"/>
      <c r="G879" s="597"/>
      <c r="H879" s="597"/>
      <c r="I879" s="175"/>
      <c r="J879" s="175"/>
      <c r="K879" s="597"/>
      <c r="L879" s="597"/>
      <c r="M879" s="175"/>
      <c r="N879" s="175"/>
      <c r="O879" s="805"/>
      <c r="P879" s="175"/>
      <c r="Q879" s="175"/>
      <c r="R879" s="175"/>
      <c r="S879" s="175"/>
      <c r="T879" s="597"/>
      <c r="U879" s="597"/>
      <c r="V879" s="597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</row>
    <row r="880" ht="12.0" customHeight="1">
      <c r="A880" s="175"/>
      <c r="B880" s="175"/>
      <c r="C880" s="597"/>
      <c r="D880" s="597"/>
      <c r="E880" s="597"/>
      <c r="F880" s="597"/>
      <c r="G880" s="597"/>
      <c r="H880" s="597"/>
      <c r="I880" s="175"/>
      <c r="J880" s="175"/>
      <c r="K880" s="597"/>
      <c r="L880" s="597"/>
      <c r="M880" s="175"/>
      <c r="N880" s="175"/>
      <c r="O880" s="805"/>
      <c r="P880" s="175"/>
      <c r="Q880" s="175"/>
      <c r="R880" s="175"/>
      <c r="S880" s="175"/>
      <c r="T880" s="597"/>
      <c r="U880" s="597"/>
      <c r="V880" s="597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</row>
    <row r="881" ht="12.0" customHeight="1">
      <c r="A881" s="175"/>
      <c r="B881" s="175"/>
      <c r="C881" s="597"/>
      <c r="D881" s="597"/>
      <c r="E881" s="597"/>
      <c r="F881" s="597"/>
      <c r="G881" s="597"/>
      <c r="H881" s="597"/>
      <c r="I881" s="175"/>
      <c r="J881" s="175"/>
      <c r="K881" s="597"/>
      <c r="L881" s="597"/>
      <c r="M881" s="175"/>
      <c r="N881" s="175"/>
      <c r="O881" s="805"/>
      <c r="P881" s="175"/>
      <c r="Q881" s="175"/>
      <c r="R881" s="175"/>
      <c r="S881" s="175"/>
      <c r="T881" s="597"/>
      <c r="U881" s="597"/>
      <c r="V881" s="597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</row>
    <row r="882" ht="12.0" customHeight="1">
      <c r="A882" s="175"/>
      <c r="B882" s="175"/>
      <c r="C882" s="597"/>
      <c r="D882" s="597"/>
      <c r="E882" s="597"/>
      <c r="F882" s="597"/>
      <c r="G882" s="597"/>
      <c r="H882" s="597"/>
      <c r="I882" s="175"/>
      <c r="J882" s="175"/>
      <c r="K882" s="597"/>
      <c r="L882" s="597"/>
      <c r="M882" s="175"/>
      <c r="N882" s="175"/>
      <c r="O882" s="805"/>
      <c r="P882" s="175"/>
      <c r="Q882" s="175"/>
      <c r="R882" s="175"/>
      <c r="S882" s="175"/>
      <c r="T882" s="597"/>
      <c r="U882" s="597"/>
      <c r="V882" s="597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</row>
    <row r="883" ht="12.0" customHeight="1">
      <c r="A883" s="175"/>
      <c r="B883" s="175"/>
      <c r="C883" s="597"/>
      <c r="D883" s="597"/>
      <c r="E883" s="597"/>
      <c r="F883" s="597"/>
      <c r="G883" s="597"/>
      <c r="H883" s="597"/>
      <c r="I883" s="175"/>
      <c r="J883" s="175"/>
      <c r="K883" s="597"/>
      <c r="L883" s="597"/>
      <c r="M883" s="175"/>
      <c r="N883" s="175"/>
      <c r="O883" s="805"/>
      <c r="P883" s="175"/>
      <c r="Q883" s="175"/>
      <c r="R883" s="175"/>
      <c r="S883" s="175"/>
      <c r="T883" s="597"/>
      <c r="U883" s="597"/>
      <c r="V883" s="597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</row>
    <row r="884" ht="12.0" customHeight="1">
      <c r="A884" s="175"/>
      <c r="B884" s="175"/>
      <c r="C884" s="597"/>
      <c r="D884" s="597"/>
      <c r="E884" s="597"/>
      <c r="F884" s="597"/>
      <c r="G884" s="597"/>
      <c r="H884" s="597"/>
      <c r="I884" s="175"/>
      <c r="J884" s="175"/>
      <c r="K884" s="597"/>
      <c r="L884" s="597"/>
      <c r="M884" s="175"/>
      <c r="N884" s="175"/>
      <c r="O884" s="805"/>
      <c r="P884" s="175"/>
      <c r="Q884" s="175"/>
      <c r="R884" s="175"/>
      <c r="S884" s="175"/>
      <c r="T884" s="597"/>
      <c r="U884" s="597"/>
      <c r="V884" s="597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</row>
    <row r="885" ht="12.0" customHeight="1">
      <c r="A885" s="175"/>
      <c r="B885" s="175"/>
      <c r="C885" s="597"/>
      <c r="D885" s="597"/>
      <c r="E885" s="597"/>
      <c r="F885" s="597"/>
      <c r="G885" s="597"/>
      <c r="H885" s="597"/>
      <c r="I885" s="175"/>
      <c r="J885" s="175"/>
      <c r="K885" s="597"/>
      <c r="L885" s="597"/>
      <c r="M885" s="175"/>
      <c r="N885" s="175"/>
      <c r="O885" s="805"/>
      <c r="P885" s="175"/>
      <c r="Q885" s="175"/>
      <c r="R885" s="175"/>
      <c r="S885" s="175"/>
      <c r="T885" s="597"/>
      <c r="U885" s="597"/>
      <c r="V885" s="597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</row>
    <row r="886" ht="12.0" customHeight="1">
      <c r="A886" s="175"/>
      <c r="B886" s="175"/>
      <c r="C886" s="597"/>
      <c r="D886" s="597"/>
      <c r="E886" s="597"/>
      <c r="F886" s="597"/>
      <c r="G886" s="597"/>
      <c r="H886" s="597"/>
      <c r="I886" s="175"/>
      <c r="J886" s="175"/>
      <c r="K886" s="597"/>
      <c r="L886" s="597"/>
      <c r="M886" s="175"/>
      <c r="N886" s="175"/>
      <c r="O886" s="805"/>
      <c r="P886" s="175"/>
      <c r="Q886" s="175"/>
      <c r="R886" s="175"/>
      <c r="S886" s="175"/>
      <c r="T886" s="597"/>
      <c r="U886" s="597"/>
      <c r="V886" s="597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</row>
    <row r="887" ht="12.0" customHeight="1">
      <c r="A887" s="175"/>
      <c r="B887" s="175"/>
      <c r="C887" s="597"/>
      <c r="D887" s="597"/>
      <c r="E887" s="597"/>
      <c r="F887" s="597"/>
      <c r="G887" s="597"/>
      <c r="H887" s="597"/>
      <c r="I887" s="175"/>
      <c r="J887" s="175"/>
      <c r="K887" s="597"/>
      <c r="L887" s="597"/>
      <c r="M887" s="175"/>
      <c r="N887" s="175"/>
      <c r="O887" s="805"/>
      <c r="P887" s="175"/>
      <c r="Q887" s="175"/>
      <c r="R887" s="175"/>
      <c r="S887" s="175"/>
      <c r="T887" s="597"/>
      <c r="U887" s="597"/>
      <c r="V887" s="597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</row>
    <row r="888" ht="12.0" customHeight="1">
      <c r="A888" s="175"/>
      <c r="B888" s="175"/>
      <c r="C888" s="597"/>
      <c r="D888" s="597"/>
      <c r="E888" s="597"/>
      <c r="F888" s="597"/>
      <c r="G888" s="597"/>
      <c r="H888" s="597"/>
      <c r="I888" s="175"/>
      <c r="J888" s="175"/>
      <c r="K888" s="597"/>
      <c r="L888" s="597"/>
      <c r="M888" s="175"/>
      <c r="N888" s="175"/>
      <c r="O888" s="805"/>
      <c r="P888" s="175"/>
      <c r="Q888" s="175"/>
      <c r="R888" s="175"/>
      <c r="S888" s="175"/>
      <c r="T888" s="597"/>
      <c r="U888" s="597"/>
      <c r="V888" s="597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</row>
    <row r="889" ht="12.0" customHeight="1">
      <c r="A889" s="175"/>
      <c r="B889" s="175"/>
      <c r="C889" s="597"/>
      <c r="D889" s="597"/>
      <c r="E889" s="597"/>
      <c r="F889" s="597"/>
      <c r="G889" s="597"/>
      <c r="H889" s="597"/>
      <c r="I889" s="175"/>
      <c r="J889" s="175"/>
      <c r="K889" s="597"/>
      <c r="L889" s="597"/>
      <c r="M889" s="175"/>
      <c r="N889" s="175"/>
      <c r="O889" s="805"/>
      <c r="P889" s="175"/>
      <c r="Q889" s="175"/>
      <c r="R889" s="175"/>
      <c r="S889" s="175"/>
      <c r="T889" s="597"/>
      <c r="U889" s="597"/>
      <c r="V889" s="597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</row>
    <row r="890" ht="12.0" customHeight="1">
      <c r="A890" s="175"/>
      <c r="B890" s="175"/>
      <c r="C890" s="597"/>
      <c r="D890" s="597"/>
      <c r="E890" s="597"/>
      <c r="F890" s="597"/>
      <c r="G890" s="597"/>
      <c r="H890" s="597"/>
      <c r="I890" s="175"/>
      <c r="J890" s="175"/>
      <c r="K890" s="597"/>
      <c r="L890" s="597"/>
      <c r="M890" s="175"/>
      <c r="N890" s="175"/>
      <c r="O890" s="805"/>
      <c r="P890" s="175"/>
      <c r="Q890" s="175"/>
      <c r="R890" s="175"/>
      <c r="S890" s="175"/>
      <c r="T890" s="597"/>
      <c r="U890" s="597"/>
      <c r="V890" s="597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</row>
    <row r="891" ht="12.0" customHeight="1">
      <c r="A891" s="175"/>
      <c r="B891" s="175"/>
      <c r="C891" s="597"/>
      <c r="D891" s="597"/>
      <c r="E891" s="597"/>
      <c r="F891" s="597"/>
      <c r="G891" s="597"/>
      <c r="H891" s="597"/>
      <c r="I891" s="175"/>
      <c r="J891" s="175"/>
      <c r="K891" s="597"/>
      <c r="L891" s="597"/>
      <c r="M891" s="175"/>
      <c r="N891" s="175"/>
      <c r="O891" s="805"/>
      <c r="P891" s="175"/>
      <c r="Q891" s="175"/>
      <c r="R891" s="175"/>
      <c r="S891" s="175"/>
      <c r="T891" s="597"/>
      <c r="U891" s="597"/>
      <c r="V891" s="597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</row>
    <row r="892" ht="12.0" customHeight="1">
      <c r="A892" s="175"/>
      <c r="B892" s="175"/>
      <c r="C892" s="597"/>
      <c r="D892" s="597"/>
      <c r="E892" s="597"/>
      <c r="F892" s="597"/>
      <c r="G892" s="597"/>
      <c r="H892" s="597"/>
      <c r="I892" s="175"/>
      <c r="J892" s="175"/>
      <c r="K892" s="597"/>
      <c r="L892" s="597"/>
      <c r="M892" s="175"/>
      <c r="N892" s="175"/>
      <c r="O892" s="805"/>
      <c r="P892" s="175"/>
      <c r="Q892" s="175"/>
      <c r="R892" s="175"/>
      <c r="S892" s="175"/>
      <c r="T892" s="597"/>
      <c r="U892" s="597"/>
      <c r="V892" s="597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</row>
    <row r="893" ht="12.0" customHeight="1">
      <c r="A893" s="175"/>
      <c r="B893" s="175"/>
      <c r="C893" s="597"/>
      <c r="D893" s="597"/>
      <c r="E893" s="597"/>
      <c r="F893" s="597"/>
      <c r="G893" s="597"/>
      <c r="H893" s="597"/>
      <c r="I893" s="175"/>
      <c r="J893" s="175"/>
      <c r="K893" s="597"/>
      <c r="L893" s="597"/>
      <c r="M893" s="175"/>
      <c r="N893" s="175"/>
      <c r="O893" s="805"/>
      <c r="P893" s="175"/>
      <c r="Q893" s="175"/>
      <c r="R893" s="175"/>
      <c r="S893" s="175"/>
      <c r="T893" s="597"/>
      <c r="U893" s="597"/>
      <c r="V893" s="597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</row>
    <row r="894" ht="12.0" customHeight="1">
      <c r="A894" s="175"/>
      <c r="B894" s="175"/>
      <c r="C894" s="597"/>
      <c r="D894" s="597"/>
      <c r="E894" s="597"/>
      <c r="F894" s="597"/>
      <c r="G894" s="597"/>
      <c r="H894" s="597"/>
      <c r="I894" s="175"/>
      <c r="J894" s="175"/>
      <c r="K894" s="597"/>
      <c r="L894" s="597"/>
      <c r="M894" s="175"/>
      <c r="N894" s="175"/>
      <c r="O894" s="805"/>
      <c r="P894" s="175"/>
      <c r="Q894" s="175"/>
      <c r="R894" s="175"/>
      <c r="S894" s="175"/>
      <c r="T894" s="597"/>
      <c r="U894" s="597"/>
      <c r="V894" s="597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</row>
    <row r="895" ht="12.0" customHeight="1">
      <c r="A895" s="175"/>
      <c r="B895" s="175"/>
      <c r="C895" s="597"/>
      <c r="D895" s="597"/>
      <c r="E895" s="597"/>
      <c r="F895" s="597"/>
      <c r="G895" s="597"/>
      <c r="H895" s="597"/>
      <c r="I895" s="175"/>
      <c r="J895" s="175"/>
      <c r="K895" s="597"/>
      <c r="L895" s="597"/>
      <c r="M895" s="175"/>
      <c r="N895" s="175"/>
      <c r="O895" s="805"/>
      <c r="P895" s="175"/>
      <c r="Q895" s="175"/>
      <c r="R895" s="175"/>
      <c r="S895" s="175"/>
      <c r="T895" s="597"/>
      <c r="U895" s="597"/>
      <c r="V895" s="597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</row>
    <row r="896" ht="12.0" customHeight="1">
      <c r="A896" s="175"/>
      <c r="B896" s="175"/>
      <c r="C896" s="597"/>
      <c r="D896" s="597"/>
      <c r="E896" s="597"/>
      <c r="F896" s="597"/>
      <c r="G896" s="597"/>
      <c r="H896" s="597"/>
      <c r="I896" s="175"/>
      <c r="J896" s="175"/>
      <c r="K896" s="597"/>
      <c r="L896" s="597"/>
      <c r="M896" s="175"/>
      <c r="N896" s="175"/>
      <c r="O896" s="805"/>
      <c r="P896" s="175"/>
      <c r="Q896" s="175"/>
      <c r="R896" s="175"/>
      <c r="S896" s="175"/>
      <c r="T896" s="597"/>
      <c r="U896" s="597"/>
      <c r="V896" s="597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</row>
    <row r="897" ht="12.0" customHeight="1">
      <c r="A897" s="175"/>
      <c r="B897" s="175"/>
      <c r="C897" s="597"/>
      <c r="D897" s="597"/>
      <c r="E897" s="597"/>
      <c r="F897" s="597"/>
      <c r="G897" s="597"/>
      <c r="H897" s="597"/>
      <c r="I897" s="175"/>
      <c r="J897" s="175"/>
      <c r="K897" s="597"/>
      <c r="L897" s="597"/>
      <c r="M897" s="175"/>
      <c r="N897" s="175"/>
      <c r="O897" s="805"/>
      <c r="P897" s="175"/>
      <c r="Q897" s="175"/>
      <c r="R897" s="175"/>
      <c r="S897" s="175"/>
      <c r="T897" s="597"/>
      <c r="U897" s="597"/>
      <c r="V897" s="597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</row>
    <row r="898" ht="12.0" customHeight="1">
      <c r="A898" s="175"/>
      <c r="B898" s="175"/>
      <c r="C898" s="597"/>
      <c r="D898" s="597"/>
      <c r="E898" s="597"/>
      <c r="F898" s="597"/>
      <c r="G898" s="597"/>
      <c r="H898" s="597"/>
      <c r="I898" s="175"/>
      <c r="J898" s="175"/>
      <c r="K898" s="597"/>
      <c r="L898" s="597"/>
      <c r="M898" s="175"/>
      <c r="N898" s="175"/>
      <c r="O898" s="805"/>
      <c r="P898" s="175"/>
      <c r="Q898" s="175"/>
      <c r="R898" s="175"/>
      <c r="S898" s="175"/>
      <c r="T898" s="597"/>
      <c r="U898" s="597"/>
      <c r="V898" s="597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</row>
    <row r="899" ht="12.0" customHeight="1">
      <c r="A899" s="175"/>
      <c r="B899" s="175"/>
      <c r="C899" s="597"/>
      <c r="D899" s="597"/>
      <c r="E899" s="597"/>
      <c r="F899" s="597"/>
      <c r="G899" s="597"/>
      <c r="H899" s="597"/>
      <c r="I899" s="175"/>
      <c r="J899" s="175"/>
      <c r="K899" s="597"/>
      <c r="L899" s="597"/>
      <c r="M899" s="175"/>
      <c r="N899" s="175"/>
      <c r="O899" s="805"/>
      <c r="P899" s="175"/>
      <c r="Q899" s="175"/>
      <c r="R899" s="175"/>
      <c r="S899" s="175"/>
      <c r="T899" s="597"/>
      <c r="U899" s="597"/>
      <c r="V899" s="597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</row>
    <row r="900" ht="12.0" customHeight="1">
      <c r="A900" s="175"/>
      <c r="B900" s="175"/>
      <c r="C900" s="597"/>
      <c r="D900" s="597"/>
      <c r="E900" s="597"/>
      <c r="F900" s="597"/>
      <c r="G900" s="597"/>
      <c r="H900" s="597"/>
      <c r="I900" s="175"/>
      <c r="J900" s="175"/>
      <c r="K900" s="597"/>
      <c r="L900" s="597"/>
      <c r="M900" s="175"/>
      <c r="N900" s="175"/>
      <c r="O900" s="805"/>
      <c r="P900" s="175"/>
      <c r="Q900" s="175"/>
      <c r="R900" s="175"/>
      <c r="S900" s="175"/>
      <c r="T900" s="597"/>
      <c r="U900" s="597"/>
      <c r="V900" s="597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</row>
    <row r="901" ht="12.0" customHeight="1">
      <c r="A901" s="175"/>
      <c r="B901" s="175"/>
      <c r="C901" s="597"/>
      <c r="D901" s="597"/>
      <c r="E901" s="597"/>
      <c r="F901" s="597"/>
      <c r="G901" s="597"/>
      <c r="H901" s="597"/>
      <c r="I901" s="175"/>
      <c r="J901" s="175"/>
      <c r="K901" s="597"/>
      <c r="L901" s="597"/>
      <c r="M901" s="175"/>
      <c r="N901" s="175"/>
      <c r="O901" s="805"/>
      <c r="P901" s="175"/>
      <c r="Q901" s="175"/>
      <c r="R901" s="175"/>
      <c r="S901" s="175"/>
      <c r="T901" s="597"/>
      <c r="U901" s="597"/>
      <c r="V901" s="597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</row>
    <row r="902" ht="12.0" customHeight="1">
      <c r="A902" s="175"/>
      <c r="B902" s="175"/>
      <c r="C902" s="597"/>
      <c r="D902" s="597"/>
      <c r="E902" s="597"/>
      <c r="F902" s="597"/>
      <c r="G902" s="597"/>
      <c r="H902" s="597"/>
      <c r="I902" s="175"/>
      <c r="J902" s="175"/>
      <c r="K902" s="597"/>
      <c r="L902" s="597"/>
      <c r="M902" s="175"/>
      <c r="N902" s="175"/>
      <c r="O902" s="805"/>
      <c r="P902" s="175"/>
      <c r="Q902" s="175"/>
      <c r="R902" s="175"/>
      <c r="S902" s="175"/>
      <c r="T902" s="597"/>
      <c r="U902" s="597"/>
      <c r="V902" s="597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</row>
    <row r="903" ht="12.0" customHeight="1">
      <c r="A903" s="175"/>
      <c r="B903" s="175"/>
      <c r="C903" s="597"/>
      <c r="D903" s="597"/>
      <c r="E903" s="597"/>
      <c r="F903" s="597"/>
      <c r="G903" s="597"/>
      <c r="H903" s="597"/>
      <c r="I903" s="175"/>
      <c r="J903" s="175"/>
      <c r="K903" s="597"/>
      <c r="L903" s="597"/>
      <c r="M903" s="175"/>
      <c r="N903" s="175"/>
      <c r="O903" s="805"/>
      <c r="P903" s="175"/>
      <c r="Q903" s="175"/>
      <c r="R903" s="175"/>
      <c r="S903" s="175"/>
      <c r="T903" s="597"/>
      <c r="U903" s="597"/>
      <c r="V903" s="597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</row>
    <row r="904" ht="12.0" customHeight="1">
      <c r="A904" s="175"/>
      <c r="B904" s="175"/>
      <c r="C904" s="597"/>
      <c r="D904" s="597"/>
      <c r="E904" s="597"/>
      <c r="F904" s="597"/>
      <c r="G904" s="597"/>
      <c r="H904" s="597"/>
      <c r="I904" s="175"/>
      <c r="J904" s="175"/>
      <c r="K904" s="597"/>
      <c r="L904" s="597"/>
      <c r="M904" s="175"/>
      <c r="N904" s="175"/>
      <c r="O904" s="805"/>
      <c r="P904" s="175"/>
      <c r="Q904" s="175"/>
      <c r="R904" s="175"/>
      <c r="S904" s="175"/>
      <c r="T904" s="597"/>
      <c r="U904" s="597"/>
      <c r="V904" s="597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</row>
    <row r="905" ht="12.0" customHeight="1">
      <c r="A905" s="175"/>
      <c r="B905" s="175"/>
      <c r="C905" s="597"/>
      <c r="D905" s="597"/>
      <c r="E905" s="597"/>
      <c r="F905" s="597"/>
      <c r="G905" s="597"/>
      <c r="H905" s="597"/>
      <c r="I905" s="175"/>
      <c r="J905" s="175"/>
      <c r="K905" s="597"/>
      <c r="L905" s="597"/>
      <c r="M905" s="175"/>
      <c r="N905" s="175"/>
      <c r="O905" s="805"/>
      <c r="P905" s="175"/>
      <c r="Q905" s="175"/>
      <c r="R905" s="175"/>
      <c r="S905" s="175"/>
      <c r="T905" s="597"/>
      <c r="U905" s="597"/>
      <c r="V905" s="597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</row>
    <row r="906" ht="12.0" customHeight="1">
      <c r="A906" s="175"/>
      <c r="B906" s="175"/>
      <c r="C906" s="597"/>
      <c r="D906" s="597"/>
      <c r="E906" s="597"/>
      <c r="F906" s="597"/>
      <c r="G906" s="597"/>
      <c r="H906" s="597"/>
      <c r="I906" s="175"/>
      <c r="J906" s="175"/>
      <c r="K906" s="597"/>
      <c r="L906" s="597"/>
      <c r="M906" s="175"/>
      <c r="N906" s="175"/>
      <c r="O906" s="805"/>
      <c r="P906" s="175"/>
      <c r="Q906" s="175"/>
      <c r="R906" s="175"/>
      <c r="S906" s="175"/>
      <c r="T906" s="597"/>
      <c r="U906" s="597"/>
      <c r="V906" s="597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</row>
    <row r="907" ht="12.0" customHeight="1">
      <c r="A907" s="175"/>
      <c r="B907" s="175"/>
      <c r="C907" s="597"/>
      <c r="D907" s="597"/>
      <c r="E907" s="597"/>
      <c r="F907" s="597"/>
      <c r="G907" s="597"/>
      <c r="H907" s="597"/>
      <c r="I907" s="175"/>
      <c r="J907" s="175"/>
      <c r="K907" s="597"/>
      <c r="L907" s="597"/>
      <c r="M907" s="175"/>
      <c r="N907" s="175"/>
      <c r="O907" s="805"/>
      <c r="P907" s="175"/>
      <c r="Q907" s="175"/>
      <c r="R907" s="175"/>
      <c r="S907" s="175"/>
      <c r="T907" s="597"/>
      <c r="U907" s="597"/>
      <c r="V907" s="597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</row>
    <row r="908" ht="12.0" customHeight="1">
      <c r="A908" s="175"/>
      <c r="B908" s="175"/>
      <c r="C908" s="597"/>
      <c r="D908" s="597"/>
      <c r="E908" s="597"/>
      <c r="F908" s="597"/>
      <c r="G908" s="597"/>
      <c r="H908" s="597"/>
      <c r="I908" s="175"/>
      <c r="J908" s="175"/>
      <c r="K908" s="597"/>
      <c r="L908" s="597"/>
      <c r="M908" s="175"/>
      <c r="N908" s="175"/>
      <c r="O908" s="805"/>
      <c r="P908" s="175"/>
      <c r="Q908" s="175"/>
      <c r="R908" s="175"/>
      <c r="S908" s="175"/>
      <c r="T908" s="597"/>
      <c r="U908" s="597"/>
      <c r="V908" s="597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</row>
    <row r="909" ht="12.0" customHeight="1">
      <c r="A909" s="175"/>
      <c r="B909" s="175"/>
      <c r="C909" s="597"/>
      <c r="D909" s="597"/>
      <c r="E909" s="597"/>
      <c r="F909" s="597"/>
      <c r="G909" s="597"/>
      <c r="H909" s="597"/>
      <c r="I909" s="175"/>
      <c r="J909" s="175"/>
      <c r="K909" s="597"/>
      <c r="L909" s="597"/>
      <c r="M909" s="175"/>
      <c r="N909" s="175"/>
      <c r="O909" s="805"/>
      <c r="P909" s="175"/>
      <c r="Q909" s="175"/>
      <c r="R909" s="175"/>
      <c r="S909" s="175"/>
      <c r="T909" s="597"/>
      <c r="U909" s="597"/>
      <c r="V909" s="597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</row>
    <row r="910" ht="12.0" customHeight="1">
      <c r="A910" s="175"/>
      <c r="B910" s="175"/>
      <c r="C910" s="597"/>
      <c r="D910" s="597"/>
      <c r="E910" s="597"/>
      <c r="F910" s="597"/>
      <c r="G910" s="597"/>
      <c r="H910" s="597"/>
      <c r="I910" s="175"/>
      <c r="J910" s="175"/>
      <c r="K910" s="597"/>
      <c r="L910" s="597"/>
      <c r="M910" s="175"/>
      <c r="N910" s="175"/>
      <c r="O910" s="805"/>
      <c r="P910" s="175"/>
      <c r="Q910" s="175"/>
      <c r="R910" s="175"/>
      <c r="S910" s="175"/>
      <c r="T910" s="597"/>
      <c r="U910" s="597"/>
      <c r="V910" s="597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</row>
    <row r="911" ht="12.0" customHeight="1">
      <c r="A911" s="175"/>
      <c r="B911" s="175"/>
      <c r="C911" s="597"/>
      <c r="D911" s="597"/>
      <c r="E911" s="597"/>
      <c r="F911" s="597"/>
      <c r="G911" s="597"/>
      <c r="H911" s="597"/>
      <c r="I911" s="175"/>
      <c r="J911" s="175"/>
      <c r="K911" s="597"/>
      <c r="L911" s="597"/>
      <c r="M911" s="175"/>
      <c r="N911" s="175"/>
      <c r="O911" s="805"/>
      <c r="P911" s="175"/>
      <c r="Q911" s="175"/>
      <c r="R911" s="175"/>
      <c r="S911" s="175"/>
      <c r="T911" s="597"/>
      <c r="U911" s="597"/>
      <c r="V911" s="597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</row>
    <row r="912" ht="12.0" customHeight="1">
      <c r="A912" s="175"/>
      <c r="B912" s="175"/>
      <c r="C912" s="597"/>
      <c r="D912" s="597"/>
      <c r="E912" s="597"/>
      <c r="F912" s="597"/>
      <c r="G912" s="597"/>
      <c r="H912" s="597"/>
      <c r="I912" s="175"/>
      <c r="J912" s="175"/>
      <c r="K912" s="597"/>
      <c r="L912" s="597"/>
      <c r="M912" s="175"/>
      <c r="N912" s="175"/>
      <c r="O912" s="805"/>
      <c r="P912" s="175"/>
      <c r="Q912" s="175"/>
      <c r="R912" s="175"/>
      <c r="S912" s="175"/>
      <c r="T912" s="597"/>
      <c r="U912" s="597"/>
      <c r="V912" s="597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</row>
    <row r="913" ht="12.0" customHeight="1">
      <c r="A913" s="175"/>
      <c r="B913" s="175"/>
      <c r="C913" s="597"/>
      <c r="D913" s="597"/>
      <c r="E913" s="597"/>
      <c r="F913" s="597"/>
      <c r="G913" s="597"/>
      <c r="H913" s="597"/>
      <c r="I913" s="175"/>
      <c r="J913" s="175"/>
      <c r="K913" s="597"/>
      <c r="L913" s="597"/>
      <c r="M913" s="175"/>
      <c r="N913" s="175"/>
      <c r="O913" s="805"/>
      <c r="P913" s="175"/>
      <c r="Q913" s="175"/>
      <c r="R913" s="175"/>
      <c r="S913" s="175"/>
      <c r="T913" s="597"/>
      <c r="U913" s="597"/>
      <c r="V913" s="597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</row>
    <row r="914" ht="12.0" customHeight="1">
      <c r="A914" s="175"/>
      <c r="B914" s="175"/>
      <c r="C914" s="597"/>
      <c r="D914" s="597"/>
      <c r="E914" s="597"/>
      <c r="F914" s="597"/>
      <c r="G914" s="597"/>
      <c r="H914" s="597"/>
      <c r="I914" s="175"/>
      <c r="J914" s="175"/>
      <c r="K914" s="597"/>
      <c r="L914" s="597"/>
      <c r="M914" s="175"/>
      <c r="N914" s="175"/>
      <c r="O914" s="805"/>
      <c r="P914" s="175"/>
      <c r="Q914" s="175"/>
      <c r="R914" s="175"/>
      <c r="S914" s="175"/>
      <c r="T914" s="597"/>
      <c r="U914" s="597"/>
      <c r="V914" s="597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</row>
    <row r="915" ht="12.0" customHeight="1">
      <c r="A915" s="175"/>
      <c r="B915" s="175"/>
      <c r="C915" s="597"/>
      <c r="D915" s="597"/>
      <c r="E915" s="597"/>
      <c r="F915" s="597"/>
      <c r="G915" s="597"/>
      <c r="H915" s="597"/>
      <c r="I915" s="175"/>
      <c r="J915" s="175"/>
      <c r="K915" s="597"/>
      <c r="L915" s="597"/>
      <c r="M915" s="175"/>
      <c r="N915" s="175"/>
      <c r="O915" s="805"/>
      <c r="P915" s="175"/>
      <c r="Q915" s="175"/>
      <c r="R915" s="175"/>
      <c r="S915" s="175"/>
      <c r="T915" s="597"/>
      <c r="U915" s="597"/>
      <c r="V915" s="597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</row>
    <row r="916" ht="12.0" customHeight="1">
      <c r="A916" s="175"/>
      <c r="B916" s="175"/>
      <c r="C916" s="597"/>
      <c r="D916" s="597"/>
      <c r="E916" s="597"/>
      <c r="F916" s="597"/>
      <c r="G916" s="597"/>
      <c r="H916" s="597"/>
      <c r="I916" s="175"/>
      <c r="J916" s="175"/>
      <c r="K916" s="597"/>
      <c r="L916" s="597"/>
      <c r="M916" s="175"/>
      <c r="N916" s="175"/>
      <c r="O916" s="805"/>
      <c r="P916" s="175"/>
      <c r="Q916" s="175"/>
      <c r="R916" s="175"/>
      <c r="S916" s="175"/>
      <c r="T916" s="597"/>
      <c r="U916" s="597"/>
      <c r="V916" s="597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</row>
    <row r="917" ht="12.0" customHeight="1">
      <c r="A917" s="175"/>
      <c r="B917" s="175"/>
      <c r="C917" s="597"/>
      <c r="D917" s="597"/>
      <c r="E917" s="597"/>
      <c r="F917" s="597"/>
      <c r="G917" s="597"/>
      <c r="H917" s="597"/>
      <c r="I917" s="175"/>
      <c r="J917" s="175"/>
      <c r="K917" s="597"/>
      <c r="L917" s="597"/>
      <c r="M917" s="175"/>
      <c r="N917" s="175"/>
      <c r="O917" s="805"/>
      <c r="P917" s="175"/>
      <c r="Q917" s="175"/>
      <c r="R917" s="175"/>
      <c r="S917" s="175"/>
      <c r="T917" s="597"/>
      <c r="U917" s="597"/>
      <c r="V917" s="597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</row>
    <row r="918" ht="12.0" customHeight="1">
      <c r="A918" s="175"/>
      <c r="B918" s="175"/>
      <c r="C918" s="597"/>
      <c r="D918" s="597"/>
      <c r="E918" s="597"/>
      <c r="F918" s="597"/>
      <c r="G918" s="597"/>
      <c r="H918" s="597"/>
      <c r="I918" s="175"/>
      <c r="J918" s="175"/>
      <c r="K918" s="597"/>
      <c r="L918" s="597"/>
      <c r="M918" s="175"/>
      <c r="N918" s="175"/>
      <c r="O918" s="805"/>
      <c r="P918" s="175"/>
      <c r="Q918" s="175"/>
      <c r="R918" s="175"/>
      <c r="S918" s="175"/>
      <c r="T918" s="597"/>
      <c r="U918" s="597"/>
      <c r="V918" s="597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</row>
    <row r="919" ht="12.0" customHeight="1">
      <c r="A919" s="175"/>
      <c r="B919" s="175"/>
      <c r="C919" s="597"/>
      <c r="D919" s="597"/>
      <c r="E919" s="597"/>
      <c r="F919" s="597"/>
      <c r="G919" s="597"/>
      <c r="H919" s="597"/>
      <c r="I919" s="175"/>
      <c r="J919" s="175"/>
      <c r="K919" s="597"/>
      <c r="L919" s="597"/>
      <c r="M919" s="175"/>
      <c r="N919" s="175"/>
      <c r="O919" s="805"/>
      <c r="P919" s="175"/>
      <c r="Q919" s="175"/>
      <c r="R919" s="175"/>
      <c r="S919" s="175"/>
      <c r="T919" s="597"/>
      <c r="U919" s="597"/>
      <c r="V919" s="597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</row>
    <row r="920" ht="12.0" customHeight="1">
      <c r="A920" s="175"/>
      <c r="B920" s="175"/>
      <c r="C920" s="597"/>
      <c r="D920" s="597"/>
      <c r="E920" s="597"/>
      <c r="F920" s="597"/>
      <c r="G920" s="597"/>
      <c r="H920" s="597"/>
      <c r="I920" s="175"/>
      <c r="J920" s="175"/>
      <c r="K920" s="597"/>
      <c r="L920" s="597"/>
      <c r="M920" s="175"/>
      <c r="N920" s="175"/>
      <c r="O920" s="805"/>
      <c r="P920" s="175"/>
      <c r="Q920" s="175"/>
      <c r="R920" s="175"/>
      <c r="S920" s="175"/>
      <c r="T920" s="597"/>
      <c r="U920" s="597"/>
      <c r="V920" s="597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</row>
    <row r="921" ht="12.0" customHeight="1">
      <c r="A921" s="175"/>
      <c r="B921" s="175"/>
      <c r="C921" s="597"/>
      <c r="D921" s="597"/>
      <c r="E921" s="597"/>
      <c r="F921" s="597"/>
      <c r="G921" s="597"/>
      <c r="H921" s="597"/>
      <c r="I921" s="175"/>
      <c r="J921" s="175"/>
      <c r="K921" s="597"/>
      <c r="L921" s="597"/>
      <c r="M921" s="175"/>
      <c r="N921" s="175"/>
      <c r="O921" s="805"/>
      <c r="P921" s="175"/>
      <c r="Q921" s="175"/>
      <c r="R921" s="175"/>
      <c r="S921" s="175"/>
      <c r="T921" s="597"/>
      <c r="U921" s="597"/>
      <c r="V921" s="597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</row>
    <row r="922" ht="12.0" customHeight="1">
      <c r="A922" s="175"/>
      <c r="B922" s="175"/>
      <c r="C922" s="597"/>
      <c r="D922" s="597"/>
      <c r="E922" s="597"/>
      <c r="F922" s="597"/>
      <c r="G922" s="597"/>
      <c r="H922" s="597"/>
      <c r="I922" s="175"/>
      <c r="J922" s="175"/>
      <c r="K922" s="597"/>
      <c r="L922" s="597"/>
      <c r="M922" s="175"/>
      <c r="N922" s="175"/>
      <c r="O922" s="805"/>
      <c r="P922" s="175"/>
      <c r="Q922" s="175"/>
      <c r="R922" s="175"/>
      <c r="S922" s="175"/>
      <c r="T922" s="597"/>
      <c r="U922" s="597"/>
      <c r="V922" s="597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</row>
    <row r="923" ht="12.0" customHeight="1">
      <c r="A923" s="175"/>
      <c r="B923" s="175"/>
      <c r="C923" s="597"/>
      <c r="D923" s="597"/>
      <c r="E923" s="597"/>
      <c r="F923" s="597"/>
      <c r="G923" s="597"/>
      <c r="H923" s="597"/>
      <c r="I923" s="175"/>
      <c r="J923" s="175"/>
      <c r="K923" s="597"/>
      <c r="L923" s="597"/>
      <c r="M923" s="175"/>
      <c r="N923" s="175"/>
      <c r="O923" s="805"/>
      <c r="P923" s="175"/>
      <c r="Q923" s="175"/>
      <c r="R923" s="175"/>
      <c r="S923" s="175"/>
      <c r="T923" s="597"/>
      <c r="U923" s="597"/>
      <c r="V923" s="597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</row>
    <row r="924" ht="12.0" customHeight="1">
      <c r="A924" s="175"/>
      <c r="B924" s="175"/>
      <c r="C924" s="597"/>
      <c r="D924" s="597"/>
      <c r="E924" s="597"/>
      <c r="F924" s="597"/>
      <c r="G924" s="597"/>
      <c r="H924" s="597"/>
      <c r="I924" s="175"/>
      <c r="J924" s="175"/>
      <c r="K924" s="597"/>
      <c r="L924" s="597"/>
      <c r="M924" s="175"/>
      <c r="N924" s="175"/>
      <c r="O924" s="805"/>
      <c r="P924" s="175"/>
      <c r="Q924" s="175"/>
      <c r="R924" s="175"/>
      <c r="S924" s="175"/>
      <c r="T924" s="597"/>
      <c r="U924" s="597"/>
      <c r="V924" s="597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</row>
    <row r="925" ht="12.0" customHeight="1">
      <c r="A925" s="175"/>
      <c r="B925" s="175"/>
      <c r="C925" s="597"/>
      <c r="D925" s="597"/>
      <c r="E925" s="597"/>
      <c r="F925" s="597"/>
      <c r="G925" s="597"/>
      <c r="H925" s="597"/>
      <c r="I925" s="175"/>
      <c r="J925" s="175"/>
      <c r="K925" s="597"/>
      <c r="L925" s="597"/>
      <c r="M925" s="175"/>
      <c r="N925" s="175"/>
      <c r="O925" s="805"/>
      <c r="P925" s="175"/>
      <c r="Q925" s="175"/>
      <c r="R925" s="175"/>
      <c r="S925" s="175"/>
      <c r="T925" s="597"/>
      <c r="U925" s="597"/>
      <c r="V925" s="597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</row>
    <row r="926" ht="12.0" customHeight="1">
      <c r="A926" s="175"/>
      <c r="B926" s="175"/>
      <c r="C926" s="597"/>
      <c r="D926" s="597"/>
      <c r="E926" s="597"/>
      <c r="F926" s="597"/>
      <c r="G926" s="597"/>
      <c r="H926" s="597"/>
      <c r="I926" s="175"/>
      <c r="J926" s="175"/>
      <c r="K926" s="597"/>
      <c r="L926" s="597"/>
      <c r="M926" s="175"/>
      <c r="N926" s="175"/>
      <c r="O926" s="805"/>
      <c r="P926" s="175"/>
      <c r="Q926" s="175"/>
      <c r="R926" s="175"/>
      <c r="S926" s="175"/>
      <c r="T926" s="597"/>
      <c r="U926" s="597"/>
      <c r="V926" s="597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</row>
    <row r="927" ht="12.0" customHeight="1">
      <c r="A927" s="175"/>
      <c r="B927" s="175"/>
      <c r="C927" s="597"/>
      <c r="D927" s="597"/>
      <c r="E927" s="597"/>
      <c r="F927" s="597"/>
      <c r="G927" s="597"/>
      <c r="H927" s="597"/>
      <c r="I927" s="175"/>
      <c r="J927" s="175"/>
      <c r="K927" s="597"/>
      <c r="L927" s="597"/>
      <c r="M927" s="175"/>
      <c r="N927" s="175"/>
      <c r="O927" s="805"/>
      <c r="P927" s="175"/>
      <c r="Q927" s="175"/>
      <c r="R927" s="175"/>
      <c r="S927" s="175"/>
      <c r="T927" s="597"/>
      <c r="U927" s="597"/>
      <c r="V927" s="597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</row>
    <row r="928" ht="12.0" customHeight="1">
      <c r="A928" s="175"/>
      <c r="B928" s="175"/>
      <c r="C928" s="597"/>
      <c r="D928" s="597"/>
      <c r="E928" s="597"/>
      <c r="F928" s="597"/>
      <c r="G928" s="597"/>
      <c r="H928" s="597"/>
      <c r="I928" s="175"/>
      <c r="J928" s="175"/>
      <c r="K928" s="597"/>
      <c r="L928" s="597"/>
      <c r="M928" s="175"/>
      <c r="N928" s="175"/>
      <c r="O928" s="805"/>
      <c r="P928" s="175"/>
      <c r="Q928" s="175"/>
      <c r="R928" s="175"/>
      <c r="S928" s="175"/>
      <c r="T928" s="597"/>
      <c r="U928" s="597"/>
      <c r="V928" s="597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</row>
    <row r="929" ht="12.0" customHeight="1">
      <c r="A929" s="175"/>
      <c r="B929" s="175"/>
      <c r="C929" s="597"/>
      <c r="D929" s="597"/>
      <c r="E929" s="597"/>
      <c r="F929" s="597"/>
      <c r="G929" s="597"/>
      <c r="H929" s="597"/>
      <c r="I929" s="175"/>
      <c r="J929" s="175"/>
      <c r="K929" s="597"/>
      <c r="L929" s="597"/>
      <c r="M929" s="175"/>
      <c r="N929" s="175"/>
      <c r="O929" s="805"/>
      <c r="P929" s="175"/>
      <c r="Q929" s="175"/>
      <c r="R929" s="175"/>
      <c r="S929" s="175"/>
      <c r="T929" s="597"/>
      <c r="U929" s="597"/>
      <c r="V929" s="597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</row>
    <row r="930" ht="12.0" customHeight="1">
      <c r="A930" s="175"/>
      <c r="B930" s="175"/>
      <c r="C930" s="597"/>
      <c r="D930" s="597"/>
      <c r="E930" s="597"/>
      <c r="F930" s="597"/>
      <c r="G930" s="597"/>
      <c r="H930" s="597"/>
      <c r="I930" s="175"/>
      <c r="J930" s="175"/>
      <c r="K930" s="597"/>
      <c r="L930" s="597"/>
      <c r="M930" s="175"/>
      <c r="N930" s="175"/>
      <c r="O930" s="805"/>
      <c r="P930" s="175"/>
      <c r="Q930" s="175"/>
      <c r="R930" s="175"/>
      <c r="S930" s="175"/>
      <c r="T930" s="597"/>
      <c r="U930" s="597"/>
      <c r="V930" s="597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</row>
    <row r="931" ht="12.0" customHeight="1">
      <c r="A931" s="175"/>
      <c r="B931" s="175"/>
      <c r="C931" s="597"/>
      <c r="D931" s="597"/>
      <c r="E931" s="597"/>
      <c r="F931" s="597"/>
      <c r="G931" s="597"/>
      <c r="H931" s="597"/>
      <c r="I931" s="175"/>
      <c r="J931" s="175"/>
      <c r="K931" s="597"/>
      <c r="L931" s="597"/>
      <c r="M931" s="175"/>
      <c r="N931" s="175"/>
      <c r="O931" s="805"/>
      <c r="P931" s="175"/>
      <c r="Q931" s="175"/>
      <c r="R931" s="175"/>
      <c r="S931" s="175"/>
      <c r="T931" s="597"/>
      <c r="U931" s="597"/>
      <c r="V931" s="597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</row>
    <row r="932" ht="12.0" customHeight="1">
      <c r="A932" s="175"/>
      <c r="B932" s="175"/>
      <c r="C932" s="597"/>
      <c r="D932" s="597"/>
      <c r="E932" s="597"/>
      <c r="F932" s="597"/>
      <c r="G932" s="597"/>
      <c r="H932" s="597"/>
      <c r="I932" s="175"/>
      <c r="J932" s="175"/>
      <c r="K932" s="597"/>
      <c r="L932" s="597"/>
      <c r="M932" s="175"/>
      <c r="N932" s="175"/>
      <c r="O932" s="805"/>
      <c r="P932" s="175"/>
      <c r="Q932" s="175"/>
      <c r="R932" s="175"/>
      <c r="S932" s="175"/>
      <c r="T932" s="597"/>
      <c r="U932" s="597"/>
      <c r="V932" s="597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</row>
    <row r="933" ht="12.0" customHeight="1">
      <c r="A933" s="175"/>
      <c r="B933" s="175"/>
      <c r="C933" s="597"/>
      <c r="D933" s="597"/>
      <c r="E933" s="597"/>
      <c r="F933" s="597"/>
      <c r="G933" s="597"/>
      <c r="H933" s="597"/>
      <c r="I933" s="175"/>
      <c r="J933" s="175"/>
      <c r="K933" s="597"/>
      <c r="L933" s="597"/>
      <c r="M933" s="175"/>
      <c r="N933" s="175"/>
      <c r="O933" s="805"/>
      <c r="P933" s="175"/>
      <c r="Q933" s="175"/>
      <c r="R933" s="175"/>
      <c r="S933" s="175"/>
      <c r="T933" s="597"/>
      <c r="U933" s="597"/>
      <c r="V933" s="597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</row>
    <row r="934" ht="12.0" customHeight="1">
      <c r="A934" s="175"/>
      <c r="B934" s="175"/>
      <c r="C934" s="597"/>
      <c r="D934" s="597"/>
      <c r="E934" s="597"/>
      <c r="F934" s="597"/>
      <c r="G934" s="597"/>
      <c r="H934" s="597"/>
      <c r="I934" s="175"/>
      <c r="J934" s="175"/>
      <c r="K934" s="597"/>
      <c r="L934" s="597"/>
      <c r="M934" s="175"/>
      <c r="N934" s="175"/>
      <c r="O934" s="805"/>
      <c r="P934" s="175"/>
      <c r="Q934" s="175"/>
      <c r="R934" s="175"/>
      <c r="S934" s="175"/>
      <c r="T934" s="597"/>
      <c r="U934" s="597"/>
      <c r="V934" s="597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</row>
    <row r="935" ht="12.0" customHeight="1">
      <c r="A935" s="175"/>
      <c r="B935" s="175"/>
      <c r="C935" s="597"/>
      <c r="D935" s="597"/>
      <c r="E935" s="597"/>
      <c r="F935" s="597"/>
      <c r="G935" s="597"/>
      <c r="H935" s="597"/>
      <c r="I935" s="175"/>
      <c r="J935" s="175"/>
      <c r="K935" s="597"/>
      <c r="L935" s="597"/>
      <c r="M935" s="175"/>
      <c r="N935" s="175"/>
      <c r="O935" s="805"/>
      <c r="P935" s="175"/>
      <c r="Q935" s="175"/>
      <c r="R935" s="175"/>
      <c r="S935" s="175"/>
      <c r="T935" s="597"/>
      <c r="U935" s="597"/>
      <c r="V935" s="597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</row>
    <row r="936" ht="12.0" customHeight="1">
      <c r="A936" s="175"/>
      <c r="B936" s="175"/>
      <c r="C936" s="597"/>
      <c r="D936" s="597"/>
      <c r="E936" s="597"/>
      <c r="F936" s="597"/>
      <c r="G936" s="597"/>
      <c r="H936" s="597"/>
      <c r="I936" s="175"/>
      <c r="J936" s="175"/>
      <c r="K936" s="597"/>
      <c r="L936" s="597"/>
      <c r="M936" s="175"/>
      <c r="N936" s="175"/>
      <c r="O936" s="805"/>
      <c r="P936" s="175"/>
      <c r="Q936" s="175"/>
      <c r="R936" s="175"/>
      <c r="S936" s="175"/>
      <c r="T936" s="597"/>
      <c r="U936" s="597"/>
      <c r="V936" s="597"/>
      <c r="W936" s="175"/>
      <c r="X936" s="175"/>
      <c r="Y936" s="175"/>
      <c r="Z936" s="175"/>
      <c r="AA936" s="175"/>
      <c r="AB936" s="175"/>
      <c r="AC936" s="175"/>
      <c r="AD936" s="175"/>
      <c r="AE936" s="175"/>
      <c r="AF936" s="175"/>
    </row>
    <row r="937" ht="12.0" customHeight="1">
      <c r="A937" s="175"/>
      <c r="B937" s="175"/>
      <c r="C937" s="597"/>
      <c r="D937" s="597"/>
      <c r="E937" s="597"/>
      <c r="F937" s="597"/>
      <c r="G937" s="597"/>
      <c r="H937" s="597"/>
      <c r="I937" s="175"/>
      <c r="J937" s="175"/>
      <c r="K937" s="597"/>
      <c r="L937" s="597"/>
      <c r="M937" s="175"/>
      <c r="N937" s="175"/>
      <c r="O937" s="805"/>
      <c r="P937" s="175"/>
      <c r="Q937" s="175"/>
      <c r="R937" s="175"/>
      <c r="S937" s="175"/>
      <c r="T937" s="597"/>
      <c r="U937" s="597"/>
      <c r="V937" s="597"/>
      <c r="W937" s="175"/>
      <c r="X937" s="175"/>
      <c r="Y937" s="175"/>
      <c r="Z937" s="175"/>
      <c r="AA937" s="175"/>
      <c r="AB937" s="175"/>
      <c r="AC937" s="175"/>
      <c r="AD937" s="175"/>
      <c r="AE937" s="175"/>
      <c r="AF937" s="175"/>
    </row>
    <row r="938" ht="12.0" customHeight="1">
      <c r="A938" s="175"/>
      <c r="B938" s="175"/>
      <c r="C938" s="597"/>
      <c r="D938" s="597"/>
      <c r="E938" s="597"/>
      <c r="F938" s="597"/>
      <c r="G938" s="597"/>
      <c r="H938" s="597"/>
      <c r="I938" s="175"/>
      <c r="J938" s="175"/>
      <c r="K938" s="597"/>
      <c r="L938" s="597"/>
      <c r="M938" s="175"/>
      <c r="N938" s="175"/>
      <c r="O938" s="805"/>
      <c r="P938" s="175"/>
      <c r="Q938" s="175"/>
      <c r="R938" s="175"/>
      <c r="S938" s="175"/>
      <c r="T938" s="597"/>
      <c r="U938" s="597"/>
      <c r="V938" s="597"/>
      <c r="W938" s="175"/>
      <c r="X938" s="175"/>
      <c r="Y938" s="175"/>
      <c r="Z938" s="175"/>
      <c r="AA938" s="175"/>
      <c r="AB938" s="175"/>
      <c r="AC938" s="175"/>
      <c r="AD938" s="175"/>
      <c r="AE938" s="175"/>
      <c r="AF938" s="175"/>
    </row>
    <row r="939" ht="12.0" customHeight="1">
      <c r="A939" s="175"/>
      <c r="B939" s="175"/>
      <c r="C939" s="597"/>
      <c r="D939" s="597"/>
      <c r="E939" s="597"/>
      <c r="F939" s="597"/>
      <c r="G939" s="597"/>
      <c r="H939" s="597"/>
      <c r="I939" s="175"/>
      <c r="J939" s="175"/>
      <c r="K939" s="597"/>
      <c r="L939" s="597"/>
      <c r="M939" s="175"/>
      <c r="N939" s="175"/>
      <c r="O939" s="805"/>
      <c r="P939" s="175"/>
      <c r="Q939" s="175"/>
      <c r="R939" s="175"/>
      <c r="S939" s="175"/>
      <c r="T939" s="597"/>
      <c r="U939" s="597"/>
      <c r="V939" s="597"/>
      <c r="W939" s="175"/>
      <c r="X939" s="175"/>
      <c r="Y939" s="175"/>
      <c r="Z939" s="175"/>
      <c r="AA939" s="175"/>
      <c r="AB939" s="175"/>
      <c r="AC939" s="175"/>
      <c r="AD939" s="175"/>
      <c r="AE939" s="175"/>
      <c r="AF939" s="175"/>
    </row>
    <row r="940" ht="12.0" customHeight="1">
      <c r="A940" s="175"/>
      <c r="B940" s="175"/>
      <c r="C940" s="597"/>
      <c r="D940" s="597"/>
      <c r="E940" s="597"/>
      <c r="F940" s="597"/>
      <c r="G940" s="597"/>
      <c r="H940" s="597"/>
      <c r="I940" s="175"/>
      <c r="J940" s="175"/>
      <c r="K940" s="597"/>
      <c r="L940" s="597"/>
      <c r="M940" s="175"/>
      <c r="N940" s="175"/>
      <c r="O940" s="805"/>
      <c r="P940" s="175"/>
      <c r="Q940" s="175"/>
      <c r="R940" s="175"/>
      <c r="S940" s="175"/>
      <c r="T940" s="597"/>
      <c r="U940" s="597"/>
      <c r="V940" s="597"/>
      <c r="W940" s="175"/>
      <c r="X940" s="175"/>
      <c r="Y940" s="175"/>
      <c r="Z940" s="175"/>
      <c r="AA940" s="175"/>
      <c r="AB940" s="175"/>
      <c r="AC940" s="175"/>
      <c r="AD940" s="175"/>
      <c r="AE940" s="175"/>
      <c r="AF940" s="175"/>
    </row>
    <row r="941" ht="12.0" customHeight="1">
      <c r="A941" s="175"/>
      <c r="B941" s="175"/>
      <c r="C941" s="597"/>
      <c r="D941" s="597"/>
      <c r="E941" s="597"/>
      <c r="F941" s="597"/>
      <c r="G941" s="597"/>
      <c r="H941" s="597"/>
      <c r="I941" s="175"/>
      <c r="J941" s="175"/>
      <c r="K941" s="597"/>
      <c r="L941" s="597"/>
      <c r="M941" s="175"/>
      <c r="N941" s="175"/>
      <c r="O941" s="805"/>
      <c r="P941" s="175"/>
      <c r="Q941" s="175"/>
      <c r="R941" s="175"/>
      <c r="S941" s="175"/>
      <c r="T941" s="597"/>
      <c r="U941" s="597"/>
      <c r="V941" s="597"/>
      <c r="W941" s="175"/>
      <c r="X941" s="175"/>
      <c r="Y941" s="175"/>
      <c r="Z941" s="175"/>
      <c r="AA941" s="175"/>
      <c r="AB941" s="175"/>
      <c r="AC941" s="175"/>
      <c r="AD941" s="175"/>
      <c r="AE941" s="175"/>
      <c r="AF941" s="175"/>
    </row>
    <row r="942" ht="12.0" customHeight="1">
      <c r="A942" s="175"/>
      <c r="B942" s="175"/>
      <c r="C942" s="597"/>
      <c r="D942" s="597"/>
      <c r="E942" s="597"/>
      <c r="F942" s="597"/>
      <c r="G942" s="597"/>
      <c r="H942" s="597"/>
      <c r="I942" s="175"/>
      <c r="J942" s="175"/>
      <c r="K942" s="597"/>
      <c r="L942" s="597"/>
      <c r="M942" s="175"/>
      <c r="N942" s="175"/>
      <c r="O942" s="805"/>
      <c r="P942" s="175"/>
      <c r="Q942" s="175"/>
      <c r="R942" s="175"/>
      <c r="S942" s="175"/>
      <c r="T942" s="597"/>
      <c r="U942" s="597"/>
      <c r="V942" s="597"/>
      <c r="W942" s="175"/>
      <c r="X942" s="175"/>
      <c r="Y942" s="175"/>
      <c r="Z942" s="175"/>
      <c r="AA942" s="175"/>
      <c r="AB942" s="175"/>
      <c r="AC942" s="175"/>
      <c r="AD942" s="175"/>
      <c r="AE942" s="175"/>
      <c r="AF942" s="175"/>
    </row>
    <row r="943" ht="12.0" customHeight="1">
      <c r="A943" s="175"/>
      <c r="B943" s="175"/>
      <c r="C943" s="597"/>
      <c r="D943" s="597"/>
      <c r="E943" s="597"/>
      <c r="F943" s="597"/>
      <c r="G943" s="597"/>
      <c r="H943" s="597"/>
      <c r="I943" s="175"/>
      <c r="J943" s="175"/>
      <c r="K943" s="597"/>
      <c r="L943" s="597"/>
      <c r="M943" s="175"/>
      <c r="N943" s="175"/>
      <c r="O943" s="805"/>
      <c r="P943" s="175"/>
      <c r="Q943" s="175"/>
      <c r="R943" s="175"/>
      <c r="S943" s="175"/>
      <c r="T943" s="597"/>
      <c r="U943" s="597"/>
      <c r="V943" s="597"/>
      <c r="W943" s="175"/>
      <c r="X943" s="175"/>
      <c r="Y943" s="175"/>
      <c r="Z943" s="175"/>
      <c r="AA943" s="175"/>
      <c r="AB943" s="175"/>
      <c r="AC943" s="175"/>
      <c r="AD943" s="175"/>
      <c r="AE943" s="175"/>
      <c r="AF943" s="175"/>
    </row>
    <row r="944" ht="12.0" customHeight="1">
      <c r="A944" s="175"/>
      <c r="B944" s="175"/>
      <c r="C944" s="597"/>
      <c r="D944" s="597"/>
      <c r="E944" s="597"/>
      <c r="F944" s="597"/>
      <c r="G944" s="597"/>
      <c r="H944" s="597"/>
      <c r="I944" s="175"/>
      <c r="J944" s="175"/>
      <c r="K944" s="597"/>
      <c r="L944" s="597"/>
      <c r="M944" s="175"/>
      <c r="N944" s="175"/>
      <c r="O944" s="805"/>
      <c r="P944" s="175"/>
      <c r="Q944" s="175"/>
      <c r="R944" s="175"/>
      <c r="S944" s="175"/>
      <c r="T944" s="597"/>
      <c r="U944" s="597"/>
      <c r="V944" s="597"/>
      <c r="W944" s="175"/>
      <c r="X944" s="175"/>
      <c r="Y944" s="175"/>
      <c r="Z944" s="175"/>
      <c r="AA944" s="175"/>
      <c r="AB944" s="175"/>
      <c r="AC944" s="175"/>
      <c r="AD944" s="175"/>
      <c r="AE944" s="175"/>
      <c r="AF944" s="175"/>
    </row>
    <row r="945" ht="12.0" customHeight="1">
      <c r="A945" s="175"/>
      <c r="B945" s="175"/>
      <c r="C945" s="597"/>
      <c r="D945" s="597"/>
      <c r="E945" s="597"/>
      <c r="F945" s="597"/>
      <c r="G945" s="597"/>
      <c r="H945" s="597"/>
      <c r="I945" s="175"/>
      <c r="J945" s="175"/>
      <c r="K945" s="597"/>
      <c r="L945" s="597"/>
      <c r="M945" s="175"/>
      <c r="N945" s="175"/>
      <c r="O945" s="805"/>
      <c r="P945" s="175"/>
      <c r="Q945" s="175"/>
      <c r="R945" s="175"/>
      <c r="S945" s="175"/>
      <c r="T945" s="597"/>
      <c r="U945" s="597"/>
      <c r="V945" s="597"/>
      <c r="W945" s="175"/>
      <c r="X945" s="175"/>
      <c r="Y945" s="175"/>
      <c r="Z945" s="175"/>
      <c r="AA945" s="175"/>
      <c r="AB945" s="175"/>
      <c r="AC945" s="175"/>
      <c r="AD945" s="175"/>
      <c r="AE945" s="175"/>
      <c r="AF945" s="175"/>
    </row>
    <row r="946" ht="12.0" customHeight="1">
      <c r="A946" s="175"/>
      <c r="B946" s="175"/>
      <c r="C946" s="597"/>
      <c r="D946" s="597"/>
      <c r="E946" s="597"/>
      <c r="F946" s="597"/>
      <c r="G946" s="597"/>
      <c r="H946" s="597"/>
      <c r="I946" s="175"/>
      <c r="J946" s="175"/>
      <c r="K946" s="597"/>
      <c r="L946" s="597"/>
      <c r="M946" s="175"/>
      <c r="N946" s="175"/>
      <c r="O946" s="805"/>
      <c r="P946" s="175"/>
      <c r="Q946" s="175"/>
      <c r="R946" s="175"/>
      <c r="S946" s="175"/>
      <c r="T946" s="597"/>
      <c r="U946" s="597"/>
      <c r="V946" s="597"/>
      <c r="W946" s="175"/>
      <c r="X946" s="175"/>
      <c r="Y946" s="175"/>
      <c r="Z946" s="175"/>
      <c r="AA946" s="175"/>
      <c r="AB946" s="175"/>
      <c r="AC946" s="175"/>
      <c r="AD946" s="175"/>
      <c r="AE946" s="175"/>
      <c r="AF946" s="175"/>
    </row>
    <row r="947" ht="12.0" customHeight="1">
      <c r="A947" s="175"/>
      <c r="B947" s="175"/>
      <c r="C947" s="597"/>
      <c r="D947" s="597"/>
      <c r="E947" s="597"/>
      <c r="F947" s="597"/>
      <c r="G947" s="597"/>
      <c r="H947" s="597"/>
      <c r="I947" s="175"/>
      <c r="J947" s="175"/>
      <c r="K947" s="597"/>
      <c r="L947" s="597"/>
      <c r="M947" s="175"/>
      <c r="N947" s="175"/>
      <c r="O947" s="805"/>
      <c r="P947" s="175"/>
      <c r="Q947" s="175"/>
      <c r="R947" s="175"/>
      <c r="S947" s="175"/>
      <c r="T947" s="597"/>
      <c r="U947" s="597"/>
      <c r="V947" s="597"/>
      <c r="W947" s="175"/>
      <c r="X947" s="175"/>
      <c r="Y947" s="175"/>
      <c r="Z947" s="175"/>
      <c r="AA947" s="175"/>
      <c r="AB947" s="175"/>
      <c r="AC947" s="175"/>
      <c r="AD947" s="175"/>
      <c r="AE947" s="175"/>
      <c r="AF947" s="175"/>
    </row>
    <row r="948" ht="12.0" customHeight="1">
      <c r="A948" s="175"/>
      <c r="B948" s="175"/>
      <c r="C948" s="597"/>
      <c r="D948" s="597"/>
      <c r="E948" s="597"/>
      <c r="F948" s="597"/>
      <c r="G948" s="597"/>
      <c r="H948" s="597"/>
      <c r="I948" s="175"/>
      <c r="J948" s="175"/>
      <c r="K948" s="597"/>
      <c r="L948" s="597"/>
      <c r="M948" s="175"/>
      <c r="N948" s="175"/>
      <c r="O948" s="805"/>
      <c r="P948" s="175"/>
      <c r="Q948" s="175"/>
      <c r="R948" s="175"/>
      <c r="S948" s="175"/>
      <c r="T948" s="597"/>
      <c r="U948" s="597"/>
      <c r="V948" s="597"/>
      <c r="W948" s="175"/>
      <c r="X948" s="175"/>
      <c r="Y948" s="175"/>
      <c r="Z948" s="175"/>
      <c r="AA948" s="175"/>
      <c r="AB948" s="175"/>
      <c r="AC948" s="175"/>
      <c r="AD948" s="175"/>
      <c r="AE948" s="175"/>
      <c r="AF948" s="175"/>
    </row>
    <row r="949" ht="12.0" customHeight="1">
      <c r="A949" s="175"/>
      <c r="B949" s="175"/>
      <c r="C949" s="597"/>
      <c r="D949" s="597"/>
      <c r="E949" s="597"/>
      <c r="F949" s="597"/>
      <c r="G949" s="597"/>
      <c r="H949" s="597"/>
      <c r="I949" s="175"/>
      <c r="J949" s="175"/>
      <c r="K949" s="597"/>
      <c r="L949" s="597"/>
      <c r="M949" s="175"/>
      <c r="N949" s="175"/>
      <c r="O949" s="805"/>
      <c r="P949" s="175"/>
      <c r="Q949" s="175"/>
      <c r="R949" s="175"/>
      <c r="S949" s="175"/>
      <c r="T949" s="597"/>
      <c r="U949" s="597"/>
      <c r="V949" s="597"/>
      <c r="W949" s="175"/>
      <c r="X949" s="175"/>
      <c r="Y949" s="175"/>
      <c r="Z949" s="175"/>
      <c r="AA949" s="175"/>
      <c r="AB949" s="175"/>
      <c r="AC949" s="175"/>
      <c r="AD949" s="175"/>
      <c r="AE949" s="175"/>
      <c r="AF949" s="175"/>
    </row>
    <row r="950" ht="12.0" customHeight="1">
      <c r="A950" s="175"/>
      <c r="B950" s="175"/>
      <c r="C950" s="597"/>
      <c r="D950" s="597"/>
      <c r="E950" s="597"/>
      <c r="F950" s="597"/>
      <c r="G950" s="597"/>
      <c r="H950" s="597"/>
      <c r="I950" s="175"/>
      <c r="J950" s="175"/>
      <c r="K950" s="597"/>
      <c r="L950" s="597"/>
      <c r="M950" s="175"/>
      <c r="N950" s="175"/>
      <c r="O950" s="805"/>
      <c r="P950" s="175"/>
      <c r="Q950" s="175"/>
      <c r="R950" s="175"/>
      <c r="S950" s="175"/>
      <c r="T950" s="597"/>
      <c r="U950" s="597"/>
      <c r="V950" s="597"/>
      <c r="W950" s="175"/>
      <c r="X950" s="175"/>
      <c r="Y950" s="175"/>
      <c r="Z950" s="175"/>
      <c r="AA950" s="175"/>
      <c r="AB950" s="175"/>
      <c r="AC950" s="175"/>
      <c r="AD950" s="175"/>
      <c r="AE950" s="175"/>
      <c r="AF950" s="175"/>
    </row>
    <row r="951" ht="12.0" customHeight="1">
      <c r="A951" s="175"/>
      <c r="B951" s="175"/>
      <c r="C951" s="597"/>
      <c r="D951" s="597"/>
      <c r="E951" s="597"/>
      <c r="F951" s="597"/>
      <c r="G951" s="597"/>
      <c r="H951" s="597"/>
      <c r="I951" s="175"/>
      <c r="J951" s="175"/>
      <c r="K951" s="597"/>
      <c r="L951" s="597"/>
      <c r="M951" s="175"/>
      <c r="N951" s="175"/>
      <c r="O951" s="805"/>
      <c r="P951" s="175"/>
      <c r="Q951" s="175"/>
      <c r="R951" s="175"/>
      <c r="S951" s="175"/>
      <c r="T951" s="597"/>
      <c r="U951" s="597"/>
      <c r="V951" s="597"/>
      <c r="W951" s="175"/>
      <c r="X951" s="175"/>
      <c r="Y951" s="175"/>
      <c r="Z951" s="175"/>
      <c r="AA951" s="175"/>
      <c r="AB951" s="175"/>
      <c r="AC951" s="175"/>
      <c r="AD951" s="175"/>
      <c r="AE951" s="175"/>
      <c r="AF951" s="175"/>
    </row>
    <row r="952" ht="12.0" customHeight="1">
      <c r="A952" s="175"/>
      <c r="B952" s="175"/>
      <c r="C952" s="597"/>
      <c r="D952" s="597"/>
      <c r="E952" s="597"/>
      <c r="F952" s="597"/>
      <c r="G952" s="597"/>
      <c r="H952" s="597"/>
      <c r="I952" s="175"/>
      <c r="J952" s="175"/>
      <c r="K952" s="597"/>
      <c r="L952" s="597"/>
      <c r="M952" s="175"/>
      <c r="N952" s="175"/>
      <c r="O952" s="805"/>
      <c r="P952" s="175"/>
      <c r="Q952" s="175"/>
      <c r="R952" s="175"/>
      <c r="S952" s="175"/>
      <c r="T952" s="597"/>
      <c r="U952" s="597"/>
      <c r="V952" s="597"/>
      <c r="W952" s="175"/>
      <c r="X952" s="175"/>
      <c r="Y952" s="175"/>
      <c r="Z952" s="175"/>
      <c r="AA952" s="175"/>
      <c r="AB952" s="175"/>
      <c r="AC952" s="175"/>
      <c r="AD952" s="175"/>
      <c r="AE952" s="175"/>
      <c r="AF952" s="175"/>
    </row>
    <row r="953" ht="12.0" customHeight="1">
      <c r="A953" s="175"/>
      <c r="B953" s="175"/>
      <c r="C953" s="597"/>
      <c r="D953" s="597"/>
      <c r="E953" s="597"/>
      <c r="F953" s="597"/>
      <c r="G953" s="597"/>
      <c r="H953" s="597"/>
      <c r="I953" s="175"/>
      <c r="J953" s="175"/>
      <c r="K953" s="597"/>
      <c r="L953" s="597"/>
      <c r="M953" s="175"/>
      <c r="N953" s="175"/>
      <c r="O953" s="805"/>
      <c r="P953" s="175"/>
      <c r="Q953" s="175"/>
      <c r="R953" s="175"/>
      <c r="S953" s="175"/>
      <c r="T953" s="597"/>
      <c r="U953" s="597"/>
      <c r="V953" s="597"/>
      <c r="W953" s="175"/>
      <c r="X953" s="175"/>
      <c r="Y953" s="175"/>
      <c r="Z953" s="175"/>
      <c r="AA953" s="175"/>
      <c r="AB953" s="175"/>
      <c r="AC953" s="175"/>
      <c r="AD953" s="175"/>
      <c r="AE953" s="175"/>
      <c r="AF953" s="175"/>
    </row>
    <row r="954" ht="12.0" customHeight="1">
      <c r="A954" s="175"/>
      <c r="B954" s="175"/>
      <c r="C954" s="597"/>
      <c r="D954" s="597"/>
      <c r="E954" s="597"/>
      <c r="F954" s="597"/>
      <c r="G954" s="597"/>
      <c r="H954" s="597"/>
      <c r="I954" s="175"/>
      <c r="J954" s="175"/>
      <c r="K954" s="597"/>
      <c r="L954" s="597"/>
      <c r="M954" s="175"/>
      <c r="N954" s="175"/>
      <c r="O954" s="805"/>
      <c r="P954" s="175"/>
      <c r="Q954" s="175"/>
      <c r="R954" s="175"/>
      <c r="S954" s="175"/>
      <c r="T954" s="597"/>
      <c r="U954" s="597"/>
      <c r="V954" s="597"/>
      <c r="W954" s="175"/>
      <c r="X954" s="175"/>
      <c r="Y954" s="175"/>
      <c r="Z954" s="175"/>
      <c r="AA954" s="175"/>
      <c r="AB954" s="175"/>
      <c r="AC954" s="175"/>
      <c r="AD954" s="175"/>
      <c r="AE954" s="175"/>
      <c r="AF954" s="175"/>
    </row>
    <row r="955" ht="12.0" customHeight="1">
      <c r="A955" s="175"/>
      <c r="B955" s="175"/>
      <c r="C955" s="597"/>
      <c r="D955" s="597"/>
      <c r="E955" s="597"/>
      <c r="F955" s="597"/>
      <c r="G955" s="597"/>
      <c r="H955" s="597"/>
      <c r="I955" s="175"/>
      <c r="J955" s="175"/>
      <c r="K955" s="597"/>
      <c r="L955" s="597"/>
      <c r="M955" s="175"/>
      <c r="N955" s="175"/>
      <c r="O955" s="805"/>
      <c r="P955" s="175"/>
      <c r="Q955" s="175"/>
      <c r="R955" s="175"/>
      <c r="S955" s="175"/>
      <c r="T955" s="597"/>
      <c r="U955" s="597"/>
      <c r="V955" s="597"/>
      <c r="W955" s="175"/>
      <c r="X955" s="175"/>
      <c r="Y955" s="175"/>
      <c r="Z955" s="175"/>
      <c r="AA955" s="175"/>
      <c r="AB955" s="175"/>
      <c r="AC955" s="175"/>
      <c r="AD955" s="175"/>
      <c r="AE955" s="175"/>
      <c r="AF955" s="175"/>
    </row>
    <row r="956" ht="12.0" customHeight="1">
      <c r="A956" s="175"/>
      <c r="B956" s="175"/>
      <c r="C956" s="597"/>
      <c r="D956" s="597"/>
      <c r="E956" s="597"/>
      <c r="F956" s="597"/>
      <c r="G956" s="597"/>
      <c r="H956" s="597"/>
      <c r="I956" s="175"/>
      <c r="J956" s="175"/>
      <c r="K956" s="597"/>
      <c r="L956" s="597"/>
      <c r="M956" s="175"/>
      <c r="N956" s="175"/>
      <c r="O956" s="805"/>
      <c r="P956" s="175"/>
      <c r="Q956" s="175"/>
      <c r="R956" s="175"/>
      <c r="S956" s="175"/>
      <c r="T956" s="597"/>
      <c r="U956" s="597"/>
      <c r="V956" s="597"/>
      <c r="W956" s="175"/>
      <c r="X956" s="175"/>
      <c r="Y956" s="175"/>
      <c r="Z956" s="175"/>
      <c r="AA956" s="175"/>
      <c r="AB956" s="175"/>
      <c r="AC956" s="175"/>
      <c r="AD956" s="175"/>
      <c r="AE956" s="175"/>
      <c r="AF956" s="175"/>
    </row>
    <row r="957" ht="12.0" customHeight="1">
      <c r="A957" s="175"/>
      <c r="B957" s="175"/>
      <c r="C957" s="597"/>
      <c r="D957" s="597"/>
      <c r="E957" s="597"/>
      <c r="F957" s="597"/>
      <c r="G957" s="597"/>
      <c r="H957" s="597"/>
      <c r="I957" s="175"/>
      <c r="J957" s="175"/>
      <c r="K957" s="597"/>
      <c r="L957" s="597"/>
      <c r="M957" s="175"/>
      <c r="N957" s="175"/>
      <c r="O957" s="805"/>
      <c r="P957" s="175"/>
      <c r="Q957" s="175"/>
      <c r="R957" s="175"/>
      <c r="S957" s="175"/>
      <c r="T957" s="597"/>
      <c r="U957" s="597"/>
      <c r="V957" s="597"/>
      <c r="W957" s="175"/>
      <c r="X957" s="175"/>
      <c r="Y957" s="175"/>
      <c r="Z957" s="175"/>
      <c r="AA957" s="175"/>
      <c r="AB957" s="175"/>
      <c r="AC957" s="175"/>
      <c r="AD957" s="175"/>
      <c r="AE957" s="175"/>
      <c r="AF957" s="175"/>
    </row>
    <row r="958" ht="12.0" customHeight="1">
      <c r="A958" s="175"/>
      <c r="B958" s="175"/>
      <c r="C958" s="597"/>
      <c r="D958" s="597"/>
      <c r="E958" s="597"/>
      <c r="F958" s="597"/>
      <c r="G958" s="597"/>
      <c r="H958" s="597"/>
      <c r="I958" s="175"/>
      <c r="J958" s="175"/>
      <c r="K958" s="597"/>
      <c r="L958" s="597"/>
      <c r="M958" s="175"/>
      <c r="N958" s="175"/>
      <c r="O958" s="805"/>
      <c r="P958" s="175"/>
      <c r="Q958" s="175"/>
      <c r="R958" s="175"/>
      <c r="S958" s="175"/>
      <c r="T958" s="597"/>
      <c r="U958" s="597"/>
      <c r="V958" s="597"/>
      <c r="W958" s="175"/>
      <c r="X958" s="175"/>
      <c r="Y958" s="175"/>
      <c r="Z958" s="175"/>
      <c r="AA958" s="175"/>
      <c r="AB958" s="175"/>
      <c r="AC958" s="175"/>
      <c r="AD958" s="175"/>
      <c r="AE958" s="175"/>
      <c r="AF958" s="175"/>
    </row>
    <row r="959" ht="12.0" customHeight="1">
      <c r="A959" s="175"/>
      <c r="B959" s="175"/>
      <c r="C959" s="597"/>
      <c r="D959" s="597"/>
      <c r="E959" s="597"/>
      <c r="F959" s="597"/>
      <c r="G959" s="597"/>
      <c r="H959" s="597"/>
      <c r="I959" s="175"/>
      <c r="J959" s="175"/>
      <c r="K959" s="597"/>
      <c r="L959" s="597"/>
      <c r="M959" s="175"/>
      <c r="N959" s="175"/>
      <c r="O959" s="805"/>
      <c r="P959" s="175"/>
      <c r="Q959" s="175"/>
      <c r="R959" s="175"/>
      <c r="S959" s="175"/>
      <c r="T959" s="597"/>
      <c r="U959" s="597"/>
      <c r="V959" s="597"/>
      <c r="W959" s="175"/>
      <c r="X959" s="175"/>
      <c r="Y959" s="175"/>
      <c r="Z959" s="175"/>
      <c r="AA959" s="175"/>
      <c r="AB959" s="175"/>
      <c r="AC959" s="175"/>
      <c r="AD959" s="175"/>
      <c r="AE959" s="175"/>
      <c r="AF959" s="175"/>
    </row>
    <row r="960" ht="12.0" customHeight="1">
      <c r="A960" s="175"/>
      <c r="B960" s="175"/>
      <c r="C960" s="597"/>
      <c r="D960" s="597"/>
      <c r="E960" s="597"/>
      <c r="F960" s="597"/>
      <c r="G960" s="597"/>
      <c r="H960" s="597"/>
      <c r="I960" s="175"/>
      <c r="J960" s="175"/>
      <c r="K960" s="597"/>
      <c r="L960" s="597"/>
      <c r="M960" s="175"/>
      <c r="N960" s="175"/>
      <c r="O960" s="805"/>
      <c r="P960" s="175"/>
      <c r="Q960" s="175"/>
      <c r="R960" s="175"/>
      <c r="S960" s="175"/>
      <c r="T960" s="597"/>
      <c r="U960" s="597"/>
      <c r="V960" s="597"/>
      <c r="W960" s="175"/>
      <c r="X960" s="175"/>
      <c r="Y960" s="175"/>
      <c r="Z960" s="175"/>
      <c r="AA960" s="175"/>
      <c r="AB960" s="175"/>
      <c r="AC960" s="175"/>
      <c r="AD960" s="175"/>
      <c r="AE960" s="175"/>
      <c r="AF960" s="175"/>
    </row>
    <row r="961" ht="12.0" customHeight="1">
      <c r="A961" s="175"/>
      <c r="B961" s="175"/>
      <c r="C961" s="597"/>
      <c r="D961" s="597"/>
      <c r="E961" s="597"/>
      <c r="F961" s="597"/>
      <c r="G961" s="597"/>
      <c r="H961" s="597"/>
      <c r="I961" s="175"/>
      <c r="J961" s="175"/>
      <c r="K961" s="597"/>
      <c r="L961" s="597"/>
      <c r="M961" s="175"/>
      <c r="N961" s="175"/>
      <c r="O961" s="805"/>
      <c r="P961" s="175"/>
      <c r="Q961" s="175"/>
      <c r="R961" s="175"/>
      <c r="S961" s="175"/>
      <c r="T961" s="597"/>
      <c r="U961" s="597"/>
      <c r="V961" s="597"/>
      <c r="W961" s="175"/>
      <c r="X961" s="175"/>
      <c r="Y961" s="175"/>
      <c r="Z961" s="175"/>
      <c r="AA961" s="175"/>
      <c r="AB961" s="175"/>
      <c r="AC961" s="175"/>
      <c r="AD961" s="175"/>
      <c r="AE961" s="175"/>
      <c r="AF961" s="175"/>
    </row>
    <row r="962" ht="12.0" customHeight="1">
      <c r="A962" s="175"/>
      <c r="B962" s="175"/>
      <c r="C962" s="597"/>
      <c r="D962" s="597"/>
      <c r="E962" s="597"/>
      <c r="F962" s="597"/>
      <c r="G962" s="597"/>
      <c r="H962" s="597"/>
      <c r="I962" s="175"/>
      <c r="J962" s="175"/>
      <c r="K962" s="597"/>
      <c r="L962" s="597"/>
      <c r="M962" s="175"/>
      <c r="N962" s="175"/>
      <c r="O962" s="805"/>
      <c r="P962" s="175"/>
      <c r="Q962" s="175"/>
      <c r="R962" s="175"/>
      <c r="S962" s="175"/>
      <c r="T962" s="597"/>
      <c r="U962" s="597"/>
      <c r="V962" s="597"/>
      <c r="W962" s="175"/>
      <c r="X962" s="175"/>
      <c r="Y962" s="175"/>
      <c r="Z962" s="175"/>
      <c r="AA962" s="175"/>
      <c r="AB962" s="175"/>
      <c r="AC962" s="175"/>
      <c r="AD962" s="175"/>
      <c r="AE962" s="175"/>
      <c r="AF962" s="175"/>
    </row>
    <row r="963" ht="12.0" customHeight="1">
      <c r="A963" s="175"/>
      <c r="B963" s="175"/>
      <c r="C963" s="597"/>
      <c r="D963" s="597"/>
      <c r="E963" s="597"/>
      <c r="F963" s="597"/>
      <c r="G963" s="597"/>
      <c r="H963" s="597"/>
      <c r="I963" s="175"/>
      <c r="J963" s="175"/>
      <c r="K963" s="597"/>
      <c r="L963" s="597"/>
      <c r="M963" s="175"/>
      <c r="N963" s="175"/>
      <c r="O963" s="805"/>
      <c r="P963" s="175"/>
      <c r="Q963" s="175"/>
      <c r="R963" s="175"/>
      <c r="S963" s="175"/>
      <c r="T963" s="597"/>
      <c r="U963" s="597"/>
      <c r="V963" s="597"/>
      <c r="W963" s="175"/>
      <c r="X963" s="175"/>
      <c r="Y963" s="175"/>
      <c r="Z963" s="175"/>
      <c r="AA963" s="175"/>
      <c r="AB963" s="175"/>
      <c r="AC963" s="175"/>
      <c r="AD963" s="175"/>
      <c r="AE963" s="175"/>
      <c r="AF963" s="175"/>
    </row>
    <row r="964" ht="12.0" customHeight="1">
      <c r="A964" s="175"/>
      <c r="B964" s="175"/>
      <c r="C964" s="597"/>
      <c r="D964" s="597"/>
      <c r="E964" s="597"/>
      <c r="F964" s="597"/>
      <c r="G964" s="597"/>
      <c r="H964" s="597"/>
      <c r="I964" s="175"/>
      <c r="J964" s="175"/>
      <c r="K964" s="597"/>
      <c r="L964" s="597"/>
      <c r="M964" s="175"/>
      <c r="N964" s="175"/>
      <c r="O964" s="805"/>
      <c r="P964" s="175"/>
      <c r="Q964" s="175"/>
      <c r="R964" s="175"/>
      <c r="S964" s="175"/>
      <c r="T964" s="597"/>
      <c r="U964" s="597"/>
      <c r="V964" s="597"/>
      <c r="W964" s="175"/>
      <c r="X964" s="175"/>
      <c r="Y964" s="175"/>
      <c r="Z964" s="175"/>
      <c r="AA964" s="175"/>
      <c r="AB964" s="175"/>
      <c r="AC964" s="175"/>
      <c r="AD964" s="175"/>
      <c r="AE964" s="175"/>
      <c r="AF964" s="175"/>
    </row>
    <row r="965" ht="12.0" customHeight="1">
      <c r="A965" s="175"/>
      <c r="B965" s="175"/>
      <c r="C965" s="597"/>
      <c r="D965" s="597"/>
      <c r="E965" s="597"/>
      <c r="F965" s="597"/>
      <c r="G965" s="597"/>
      <c r="H965" s="597"/>
      <c r="I965" s="175"/>
      <c r="J965" s="175"/>
      <c r="K965" s="597"/>
      <c r="L965" s="597"/>
      <c r="M965" s="175"/>
      <c r="N965" s="175"/>
      <c r="O965" s="805"/>
      <c r="P965" s="175"/>
      <c r="Q965" s="175"/>
      <c r="R965" s="175"/>
      <c r="S965" s="175"/>
      <c r="T965" s="597"/>
      <c r="U965" s="597"/>
      <c r="V965" s="597"/>
      <c r="W965" s="175"/>
      <c r="X965" s="175"/>
      <c r="Y965" s="175"/>
      <c r="Z965" s="175"/>
      <c r="AA965" s="175"/>
      <c r="AB965" s="175"/>
      <c r="AC965" s="175"/>
      <c r="AD965" s="175"/>
      <c r="AE965" s="175"/>
      <c r="AF965" s="175"/>
    </row>
    <row r="966" ht="12.0" customHeight="1">
      <c r="A966" s="175"/>
      <c r="B966" s="175"/>
      <c r="C966" s="597"/>
      <c r="D966" s="597"/>
      <c r="E966" s="597"/>
      <c r="F966" s="597"/>
      <c r="G966" s="597"/>
      <c r="H966" s="597"/>
      <c r="I966" s="175"/>
      <c r="J966" s="175"/>
      <c r="K966" s="597"/>
      <c r="L966" s="597"/>
      <c r="M966" s="175"/>
      <c r="N966" s="175"/>
      <c r="O966" s="805"/>
      <c r="P966" s="175"/>
      <c r="Q966" s="175"/>
      <c r="R966" s="175"/>
      <c r="S966" s="175"/>
      <c r="T966" s="597"/>
      <c r="U966" s="597"/>
      <c r="V966" s="597"/>
      <c r="W966" s="175"/>
      <c r="X966" s="175"/>
      <c r="Y966" s="175"/>
      <c r="Z966" s="175"/>
      <c r="AA966" s="175"/>
      <c r="AB966" s="175"/>
      <c r="AC966" s="175"/>
      <c r="AD966" s="175"/>
      <c r="AE966" s="175"/>
      <c r="AF966" s="175"/>
    </row>
    <row r="967" ht="12.0" customHeight="1">
      <c r="A967" s="175"/>
      <c r="B967" s="175"/>
      <c r="C967" s="597"/>
      <c r="D967" s="597"/>
      <c r="E967" s="597"/>
      <c r="F967" s="597"/>
      <c r="G967" s="597"/>
      <c r="H967" s="597"/>
      <c r="I967" s="175"/>
      <c r="J967" s="175"/>
      <c r="K967" s="597"/>
      <c r="L967" s="597"/>
      <c r="M967" s="175"/>
      <c r="N967" s="175"/>
      <c r="O967" s="805"/>
      <c r="P967" s="175"/>
      <c r="Q967" s="175"/>
      <c r="R967" s="175"/>
      <c r="S967" s="175"/>
      <c r="T967" s="597"/>
      <c r="U967" s="597"/>
      <c r="V967" s="597"/>
      <c r="W967" s="175"/>
      <c r="X967" s="175"/>
      <c r="Y967" s="175"/>
      <c r="Z967" s="175"/>
      <c r="AA967" s="175"/>
      <c r="AB967" s="175"/>
      <c r="AC967" s="175"/>
      <c r="AD967" s="175"/>
      <c r="AE967" s="175"/>
      <c r="AF967" s="175"/>
    </row>
    <row r="968" ht="12.0" customHeight="1">
      <c r="A968" s="175"/>
      <c r="B968" s="175"/>
      <c r="C968" s="597"/>
      <c r="D968" s="597"/>
      <c r="E968" s="597"/>
      <c r="F968" s="597"/>
      <c r="G968" s="597"/>
      <c r="H968" s="597"/>
      <c r="I968" s="175"/>
      <c r="J968" s="175"/>
      <c r="K968" s="597"/>
      <c r="L968" s="597"/>
      <c r="M968" s="175"/>
      <c r="N968" s="175"/>
      <c r="O968" s="805"/>
      <c r="P968" s="175"/>
      <c r="Q968" s="175"/>
      <c r="R968" s="175"/>
      <c r="S968" s="175"/>
      <c r="T968" s="597"/>
      <c r="U968" s="597"/>
      <c r="V968" s="597"/>
      <c r="W968" s="175"/>
      <c r="X968" s="175"/>
      <c r="Y968" s="175"/>
      <c r="Z968" s="175"/>
      <c r="AA968" s="175"/>
      <c r="AB968" s="175"/>
      <c r="AC968" s="175"/>
      <c r="AD968" s="175"/>
      <c r="AE968" s="175"/>
      <c r="AF968" s="175"/>
    </row>
    <row r="969" ht="12.0" customHeight="1">
      <c r="A969" s="175"/>
      <c r="B969" s="175"/>
      <c r="C969" s="597"/>
      <c r="D969" s="597"/>
      <c r="E969" s="597"/>
      <c r="F969" s="597"/>
      <c r="G969" s="597"/>
      <c r="H969" s="597"/>
      <c r="I969" s="175"/>
      <c r="J969" s="175"/>
      <c r="K969" s="597"/>
      <c r="L969" s="597"/>
      <c r="M969" s="175"/>
      <c r="N969" s="175"/>
      <c r="O969" s="805"/>
      <c r="P969" s="175"/>
      <c r="Q969" s="175"/>
      <c r="R969" s="175"/>
      <c r="S969" s="175"/>
      <c r="T969" s="597"/>
      <c r="U969" s="597"/>
      <c r="V969" s="597"/>
      <c r="W969" s="175"/>
      <c r="X969" s="175"/>
      <c r="Y969" s="175"/>
      <c r="Z969" s="175"/>
      <c r="AA969" s="175"/>
      <c r="AB969" s="175"/>
      <c r="AC969" s="175"/>
      <c r="AD969" s="175"/>
      <c r="AE969" s="175"/>
      <c r="AF969" s="175"/>
    </row>
    <row r="970" ht="12.0" customHeight="1">
      <c r="A970" s="175"/>
      <c r="B970" s="175"/>
      <c r="C970" s="597"/>
      <c r="D970" s="597"/>
      <c r="E970" s="597"/>
      <c r="F970" s="597"/>
      <c r="G970" s="597"/>
      <c r="H970" s="597"/>
      <c r="I970" s="175"/>
      <c r="J970" s="175"/>
      <c r="K970" s="597"/>
      <c r="L970" s="597"/>
      <c r="M970" s="175"/>
      <c r="N970" s="175"/>
      <c r="O970" s="805"/>
      <c r="P970" s="175"/>
      <c r="Q970" s="175"/>
      <c r="R970" s="175"/>
      <c r="S970" s="175"/>
      <c r="T970" s="597"/>
      <c r="U970" s="597"/>
      <c r="V970" s="597"/>
      <c r="W970" s="175"/>
      <c r="X970" s="175"/>
      <c r="Y970" s="175"/>
      <c r="Z970" s="175"/>
      <c r="AA970" s="175"/>
      <c r="AB970" s="175"/>
      <c r="AC970" s="175"/>
      <c r="AD970" s="175"/>
      <c r="AE970" s="175"/>
      <c r="AF970" s="175"/>
    </row>
    <row r="971" ht="12.0" customHeight="1">
      <c r="A971" s="175"/>
      <c r="B971" s="175"/>
      <c r="C971" s="597"/>
      <c r="D971" s="597"/>
      <c r="E971" s="597"/>
      <c r="F971" s="597"/>
      <c r="G971" s="597"/>
      <c r="H971" s="597"/>
      <c r="I971" s="175"/>
      <c r="J971" s="175"/>
      <c r="K971" s="597"/>
      <c r="L971" s="597"/>
      <c r="M971" s="175"/>
      <c r="N971" s="175"/>
      <c r="O971" s="805"/>
      <c r="P971" s="175"/>
      <c r="Q971" s="175"/>
      <c r="R971" s="175"/>
      <c r="S971" s="175"/>
      <c r="T971" s="597"/>
      <c r="U971" s="597"/>
      <c r="V971" s="597"/>
      <c r="W971" s="175"/>
      <c r="X971" s="175"/>
      <c r="Y971" s="175"/>
      <c r="Z971" s="175"/>
      <c r="AA971" s="175"/>
      <c r="AB971" s="175"/>
      <c r="AC971" s="175"/>
      <c r="AD971" s="175"/>
      <c r="AE971" s="175"/>
      <c r="AF971" s="175"/>
    </row>
    <row r="972" ht="12.0" customHeight="1">
      <c r="A972" s="175"/>
      <c r="B972" s="175"/>
      <c r="C972" s="597"/>
      <c r="D972" s="597"/>
      <c r="E972" s="597"/>
      <c r="F972" s="597"/>
      <c r="G972" s="597"/>
      <c r="H972" s="597"/>
      <c r="I972" s="175"/>
      <c r="J972" s="175"/>
      <c r="K972" s="597"/>
      <c r="L972" s="597"/>
      <c r="M972" s="175"/>
      <c r="N972" s="175"/>
      <c r="O972" s="805"/>
      <c r="P972" s="175"/>
      <c r="Q972" s="175"/>
      <c r="R972" s="175"/>
      <c r="S972" s="175"/>
      <c r="T972" s="597"/>
      <c r="U972" s="597"/>
      <c r="V972" s="597"/>
      <c r="W972" s="175"/>
      <c r="X972" s="175"/>
      <c r="Y972" s="175"/>
      <c r="Z972" s="175"/>
      <c r="AA972" s="175"/>
      <c r="AB972" s="175"/>
      <c r="AC972" s="175"/>
      <c r="AD972" s="175"/>
      <c r="AE972" s="175"/>
      <c r="AF972" s="175"/>
    </row>
    <row r="973" ht="12.0" customHeight="1">
      <c r="A973" s="175"/>
      <c r="B973" s="175"/>
      <c r="C973" s="597"/>
      <c r="D973" s="597"/>
      <c r="E973" s="597"/>
      <c r="F973" s="597"/>
      <c r="G973" s="597"/>
      <c r="H973" s="597"/>
      <c r="I973" s="175"/>
      <c r="J973" s="175"/>
      <c r="K973" s="597"/>
      <c r="L973" s="597"/>
      <c r="M973" s="175"/>
      <c r="N973" s="175"/>
      <c r="O973" s="805"/>
      <c r="P973" s="175"/>
      <c r="Q973" s="175"/>
      <c r="R973" s="175"/>
      <c r="S973" s="175"/>
      <c r="T973" s="597"/>
      <c r="U973" s="597"/>
      <c r="V973" s="597"/>
      <c r="W973" s="175"/>
      <c r="X973" s="175"/>
      <c r="Y973" s="175"/>
      <c r="Z973" s="175"/>
      <c r="AA973" s="175"/>
      <c r="AB973" s="175"/>
      <c r="AC973" s="175"/>
      <c r="AD973" s="175"/>
      <c r="AE973" s="175"/>
      <c r="AF973" s="175"/>
    </row>
    <row r="974" ht="12.0" customHeight="1">
      <c r="A974" s="175"/>
      <c r="B974" s="175"/>
      <c r="C974" s="597"/>
      <c r="D974" s="597"/>
      <c r="E974" s="597"/>
      <c r="F974" s="597"/>
      <c r="G974" s="597"/>
      <c r="H974" s="597"/>
      <c r="I974" s="175"/>
      <c r="J974" s="175"/>
      <c r="K974" s="597"/>
      <c r="L974" s="597"/>
      <c r="M974" s="175"/>
      <c r="N974" s="175"/>
      <c r="O974" s="805"/>
      <c r="P974" s="175"/>
      <c r="Q974" s="175"/>
      <c r="R974" s="175"/>
      <c r="S974" s="175"/>
      <c r="T974" s="597"/>
      <c r="U974" s="597"/>
      <c r="V974" s="597"/>
      <c r="W974" s="175"/>
      <c r="X974" s="175"/>
      <c r="Y974" s="175"/>
      <c r="Z974" s="175"/>
      <c r="AA974" s="175"/>
      <c r="AB974" s="175"/>
      <c r="AC974" s="175"/>
      <c r="AD974" s="175"/>
      <c r="AE974" s="175"/>
      <c r="AF974" s="175"/>
    </row>
    <row r="975" ht="12.0" customHeight="1">
      <c r="A975" s="175"/>
      <c r="B975" s="175"/>
      <c r="C975" s="597"/>
      <c r="D975" s="597"/>
      <c r="E975" s="597"/>
      <c r="F975" s="597"/>
      <c r="G975" s="597"/>
      <c r="H975" s="597"/>
      <c r="I975" s="175"/>
      <c r="J975" s="175"/>
      <c r="K975" s="597"/>
      <c r="L975" s="597"/>
      <c r="M975" s="175"/>
      <c r="N975" s="175"/>
      <c r="O975" s="805"/>
      <c r="P975" s="175"/>
      <c r="Q975" s="175"/>
      <c r="R975" s="175"/>
      <c r="S975" s="175"/>
      <c r="T975" s="597"/>
      <c r="U975" s="597"/>
      <c r="V975" s="597"/>
      <c r="W975" s="175"/>
      <c r="X975" s="175"/>
      <c r="Y975" s="175"/>
      <c r="Z975" s="175"/>
      <c r="AA975" s="175"/>
      <c r="AB975" s="175"/>
      <c r="AC975" s="175"/>
      <c r="AD975" s="175"/>
      <c r="AE975" s="175"/>
      <c r="AF975" s="175"/>
    </row>
    <row r="976" ht="12.0" customHeight="1">
      <c r="A976" s="175"/>
      <c r="B976" s="175"/>
      <c r="C976" s="597"/>
      <c r="D976" s="597"/>
      <c r="E976" s="597"/>
      <c r="F976" s="597"/>
      <c r="G976" s="597"/>
      <c r="H976" s="597"/>
      <c r="I976" s="175"/>
      <c r="J976" s="175"/>
      <c r="K976" s="597"/>
      <c r="L976" s="597"/>
      <c r="M976" s="175"/>
      <c r="N976" s="175"/>
      <c r="O976" s="805"/>
      <c r="P976" s="175"/>
      <c r="Q976" s="175"/>
      <c r="R976" s="175"/>
      <c r="S976" s="175"/>
      <c r="T976" s="597"/>
      <c r="U976" s="597"/>
      <c r="V976" s="597"/>
      <c r="W976" s="175"/>
      <c r="X976" s="175"/>
      <c r="Y976" s="175"/>
      <c r="Z976" s="175"/>
      <c r="AA976" s="175"/>
      <c r="AB976" s="175"/>
      <c r="AC976" s="175"/>
      <c r="AD976" s="175"/>
      <c r="AE976" s="175"/>
      <c r="AF976" s="175"/>
    </row>
    <row r="977" ht="12.0" customHeight="1">
      <c r="A977" s="175"/>
      <c r="B977" s="175"/>
      <c r="C977" s="597"/>
      <c r="D977" s="597"/>
      <c r="E977" s="597"/>
      <c r="F977" s="597"/>
      <c r="G977" s="597"/>
      <c r="H977" s="597"/>
      <c r="I977" s="175"/>
      <c r="J977" s="175"/>
      <c r="K977" s="597"/>
      <c r="L977" s="597"/>
      <c r="M977" s="175"/>
      <c r="N977" s="175"/>
      <c r="O977" s="805"/>
      <c r="P977" s="175"/>
      <c r="Q977" s="175"/>
      <c r="R977" s="175"/>
      <c r="S977" s="175"/>
      <c r="T977" s="597"/>
      <c r="U977" s="597"/>
      <c r="V977" s="597"/>
      <c r="W977" s="175"/>
      <c r="X977" s="175"/>
      <c r="Y977" s="175"/>
      <c r="Z977" s="175"/>
      <c r="AA977" s="175"/>
      <c r="AB977" s="175"/>
      <c r="AC977" s="175"/>
      <c r="AD977" s="175"/>
      <c r="AE977" s="175"/>
      <c r="AF977" s="175"/>
    </row>
    <row r="978" ht="12.0" customHeight="1">
      <c r="A978" s="175"/>
      <c r="B978" s="175"/>
      <c r="C978" s="597"/>
      <c r="D978" s="597"/>
      <c r="E978" s="597"/>
      <c r="F978" s="597"/>
      <c r="G978" s="597"/>
      <c r="H978" s="597"/>
      <c r="I978" s="175"/>
      <c r="J978" s="175"/>
      <c r="K978" s="597"/>
      <c r="L978" s="597"/>
      <c r="M978" s="175"/>
      <c r="N978" s="175"/>
      <c r="O978" s="805"/>
      <c r="P978" s="175"/>
      <c r="Q978" s="175"/>
      <c r="R978" s="175"/>
      <c r="S978" s="175"/>
      <c r="T978" s="597"/>
      <c r="U978" s="597"/>
      <c r="V978" s="597"/>
      <c r="W978" s="175"/>
      <c r="X978" s="175"/>
      <c r="Y978" s="175"/>
      <c r="Z978" s="175"/>
      <c r="AA978" s="175"/>
      <c r="AB978" s="175"/>
      <c r="AC978" s="175"/>
      <c r="AD978" s="175"/>
      <c r="AE978" s="175"/>
      <c r="AF978" s="175"/>
    </row>
    <row r="979" ht="12.0" customHeight="1">
      <c r="A979" s="175"/>
      <c r="B979" s="175"/>
      <c r="C979" s="597"/>
      <c r="D979" s="597"/>
      <c r="E979" s="597"/>
      <c r="F979" s="597"/>
      <c r="G979" s="597"/>
      <c r="H979" s="597"/>
      <c r="I979" s="175"/>
      <c r="J979" s="175"/>
      <c r="K979" s="597"/>
      <c r="L979" s="597"/>
      <c r="M979" s="175"/>
      <c r="N979" s="175"/>
      <c r="O979" s="805"/>
      <c r="P979" s="175"/>
      <c r="Q979" s="175"/>
      <c r="R979" s="175"/>
      <c r="S979" s="175"/>
      <c r="T979" s="597"/>
      <c r="U979" s="597"/>
      <c r="V979" s="597"/>
      <c r="W979" s="175"/>
      <c r="X979" s="175"/>
      <c r="Y979" s="175"/>
      <c r="Z979" s="175"/>
      <c r="AA979" s="175"/>
      <c r="AB979" s="175"/>
      <c r="AC979" s="175"/>
      <c r="AD979" s="175"/>
      <c r="AE979" s="175"/>
      <c r="AF979" s="175"/>
    </row>
    <row r="980" ht="12.0" customHeight="1">
      <c r="A980" s="175"/>
      <c r="B980" s="175"/>
      <c r="C980" s="597"/>
      <c r="D980" s="597"/>
      <c r="E980" s="597"/>
      <c r="F980" s="597"/>
      <c r="G980" s="597"/>
      <c r="H980" s="597"/>
      <c r="I980" s="175"/>
      <c r="J980" s="175"/>
      <c r="K980" s="597"/>
      <c r="L980" s="597"/>
      <c r="M980" s="175"/>
      <c r="N980" s="175"/>
      <c r="O980" s="805"/>
      <c r="P980" s="175"/>
      <c r="Q980" s="175"/>
      <c r="R980" s="175"/>
      <c r="S980" s="175"/>
      <c r="T980" s="597"/>
      <c r="U980" s="597"/>
      <c r="V980" s="597"/>
      <c r="W980" s="175"/>
      <c r="X980" s="175"/>
      <c r="Y980" s="175"/>
      <c r="Z980" s="175"/>
      <c r="AA980" s="175"/>
      <c r="AB980" s="175"/>
      <c r="AC980" s="175"/>
      <c r="AD980" s="175"/>
      <c r="AE980" s="175"/>
      <c r="AF980" s="175"/>
    </row>
    <row r="981" ht="12.0" customHeight="1">
      <c r="A981" s="175"/>
      <c r="B981" s="175"/>
      <c r="C981" s="597"/>
      <c r="D981" s="597"/>
      <c r="E981" s="597"/>
      <c r="F981" s="597"/>
      <c r="G981" s="597"/>
      <c r="H981" s="597"/>
      <c r="I981" s="175"/>
      <c r="J981" s="175"/>
      <c r="K981" s="597"/>
      <c r="L981" s="597"/>
      <c r="M981" s="175"/>
      <c r="N981" s="175"/>
      <c r="O981" s="805"/>
      <c r="P981" s="175"/>
      <c r="Q981" s="175"/>
      <c r="R981" s="175"/>
      <c r="S981" s="175"/>
      <c r="T981" s="597"/>
      <c r="U981" s="597"/>
      <c r="V981" s="597"/>
      <c r="W981" s="175"/>
      <c r="X981" s="175"/>
      <c r="Y981" s="175"/>
      <c r="Z981" s="175"/>
      <c r="AA981" s="175"/>
      <c r="AB981" s="175"/>
      <c r="AC981" s="175"/>
      <c r="AD981" s="175"/>
      <c r="AE981" s="175"/>
      <c r="AF981" s="175"/>
    </row>
    <row r="982" ht="12.0" customHeight="1">
      <c r="A982" s="175"/>
      <c r="B982" s="175"/>
      <c r="C982" s="597"/>
      <c r="D982" s="597"/>
      <c r="E982" s="597"/>
      <c r="F982" s="597"/>
      <c r="G982" s="597"/>
      <c r="H982" s="597"/>
      <c r="I982" s="175"/>
      <c r="J982" s="175"/>
      <c r="K982" s="597"/>
      <c r="L982" s="597"/>
      <c r="M982" s="175"/>
      <c r="N982" s="175"/>
      <c r="O982" s="805"/>
      <c r="P982" s="175"/>
      <c r="Q982" s="175"/>
      <c r="R982" s="175"/>
      <c r="S982" s="175"/>
      <c r="T982" s="597"/>
      <c r="U982" s="597"/>
      <c r="V982" s="597"/>
      <c r="W982" s="175"/>
      <c r="X982" s="175"/>
      <c r="Y982" s="175"/>
      <c r="Z982" s="175"/>
      <c r="AA982" s="175"/>
      <c r="AB982" s="175"/>
      <c r="AC982" s="175"/>
      <c r="AD982" s="175"/>
      <c r="AE982" s="175"/>
      <c r="AF982" s="175"/>
    </row>
    <row r="983" ht="12.0" customHeight="1">
      <c r="A983" s="175"/>
      <c r="B983" s="175"/>
      <c r="C983" s="597"/>
      <c r="D983" s="597"/>
      <c r="E983" s="597"/>
      <c r="F983" s="597"/>
      <c r="G983" s="597"/>
      <c r="H983" s="597"/>
      <c r="I983" s="175"/>
      <c r="J983" s="175"/>
      <c r="K983" s="597"/>
      <c r="L983" s="597"/>
      <c r="M983" s="175"/>
      <c r="N983" s="175"/>
      <c r="O983" s="805"/>
      <c r="P983" s="175"/>
      <c r="Q983" s="175"/>
      <c r="R983" s="175"/>
      <c r="S983" s="175"/>
      <c r="T983" s="597"/>
      <c r="U983" s="597"/>
      <c r="V983" s="597"/>
      <c r="W983" s="175"/>
      <c r="X983" s="175"/>
      <c r="Y983" s="175"/>
      <c r="Z983" s="175"/>
      <c r="AA983" s="175"/>
      <c r="AB983" s="175"/>
      <c r="AC983" s="175"/>
      <c r="AD983" s="175"/>
      <c r="AE983" s="175"/>
      <c r="AF983" s="175"/>
    </row>
    <row r="984" ht="12.0" customHeight="1">
      <c r="A984" s="175"/>
      <c r="B984" s="175"/>
      <c r="C984" s="597"/>
      <c r="D984" s="597"/>
      <c r="E984" s="597"/>
      <c r="F984" s="597"/>
      <c r="G984" s="597"/>
      <c r="H984" s="597"/>
      <c r="I984" s="175"/>
      <c r="J984" s="175"/>
      <c r="K984" s="597"/>
      <c r="L984" s="597"/>
      <c r="M984" s="175"/>
      <c r="N984" s="175"/>
      <c r="O984" s="805"/>
      <c r="P984" s="175"/>
      <c r="Q984" s="175"/>
      <c r="R984" s="175"/>
      <c r="S984" s="175"/>
      <c r="T984" s="597"/>
      <c r="U984" s="597"/>
      <c r="V984" s="597"/>
      <c r="W984" s="175"/>
      <c r="X984" s="175"/>
      <c r="Y984" s="175"/>
      <c r="Z984" s="175"/>
      <c r="AA984" s="175"/>
      <c r="AB984" s="175"/>
      <c r="AC984" s="175"/>
      <c r="AD984" s="175"/>
      <c r="AE984" s="175"/>
      <c r="AF984" s="175"/>
    </row>
    <row r="985" ht="12.0" customHeight="1">
      <c r="A985" s="175"/>
      <c r="B985" s="175"/>
      <c r="C985" s="597"/>
      <c r="D985" s="597"/>
      <c r="E985" s="597"/>
      <c r="F985" s="597"/>
      <c r="G985" s="597"/>
      <c r="H985" s="597"/>
      <c r="I985" s="175"/>
      <c r="J985" s="175"/>
      <c r="K985" s="597"/>
      <c r="L985" s="597"/>
      <c r="M985" s="175"/>
      <c r="N985" s="175"/>
      <c r="O985" s="805"/>
      <c r="P985" s="175"/>
      <c r="Q985" s="175"/>
      <c r="R985" s="175"/>
      <c r="S985" s="175"/>
      <c r="T985" s="597"/>
      <c r="U985" s="597"/>
      <c r="V985" s="597"/>
      <c r="W985" s="175"/>
      <c r="X985" s="175"/>
      <c r="Y985" s="175"/>
      <c r="Z985" s="175"/>
      <c r="AA985" s="175"/>
      <c r="AB985" s="175"/>
      <c r="AC985" s="175"/>
      <c r="AD985" s="175"/>
      <c r="AE985" s="175"/>
      <c r="AF985" s="175"/>
    </row>
    <row r="986" ht="12.0" customHeight="1">
      <c r="A986" s="175"/>
      <c r="B986" s="175"/>
      <c r="C986" s="597"/>
      <c r="D986" s="597"/>
      <c r="E986" s="597"/>
      <c r="F986" s="597"/>
      <c r="G986" s="597"/>
      <c r="H986" s="597"/>
      <c r="I986" s="175"/>
      <c r="J986" s="175"/>
      <c r="K986" s="597"/>
      <c r="L986" s="597"/>
      <c r="M986" s="175"/>
      <c r="N986" s="175"/>
      <c r="O986" s="805"/>
      <c r="P986" s="175"/>
      <c r="Q986" s="175"/>
      <c r="R986" s="175"/>
      <c r="S986" s="175"/>
      <c r="T986" s="597"/>
      <c r="U986" s="597"/>
      <c r="V986" s="597"/>
      <c r="W986" s="175"/>
      <c r="X986" s="175"/>
      <c r="Y986" s="175"/>
      <c r="Z986" s="175"/>
      <c r="AA986" s="175"/>
      <c r="AB986" s="175"/>
      <c r="AC986" s="175"/>
      <c r="AD986" s="175"/>
      <c r="AE986" s="175"/>
      <c r="AF986" s="175"/>
    </row>
    <row r="987" ht="12.0" customHeight="1">
      <c r="A987" s="175"/>
      <c r="B987" s="175"/>
      <c r="C987" s="597"/>
      <c r="D987" s="597"/>
      <c r="E987" s="597"/>
      <c r="F987" s="597"/>
      <c r="G987" s="597"/>
      <c r="H987" s="597"/>
      <c r="I987" s="175"/>
      <c r="J987" s="175"/>
      <c r="K987" s="597"/>
      <c r="L987" s="597"/>
      <c r="M987" s="175"/>
      <c r="N987" s="175"/>
      <c r="O987" s="805"/>
      <c r="P987" s="175"/>
      <c r="Q987" s="175"/>
      <c r="R987" s="175"/>
      <c r="S987" s="175"/>
      <c r="T987" s="597"/>
      <c r="U987" s="597"/>
      <c r="V987" s="597"/>
      <c r="W987" s="175"/>
      <c r="X987" s="175"/>
      <c r="Y987" s="175"/>
      <c r="Z987" s="175"/>
      <c r="AA987" s="175"/>
      <c r="AB987" s="175"/>
      <c r="AC987" s="175"/>
      <c r="AD987" s="175"/>
      <c r="AE987" s="175"/>
      <c r="AF987" s="175"/>
    </row>
    <row r="988" ht="12.0" customHeight="1">
      <c r="A988" s="175"/>
      <c r="B988" s="175"/>
      <c r="C988" s="597"/>
      <c r="D988" s="597"/>
      <c r="E988" s="597"/>
      <c r="F988" s="597"/>
      <c r="G988" s="597"/>
      <c r="H988" s="597"/>
      <c r="I988" s="175"/>
      <c r="J988" s="175"/>
      <c r="K988" s="597"/>
      <c r="L988" s="597"/>
      <c r="M988" s="175"/>
      <c r="N988" s="175"/>
      <c r="O988" s="805"/>
      <c r="P988" s="175"/>
      <c r="Q988" s="175"/>
      <c r="R988" s="175"/>
      <c r="S988" s="175"/>
      <c r="T988" s="597"/>
      <c r="U988" s="597"/>
      <c r="V988" s="597"/>
      <c r="W988" s="175"/>
      <c r="X988" s="175"/>
      <c r="Y988" s="175"/>
      <c r="Z988" s="175"/>
      <c r="AA988" s="175"/>
      <c r="AB988" s="175"/>
      <c r="AC988" s="175"/>
      <c r="AD988" s="175"/>
      <c r="AE988" s="175"/>
      <c r="AF988" s="175"/>
    </row>
    <row r="989" ht="12.0" customHeight="1">
      <c r="A989" s="175"/>
      <c r="B989" s="175"/>
      <c r="C989" s="597"/>
      <c r="D989" s="597"/>
      <c r="E989" s="597"/>
      <c r="F989" s="597"/>
      <c r="G989" s="597"/>
      <c r="H989" s="597"/>
      <c r="I989" s="175"/>
      <c r="J989" s="175"/>
      <c r="K989" s="597"/>
      <c r="L989" s="597"/>
      <c r="M989" s="175"/>
      <c r="N989" s="175"/>
      <c r="O989" s="805"/>
      <c r="P989" s="175"/>
      <c r="Q989" s="175"/>
      <c r="R989" s="175"/>
      <c r="S989" s="175"/>
      <c r="T989" s="597"/>
      <c r="U989" s="597"/>
      <c r="V989" s="597"/>
      <c r="W989" s="175"/>
      <c r="X989" s="175"/>
      <c r="Y989" s="175"/>
      <c r="Z989" s="175"/>
      <c r="AA989" s="175"/>
      <c r="AB989" s="175"/>
      <c r="AC989" s="175"/>
      <c r="AD989" s="175"/>
      <c r="AE989" s="175"/>
      <c r="AF989" s="175"/>
    </row>
    <row r="990" ht="12.0" customHeight="1">
      <c r="A990" s="175"/>
      <c r="B990" s="175"/>
      <c r="C990" s="597"/>
      <c r="D990" s="597"/>
      <c r="E990" s="597"/>
      <c r="F990" s="597"/>
      <c r="G990" s="597"/>
      <c r="H990" s="597"/>
      <c r="I990" s="175"/>
      <c r="J990" s="175"/>
      <c r="K990" s="597"/>
      <c r="L990" s="597"/>
      <c r="M990" s="175"/>
      <c r="N990" s="175"/>
      <c r="O990" s="805"/>
      <c r="P990" s="175"/>
      <c r="Q990" s="175"/>
      <c r="R990" s="175"/>
      <c r="S990" s="175"/>
      <c r="T990" s="597"/>
      <c r="U990" s="597"/>
      <c r="V990" s="597"/>
      <c r="W990" s="175"/>
      <c r="X990" s="175"/>
      <c r="Y990" s="175"/>
      <c r="Z990" s="175"/>
      <c r="AA990" s="175"/>
      <c r="AB990" s="175"/>
      <c r="AC990" s="175"/>
      <c r="AD990" s="175"/>
      <c r="AE990" s="175"/>
      <c r="AF990" s="175"/>
    </row>
    <row r="991" ht="12.0" customHeight="1">
      <c r="A991" s="175"/>
      <c r="B991" s="175"/>
      <c r="C991" s="597"/>
      <c r="D991" s="597"/>
      <c r="E991" s="597"/>
      <c r="F991" s="597"/>
      <c r="G991" s="597"/>
      <c r="H991" s="597"/>
      <c r="I991" s="175"/>
      <c r="J991" s="175"/>
      <c r="K991" s="597"/>
      <c r="L991" s="597"/>
      <c r="M991" s="175"/>
      <c r="N991" s="175"/>
      <c r="O991" s="805"/>
      <c r="P991" s="175"/>
      <c r="Q991" s="175"/>
      <c r="R991" s="175"/>
      <c r="S991" s="175"/>
      <c r="T991" s="597"/>
      <c r="U991" s="597"/>
      <c r="V991" s="597"/>
      <c r="W991" s="175"/>
      <c r="X991" s="175"/>
      <c r="Y991" s="175"/>
      <c r="Z991" s="175"/>
      <c r="AA991" s="175"/>
      <c r="AB991" s="175"/>
      <c r="AC991" s="175"/>
      <c r="AD991" s="175"/>
      <c r="AE991" s="175"/>
      <c r="AF991" s="175"/>
    </row>
    <row r="992" ht="12.0" customHeight="1">
      <c r="A992" s="175"/>
      <c r="B992" s="175"/>
      <c r="C992" s="597"/>
      <c r="D992" s="597"/>
      <c r="E992" s="597"/>
      <c r="F992" s="597"/>
      <c r="G992" s="597"/>
      <c r="H992" s="597"/>
      <c r="I992" s="175"/>
      <c r="J992" s="175"/>
      <c r="K992" s="597"/>
      <c r="L992" s="597"/>
      <c r="M992" s="175"/>
      <c r="N992" s="175"/>
      <c r="O992" s="805"/>
      <c r="P992" s="175"/>
      <c r="Q992" s="175"/>
      <c r="R992" s="175"/>
      <c r="S992" s="175"/>
      <c r="T992" s="597"/>
      <c r="U992" s="597"/>
      <c r="V992" s="597"/>
      <c r="W992" s="175"/>
      <c r="X992" s="175"/>
      <c r="Y992" s="175"/>
      <c r="Z992" s="175"/>
      <c r="AA992" s="175"/>
      <c r="AB992" s="175"/>
      <c r="AC992" s="175"/>
      <c r="AD992" s="175"/>
      <c r="AE992" s="175"/>
      <c r="AF992" s="175"/>
    </row>
    <row r="993" ht="12.0" customHeight="1">
      <c r="A993" s="175"/>
      <c r="B993" s="175"/>
      <c r="C993" s="597"/>
      <c r="D993" s="597"/>
      <c r="E993" s="597"/>
      <c r="F993" s="597"/>
      <c r="G993" s="597"/>
      <c r="H993" s="597"/>
      <c r="I993" s="175"/>
      <c r="J993" s="175"/>
      <c r="K993" s="597"/>
      <c r="L993" s="597"/>
      <c r="M993" s="175"/>
      <c r="N993" s="175"/>
      <c r="O993" s="805"/>
      <c r="P993" s="175"/>
      <c r="Q993" s="175"/>
      <c r="R993" s="175"/>
      <c r="S993" s="175"/>
      <c r="T993" s="597"/>
      <c r="U993" s="597"/>
      <c r="V993" s="597"/>
      <c r="W993" s="175"/>
      <c r="X993" s="175"/>
      <c r="Y993" s="175"/>
      <c r="Z993" s="175"/>
      <c r="AA993" s="175"/>
      <c r="AB993" s="175"/>
      <c r="AC993" s="175"/>
      <c r="AD993" s="175"/>
      <c r="AE993" s="175"/>
      <c r="AF993" s="175"/>
    </row>
    <row r="994" ht="12.0" customHeight="1">
      <c r="A994" s="175"/>
      <c r="B994" s="175"/>
      <c r="C994" s="597"/>
      <c r="D994" s="597"/>
      <c r="E994" s="597"/>
      <c r="F994" s="597"/>
      <c r="G994" s="597"/>
      <c r="H994" s="597"/>
      <c r="I994" s="175"/>
      <c r="J994" s="175"/>
      <c r="K994" s="597"/>
      <c r="L994" s="597"/>
      <c r="M994" s="175"/>
      <c r="N994" s="175"/>
      <c r="O994" s="805"/>
      <c r="P994" s="175"/>
      <c r="Q994" s="175"/>
      <c r="R994" s="175"/>
      <c r="S994" s="175"/>
      <c r="T994" s="597"/>
      <c r="U994" s="597"/>
      <c r="V994" s="597"/>
      <c r="W994" s="175"/>
      <c r="X994" s="175"/>
      <c r="Y994" s="175"/>
      <c r="Z994" s="175"/>
      <c r="AA994" s="175"/>
      <c r="AB994" s="175"/>
      <c r="AC994" s="175"/>
      <c r="AD994" s="175"/>
      <c r="AE994" s="175"/>
      <c r="AF994" s="175"/>
    </row>
    <row r="995" ht="12.0" customHeight="1">
      <c r="A995" s="175"/>
      <c r="B995" s="175"/>
      <c r="C995" s="597"/>
      <c r="D995" s="597"/>
      <c r="E995" s="597"/>
      <c r="F995" s="597"/>
      <c r="G995" s="597"/>
      <c r="H995" s="597"/>
      <c r="I995" s="175"/>
      <c r="J995" s="175"/>
      <c r="K995" s="597"/>
      <c r="L995" s="597"/>
      <c r="M995" s="175"/>
      <c r="N995" s="175"/>
      <c r="O995" s="805"/>
      <c r="P995" s="175"/>
      <c r="Q995" s="175"/>
      <c r="R995" s="175"/>
      <c r="S995" s="175"/>
      <c r="T995" s="597"/>
      <c r="U995" s="597"/>
      <c r="V995" s="597"/>
      <c r="W995" s="175"/>
      <c r="X995" s="175"/>
      <c r="Y995" s="175"/>
      <c r="Z995" s="175"/>
      <c r="AA995" s="175"/>
      <c r="AB995" s="175"/>
      <c r="AC995" s="175"/>
      <c r="AD995" s="175"/>
      <c r="AE995" s="175"/>
      <c r="AF995" s="175"/>
    </row>
    <row r="996" ht="12.0" customHeight="1">
      <c r="A996" s="175"/>
      <c r="B996" s="175"/>
      <c r="C996" s="597"/>
      <c r="D996" s="597"/>
      <c r="E996" s="597"/>
      <c r="F996" s="597"/>
      <c r="G996" s="597"/>
      <c r="H996" s="597"/>
      <c r="I996" s="175"/>
      <c r="J996" s="175"/>
      <c r="K996" s="597"/>
      <c r="L996" s="597"/>
      <c r="M996" s="175"/>
      <c r="N996" s="175"/>
      <c r="O996" s="805"/>
      <c r="P996" s="175"/>
      <c r="Q996" s="175"/>
      <c r="R996" s="175"/>
      <c r="S996" s="175"/>
      <c r="T996" s="597"/>
      <c r="U996" s="597"/>
      <c r="V996" s="597"/>
      <c r="W996" s="175"/>
      <c r="X996" s="175"/>
      <c r="Y996" s="175"/>
      <c r="Z996" s="175"/>
      <c r="AA996" s="175"/>
      <c r="AB996" s="175"/>
      <c r="AC996" s="175"/>
      <c r="AD996" s="175"/>
      <c r="AE996" s="175"/>
      <c r="AF996" s="175"/>
    </row>
    <row r="997" ht="12.0" customHeight="1">
      <c r="A997" s="175"/>
      <c r="B997" s="175"/>
      <c r="C997" s="597"/>
      <c r="D997" s="597"/>
      <c r="E997" s="597"/>
      <c r="F997" s="597"/>
      <c r="G997" s="597"/>
      <c r="H997" s="597"/>
      <c r="I997" s="175"/>
      <c r="J997" s="175"/>
      <c r="K997" s="597"/>
      <c r="L997" s="597"/>
      <c r="M997" s="175"/>
      <c r="N997" s="175"/>
      <c r="O997" s="805"/>
      <c r="P997" s="175"/>
      <c r="Q997" s="175"/>
      <c r="R997" s="175"/>
      <c r="S997" s="175"/>
      <c r="T997" s="597"/>
      <c r="U997" s="597"/>
      <c r="V997" s="597"/>
      <c r="W997" s="175"/>
      <c r="X997" s="175"/>
      <c r="Y997" s="175"/>
      <c r="Z997" s="175"/>
      <c r="AA997" s="175"/>
      <c r="AB997" s="175"/>
      <c r="AC997" s="175"/>
      <c r="AD997" s="175"/>
      <c r="AE997" s="175"/>
      <c r="AF997" s="175"/>
    </row>
    <row r="998" ht="12.0" customHeight="1">
      <c r="A998" s="175"/>
      <c r="B998" s="175"/>
      <c r="C998" s="597"/>
      <c r="D998" s="597"/>
      <c r="E998" s="597"/>
      <c r="F998" s="597"/>
      <c r="G998" s="597"/>
      <c r="H998" s="597"/>
      <c r="I998" s="175"/>
      <c r="J998" s="175"/>
      <c r="K998" s="597"/>
      <c r="L998" s="597"/>
      <c r="M998" s="175"/>
      <c r="N998" s="175"/>
      <c r="O998" s="805"/>
      <c r="P998" s="175"/>
      <c r="Q998" s="175"/>
      <c r="R998" s="175"/>
      <c r="S998" s="175"/>
      <c r="T998" s="597"/>
      <c r="U998" s="597"/>
      <c r="V998" s="597"/>
      <c r="W998" s="175"/>
      <c r="X998" s="175"/>
      <c r="Y998" s="175"/>
      <c r="Z998" s="175"/>
      <c r="AA998" s="175"/>
      <c r="AB998" s="175"/>
      <c r="AC998" s="175"/>
      <c r="AD998" s="175"/>
      <c r="AE998" s="175"/>
      <c r="AF998" s="175"/>
    </row>
    <row r="999" ht="12.0" customHeight="1">
      <c r="A999" s="175"/>
      <c r="B999" s="175"/>
      <c r="C999" s="597"/>
      <c r="D999" s="597"/>
      <c r="E999" s="597"/>
      <c r="F999" s="597"/>
      <c r="G999" s="597"/>
      <c r="H999" s="597"/>
      <c r="I999" s="175"/>
      <c r="J999" s="175"/>
      <c r="K999" s="597"/>
      <c r="L999" s="597"/>
      <c r="M999" s="175"/>
      <c r="N999" s="175"/>
      <c r="O999" s="805"/>
      <c r="P999" s="175"/>
      <c r="Q999" s="175"/>
      <c r="R999" s="175"/>
      <c r="S999" s="175"/>
      <c r="T999" s="597"/>
      <c r="U999" s="597"/>
      <c r="V999" s="597"/>
      <c r="W999" s="175"/>
      <c r="X999" s="175"/>
      <c r="Y999" s="175"/>
      <c r="Z999" s="175"/>
      <c r="AA999" s="175"/>
      <c r="AB999" s="175"/>
      <c r="AC999" s="175"/>
      <c r="AD999" s="175"/>
      <c r="AE999" s="175"/>
      <c r="AF999" s="175"/>
    </row>
    <row r="1000" ht="12.0" customHeight="1">
      <c r="A1000" s="175"/>
      <c r="B1000" s="175"/>
      <c r="C1000" s="597"/>
      <c r="D1000" s="597"/>
      <c r="E1000" s="597"/>
      <c r="F1000" s="597"/>
      <c r="G1000" s="597"/>
      <c r="H1000" s="597"/>
      <c r="I1000" s="175"/>
      <c r="J1000" s="175"/>
      <c r="K1000" s="597"/>
      <c r="L1000" s="597"/>
      <c r="M1000" s="175"/>
      <c r="N1000" s="175"/>
      <c r="O1000" s="805"/>
      <c r="P1000" s="175"/>
      <c r="Q1000" s="175"/>
      <c r="R1000" s="175"/>
      <c r="S1000" s="175"/>
      <c r="T1000" s="597"/>
      <c r="U1000" s="597"/>
      <c r="V1000" s="597"/>
      <c r="W1000" s="175"/>
      <c r="X1000" s="175"/>
      <c r="Y1000" s="175"/>
      <c r="Z1000" s="175"/>
      <c r="AA1000" s="175"/>
      <c r="AB1000" s="175"/>
      <c r="AC1000" s="175"/>
      <c r="AD1000" s="175"/>
      <c r="AE1000" s="175"/>
      <c r="AF1000" s="175"/>
    </row>
  </sheetData>
  <mergeCells count="21">
    <mergeCell ref="X4:X5"/>
    <mergeCell ref="AA4:AB4"/>
    <mergeCell ref="AD4:AD5"/>
    <mergeCell ref="B4:B5"/>
    <mergeCell ref="E4:F4"/>
    <mergeCell ref="G4:H4"/>
    <mergeCell ref="I4:J4"/>
    <mergeCell ref="K4:L4"/>
    <mergeCell ref="M4:N4"/>
    <mergeCell ref="O4:O5"/>
    <mergeCell ref="X36:X37"/>
    <mergeCell ref="AA36:AB36"/>
    <mergeCell ref="AD36:AD37"/>
    <mergeCell ref="AA51:AB51"/>
    <mergeCell ref="B36:B37"/>
    <mergeCell ref="E36:F36"/>
    <mergeCell ref="G36:H36"/>
    <mergeCell ref="I36:J36"/>
    <mergeCell ref="K36:L36"/>
    <mergeCell ref="M36:N36"/>
    <mergeCell ref="O36:O37"/>
  </mergeCells>
  <printOptions/>
  <pageMargins bottom="0.75" footer="0.0" header="0.0" left="0.7" right="0.7" top="0.75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.14"/>
    <col customWidth="1" min="2" max="2" width="4.86"/>
    <col customWidth="1" min="3" max="3" width="36.14"/>
    <col customWidth="1" hidden="1" min="4" max="4" width="11.43"/>
    <col customWidth="1" hidden="1" min="5" max="5" width="19.43"/>
    <col customWidth="1" min="6" max="6" width="26.86"/>
    <col customWidth="1" min="7" max="7" width="21.86"/>
    <col customWidth="1" min="8" max="8" width="14.86"/>
    <col customWidth="1" min="9" max="9" width="24.0"/>
    <col customWidth="1" min="10" max="10" width="16.86"/>
    <col customWidth="1" min="11" max="11" width="15.43"/>
    <col customWidth="1" min="12" max="26" width="8.86"/>
  </cols>
  <sheetData>
    <row r="1" ht="12.0" customHeight="1">
      <c r="A1" s="878"/>
      <c r="B1" s="879"/>
      <c r="C1" s="842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878"/>
      <c r="S1" s="878"/>
      <c r="T1" s="878"/>
      <c r="U1" s="878"/>
      <c r="V1" s="878"/>
      <c r="W1" s="878"/>
      <c r="X1" s="878"/>
      <c r="Y1" s="878"/>
      <c r="Z1" s="878"/>
    </row>
    <row r="2" ht="12.0" customHeight="1">
      <c r="A2" s="878"/>
      <c r="B2" s="880"/>
      <c r="C2" s="881" t="s">
        <v>1343</v>
      </c>
      <c r="D2" s="882">
        <v>1950.0</v>
      </c>
      <c r="E2" s="882">
        <v>2000.0</v>
      </c>
      <c r="F2" s="882">
        <v>2300.0</v>
      </c>
      <c r="G2" s="882">
        <v>2300.0</v>
      </c>
      <c r="H2" s="882">
        <v>2300.0</v>
      </c>
      <c r="I2" s="881"/>
      <c r="J2" s="878"/>
      <c r="K2" s="878"/>
      <c r="L2" s="878"/>
      <c r="M2" s="878"/>
      <c r="N2" s="878"/>
      <c r="O2" s="878"/>
      <c r="P2" s="878"/>
      <c r="Q2" s="878"/>
      <c r="R2" s="878"/>
      <c r="S2" s="878"/>
      <c r="T2" s="878"/>
      <c r="U2" s="878"/>
      <c r="V2" s="878"/>
      <c r="W2" s="878"/>
      <c r="X2" s="878"/>
      <c r="Y2" s="878"/>
      <c r="Z2" s="878"/>
    </row>
    <row r="3" ht="12.0" customHeight="1">
      <c r="A3" s="878"/>
      <c r="B3" s="883"/>
      <c r="C3" s="884" t="s">
        <v>1344</v>
      </c>
      <c r="D3" s="885">
        <v>42309.0</v>
      </c>
      <c r="E3" s="885">
        <f>+D3+31</f>
        <v>42340</v>
      </c>
      <c r="F3" s="885" t="s">
        <v>1345</v>
      </c>
      <c r="G3" s="885" t="s">
        <v>1346</v>
      </c>
      <c r="H3" s="886" t="s">
        <v>1347</v>
      </c>
      <c r="I3" s="887" t="s">
        <v>1348</v>
      </c>
      <c r="J3" s="878"/>
      <c r="K3" s="878"/>
      <c r="L3" s="878"/>
      <c r="M3" s="878"/>
      <c r="N3" s="878"/>
      <c r="O3" s="878"/>
      <c r="P3" s="878"/>
      <c r="Q3" s="878"/>
      <c r="R3" s="878"/>
      <c r="S3" s="878"/>
      <c r="T3" s="878"/>
      <c r="U3" s="878"/>
      <c r="V3" s="878"/>
      <c r="W3" s="878"/>
      <c r="X3" s="878"/>
      <c r="Y3" s="878"/>
      <c r="Z3" s="878"/>
    </row>
    <row r="4" ht="12.0" customHeight="1">
      <c r="A4" s="878"/>
      <c r="B4" s="888"/>
      <c r="C4" s="889" t="s">
        <v>1349</v>
      </c>
      <c r="D4" s="890">
        <f>20700000+21300*D2</f>
        <v>62235000</v>
      </c>
      <c r="E4" s="890">
        <f>124628.37+83000+4159.33*2000</f>
        <v>8526288.37</v>
      </c>
      <c r="F4" s="890">
        <v>3.9373E7</v>
      </c>
      <c r="G4" s="890">
        <f>6123937.14+75097609.51-70000000</f>
        <v>11221546.65</v>
      </c>
      <c r="H4" s="891">
        <f>+G62</f>
        <v>-152749426.4</v>
      </c>
      <c r="I4" s="892" t="s">
        <v>1350</v>
      </c>
      <c r="J4" s="878"/>
      <c r="K4" s="878"/>
      <c r="L4" s="878"/>
      <c r="M4" s="878"/>
      <c r="N4" s="878"/>
      <c r="O4" s="878"/>
      <c r="P4" s="878"/>
      <c r="Q4" s="878"/>
      <c r="R4" s="878"/>
      <c r="S4" s="878"/>
      <c r="T4" s="878"/>
      <c r="U4" s="878"/>
      <c r="V4" s="878"/>
      <c r="W4" s="878"/>
      <c r="X4" s="878"/>
      <c r="Y4" s="878"/>
      <c r="Z4" s="878"/>
    </row>
    <row r="5" ht="12.0" customHeight="1">
      <c r="A5" s="878"/>
      <c r="B5" s="893"/>
      <c r="C5" s="894" t="s">
        <v>1351</v>
      </c>
      <c r="D5" s="895" t="str">
        <f t="shared" ref="D5:E5" si="1">D6+#REF!+D15+D27</f>
        <v>#ERROR!</v>
      </c>
      <c r="E5" s="895" t="str">
        <f t="shared" si="1"/>
        <v>#ERROR!</v>
      </c>
      <c r="F5" s="895">
        <f t="shared" ref="F5:I5" si="2">F6+F15+F27</f>
        <v>712110357.3</v>
      </c>
      <c r="G5" s="895">
        <f t="shared" si="2"/>
        <v>104334027</v>
      </c>
      <c r="H5" s="896">
        <f t="shared" si="2"/>
        <v>103578003</v>
      </c>
      <c r="I5" s="897">
        <f t="shared" si="2"/>
        <v>920022387.3</v>
      </c>
      <c r="J5" s="878"/>
      <c r="K5" s="878"/>
      <c r="L5" s="878"/>
      <c r="M5" s="878"/>
      <c r="N5" s="878"/>
      <c r="O5" s="878"/>
      <c r="P5" s="878"/>
      <c r="Q5" s="878"/>
      <c r="R5" s="878"/>
      <c r="S5" s="878"/>
      <c r="T5" s="878"/>
      <c r="U5" s="878"/>
      <c r="V5" s="878"/>
      <c r="W5" s="878"/>
      <c r="X5" s="878"/>
      <c r="Y5" s="878"/>
      <c r="Z5" s="878"/>
    </row>
    <row r="6" ht="12.0" customHeight="1">
      <c r="A6" s="878"/>
      <c r="B6" s="898"/>
      <c r="C6" s="899" t="s">
        <v>1352</v>
      </c>
      <c r="D6" s="900" t="str">
        <f t="shared" ref="D6:I6" si="3">D7+D11</f>
        <v>#ERROR!</v>
      </c>
      <c r="E6" s="900" t="str">
        <f t="shared" si="3"/>
        <v>#ERROR!</v>
      </c>
      <c r="F6" s="900">
        <f t="shared" si="3"/>
        <v>19450000</v>
      </c>
      <c r="G6" s="900">
        <f t="shared" si="3"/>
        <v>19450000</v>
      </c>
      <c r="H6" s="901">
        <f t="shared" si="3"/>
        <v>19450000</v>
      </c>
      <c r="I6" s="902">
        <f t="shared" si="3"/>
        <v>58350000</v>
      </c>
      <c r="J6" s="878"/>
      <c r="K6" s="878"/>
      <c r="L6" s="878"/>
      <c r="M6" s="878"/>
      <c r="N6" s="878"/>
      <c r="O6" s="878"/>
      <c r="P6" s="878"/>
      <c r="Q6" s="878"/>
      <c r="R6" s="878"/>
      <c r="S6" s="878"/>
      <c r="T6" s="878"/>
      <c r="U6" s="878"/>
      <c r="V6" s="878"/>
      <c r="W6" s="878"/>
      <c r="X6" s="878"/>
      <c r="Y6" s="878"/>
      <c r="Z6" s="878"/>
    </row>
    <row r="7" ht="12.0" customHeight="1">
      <c r="A7" s="878"/>
      <c r="B7" s="903" t="s">
        <v>22</v>
      </c>
      <c r="C7" s="904" t="s">
        <v>1353</v>
      </c>
      <c r="D7" s="905">
        <f t="shared" ref="D7:H7" si="4">SUM(D8:D9)</f>
        <v>5500000</v>
      </c>
      <c r="E7" s="905">
        <f t="shared" si="4"/>
        <v>5500000</v>
      </c>
      <c r="F7" s="905">
        <f t="shared" si="4"/>
        <v>7700000</v>
      </c>
      <c r="G7" s="905">
        <f t="shared" si="4"/>
        <v>7700000</v>
      </c>
      <c r="H7" s="906">
        <f t="shared" si="4"/>
        <v>7700000</v>
      </c>
      <c r="I7" s="907">
        <f t="shared" ref="I7:I9" si="6">SUM(F7:H7)</f>
        <v>23100000</v>
      </c>
      <c r="J7" s="878"/>
      <c r="K7" s="878"/>
      <c r="L7" s="878"/>
      <c r="M7" s="878"/>
      <c r="N7" s="878"/>
      <c r="O7" s="878"/>
      <c r="P7" s="878"/>
      <c r="Q7" s="878"/>
      <c r="R7" s="878"/>
      <c r="S7" s="878"/>
      <c r="T7" s="878"/>
      <c r="U7" s="878"/>
      <c r="V7" s="878"/>
      <c r="W7" s="878"/>
      <c r="X7" s="878"/>
      <c r="Y7" s="878"/>
      <c r="Z7" s="878"/>
    </row>
    <row r="8" ht="12.0" customHeight="1">
      <c r="A8" s="878"/>
      <c r="B8" s="908" t="s">
        <v>1354</v>
      </c>
      <c r="C8" s="909" t="s">
        <v>1355</v>
      </c>
      <c r="D8" s="910">
        <v>3300000.0</v>
      </c>
      <c r="E8" s="910">
        <f t="shared" ref="E8:E9" si="7">D8</f>
        <v>3300000</v>
      </c>
      <c r="F8" s="910">
        <v>4400000.0</v>
      </c>
      <c r="G8" s="910">
        <f t="shared" ref="G8:H8" si="5">F8</f>
        <v>4400000</v>
      </c>
      <c r="H8" s="911">
        <f t="shared" si="5"/>
        <v>4400000</v>
      </c>
      <c r="I8" s="912">
        <f t="shared" si="6"/>
        <v>13200000</v>
      </c>
      <c r="J8" s="878"/>
      <c r="K8" s="878"/>
      <c r="L8" s="878"/>
      <c r="M8" s="878"/>
      <c r="N8" s="878"/>
      <c r="O8" s="878"/>
      <c r="P8" s="878"/>
      <c r="Q8" s="878"/>
      <c r="R8" s="878"/>
      <c r="S8" s="878"/>
      <c r="T8" s="878"/>
      <c r="U8" s="878"/>
      <c r="V8" s="878"/>
      <c r="W8" s="878"/>
      <c r="X8" s="878"/>
      <c r="Y8" s="878"/>
      <c r="Z8" s="878"/>
    </row>
    <row r="9" ht="12.0" customHeight="1">
      <c r="A9" s="878"/>
      <c r="B9" s="908" t="s">
        <v>1354</v>
      </c>
      <c r="C9" s="909" t="s">
        <v>1356</v>
      </c>
      <c r="D9" s="910">
        <v>2200000.0</v>
      </c>
      <c r="E9" s="910">
        <f t="shared" si="7"/>
        <v>2200000</v>
      </c>
      <c r="F9" s="910">
        <v>3300000.0000000005</v>
      </c>
      <c r="G9" s="910">
        <f t="shared" ref="G9:H9" si="8">F9</f>
        <v>3300000</v>
      </c>
      <c r="H9" s="911">
        <f t="shared" si="8"/>
        <v>3300000</v>
      </c>
      <c r="I9" s="912">
        <f t="shared" si="6"/>
        <v>9900000</v>
      </c>
      <c r="J9" s="878"/>
      <c r="K9" s="878"/>
      <c r="L9" s="878"/>
      <c r="M9" s="878"/>
      <c r="N9" s="878"/>
      <c r="O9" s="878"/>
      <c r="P9" s="878"/>
      <c r="Q9" s="878"/>
      <c r="R9" s="878"/>
      <c r="S9" s="878"/>
      <c r="T9" s="878"/>
      <c r="U9" s="878"/>
      <c r="V9" s="878"/>
      <c r="W9" s="878"/>
      <c r="X9" s="878"/>
      <c r="Y9" s="878"/>
      <c r="Z9" s="878"/>
    </row>
    <row r="10" ht="12.0" customHeight="1">
      <c r="A10" s="878"/>
      <c r="B10" s="908" t="s">
        <v>1357</v>
      </c>
      <c r="C10" s="909"/>
      <c r="D10" s="910"/>
      <c r="E10" s="910"/>
      <c r="F10" s="910"/>
      <c r="G10" s="910"/>
      <c r="H10" s="911"/>
      <c r="I10" s="912"/>
      <c r="J10" s="878"/>
      <c r="K10" s="878"/>
      <c r="L10" s="878"/>
      <c r="M10" s="878"/>
      <c r="N10" s="878"/>
      <c r="O10" s="878"/>
      <c r="P10" s="878"/>
      <c r="Q10" s="878"/>
      <c r="R10" s="878"/>
      <c r="S10" s="878"/>
      <c r="T10" s="878"/>
      <c r="U10" s="878"/>
      <c r="V10" s="878"/>
      <c r="W10" s="878"/>
      <c r="X10" s="878"/>
      <c r="Y10" s="878"/>
      <c r="Z10" s="878"/>
    </row>
    <row r="11" ht="12.0" customHeight="1">
      <c r="A11" s="878"/>
      <c r="B11" s="913" t="s">
        <v>25</v>
      </c>
      <c r="C11" s="914" t="s">
        <v>1358</v>
      </c>
      <c r="D11" s="915" t="str">
        <f t="shared" ref="D11:H11" si="9">SUM(D12:D14)</f>
        <v>#ERROR!</v>
      </c>
      <c r="E11" s="915" t="str">
        <f t="shared" si="9"/>
        <v>#ERROR!</v>
      </c>
      <c r="F11" s="915">
        <f t="shared" si="9"/>
        <v>11750000</v>
      </c>
      <c r="G11" s="915">
        <f t="shared" si="9"/>
        <v>11750000</v>
      </c>
      <c r="H11" s="916">
        <f t="shared" si="9"/>
        <v>11750000</v>
      </c>
      <c r="I11" s="917">
        <f t="shared" ref="I11:I30" si="11">SUM(F11:H11)</f>
        <v>35250000</v>
      </c>
      <c r="J11" s="878"/>
      <c r="K11" s="878"/>
      <c r="L11" s="878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  <c r="Z11" s="878"/>
    </row>
    <row r="12" ht="12.0" customHeight="1">
      <c r="A12" s="878"/>
      <c r="B12" s="908" t="s">
        <v>1359</v>
      </c>
      <c r="C12" s="909" t="s">
        <v>1355</v>
      </c>
      <c r="D12" s="910">
        <v>7499360.0</v>
      </c>
      <c r="E12" s="910" t="str">
        <f>+[11]Budget2016!H21*1.1</f>
        <v>#ERROR!</v>
      </c>
      <c r="F12" s="910">
        <v>9000000.0</v>
      </c>
      <c r="G12" s="910">
        <f t="shared" ref="G12:H12" si="10">F12</f>
        <v>9000000</v>
      </c>
      <c r="H12" s="911">
        <f t="shared" si="10"/>
        <v>9000000</v>
      </c>
      <c r="I12" s="912">
        <f t="shared" si="11"/>
        <v>27000000</v>
      </c>
      <c r="J12" s="878"/>
      <c r="K12" s="878"/>
      <c r="L12" s="878"/>
      <c r="M12" s="878"/>
      <c r="N12" s="878"/>
      <c r="O12" s="878"/>
      <c r="P12" s="878"/>
      <c r="Q12" s="878"/>
      <c r="R12" s="878"/>
      <c r="S12" s="878"/>
      <c r="T12" s="878"/>
      <c r="U12" s="878"/>
      <c r="V12" s="878"/>
      <c r="W12" s="878"/>
      <c r="X12" s="878"/>
      <c r="Y12" s="878"/>
      <c r="Z12" s="878"/>
    </row>
    <row r="13" ht="12.0" customHeight="1">
      <c r="A13" s="878"/>
      <c r="B13" s="908" t="s">
        <v>1360</v>
      </c>
      <c r="C13" s="909" t="s">
        <v>1356</v>
      </c>
      <c r="D13" s="910">
        <v>1500000.0</v>
      </c>
      <c r="E13" s="910">
        <v>1500000.0</v>
      </c>
      <c r="F13" s="910">
        <v>2750000.0</v>
      </c>
      <c r="G13" s="910">
        <f t="shared" ref="G13:H13" si="12">F13</f>
        <v>2750000</v>
      </c>
      <c r="H13" s="911">
        <f t="shared" si="12"/>
        <v>2750000</v>
      </c>
      <c r="I13" s="912">
        <f t="shared" si="11"/>
        <v>8250000</v>
      </c>
      <c r="J13" s="878"/>
      <c r="K13" s="878"/>
      <c r="L13" s="878"/>
      <c r="M13" s="878"/>
      <c r="N13" s="878"/>
      <c r="O13" s="878"/>
      <c r="P13" s="878"/>
      <c r="Q13" s="878"/>
      <c r="R13" s="878"/>
      <c r="S13" s="878"/>
      <c r="T13" s="878"/>
      <c r="U13" s="878"/>
      <c r="V13" s="878"/>
      <c r="W13" s="878"/>
      <c r="X13" s="878"/>
      <c r="Y13" s="878"/>
      <c r="Z13" s="878"/>
    </row>
    <row r="14" ht="12.0" customHeight="1">
      <c r="A14" s="878"/>
      <c r="B14" s="888" t="s">
        <v>1361</v>
      </c>
      <c r="C14" s="918" t="s">
        <v>1362</v>
      </c>
      <c r="D14" s="919" t="str">
        <f>+[11]Budget2016!H28*1.1</f>
        <v>#ERROR!</v>
      </c>
      <c r="E14" s="919" t="str">
        <f>D14</f>
        <v>#ERROR!</v>
      </c>
      <c r="F14" s="919">
        <v>0.0</v>
      </c>
      <c r="G14" s="919">
        <f t="shared" ref="G14:H14" si="13">F14</f>
        <v>0</v>
      </c>
      <c r="H14" s="920">
        <f t="shared" si="13"/>
        <v>0</v>
      </c>
      <c r="I14" s="921">
        <f t="shared" si="11"/>
        <v>0</v>
      </c>
      <c r="J14" s="878"/>
      <c r="K14" s="878"/>
      <c r="L14" s="878"/>
      <c r="M14" s="878"/>
      <c r="N14" s="878"/>
      <c r="O14" s="878"/>
      <c r="P14" s="878"/>
      <c r="Q14" s="878"/>
      <c r="R14" s="878"/>
      <c r="S14" s="878"/>
      <c r="T14" s="878"/>
      <c r="U14" s="878"/>
      <c r="V14" s="878"/>
      <c r="W14" s="878"/>
      <c r="X14" s="878"/>
      <c r="Y14" s="878"/>
      <c r="Z14" s="878"/>
    </row>
    <row r="15" ht="12.0" customHeight="1">
      <c r="A15" s="878"/>
      <c r="B15" s="898"/>
      <c r="C15" s="899" t="s">
        <v>1363</v>
      </c>
      <c r="D15" s="900">
        <f t="shared" ref="D15:E15" si="14">D17+D23</f>
        <v>174625000</v>
      </c>
      <c r="E15" s="900">
        <f t="shared" si="14"/>
        <v>14625000</v>
      </c>
      <c r="F15" s="900">
        <f t="shared" ref="F15:H15" si="15">F17+F23+F16</f>
        <v>112660357.3</v>
      </c>
      <c r="G15" s="900">
        <f t="shared" si="15"/>
        <v>84884027</v>
      </c>
      <c r="H15" s="901">
        <f t="shared" si="15"/>
        <v>84128003</v>
      </c>
      <c r="I15" s="902">
        <f t="shared" si="11"/>
        <v>281672387.3</v>
      </c>
      <c r="J15" s="878"/>
      <c r="K15" s="878"/>
      <c r="L15" s="878"/>
      <c r="M15" s="878"/>
      <c r="N15" s="878"/>
      <c r="O15" s="878"/>
      <c r="P15" s="878"/>
      <c r="Q15" s="878"/>
      <c r="R15" s="878"/>
      <c r="S15" s="878"/>
      <c r="T15" s="878"/>
      <c r="U15" s="878"/>
      <c r="V15" s="878"/>
      <c r="W15" s="878"/>
      <c r="X15" s="878"/>
      <c r="Y15" s="878"/>
      <c r="Z15" s="878"/>
    </row>
    <row r="16" ht="12.0" customHeight="1">
      <c r="A16" s="878"/>
      <c r="B16" s="922" t="s">
        <v>26</v>
      </c>
      <c r="C16" s="923" t="s">
        <v>1364</v>
      </c>
      <c r="D16" s="924">
        <f t="shared" ref="D16:E16" si="16">D8*4%/365*15</f>
        <v>5424.657534</v>
      </c>
      <c r="E16" s="924">
        <f t="shared" si="16"/>
        <v>5424.657534</v>
      </c>
      <c r="F16" s="924">
        <f>F4*0.04/30</f>
        <v>52497.33333</v>
      </c>
      <c r="G16" s="924"/>
      <c r="H16" s="925"/>
      <c r="I16" s="926">
        <f t="shared" si="11"/>
        <v>52497.33333</v>
      </c>
      <c r="J16" s="878"/>
      <c r="K16" s="878"/>
      <c r="L16" s="878"/>
      <c r="M16" s="878"/>
      <c r="N16" s="878"/>
      <c r="O16" s="878"/>
      <c r="P16" s="878"/>
      <c r="Q16" s="878"/>
      <c r="R16" s="878"/>
      <c r="S16" s="878"/>
      <c r="T16" s="878"/>
      <c r="U16" s="878"/>
      <c r="V16" s="878"/>
      <c r="W16" s="878"/>
      <c r="X16" s="878"/>
      <c r="Y16" s="878"/>
      <c r="Z16" s="878"/>
    </row>
    <row r="17" ht="12.0" customHeight="1">
      <c r="A17" s="878"/>
      <c r="B17" s="913" t="s">
        <v>27</v>
      </c>
      <c r="C17" s="914" t="s">
        <v>1365</v>
      </c>
      <c r="D17" s="915">
        <f t="shared" ref="D17:E17" si="17">SUM(D18:D20)</f>
        <v>14625000</v>
      </c>
      <c r="E17" s="915">
        <f t="shared" si="17"/>
        <v>14625000</v>
      </c>
      <c r="F17" s="915">
        <v>3.950436E7</v>
      </c>
      <c r="G17" s="915">
        <f t="shared" ref="G17:H17" si="18">SUM(G18:G22)</f>
        <v>11800027</v>
      </c>
      <c r="H17" s="916">
        <f t="shared" si="18"/>
        <v>11760429</v>
      </c>
      <c r="I17" s="917">
        <f t="shared" si="11"/>
        <v>63064816</v>
      </c>
      <c r="J17" s="878"/>
      <c r="K17" s="878"/>
      <c r="L17" s="878"/>
      <c r="M17" s="878"/>
      <c r="N17" s="878"/>
      <c r="O17" s="878"/>
      <c r="P17" s="878"/>
      <c r="Q17" s="878"/>
      <c r="R17" s="878"/>
      <c r="S17" s="878"/>
      <c r="T17" s="878"/>
      <c r="U17" s="878"/>
      <c r="V17" s="878"/>
      <c r="W17" s="878"/>
      <c r="X17" s="878"/>
      <c r="Y17" s="878"/>
      <c r="Z17" s="878"/>
    </row>
    <row r="18" ht="12.0" customHeight="1">
      <c r="A18" s="878"/>
      <c r="B18" s="908" t="s">
        <v>1366</v>
      </c>
      <c r="C18" s="909" t="s">
        <v>1367</v>
      </c>
      <c r="D18" s="910"/>
      <c r="E18" s="910" t="str">
        <f t="shared" ref="E18:E20" si="20">+D18</f>
        <v/>
      </c>
      <c r="F18" s="927"/>
      <c r="G18" s="927" t="str">
        <f t="shared" ref="G18:H18" si="19">+F18</f>
        <v/>
      </c>
      <c r="H18" s="928" t="str">
        <f t="shared" si="19"/>
        <v/>
      </c>
      <c r="I18" s="929">
        <f t="shared" si="11"/>
        <v>0</v>
      </c>
      <c r="J18" s="878"/>
      <c r="K18" s="878"/>
      <c r="L18" s="878"/>
      <c r="M18" s="878"/>
      <c r="N18" s="878"/>
      <c r="O18" s="878"/>
      <c r="P18" s="878"/>
      <c r="Q18" s="878"/>
      <c r="R18" s="878"/>
      <c r="S18" s="878"/>
      <c r="T18" s="878"/>
      <c r="U18" s="878"/>
      <c r="V18" s="878"/>
      <c r="W18" s="878"/>
      <c r="X18" s="878"/>
      <c r="Y18" s="878"/>
      <c r="Z18" s="878"/>
    </row>
    <row r="19" ht="12.0" customHeight="1">
      <c r="A19" s="878"/>
      <c r="B19" s="908" t="s">
        <v>1368</v>
      </c>
      <c r="C19" s="909" t="s">
        <v>1369</v>
      </c>
      <c r="D19" s="910"/>
      <c r="E19" s="910" t="str">
        <f t="shared" si="20"/>
        <v/>
      </c>
      <c r="F19" s="910"/>
      <c r="G19" s="910">
        <f>10726027-1500000</f>
        <v>9226027</v>
      </c>
      <c r="H19" s="911">
        <f>+G19</f>
        <v>9226027</v>
      </c>
      <c r="I19" s="912">
        <f t="shared" si="11"/>
        <v>18452054</v>
      </c>
      <c r="J19" s="930" t="s">
        <v>1370</v>
      </c>
      <c r="K19" s="878"/>
      <c r="L19" s="878"/>
      <c r="M19" s="878"/>
      <c r="N19" s="878"/>
      <c r="O19" s="878"/>
      <c r="P19" s="878"/>
      <c r="Q19" s="878"/>
      <c r="R19" s="878"/>
      <c r="S19" s="878"/>
      <c r="T19" s="878"/>
      <c r="U19" s="878"/>
      <c r="V19" s="878"/>
      <c r="W19" s="878"/>
      <c r="X19" s="878"/>
      <c r="Y19" s="878"/>
      <c r="Z19" s="878"/>
    </row>
    <row r="20" ht="12.0" customHeight="1">
      <c r="A20" s="878"/>
      <c r="B20" s="908" t="s">
        <v>1371</v>
      </c>
      <c r="C20" s="909" t="s">
        <v>1372</v>
      </c>
      <c r="D20" s="910">
        <f>7500*D2</f>
        <v>14625000</v>
      </c>
      <c r="E20" s="910">
        <f t="shared" si="20"/>
        <v>14625000</v>
      </c>
      <c r="F20" s="910"/>
      <c r="G20" s="910"/>
      <c r="H20" s="911"/>
      <c r="I20" s="912">
        <f t="shared" si="11"/>
        <v>0</v>
      </c>
      <c r="J20" s="878"/>
      <c r="K20" s="878"/>
      <c r="L20" s="878"/>
      <c r="M20" s="878"/>
      <c r="N20" s="878"/>
      <c r="O20" s="878"/>
      <c r="P20" s="878"/>
      <c r="Q20" s="878"/>
      <c r="R20" s="878"/>
      <c r="S20" s="878"/>
      <c r="T20" s="878"/>
      <c r="U20" s="878"/>
      <c r="V20" s="878"/>
      <c r="W20" s="878"/>
      <c r="X20" s="878"/>
      <c r="Y20" s="878"/>
      <c r="Z20" s="878"/>
    </row>
    <row r="21" ht="12.0" customHeight="1">
      <c r="A21" s="878"/>
      <c r="B21" s="908" t="s">
        <v>1373</v>
      </c>
      <c r="C21" s="909" t="s">
        <v>1374</v>
      </c>
      <c r="D21" s="910"/>
      <c r="E21" s="910"/>
      <c r="F21" s="910"/>
      <c r="G21" s="910" t="str">
        <f t="shared" ref="G21:H21" si="21">+F21</f>
        <v/>
      </c>
      <c r="H21" s="911" t="str">
        <f t="shared" si="21"/>
        <v/>
      </c>
      <c r="I21" s="912">
        <f t="shared" si="11"/>
        <v>0</v>
      </c>
      <c r="J21" s="878"/>
      <c r="K21" s="878"/>
      <c r="L21" s="878"/>
      <c r="M21" s="878"/>
      <c r="N21" s="878"/>
      <c r="O21" s="878"/>
      <c r="P21" s="878"/>
      <c r="Q21" s="878"/>
      <c r="R21" s="878"/>
      <c r="S21" s="878"/>
      <c r="T21" s="878"/>
      <c r="U21" s="878"/>
      <c r="V21" s="878"/>
      <c r="W21" s="878"/>
      <c r="X21" s="878"/>
      <c r="Y21" s="878"/>
      <c r="Z21" s="878"/>
    </row>
    <row r="22" ht="12.0" customHeight="1">
      <c r="A22" s="878"/>
      <c r="B22" s="908" t="s">
        <v>1375</v>
      </c>
      <c r="C22" s="909" t="s">
        <v>1376</v>
      </c>
      <c r="D22" s="910"/>
      <c r="E22" s="910"/>
      <c r="F22" s="910">
        <f>109500*1%*F2</f>
        <v>2518500</v>
      </c>
      <c r="G22" s="910">
        <v>2574000.0</v>
      </c>
      <c r="H22" s="911">
        <v>2534402.0</v>
      </c>
      <c r="I22" s="912">
        <f t="shared" si="11"/>
        <v>7626902</v>
      </c>
      <c r="J22" s="878"/>
      <c r="K22" s="878"/>
      <c r="L22" s="878"/>
      <c r="M22" s="878"/>
      <c r="N22" s="878"/>
      <c r="O22" s="878"/>
      <c r="P22" s="878"/>
      <c r="Q22" s="878"/>
      <c r="R22" s="878"/>
      <c r="S22" s="878"/>
      <c r="T22" s="878"/>
      <c r="U22" s="878"/>
      <c r="V22" s="878"/>
      <c r="W22" s="878"/>
      <c r="X22" s="878"/>
      <c r="Y22" s="878"/>
      <c r="Z22" s="878"/>
    </row>
    <row r="23" ht="12.0" customHeight="1">
      <c r="A23" s="878"/>
      <c r="B23" s="913" t="s">
        <v>67</v>
      </c>
      <c r="C23" s="914" t="s">
        <v>1377</v>
      </c>
      <c r="D23" s="915">
        <f t="shared" ref="D23:H23" si="22">SUM(D24:D26)</f>
        <v>160000000</v>
      </c>
      <c r="E23" s="915">
        <f t="shared" si="22"/>
        <v>0</v>
      </c>
      <c r="F23" s="915">
        <f t="shared" si="22"/>
        <v>73103500</v>
      </c>
      <c r="G23" s="915">
        <f t="shared" si="22"/>
        <v>73084000</v>
      </c>
      <c r="H23" s="916">
        <f t="shared" si="22"/>
        <v>72367574</v>
      </c>
      <c r="I23" s="917">
        <f t="shared" si="11"/>
        <v>218555074</v>
      </c>
      <c r="J23" s="878"/>
      <c r="K23" s="878"/>
      <c r="L23" s="878"/>
      <c r="M23" s="878"/>
      <c r="N23" s="878"/>
      <c r="O23" s="878"/>
      <c r="P23" s="878"/>
      <c r="Q23" s="878"/>
      <c r="R23" s="878"/>
      <c r="S23" s="878"/>
      <c r="T23" s="878"/>
      <c r="U23" s="878"/>
      <c r="V23" s="878"/>
      <c r="W23" s="878"/>
      <c r="X23" s="878"/>
      <c r="Y23" s="878"/>
      <c r="Z23" s="878"/>
    </row>
    <row r="24" ht="12.0" customHeight="1">
      <c r="A24" s="931"/>
      <c r="B24" s="908" t="s">
        <v>1378</v>
      </c>
      <c r="C24" s="909" t="s">
        <v>1379</v>
      </c>
      <c r="D24" s="826"/>
      <c r="E24" s="826"/>
      <c r="F24" s="826">
        <f>7960*F2*4-F22</f>
        <v>70713500</v>
      </c>
      <c r="G24" s="826">
        <f>7960*4*G2-G22</f>
        <v>70658000</v>
      </c>
      <c r="H24" s="932">
        <f>7960*4*2275-H22</f>
        <v>69901598</v>
      </c>
      <c r="I24" s="912">
        <f t="shared" si="11"/>
        <v>211273098</v>
      </c>
      <c r="J24" s="931"/>
      <c r="K24" s="931"/>
      <c r="L24" s="931"/>
      <c r="M24" s="931"/>
      <c r="N24" s="931"/>
      <c r="O24" s="931"/>
      <c r="P24" s="931"/>
      <c r="Q24" s="931"/>
      <c r="R24" s="931"/>
      <c r="S24" s="931"/>
      <c r="T24" s="931"/>
      <c r="U24" s="931"/>
      <c r="V24" s="931"/>
      <c r="W24" s="931"/>
      <c r="X24" s="931"/>
      <c r="Y24" s="931"/>
      <c r="Z24" s="931"/>
    </row>
    <row r="25" ht="12.0" customHeight="1">
      <c r="A25" s="931"/>
      <c r="B25" s="908" t="s">
        <v>1380</v>
      </c>
      <c r="C25" s="909" t="s">
        <v>1381</v>
      </c>
      <c r="D25" s="826">
        <f>160000000</f>
        <v>160000000</v>
      </c>
      <c r="E25" s="826"/>
      <c r="F25" s="826"/>
      <c r="G25" s="826"/>
      <c r="H25" s="932"/>
      <c r="I25" s="912">
        <f t="shared" si="11"/>
        <v>0</v>
      </c>
      <c r="J25" s="931"/>
      <c r="K25" s="931"/>
      <c r="L25" s="931"/>
      <c r="M25" s="931"/>
      <c r="N25" s="931"/>
      <c r="O25" s="931"/>
      <c r="P25" s="931"/>
      <c r="Q25" s="931"/>
      <c r="R25" s="931"/>
      <c r="S25" s="931"/>
      <c r="T25" s="931"/>
      <c r="U25" s="931"/>
      <c r="V25" s="931"/>
      <c r="W25" s="931"/>
      <c r="X25" s="931"/>
      <c r="Y25" s="931"/>
      <c r="Z25" s="931"/>
    </row>
    <row r="26" ht="12.0" customHeight="1">
      <c r="A26" s="931"/>
      <c r="B26" s="908" t="s">
        <v>1382</v>
      </c>
      <c r="C26" s="909" t="s">
        <v>1383</v>
      </c>
      <c r="D26" s="826"/>
      <c r="E26" s="826"/>
      <c r="F26" s="826">
        <v>2390000.0</v>
      </c>
      <c r="G26" s="826">
        <v>2426000.0</v>
      </c>
      <c r="H26" s="932">
        <v>2465976.0</v>
      </c>
      <c r="I26" s="912">
        <f t="shared" si="11"/>
        <v>7281976</v>
      </c>
      <c r="J26" s="931"/>
      <c r="K26" s="931"/>
      <c r="L26" s="931"/>
      <c r="M26" s="931"/>
      <c r="N26" s="931"/>
      <c r="O26" s="931"/>
      <c r="P26" s="931"/>
      <c r="Q26" s="931"/>
      <c r="R26" s="931"/>
      <c r="S26" s="931"/>
      <c r="T26" s="931"/>
      <c r="U26" s="931"/>
      <c r="V26" s="931"/>
      <c r="W26" s="931"/>
      <c r="X26" s="931"/>
      <c r="Y26" s="931"/>
      <c r="Z26" s="931"/>
    </row>
    <row r="27" ht="12.0" customHeight="1">
      <c r="A27" s="933"/>
      <c r="B27" s="913" t="s">
        <v>1384</v>
      </c>
      <c r="C27" s="914" t="s">
        <v>1362</v>
      </c>
      <c r="D27" s="915" t="str">
        <f t="shared" ref="D27:E27" si="23">#REF!+D29</f>
        <v>#REF!</v>
      </c>
      <c r="E27" s="915" t="str">
        <f t="shared" si="23"/>
        <v>#REF!</v>
      </c>
      <c r="F27" s="915">
        <f t="shared" ref="F27:H27" si="24">SUM(F28:F29)</f>
        <v>580000000</v>
      </c>
      <c r="G27" s="915">
        <f t="shared" si="24"/>
        <v>0</v>
      </c>
      <c r="H27" s="916">
        <f t="shared" si="24"/>
        <v>0</v>
      </c>
      <c r="I27" s="917">
        <f t="shared" si="11"/>
        <v>580000000</v>
      </c>
      <c r="J27" s="933"/>
      <c r="K27" s="933"/>
      <c r="L27" s="933"/>
      <c r="M27" s="933"/>
      <c r="N27" s="933"/>
      <c r="O27" s="933"/>
      <c r="P27" s="933"/>
      <c r="Q27" s="933"/>
      <c r="R27" s="933"/>
      <c r="S27" s="933"/>
      <c r="T27" s="933"/>
      <c r="U27" s="933"/>
      <c r="V27" s="933"/>
      <c r="W27" s="933"/>
      <c r="X27" s="933"/>
      <c r="Y27" s="933"/>
      <c r="Z27" s="933"/>
    </row>
    <row r="28" ht="12.0" customHeight="1">
      <c r="A28" s="878"/>
      <c r="B28" s="888" t="s">
        <v>1385</v>
      </c>
      <c r="C28" s="909" t="s">
        <v>1386</v>
      </c>
      <c r="D28" s="919"/>
      <c r="E28" s="919"/>
      <c r="F28" s="919">
        <v>5.8E8</v>
      </c>
      <c r="G28" s="919"/>
      <c r="H28" s="920"/>
      <c r="I28" s="912">
        <f t="shared" si="11"/>
        <v>580000000</v>
      </c>
      <c r="J28" s="878"/>
      <c r="K28" s="878"/>
      <c r="L28" s="878"/>
      <c r="M28" s="878"/>
      <c r="N28" s="878"/>
      <c r="O28" s="878"/>
      <c r="P28" s="878"/>
      <c r="Q28" s="878"/>
      <c r="R28" s="878"/>
      <c r="S28" s="878"/>
      <c r="T28" s="878"/>
      <c r="U28" s="878"/>
      <c r="V28" s="878"/>
      <c r="W28" s="878"/>
      <c r="X28" s="878"/>
      <c r="Y28" s="878"/>
      <c r="Z28" s="878"/>
    </row>
    <row r="29" ht="12.0" customHeight="1">
      <c r="A29" s="878"/>
      <c r="B29" s="934">
        <v>6.2</v>
      </c>
      <c r="C29" s="935" t="s">
        <v>1387</v>
      </c>
      <c r="D29" s="936"/>
      <c r="E29" s="936">
        <f>2499440*E2</f>
        <v>4998880000</v>
      </c>
      <c r="F29" s="936"/>
      <c r="G29" s="936"/>
      <c r="H29" s="937"/>
      <c r="I29" s="938">
        <f t="shared" si="11"/>
        <v>0</v>
      </c>
      <c r="J29" s="878" t="s">
        <v>1388</v>
      </c>
      <c r="K29" s="878"/>
      <c r="L29" s="878"/>
      <c r="M29" s="878"/>
      <c r="N29" s="878"/>
      <c r="O29" s="878"/>
      <c r="P29" s="878"/>
      <c r="Q29" s="878"/>
      <c r="R29" s="878"/>
      <c r="S29" s="878"/>
      <c r="T29" s="878"/>
      <c r="U29" s="878"/>
      <c r="V29" s="878"/>
      <c r="W29" s="878"/>
      <c r="X29" s="878"/>
      <c r="Y29" s="878"/>
      <c r="Z29" s="878"/>
    </row>
    <row r="30" ht="12.0" customHeight="1">
      <c r="A30" s="933"/>
      <c r="B30" s="933"/>
      <c r="C30" s="939"/>
      <c r="D30" s="940"/>
      <c r="E30" s="940"/>
      <c r="F30" s="940"/>
      <c r="G30" s="940"/>
      <c r="H30" s="940"/>
      <c r="I30" s="941">
        <f t="shared" si="11"/>
        <v>0</v>
      </c>
      <c r="J30" s="933"/>
      <c r="K30" s="933"/>
      <c r="L30" s="933"/>
      <c r="M30" s="933"/>
      <c r="N30" s="933"/>
      <c r="O30" s="933"/>
      <c r="P30" s="933"/>
      <c r="Q30" s="933"/>
      <c r="R30" s="933"/>
      <c r="S30" s="933"/>
      <c r="T30" s="933"/>
      <c r="U30" s="933"/>
      <c r="V30" s="933"/>
      <c r="W30" s="933"/>
      <c r="X30" s="933"/>
      <c r="Y30" s="933"/>
      <c r="Z30" s="933"/>
    </row>
    <row r="31" ht="12.0" customHeight="1">
      <c r="A31" s="878"/>
      <c r="B31" s="942"/>
      <c r="C31" s="943" t="s">
        <v>1389</v>
      </c>
      <c r="D31" s="944" t="str">
        <f t="shared" ref="D31:E31" si="25">D32+D51+D57+D60</f>
        <v>#ERROR!</v>
      </c>
      <c r="E31" s="944">
        <f t="shared" si="25"/>
        <v>436120920</v>
      </c>
      <c r="F31" s="944">
        <f t="shared" ref="F31:I31" si="26">F32+F51+F57+F60+F61+F54</f>
        <v>653725000</v>
      </c>
      <c r="G31" s="944">
        <f t="shared" si="26"/>
        <v>268305000</v>
      </c>
      <c r="H31" s="944">
        <f t="shared" si="26"/>
        <v>1577005000</v>
      </c>
      <c r="I31" s="945">
        <f t="shared" si="26"/>
        <v>2499035000</v>
      </c>
      <c r="J31" s="878"/>
      <c r="K31" s="878"/>
      <c r="L31" s="878"/>
      <c r="M31" s="878"/>
      <c r="N31" s="878"/>
      <c r="O31" s="878"/>
      <c r="P31" s="878"/>
      <c r="Q31" s="878"/>
      <c r="R31" s="878"/>
      <c r="S31" s="878"/>
      <c r="T31" s="878"/>
      <c r="U31" s="878"/>
      <c r="V31" s="878"/>
      <c r="W31" s="878"/>
      <c r="X31" s="878"/>
      <c r="Y31" s="878"/>
      <c r="Z31" s="878"/>
    </row>
    <row r="32" ht="12.0" customHeight="1">
      <c r="A32" s="878"/>
      <c r="B32" s="922"/>
      <c r="C32" s="923" t="s">
        <v>1390</v>
      </c>
      <c r="D32" s="946">
        <f t="shared" ref="D32:I32" si="27">D33+D34+D37</f>
        <v>64567935.19</v>
      </c>
      <c r="E32" s="946">
        <f t="shared" si="27"/>
        <v>58120920</v>
      </c>
      <c r="F32" s="946">
        <f t="shared" si="27"/>
        <v>73325000</v>
      </c>
      <c r="G32" s="946">
        <f t="shared" si="27"/>
        <v>55305000</v>
      </c>
      <c r="H32" s="947">
        <f t="shared" si="27"/>
        <v>64305000</v>
      </c>
      <c r="I32" s="948">
        <f t="shared" si="27"/>
        <v>192935000</v>
      </c>
      <c r="J32" s="878"/>
      <c r="K32" s="878"/>
      <c r="L32" s="878"/>
      <c r="M32" s="878"/>
      <c r="N32" s="878"/>
      <c r="O32" s="878"/>
      <c r="P32" s="878"/>
      <c r="Q32" s="878"/>
      <c r="R32" s="878"/>
      <c r="S32" s="878"/>
      <c r="T32" s="878"/>
      <c r="U32" s="878"/>
      <c r="V32" s="878"/>
      <c r="W32" s="878"/>
      <c r="X32" s="878"/>
      <c r="Y32" s="878"/>
      <c r="Z32" s="878"/>
    </row>
    <row r="33" ht="12.0" customHeight="1">
      <c r="A33" s="878"/>
      <c r="B33" s="913" t="s">
        <v>22</v>
      </c>
      <c r="C33" s="914" t="s">
        <v>1391</v>
      </c>
      <c r="D33" s="915">
        <f>19676343+409859+779718</f>
        <v>20865920</v>
      </c>
      <c r="E33" s="915">
        <f>+D33</f>
        <v>20865920</v>
      </c>
      <c r="F33" s="915">
        <f t="shared" ref="F33:H33" si="28">33000000</f>
        <v>33000000</v>
      </c>
      <c r="G33" s="915">
        <f t="shared" si="28"/>
        <v>33000000</v>
      </c>
      <c r="H33" s="916">
        <f t="shared" si="28"/>
        <v>33000000</v>
      </c>
      <c r="I33" s="912">
        <f t="shared" ref="I33:I52" si="30">SUM(F33:H33)</f>
        <v>99000000</v>
      </c>
      <c r="J33" s="878"/>
      <c r="K33" s="878"/>
      <c r="L33" s="878"/>
      <c r="M33" s="878"/>
      <c r="N33" s="878"/>
      <c r="O33" s="878"/>
      <c r="P33" s="878"/>
      <c r="Q33" s="878"/>
      <c r="R33" s="878"/>
      <c r="S33" s="878"/>
      <c r="T33" s="878"/>
      <c r="U33" s="878"/>
      <c r="V33" s="878"/>
      <c r="W33" s="878"/>
      <c r="X33" s="878"/>
      <c r="Y33" s="878"/>
      <c r="Z33" s="878"/>
    </row>
    <row r="34" ht="12.0" customHeight="1">
      <c r="A34" s="878"/>
      <c r="B34" s="913" t="s">
        <v>25</v>
      </c>
      <c r="C34" s="914" t="s">
        <v>1392</v>
      </c>
      <c r="D34" s="915">
        <f t="shared" ref="D34:H34" si="29">SUM(D35:D36)</f>
        <v>5000</v>
      </c>
      <c r="E34" s="915">
        <f t="shared" si="29"/>
        <v>5000</v>
      </c>
      <c r="F34" s="915">
        <f t="shared" si="29"/>
        <v>5000</v>
      </c>
      <c r="G34" s="915">
        <f t="shared" si="29"/>
        <v>5000</v>
      </c>
      <c r="H34" s="916">
        <f t="shared" si="29"/>
        <v>5000</v>
      </c>
      <c r="I34" s="917">
        <f t="shared" si="30"/>
        <v>15000</v>
      </c>
      <c r="J34" s="878"/>
      <c r="K34" s="878"/>
      <c r="L34" s="878"/>
      <c r="M34" s="878"/>
      <c r="N34" s="878"/>
      <c r="O34" s="878"/>
      <c r="P34" s="878"/>
      <c r="Q34" s="878"/>
      <c r="R34" s="878"/>
      <c r="S34" s="878"/>
      <c r="T34" s="878"/>
      <c r="U34" s="878"/>
      <c r="V34" s="878"/>
      <c r="W34" s="878"/>
      <c r="X34" s="878"/>
      <c r="Y34" s="878"/>
      <c r="Z34" s="878"/>
    </row>
    <row r="35" ht="12.0" customHeight="1">
      <c r="A35" s="878"/>
      <c r="B35" s="908" t="s">
        <v>1359</v>
      </c>
      <c r="C35" s="909" t="s">
        <v>1393</v>
      </c>
      <c r="D35" s="910"/>
      <c r="E35" s="949"/>
      <c r="F35" s="950"/>
      <c r="G35" s="950"/>
      <c r="H35" s="951"/>
      <c r="I35" s="912">
        <f t="shared" si="30"/>
        <v>0</v>
      </c>
      <c r="J35" s="878"/>
      <c r="K35" s="878"/>
      <c r="L35" s="878"/>
      <c r="M35" s="878"/>
      <c r="N35" s="878"/>
      <c r="O35" s="878"/>
      <c r="P35" s="878"/>
      <c r="Q35" s="878"/>
      <c r="R35" s="878"/>
      <c r="S35" s="878"/>
      <c r="T35" s="878"/>
      <c r="U35" s="878"/>
      <c r="V35" s="878"/>
      <c r="W35" s="878"/>
      <c r="X35" s="878"/>
      <c r="Y35" s="878"/>
      <c r="Z35" s="878"/>
    </row>
    <row r="36" ht="12.0" customHeight="1">
      <c r="A36" s="878"/>
      <c r="B36" s="908" t="s">
        <v>1360</v>
      </c>
      <c r="C36" s="909" t="s">
        <v>1394</v>
      </c>
      <c r="D36" s="910">
        <v>5000.0</v>
      </c>
      <c r="E36" s="910">
        <v>5000.0</v>
      </c>
      <c r="F36" s="910">
        <v>5000.0</v>
      </c>
      <c r="G36" s="910">
        <v>5000.0</v>
      </c>
      <c r="H36" s="911">
        <v>5000.0</v>
      </c>
      <c r="I36" s="912">
        <f t="shared" si="30"/>
        <v>15000</v>
      </c>
      <c r="J36" s="878"/>
      <c r="K36" s="878"/>
      <c r="L36" s="878"/>
      <c r="M36" s="878"/>
      <c r="N36" s="878"/>
      <c r="O36" s="878"/>
      <c r="P36" s="878"/>
      <c r="Q36" s="878"/>
      <c r="R36" s="878"/>
      <c r="S36" s="878"/>
      <c r="T36" s="878"/>
      <c r="U36" s="878"/>
      <c r="V36" s="878"/>
      <c r="W36" s="878"/>
      <c r="X36" s="878"/>
      <c r="Y36" s="878"/>
      <c r="Z36" s="878"/>
    </row>
    <row r="37" ht="12.0" customHeight="1">
      <c r="A37" s="933"/>
      <c r="B37" s="913" t="s">
        <v>26</v>
      </c>
      <c r="C37" s="914" t="s">
        <v>1395</v>
      </c>
      <c r="D37" s="915">
        <f t="shared" ref="D37:H37" si="31">SUM(D38:D50)</f>
        <v>43697015.19</v>
      </c>
      <c r="E37" s="915">
        <f t="shared" si="31"/>
        <v>37250000</v>
      </c>
      <c r="F37" s="915">
        <f t="shared" si="31"/>
        <v>40320000</v>
      </c>
      <c r="G37" s="915">
        <f t="shared" si="31"/>
        <v>22300000</v>
      </c>
      <c r="H37" s="916">
        <f t="shared" si="31"/>
        <v>31300000</v>
      </c>
      <c r="I37" s="917">
        <f t="shared" si="30"/>
        <v>93920000</v>
      </c>
      <c r="J37" s="933"/>
      <c r="K37" s="933"/>
      <c r="L37" s="933"/>
      <c r="M37" s="933"/>
      <c r="N37" s="933"/>
      <c r="O37" s="933"/>
      <c r="P37" s="933"/>
      <c r="Q37" s="933"/>
      <c r="R37" s="933"/>
      <c r="S37" s="933"/>
      <c r="T37" s="933"/>
      <c r="U37" s="933"/>
      <c r="V37" s="933"/>
      <c r="W37" s="933"/>
      <c r="X37" s="933"/>
      <c r="Y37" s="933"/>
      <c r="Z37" s="933"/>
    </row>
    <row r="38" ht="12.0" customHeight="1">
      <c r="A38" s="878"/>
      <c r="B38" s="908" t="s">
        <v>1396</v>
      </c>
      <c r="C38" s="909" t="s">
        <v>1397</v>
      </c>
      <c r="D38" s="910">
        <v>2.875E7</v>
      </c>
      <c r="E38" s="910">
        <f>+D38</f>
        <v>28750000</v>
      </c>
      <c r="F38" s="910"/>
      <c r="G38" s="910"/>
      <c r="H38" s="911"/>
      <c r="I38" s="912">
        <f t="shared" si="30"/>
        <v>0</v>
      </c>
      <c r="J38" s="878"/>
      <c r="K38" s="878"/>
      <c r="L38" s="878"/>
      <c r="M38" s="878"/>
      <c r="N38" s="878"/>
      <c r="O38" s="878"/>
      <c r="P38" s="878"/>
      <c r="Q38" s="878"/>
      <c r="R38" s="878"/>
      <c r="S38" s="878"/>
      <c r="T38" s="878"/>
      <c r="U38" s="878"/>
      <c r="V38" s="878"/>
      <c r="W38" s="878"/>
      <c r="X38" s="878"/>
      <c r="Y38" s="878"/>
      <c r="Z38" s="878"/>
    </row>
    <row r="39" ht="12.0" customHeight="1">
      <c r="A39" s="878"/>
      <c r="B39" s="908" t="s">
        <v>1398</v>
      </c>
      <c r="C39" s="909" t="s">
        <v>1399</v>
      </c>
      <c r="D39" s="910">
        <f>3662*D2</f>
        <v>7140900</v>
      </c>
      <c r="E39" s="910"/>
      <c r="F39" s="910">
        <v>5000000.0</v>
      </c>
      <c r="G39" s="910">
        <v>5000000.0</v>
      </c>
      <c r="H39" s="911">
        <v>0.0</v>
      </c>
      <c r="I39" s="912">
        <f t="shared" si="30"/>
        <v>10000000</v>
      </c>
      <c r="J39" s="878"/>
      <c r="K39" s="878"/>
      <c r="L39" s="878"/>
      <c r="M39" s="878"/>
      <c r="N39" s="878"/>
      <c r="O39" s="878"/>
      <c r="P39" s="878"/>
      <c r="Q39" s="878"/>
      <c r="R39" s="878"/>
      <c r="S39" s="878"/>
      <c r="T39" s="878"/>
      <c r="U39" s="878"/>
      <c r="V39" s="878"/>
      <c r="W39" s="878"/>
      <c r="X39" s="878"/>
      <c r="Y39" s="878"/>
      <c r="Z39" s="878"/>
    </row>
    <row r="40" ht="12.0" customHeight="1">
      <c r="A40" s="878"/>
      <c r="B40" s="908" t="s">
        <v>1400</v>
      </c>
      <c r="C40" s="909" t="s">
        <v>1401</v>
      </c>
      <c r="D40" s="910">
        <f>1500000+1200000</f>
        <v>2700000</v>
      </c>
      <c r="E40" s="910">
        <v>1000000.0</v>
      </c>
      <c r="F40" s="910">
        <f>1100000+1000000</f>
        <v>2100000</v>
      </c>
      <c r="G40" s="910">
        <f t="shared" ref="G40:H40" si="32">F40</f>
        <v>2100000</v>
      </c>
      <c r="H40" s="911">
        <f t="shared" si="32"/>
        <v>2100000</v>
      </c>
      <c r="I40" s="912">
        <f t="shared" si="30"/>
        <v>6300000</v>
      </c>
      <c r="J40" s="878"/>
      <c r="K40" s="878"/>
      <c r="L40" s="878"/>
      <c r="M40" s="878"/>
      <c r="N40" s="878"/>
      <c r="O40" s="878"/>
      <c r="P40" s="878"/>
      <c r="Q40" s="878"/>
      <c r="R40" s="878"/>
      <c r="S40" s="878"/>
      <c r="T40" s="878"/>
      <c r="U40" s="878"/>
      <c r="V40" s="878"/>
      <c r="W40" s="878"/>
      <c r="X40" s="878"/>
      <c r="Y40" s="878"/>
      <c r="Z40" s="878"/>
    </row>
    <row r="41" ht="12.0" customHeight="1">
      <c r="A41" s="878"/>
      <c r="B41" s="908" t="s">
        <v>1402</v>
      </c>
      <c r="C41" s="909" t="s">
        <v>1403</v>
      </c>
      <c r="D41" s="910"/>
      <c r="E41" s="910"/>
      <c r="F41" s="910">
        <v>2200000.0</v>
      </c>
      <c r="G41" s="910">
        <f t="shared" ref="G41:H41" si="33">+F41</f>
        <v>2200000</v>
      </c>
      <c r="H41" s="911">
        <f t="shared" si="33"/>
        <v>2200000</v>
      </c>
      <c r="I41" s="912">
        <f t="shared" si="30"/>
        <v>6600000</v>
      </c>
      <c r="J41" s="878"/>
      <c r="K41" s="878"/>
      <c r="L41" s="878"/>
      <c r="M41" s="878"/>
      <c r="N41" s="878"/>
      <c r="O41" s="878"/>
      <c r="P41" s="878"/>
      <c r="Q41" s="878"/>
      <c r="R41" s="878"/>
      <c r="S41" s="878"/>
      <c r="T41" s="878"/>
      <c r="U41" s="878"/>
      <c r="V41" s="878"/>
      <c r="W41" s="878"/>
      <c r="X41" s="878"/>
      <c r="Y41" s="878"/>
      <c r="Z41" s="878"/>
    </row>
    <row r="42" ht="12.0" customHeight="1">
      <c r="A42" s="878"/>
      <c r="B42" s="908" t="s">
        <v>1404</v>
      </c>
      <c r="C42" s="909" t="s">
        <v>1405</v>
      </c>
      <c r="D42" s="910">
        <f>450585.08+26178.68+72735.2+19900+88403.32+58549.26+40613.65+761200</f>
        <v>1518165.19</v>
      </c>
      <c r="E42" s="910">
        <v>1000000.0</v>
      </c>
      <c r="F42" s="910">
        <v>1000000.0</v>
      </c>
      <c r="G42" s="910">
        <f t="shared" ref="G42:H42" si="34">F42</f>
        <v>1000000</v>
      </c>
      <c r="H42" s="911">
        <f t="shared" si="34"/>
        <v>1000000</v>
      </c>
      <c r="I42" s="912">
        <f t="shared" si="30"/>
        <v>3000000</v>
      </c>
      <c r="J42" s="878"/>
      <c r="K42" s="878"/>
      <c r="L42" s="878"/>
      <c r="M42" s="878"/>
      <c r="N42" s="878"/>
      <c r="O42" s="878"/>
      <c r="P42" s="878"/>
      <c r="Q42" s="878"/>
      <c r="R42" s="878"/>
      <c r="S42" s="878"/>
      <c r="T42" s="878"/>
      <c r="U42" s="878"/>
      <c r="V42" s="878"/>
      <c r="W42" s="878"/>
      <c r="X42" s="878"/>
      <c r="Y42" s="878"/>
      <c r="Z42" s="878"/>
    </row>
    <row r="43" ht="12.0" customHeight="1">
      <c r="A43" s="878"/>
      <c r="B43" s="908" t="s">
        <v>1406</v>
      </c>
      <c r="C43" s="909" t="s">
        <v>1407</v>
      </c>
      <c r="D43" s="910">
        <f>105000+36000+95000+40400</f>
        <v>276400</v>
      </c>
      <c r="E43" s="910">
        <v>700000.0</v>
      </c>
      <c r="F43" s="910">
        <v>1000000.0</v>
      </c>
      <c r="G43" s="910">
        <f t="shared" ref="G43:H43" si="35">F43</f>
        <v>1000000</v>
      </c>
      <c r="H43" s="911">
        <f t="shared" si="35"/>
        <v>1000000</v>
      </c>
      <c r="I43" s="912">
        <f t="shared" si="30"/>
        <v>3000000</v>
      </c>
      <c r="J43" s="878"/>
      <c r="K43" s="878"/>
      <c r="L43" s="878"/>
      <c r="M43" s="878"/>
      <c r="N43" s="878"/>
      <c r="O43" s="878"/>
      <c r="P43" s="878"/>
      <c r="Q43" s="878"/>
      <c r="R43" s="878"/>
      <c r="S43" s="878"/>
      <c r="T43" s="878"/>
      <c r="U43" s="878"/>
      <c r="V43" s="878"/>
      <c r="W43" s="878"/>
      <c r="X43" s="878"/>
      <c r="Y43" s="878"/>
      <c r="Z43" s="878"/>
    </row>
    <row r="44" ht="12.0" customHeight="1">
      <c r="A44" s="878"/>
      <c r="B44" s="908" t="s">
        <v>1408</v>
      </c>
      <c r="C44" s="909" t="s">
        <v>1409</v>
      </c>
      <c r="D44" s="910">
        <f>429000+395000+1000000</f>
        <v>1824000</v>
      </c>
      <c r="E44" s="910">
        <v>1300000.0</v>
      </c>
      <c r="F44" s="910">
        <v>2000000.0</v>
      </c>
      <c r="G44" s="910">
        <f t="shared" ref="G44:H44" si="36">F44</f>
        <v>2000000</v>
      </c>
      <c r="H44" s="911">
        <f t="shared" si="36"/>
        <v>2000000</v>
      </c>
      <c r="I44" s="912">
        <f t="shared" si="30"/>
        <v>6000000</v>
      </c>
      <c r="J44" s="878"/>
      <c r="K44" s="878"/>
      <c r="L44" s="878"/>
      <c r="M44" s="878"/>
      <c r="N44" s="878"/>
      <c r="O44" s="878"/>
      <c r="P44" s="878"/>
      <c r="Q44" s="878"/>
      <c r="R44" s="878"/>
      <c r="S44" s="878"/>
      <c r="T44" s="878"/>
      <c r="U44" s="878"/>
      <c r="V44" s="878"/>
      <c r="W44" s="878"/>
      <c r="X44" s="878"/>
      <c r="Y44" s="878"/>
      <c r="Z44" s="878"/>
    </row>
    <row r="45" ht="12.0" customHeight="1">
      <c r="A45" s="878"/>
      <c r="B45" s="908" t="s">
        <v>1410</v>
      </c>
      <c r="C45" s="909" t="s">
        <v>1411</v>
      </c>
      <c r="D45" s="910"/>
      <c r="E45" s="910"/>
      <c r="F45" s="910">
        <f>4020000+3300000+14000000</f>
        <v>21320000</v>
      </c>
      <c r="G45" s="910">
        <v>3300000.0</v>
      </c>
      <c r="H45" s="911">
        <v>3300000.0</v>
      </c>
      <c r="I45" s="912">
        <f t="shared" si="30"/>
        <v>27920000</v>
      </c>
      <c r="J45" s="878"/>
      <c r="K45" s="878"/>
      <c r="L45" s="878"/>
      <c r="M45" s="878"/>
      <c r="N45" s="878"/>
      <c r="O45" s="878"/>
      <c r="P45" s="878"/>
      <c r="Q45" s="878"/>
      <c r="R45" s="878"/>
      <c r="S45" s="878"/>
      <c r="T45" s="878"/>
      <c r="U45" s="878"/>
      <c r="V45" s="878"/>
      <c r="W45" s="878"/>
      <c r="X45" s="878"/>
      <c r="Y45" s="878"/>
      <c r="Z45" s="878"/>
    </row>
    <row r="46" ht="12.0" customHeight="1">
      <c r="A46" s="878"/>
      <c r="B46" s="908" t="s">
        <v>1412</v>
      </c>
      <c r="C46" s="909" t="s">
        <v>1413</v>
      </c>
      <c r="D46" s="910">
        <v>697550.0</v>
      </c>
      <c r="E46" s="910">
        <v>4000000.0</v>
      </c>
      <c r="F46" s="910">
        <v>2000000.0</v>
      </c>
      <c r="G46" s="910">
        <f t="shared" ref="G46:H46" si="37">F46</f>
        <v>2000000</v>
      </c>
      <c r="H46" s="911">
        <f t="shared" si="37"/>
        <v>2000000</v>
      </c>
      <c r="I46" s="912">
        <f t="shared" si="30"/>
        <v>6000000</v>
      </c>
      <c r="J46" s="878"/>
      <c r="K46" s="878"/>
      <c r="L46" s="878"/>
      <c r="M46" s="878"/>
      <c r="N46" s="878"/>
      <c r="O46" s="878"/>
      <c r="P46" s="878"/>
      <c r="Q46" s="878"/>
      <c r="R46" s="878"/>
      <c r="S46" s="878"/>
      <c r="T46" s="878"/>
      <c r="U46" s="878"/>
      <c r="V46" s="878"/>
      <c r="W46" s="878"/>
      <c r="X46" s="878"/>
      <c r="Y46" s="878"/>
      <c r="Z46" s="878"/>
    </row>
    <row r="47" ht="12.0" customHeight="1">
      <c r="A47" s="878"/>
      <c r="B47" s="908" t="s">
        <v>1414</v>
      </c>
      <c r="C47" s="909" t="s">
        <v>1415</v>
      </c>
      <c r="D47" s="910"/>
      <c r="E47" s="910"/>
      <c r="F47" s="910">
        <v>1000000.0</v>
      </c>
      <c r="G47" s="910">
        <f>F47</f>
        <v>1000000</v>
      </c>
      <c r="H47" s="911">
        <v>1.5E7</v>
      </c>
      <c r="I47" s="912">
        <f t="shared" si="30"/>
        <v>17000000</v>
      </c>
      <c r="J47" s="878"/>
      <c r="K47" s="878"/>
      <c r="L47" s="878"/>
      <c r="M47" s="878"/>
      <c r="N47" s="878"/>
      <c r="O47" s="878"/>
      <c r="P47" s="878"/>
      <c r="Q47" s="878"/>
      <c r="R47" s="878"/>
      <c r="S47" s="878"/>
      <c r="T47" s="878"/>
      <c r="U47" s="878"/>
      <c r="V47" s="878"/>
      <c r="W47" s="878"/>
      <c r="X47" s="878"/>
      <c r="Y47" s="878"/>
      <c r="Z47" s="878"/>
    </row>
    <row r="48" ht="12.0" customHeight="1">
      <c r="A48" s="878"/>
      <c r="B48" s="908" t="s">
        <v>1416</v>
      </c>
      <c r="C48" s="909" t="s">
        <v>1417</v>
      </c>
      <c r="D48" s="910"/>
      <c r="E48" s="910"/>
      <c r="F48" s="910">
        <v>2200000.0</v>
      </c>
      <c r="G48" s="910">
        <v>2200000.0</v>
      </c>
      <c r="H48" s="911">
        <f>G48</f>
        <v>2200000</v>
      </c>
      <c r="I48" s="912">
        <f t="shared" si="30"/>
        <v>6600000</v>
      </c>
      <c r="J48" s="878"/>
      <c r="K48" s="878"/>
      <c r="L48" s="878"/>
      <c r="M48" s="878"/>
      <c r="N48" s="878"/>
      <c r="O48" s="878"/>
      <c r="P48" s="878"/>
      <c r="Q48" s="878"/>
      <c r="R48" s="878"/>
      <c r="S48" s="878"/>
      <c r="T48" s="878"/>
      <c r="U48" s="878"/>
      <c r="V48" s="878"/>
      <c r="W48" s="878"/>
      <c r="X48" s="878"/>
      <c r="Y48" s="878"/>
      <c r="Z48" s="878"/>
    </row>
    <row r="49" ht="12.0" customHeight="1">
      <c r="A49" s="878"/>
      <c r="B49" s="908" t="s">
        <v>1418</v>
      </c>
      <c r="C49" s="909" t="s">
        <v>1419</v>
      </c>
      <c r="D49" s="910"/>
      <c r="E49" s="910"/>
      <c r="F49" s="910"/>
      <c r="G49" s="910"/>
      <c r="H49" s="911"/>
      <c r="I49" s="912">
        <f t="shared" si="30"/>
        <v>0</v>
      </c>
      <c r="J49" s="878"/>
      <c r="K49" s="878"/>
      <c r="L49" s="878"/>
      <c r="M49" s="878"/>
      <c r="N49" s="878"/>
      <c r="O49" s="878"/>
      <c r="P49" s="878"/>
      <c r="Q49" s="878"/>
      <c r="R49" s="933"/>
      <c r="S49" s="878"/>
      <c r="T49" s="878"/>
      <c r="U49" s="878"/>
      <c r="V49" s="878"/>
      <c r="W49" s="878"/>
      <c r="X49" s="878"/>
      <c r="Y49" s="878"/>
      <c r="Z49" s="878"/>
    </row>
    <row r="50" ht="12.0" customHeight="1">
      <c r="A50" s="878"/>
      <c r="B50" s="908" t="s">
        <v>1420</v>
      </c>
      <c r="C50" s="909" t="s">
        <v>1421</v>
      </c>
      <c r="D50" s="910">
        <f>300000+360000+130000</f>
        <v>790000</v>
      </c>
      <c r="E50" s="910">
        <v>500000.0</v>
      </c>
      <c r="F50" s="910">
        <v>500000.0</v>
      </c>
      <c r="G50" s="910">
        <f t="shared" ref="G50:H50" si="38">F50</f>
        <v>500000</v>
      </c>
      <c r="H50" s="911">
        <f t="shared" si="38"/>
        <v>500000</v>
      </c>
      <c r="I50" s="912">
        <f t="shared" si="30"/>
        <v>1500000</v>
      </c>
      <c r="J50" s="878"/>
      <c r="K50" s="878"/>
      <c r="L50" s="878"/>
      <c r="M50" s="878"/>
      <c r="N50" s="878"/>
      <c r="O50" s="878"/>
      <c r="P50" s="878"/>
      <c r="Q50" s="878"/>
      <c r="R50" s="878"/>
      <c r="S50" s="878"/>
      <c r="T50" s="878"/>
      <c r="U50" s="878"/>
      <c r="V50" s="878"/>
      <c r="W50" s="878"/>
      <c r="X50" s="878"/>
      <c r="Y50" s="878"/>
      <c r="Z50" s="878"/>
    </row>
    <row r="51" ht="12.0" customHeight="1">
      <c r="A51" s="933"/>
      <c r="B51" s="913" t="s">
        <v>27</v>
      </c>
      <c r="C51" s="914" t="s">
        <v>1422</v>
      </c>
      <c r="D51" s="915">
        <f t="shared" ref="D51:E51" si="39">SUM(D52:D56)</f>
        <v>1720000</v>
      </c>
      <c r="E51" s="915">
        <f t="shared" si="39"/>
        <v>187000000</v>
      </c>
      <c r="F51" s="915">
        <f t="shared" ref="F51:H51" si="40">SUM(F52:F53)</f>
        <v>363000000</v>
      </c>
      <c r="G51" s="915">
        <f t="shared" si="40"/>
        <v>0</v>
      </c>
      <c r="H51" s="915">
        <f t="shared" si="40"/>
        <v>807000000</v>
      </c>
      <c r="I51" s="917">
        <f t="shared" si="30"/>
        <v>1170000000</v>
      </c>
      <c r="J51" s="933"/>
      <c r="K51" s="933"/>
      <c r="L51" s="933"/>
      <c r="M51" s="933"/>
      <c r="N51" s="933"/>
      <c r="O51" s="933"/>
      <c r="P51" s="933"/>
      <c r="Q51" s="933"/>
      <c r="R51" s="933"/>
      <c r="S51" s="933"/>
      <c r="T51" s="933"/>
      <c r="U51" s="933"/>
      <c r="V51" s="933"/>
      <c r="W51" s="933"/>
      <c r="X51" s="933"/>
      <c r="Y51" s="933"/>
      <c r="Z51" s="933"/>
    </row>
    <row r="52" ht="12.0" customHeight="1">
      <c r="A52" s="878"/>
      <c r="B52" s="908" t="s">
        <v>1366</v>
      </c>
      <c r="C52" s="909" t="s">
        <v>1423</v>
      </c>
      <c r="D52" s="910"/>
      <c r="E52" s="910"/>
      <c r="F52" s="910">
        <f>99000000+117000000+147000000</f>
        <v>363000000</v>
      </c>
      <c r="G52" s="952"/>
      <c r="H52" s="953">
        <f>117000000</f>
        <v>117000000</v>
      </c>
      <c r="I52" s="912">
        <f t="shared" si="30"/>
        <v>480000000</v>
      </c>
      <c r="J52" s="878"/>
      <c r="K52" s="878"/>
      <c r="L52" s="878"/>
      <c r="M52" s="878"/>
      <c r="N52" s="878"/>
      <c r="O52" s="878"/>
      <c r="P52" s="878"/>
      <c r="Q52" s="878"/>
      <c r="R52" s="878"/>
      <c r="S52" s="878"/>
      <c r="T52" s="878"/>
      <c r="U52" s="878"/>
      <c r="V52" s="878"/>
      <c r="W52" s="878"/>
      <c r="X52" s="878"/>
      <c r="Y52" s="878"/>
      <c r="Z52" s="878"/>
    </row>
    <row r="53" ht="12.0" customHeight="1">
      <c r="A53" s="878"/>
      <c r="B53" s="908" t="s">
        <v>1368</v>
      </c>
      <c r="C53" s="909" t="s">
        <v>1424</v>
      </c>
      <c r="D53" s="910"/>
      <c r="E53" s="910"/>
      <c r="F53" s="910"/>
      <c r="G53" s="910"/>
      <c r="H53" s="954">
        <v>6.9E8</v>
      </c>
      <c r="I53" s="912"/>
      <c r="J53" s="878"/>
      <c r="K53" s="878"/>
      <c r="L53" s="878"/>
      <c r="M53" s="878"/>
      <c r="N53" s="878"/>
      <c r="O53" s="878"/>
      <c r="P53" s="878"/>
      <c r="Q53" s="878"/>
      <c r="R53" s="878"/>
      <c r="S53" s="878"/>
      <c r="T53" s="878"/>
      <c r="U53" s="878"/>
      <c r="V53" s="878"/>
      <c r="W53" s="878"/>
      <c r="X53" s="878"/>
      <c r="Y53" s="878"/>
      <c r="Z53" s="878"/>
    </row>
    <row r="54" ht="12.0" customHeight="1">
      <c r="A54" s="933"/>
      <c r="B54" s="913" t="s">
        <v>67</v>
      </c>
      <c r="C54" s="914" t="s">
        <v>1425</v>
      </c>
      <c r="D54" s="915"/>
      <c r="E54" s="915"/>
      <c r="F54" s="915">
        <f t="shared" ref="F54:H54" si="41">F55+F56</f>
        <v>11400000</v>
      </c>
      <c r="G54" s="915">
        <f t="shared" si="41"/>
        <v>0</v>
      </c>
      <c r="H54" s="915">
        <f t="shared" si="41"/>
        <v>2000000</v>
      </c>
      <c r="I54" s="917">
        <f t="shared" ref="I54:I56" si="42">SUM(F54:H54)</f>
        <v>13400000</v>
      </c>
      <c r="J54" s="933"/>
      <c r="K54" s="933"/>
      <c r="L54" s="933"/>
      <c r="M54" s="933"/>
      <c r="N54" s="933"/>
      <c r="O54" s="933"/>
      <c r="P54" s="933"/>
      <c r="Q54" s="933"/>
      <c r="R54" s="933"/>
      <c r="S54" s="933"/>
      <c r="T54" s="933"/>
      <c r="U54" s="933"/>
      <c r="V54" s="933"/>
      <c r="W54" s="933"/>
      <c r="X54" s="933"/>
      <c r="Y54" s="933"/>
      <c r="Z54" s="933"/>
    </row>
    <row r="55" ht="12.0" customHeight="1">
      <c r="A55" s="878"/>
      <c r="B55" s="908" t="s">
        <v>1378</v>
      </c>
      <c r="C55" s="909" t="s">
        <v>1426</v>
      </c>
      <c r="D55" s="910">
        <f>1480000+240000</f>
        <v>1720000</v>
      </c>
      <c r="E55" s="955">
        <v>1.87E8</v>
      </c>
      <c r="F55" s="910">
        <v>4400000.0</v>
      </c>
      <c r="G55" s="910"/>
      <c r="H55" s="911"/>
      <c r="I55" s="912">
        <f t="shared" si="42"/>
        <v>4400000</v>
      </c>
      <c r="J55" s="878"/>
      <c r="K55" s="878"/>
      <c r="L55" s="878"/>
      <c r="M55" s="878"/>
      <c r="N55" s="878"/>
      <c r="O55" s="878"/>
      <c r="P55" s="878"/>
      <c r="Q55" s="878"/>
      <c r="R55" s="878"/>
      <c r="S55" s="878"/>
      <c r="T55" s="878"/>
      <c r="U55" s="878"/>
      <c r="V55" s="878"/>
      <c r="W55" s="878"/>
      <c r="X55" s="878"/>
      <c r="Y55" s="878"/>
      <c r="Z55" s="878"/>
    </row>
    <row r="56" ht="12.0" customHeight="1">
      <c r="A56" s="878"/>
      <c r="B56" s="908" t="s">
        <v>1380</v>
      </c>
      <c r="C56" s="909" t="s">
        <v>1427</v>
      </c>
      <c r="D56" s="910"/>
      <c r="E56" s="910"/>
      <c r="F56" s="910">
        <f>1000000+6000000</f>
        <v>7000000</v>
      </c>
      <c r="G56" s="910"/>
      <c r="H56" s="911">
        <v>2000000.0</v>
      </c>
      <c r="I56" s="912">
        <f t="shared" si="42"/>
        <v>9000000</v>
      </c>
      <c r="J56" s="878" t="s">
        <v>1428</v>
      </c>
      <c r="K56" s="878"/>
      <c r="L56" s="878"/>
      <c r="M56" s="878"/>
      <c r="N56" s="878"/>
      <c r="O56" s="878"/>
      <c r="P56" s="878"/>
      <c r="Q56" s="878"/>
      <c r="R56" s="878"/>
      <c r="S56" s="878"/>
      <c r="T56" s="878"/>
      <c r="U56" s="878"/>
      <c r="V56" s="878"/>
      <c r="W56" s="878"/>
      <c r="X56" s="878"/>
      <c r="Y56" s="878"/>
      <c r="Z56" s="878"/>
    </row>
    <row r="57" ht="12.0" customHeight="1">
      <c r="A57" s="933"/>
      <c r="B57" s="913" t="s">
        <v>1384</v>
      </c>
      <c r="C57" s="914" t="s">
        <v>1429</v>
      </c>
      <c r="D57" s="915" t="str">
        <f t="shared" ref="D57:I57" si="43">D58+D59</f>
        <v>#ERROR!</v>
      </c>
      <c r="E57" s="915">
        <f t="shared" si="43"/>
        <v>191000000</v>
      </c>
      <c r="F57" s="915">
        <f t="shared" si="43"/>
        <v>6000000</v>
      </c>
      <c r="G57" s="915">
        <f t="shared" si="43"/>
        <v>130000000</v>
      </c>
      <c r="H57" s="916">
        <f t="shared" si="43"/>
        <v>20000000</v>
      </c>
      <c r="I57" s="917">
        <f t="shared" si="43"/>
        <v>156000000</v>
      </c>
      <c r="J57" s="933"/>
      <c r="K57" s="933"/>
      <c r="L57" s="933"/>
      <c r="M57" s="933"/>
      <c r="N57" s="933"/>
      <c r="O57" s="933"/>
      <c r="P57" s="933"/>
      <c r="Q57" s="933"/>
      <c r="R57" s="933"/>
      <c r="S57" s="933"/>
      <c r="T57" s="933"/>
      <c r="U57" s="933"/>
      <c r="V57" s="933"/>
      <c r="W57" s="933"/>
      <c r="X57" s="933"/>
      <c r="Y57" s="933"/>
      <c r="Z57" s="933"/>
    </row>
    <row r="58" ht="12.0" customHeight="1">
      <c r="A58" s="933"/>
      <c r="B58" s="908" t="s">
        <v>1385</v>
      </c>
      <c r="C58" s="909" t="s">
        <v>1430</v>
      </c>
      <c r="D58" s="910" t="str">
        <f>D7/11+D11/11</f>
        <v>#ERROR!</v>
      </c>
      <c r="E58" s="910"/>
      <c r="F58" s="910"/>
      <c r="G58" s="910"/>
      <c r="H58" s="911"/>
      <c r="I58" s="912">
        <f t="shared" ref="I58:I61" si="44">SUM(F58:H58)</f>
        <v>0</v>
      </c>
      <c r="J58" s="933"/>
      <c r="K58" s="933"/>
      <c r="L58" s="933"/>
      <c r="M58" s="933"/>
      <c r="N58" s="933"/>
      <c r="O58" s="933"/>
      <c r="P58" s="933"/>
      <c r="Q58" s="933"/>
      <c r="R58" s="933"/>
      <c r="S58" s="933"/>
      <c r="T58" s="933"/>
      <c r="U58" s="933"/>
      <c r="V58" s="933"/>
      <c r="W58" s="933"/>
      <c r="X58" s="933"/>
      <c r="Y58" s="933"/>
      <c r="Z58" s="933"/>
    </row>
    <row r="59" ht="12.0" customHeight="1">
      <c r="A59" s="933"/>
      <c r="B59" s="908" t="s">
        <v>1431</v>
      </c>
      <c r="C59" s="909" t="s">
        <v>1432</v>
      </c>
      <c r="D59" s="910"/>
      <c r="E59" s="910">
        <v>1.91E8</v>
      </c>
      <c r="F59" s="910">
        <v>6000000.0</v>
      </c>
      <c r="G59" s="910">
        <v>1.3E8</v>
      </c>
      <c r="H59" s="911">
        <v>2.0E7</v>
      </c>
      <c r="I59" s="912">
        <f t="shared" si="44"/>
        <v>156000000</v>
      </c>
      <c r="J59" s="933"/>
      <c r="K59" s="933"/>
      <c r="L59" s="933"/>
      <c r="M59" s="933"/>
      <c r="N59" s="933"/>
      <c r="O59" s="933"/>
      <c r="P59" s="933"/>
      <c r="Q59" s="933"/>
      <c r="R59" s="933"/>
      <c r="S59" s="933"/>
      <c r="T59" s="933"/>
      <c r="U59" s="933"/>
      <c r="V59" s="933"/>
      <c r="W59" s="933"/>
      <c r="X59" s="933"/>
      <c r="Y59" s="933"/>
      <c r="Z59" s="933"/>
    </row>
    <row r="60" ht="12.0" customHeight="1">
      <c r="A60" s="878"/>
      <c r="B60" s="913" t="s">
        <v>1433</v>
      </c>
      <c r="C60" s="956" t="s">
        <v>1434</v>
      </c>
      <c r="D60" s="957">
        <f>5005440+637450</f>
        <v>5642890</v>
      </c>
      <c r="E60" s="957"/>
      <c r="F60" s="958">
        <v>2.0E8</v>
      </c>
      <c r="G60" s="957"/>
      <c r="H60" s="953">
        <f>1500*255800-F60</f>
        <v>183700000</v>
      </c>
      <c r="I60" s="959">
        <f t="shared" si="44"/>
        <v>383700000</v>
      </c>
      <c r="J60" s="878" t="s">
        <v>1435</v>
      </c>
      <c r="K60" s="878"/>
      <c r="L60" s="878"/>
      <c r="M60" s="878"/>
      <c r="N60" s="878"/>
      <c r="O60" s="878"/>
      <c r="P60" s="878"/>
      <c r="Q60" s="878"/>
      <c r="R60" s="878"/>
      <c r="S60" s="878"/>
      <c r="T60" s="878"/>
      <c r="U60" s="878"/>
      <c r="V60" s="878"/>
      <c r="W60" s="878"/>
      <c r="X60" s="878"/>
      <c r="Y60" s="878"/>
      <c r="Z60" s="878"/>
    </row>
    <row r="61" ht="12.0" customHeight="1">
      <c r="A61" s="878"/>
      <c r="B61" s="913" t="s">
        <v>1436</v>
      </c>
      <c r="C61" s="956" t="s">
        <v>1437</v>
      </c>
      <c r="D61" s="957"/>
      <c r="E61" s="957"/>
      <c r="F61" s="957"/>
      <c r="G61" s="957">
        <f>53000000+30000000</f>
        <v>83000000</v>
      </c>
      <c r="H61" s="916">
        <v>5.0E8</v>
      </c>
      <c r="I61" s="959">
        <f t="shared" si="44"/>
        <v>583000000</v>
      </c>
      <c r="J61" s="878" t="s">
        <v>1438</v>
      </c>
      <c r="K61" s="878"/>
      <c r="L61" s="878"/>
      <c r="M61" s="878"/>
      <c r="N61" s="878"/>
      <c r="O61" s="878"/>
      <c r="P61" s="878"/>
      <c r="Q61" s="878"/>
      <c r="R61" s="878"/>
      <c r="S61" s="878"/>
      <c r="T61" s="878"/>
      <c r="U61" s="878"/>
      <c r="V61" s="878"/>
      <c r="W61" s="878"/>
      <c r="X61" s="878"/>
      <c r="Y61" s="878"/>
      <c r="Z61" s="878"/>
    </row>
    <row r="62" ht="12.0" customHeight="1">
      <c r="A62" s="878"/>
      <c r="B62" s="913"/>
      <c r="C62" s="914" t="s">
        <v>1439</v>
      </c>
      <c r="D62" s="915" t="str">
        <f t="shared" ref="D62:H62" si="45">+D4+D5-D31</f>
        <v>#ERROR!</v>
      </c>
      <c r="E62" s="915" t="str">
        <f t="shared" si="45"/>
        <v>#ERROR!</v>
      </c>
      <c r="F62" s="915">
        <f t="shared" si="45"/>
        <v>97758357.33</v>
      </c>
      <c r="G62" s="915">
        <f t="shared" si="45"/>
        <v>-152749426.4</v>
      </c>
      <c r="H62" s="960">
        <f t="shared" si="45"/>
        <v>-1626176423</v>
      </c>
      <c r="I62" s="959"/>
      <c r="J62" s="878"/>
      <c r="K62" s="878"/>
      <c r="L62" s="878"/>
      <c r="M62" s="878"/>
      <c r="N62" s="878"/>
      <c r="O62" s="878"/>
      <c r="P62" s="878"/>
      <c r="Q62" s="878"/>
      <c r="R62" s="878"/>
      <c r="S62" s="878"/>
      <c r="T62" s="878"/>
      <c r="U62" s="878"/>
      <c r="V62" s="878"/>
      <c r="W62" s="878"/>
      <c r="X62" s="878"/>
      <c r="Y62" s="878"/>
      <c r="Z62" s="878"/>
    </row>
    <row r="63" ht="12.0" customHeight="1">
      <c r="A63" s="878"/>
      <c r="B63" s="961"/>
      <c r="C63" s="962" t="s">
        <v>1440</v>
      </c>
      <c r="D63" s="963" t="str">
        <f t="shared" ref="D63:I63" si="46">D5-D31</f>
        <v>#ERROR!</v>
      </c>
      <c r="E63" s="963" t="str">
        <f t="shared" si="46"/>
        <v>#ERROR!</v>
      </c>
      <c r="F63" s="963">
        <f t="shared" si="46"/>
        <v>58385357.33</v>
      </c>
      <c r="G63" s="963">
        <f t="shared" si="46"/>
        <v>-163970973</v>
      </c>
      <c r="H63" s="964">
        <f t="shared" si="46"/>
        <v>-1473426997</v>
      </c>
      <c r="I63" s="965">
        <f t="shared" si="46"/>
        <v>-1579012613</v>
      </c>
      <c r="J63" s="878"/>
      <c r="K63" s="878"/>
      <c r="L63" s="878"/>
      <c r="M63" s="878"/>
      <c r="N63" s="878"/>
      <c r="O63" s="878"/>
      <c r="P63" s="878"/>
      <c r="Q63" s="878"/>
      <c r="R63" s="878"/>
      <c r="S63" s="878"/>
      <c r="T63" s="878"/>
      <c r="U63" s="878"/>
      <c r="V63" s="878"/>
      <c r="W63" s="878"/>
      <c r="X63" s="878"/>
      <c r="Y63" s="878"/>
      <c r="Z63" s="878"/>
    </row>
    <row r="64" ht="12.0" customHeight="1">
      <c r="A64" s="878"/>
      <c r="B64" s="879"/>
      <c r="C64" s="842"/>
      <c r="D64" s="878"/>
      <c r="E64" s="878"/>
      <c r="F64" s="878"/>
      <c r="G64" s="878"/>
      <c r="H64" s="878"/>
      <c r="I64" s="878"/>
      <c r="J64" s="878"/>
      <c r="K64" s="878"/>
      <c r="L64" s="878"/>
      <c r="M64" s="878"/>
      <c r="N64" s="878"/>
      <c r="O64" s="878"/>
      <c r="P64" s="878"/>
      <c r="Q64" s="878"/>
      <c r="R64" s="878"/>
      <c r="S64" s="878"/>
      <c r="T64" s="878"/>
      <c r="U64" s="878"/>
      <c r="V64" s="878"/>
      <c r="W64" s="878"/>
      <c r="X64" s="878"/>
      <c r="Y64" s="878"/>
      <c r="Z64" s="878"/>
    </row>
    <row r="65" ht="12.0" customHeight="1">
      <c r="A65" s="878"/>
      <c r="B65" s="879"/>
      <c r="C65" s="842"/>
      <c r="D65" s="878"/>
      <c r="E65" s="878"/>
      <c r="F65" s="878"/>
      <c r="G65" s="878"/>
      <c r="H65" s="878"/>
      <c r="I65" s="878"/>
      <c r="J65" s="878"/>
      <c r="K65" s="878"/>
      <c r="L65" s="878"/>
      <c r="M65" s="878"/>
      <c r="N65" s="878"/>
      <c r="O65" s="878"/>
      <c r="P65" s="878"/>
      <c r="Q65" s="878"/>
      <c r="R65" s="878"/>
      <c r="S65" s="878"/>
      <c r="T65" s="878"/>
      <c r="U65" s="878"/>
      <c r="V65" s="878"/>
      <c r="W65" s="878"/>
      <c r="X65" s="878"/>
      <c r="Y65" s="878"/>
      <c r="Z65" s="878"/>
    </row>
    <row r="66" ht="12.0" customHeight="1">
      <c r="A66" s="878"/>
      <c r="B66" s="879"/>
      <c r="C66" s="842"/>
      <c r="D66" s="878"/>
      <c r="E66" s="878"/>
      <c r="F66" s="878"/>
      <c r="G66" s="878"/>
      <c r="H66" s="878"/>
      <c r="I66" s="878"/>
      <c r="J66" s="878"/>
      <c r="K66" s="878"/>
      <c r="L66" s="878"/>
      <c r="M66" s="878"/>
      <c r="N66" s="878"/>
      <c r="O66" s="878"/>
      <c r="P66" s="878"/>
      <c r="Q66" s="878"/>
      <c r="R66" s="878"/>
      <c r="S66" s="878"/>
      <c r="T66" s="878"/>
      <c r="U66" s="878"/>
      <c r="V66" s="878"/>
      <c r="W66" s="878"/>
      <c r="X66" s="878"/>
      <c r="Y66" s="878"/>
      <c r="Z66" s="878"/>
    </row>
    <row r="67" ht="12.0" customHeight="1">
      <c r="A67" s="878"/>
      <c r="B67" s="879"/>
      <c r="C67" s="842"/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/>
      <c r="O67" s="878"/>
      <c r="P67" s="878"/>
      <c r="Q67" s="878"/>
      <c r="R67" s="878"/>
      <c r="S67" s="878"/>
      <c r="T67" s="878"/>
      <c r="U67" s="878"/>
      <c r="V67" s="878"/>
      <c r="W67" s="878"/>
      <c r="X67" s="878"/>
      <c r="Y67" s="878"/>
      <c r="Z67" s="878"/>
    </row>
    <row r="68" ht="12.0" customHeight="1">
      <c r="A68" s="878"/>
      <c r="B68" s="879"/>
      <c r="C68" s="842"/>
      <c r="D68" s="878"/>
      <c r="E68" s="878"/>
      <c r="F68" s="878"/>
      <c r="G68" s="878"/>
      <c r="H68" s="878"/>
      <c r="I68" s="878"/>
      <c r="J68" s="878"/>
      <c r="K68" s="878"/>
      <c r="L68" s="878"/>
      <c r="M68" s="878"/>
      <c r="N68" s="878"/>
      <c r="O68" s="878"/>
      <c r="P68" s="878"/>
      <c r="Q68" s="878"/>
      <c r="R68" s="878"/>
      <c r="S68" s="878"/>
      <c r="T68" s="878"/>
      <c r="U68" s="878"/>
      <c r="V68" s="878"/>
      <c r="W68" s="878"/>
      <c r="X68" s="878"/>
      <c r="Y68" s="878"/>
      <c r="Z68" s="878"/>
    </row>
    <row r="69" ht="12.0" customHeight="1">
      <c r="A69" s="878"/>
      <c r="B69" s="879"/>
      <c r="C69" s="842"/>
      <c r="D69" s="878"/>
      <c r="E69" s="878"/>
      <c r="F69" s="878"/>
      <c r="G69" s="878"/>
      <c r="H69" s="878"/>
      <c r="I69" s="878"/>
      <c r="J69" s="878"/>
      <c r="K69" s="878"/>
      <c r="L69" s="878"/>
      <c r="M69" s="878"/>
      <c r="N69" s="878"/>
      <c r="O69" s="878"/>
      <c r="P69" s="878"/>
      <c r="Q69" s="878"/>
      <c r="R69" s="878"/>
      <c r="S69" s="878"/>
      <c r="T69" s="878"/>
      <c r="U69" s="878"/>
      <c r="V69" s="878"/>
      <c r="W69" s="878"/>
      <c r="X69" s="878"/>
      <c r="Y69" s="878"/>
      <c r="Z69" s="878"/>
    </row>
    <row r="70" ht="12.0" customHeight="1">
      <c r="A70" s="878"/>
      <c r="B70" s="879"/>
      <c r="C70" s="842"/>
      <c r="D70" s="878"/>
      <c r="E70" s="878"/>
      <c r="F70" s="878"/>
      <c r="G70" s="878"/>
      <c r="H70" s="878"/>
      <c r="I70" s="878"/>
      <c r="J70" s="878"/>
      <c r="K70" s="878"/>
      <c r="L70" s="878"/>
      <c r="M70" s="878"/>
      <c r="N70" s="878"/>
      <c r="O70" s="878"/>
      <c r="P70" s="878"/>
      <c r="Q70" s="878"/>
      <c r="R70" s="878"/>
      <c r="S70" s="878"/>
      <c r="T70" s="878"/>
      <c r="U70" s="878"/>
      <c r="V70" s="878"/>
      <c r="W70" s="878"/>
      <c r="X70" s="878"/>
      <c r="Y70" s="878"/>
      <c r="Z70" s="878"/>
    </row>
    <row r="71" ht="12.0" customHeight="1">
      <c r="A71" s="878"/>
      <c r="B71" s="879"/>
      <c r="C71" s="842"/>
      <c r="D71" s="878"/>
      <c r="E71" s="878"/>
      <c r="F71" s="878"/>
      <c r="G71" s="878"/>
      <c r="H71" s="878"/>
      <c r="I71" s="878"/>
      <c r="J71" s="878"/>
      <c r="K71" s="878"/>
      <c r="L71" s="878"/>
      <c r="M71" s="878"/>
      <c r="N71" s="878"/>
      <c r="O71" s="878"/>
      <c r="P71" s="878"/>
      <c r="Q71" s="878"/>
      <c r="R71" s="878"/>
      <c r="S71" s="878"/>
      <c r="T71" s="878"/>
      <c r="U71" s="878"/>
      <c r="V71" s="878"/>
      <c r="W71" s="878"/>
      <c r="X71" s="878"/>
      <c r="Y71" s="878"/>
      <c r="Z71" s="878"/>
    </row>
    <row r="72" ht="12.0" customHeight="1">
      <c r="A72" s="878"/>
      <c r="B72" s="879"/>
      <c r="C72" s="842"/>
      <c r="D72" s="878"/>
      <c r="E72" s="878"/>
      <c r="F72" s="878"/>
      <c r="G72" s="878"/>
      <c r="H72" s="878"/>
      <c r="I72" s="878"/>
      <c r="J72" s="878"/>
      <c r="K72" s="878"/>
      <c r="L72" s="878"/>
      <c r="M72" s="878"/>
      <c r="N72" s="878"/>
      <c r="O72" s="878"/>
      <c r="P72" s="878"/>
      <c r="Q72" s="878"/>
      <c r="R72" s="878"/>
      <c r="S72" s="878"/>
      <c r="T72" s="878"/>
      <c r="U72" s="878"/>
      <c r="V72" s="878"/>
      <c r="W72" s="878"/>
      <c r="X72" s="878"/>
      <c r="Y72" s="878"/>
      <c r="Z72" s="878"/>
    </row>
    <row r="73" ht="12.0" customHeight="1">
      <c r="A73" s="878"/>
      <c r="B73" s="879"/>
      <c r="C73" s="842"/>
      <c r="D73" s="878"/>
      <c r="E73" s="878"/>
      <c r="F73" s="878"/>
      <c r="G73" s="878"/>
      <c r="H73" s="878"/>
      <c r="I73" s="878"/>
      <c r="J73" s="878"/>
      <c r="K73" s="878"/>
      <c r="L73" s="878"/>
      <c r="M73" s="878"/>
      <c r="N73" s="878"/>
      <c r="O73" s="878"/>
      <c r="P73" s="878"/>
      <c r="Q73" s="878"/>
      <c r="R73" s="878"/>
      <c r="S73" s="878"/>
      <c r="T73" s="878"/>
      <c r="U73" s="878"/>
      <c r="V73" s="878"/>
      <c r="W73" s="878"/>
      <c r="X73" s="878"/>
      <c r="Y73" s="878"/>
      <c r="Z73" s="878"/>
    </row>
    <row r="74" ht="12.0" customHeight="1">
      <c r="A74" s="878"/>
      <c r="B74" s="879"/>
      <c r="C74" s="842"/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/>
      <c r="P74" s="878"/>
      <c r="Q74" s="878"/>
      <c r="R74" s="878"/>
      <c r="S74" s="878"/>
      <c r="T74" s="878"/>
      <c r="U74" s="878"/>
      <c r="V74" s="878"/>
      <c r="W74" s="878"/>
      <c r="X74" s="878"/>
      <c r="Y74" s="878"/>
      <c r="Z74" s="878"/>
    </row>
    <row r="75" ht="12.0" customHeight="1">
      <c r="A75" s="878"/>
      <c r="B75" s="879"/>
      <c r="C75" s="842"/>
      <c r="D75" s="878"/>
      <c r="E75" s="878"/>
      <c r="F75" s="878"/>
      <c r="G75" s="878"/>
      <c r="H75" s="878"/>
      <c r="I75" s="878"/>
      <c r="J75" s="878"/>
      <c r="K75" s="878"/>
      <c r="L75" s="878"/>
      <c r="M75" s="878"/>
      <c r="N75" s="878"/>
      <c r="O75" s="878"/>
      <c r="P75" s="878"/>
      <c r="Q75" s="878"/>
      <c r="R75" s="878"/>
      <c r="S75" s="878"/>
      <c r="T75" s="878"/>
      <c r="U75" s="878"/>
      <c r="V75" s="878"/>
      <c r="W75" s="878"/>
      <c r="X75" s="878"/>
      <c r="Y75" s="878"/>
      <c r="Z75" s="878"/>
    </row>
    <row r="76" ht="12.0" customHeight="1">
      <c r="A76" s="878"/>
      <c r="B76" s="879"/>
      <c r="C76" s="842"/>
      <c r="D76" s="878"/>
      <c r="E76" s="878"/>
      <c r="F76" s="878"/>
      <c r="G76" s="878"/>
      <c r="H76" s="878"/>
      <c r="I76" s="878"/>
      <c r="J76" s="878"/>
      <c r="K76" s="878"/>
      <c r="L76" s="878"/>
      <c r="M76" s="878"/>
      <c r="N76" s="878"/>
      <c r="O76" s="878"/>
      <c r="P76" s="878"/>
      <c r="Q76" s="878"/>
      <c r="R76" s="878"/>
      <c r="S76" s="878"/>
      <c r="T76" s="878"/>
      <c r="U76" s="878"/>
      <c r="V76" s="878"/>
      <c r="W76" s="878"/>
      <c r="X76" s="878"/>
      <c r="Y76" s="878"/>
      <c r="Z76" s="878"/>
    </row>
    <row r="77" ht="12.0" customHeight="1">
      <c r="A77" s="878"/>
      <c r="B77" s="879"/>
      <c r="C77" s="842"/>
      <c r="D77" s="878"/>
      <c r="E77" s="878"/>
      <c r="F77" s="878"/>
      <c r="G77" s="878"/>
      <c r="H77" s="878"/>
      <c r="I77" s="878"/>
      <c r="J77" s="878"/>
      <c r="K77" s="878"/>
      <c r="L77" s="878"/>
      <c r="M77" s="878"/>
      <c r="N77" s="878"/>
      <c r="O77" s="878"/>
      <c r="P77" s="878"/>
      <c r="Q77" s="878"/>
      <c r="R77" s="878"/>
      <c r="S77" s="878"/>
      <c r="T77" s="878"/>
      <c r="U77" s="878"/>
      <c r="V77" s="878"/>
      <c r="W77" s="878"/>
      <c r="X77" s="878"/>
      <c r="Y77" s="878"/>
      <c r="Z77" s="878"/>
    </row>
    <row r="78" ht="12.0" customHeight="1">
      <c r="A78" s="878"/>
      <c r="B78" s="879"/>
      <c r="C78" s="842"/>
      <c r="D78" s="878"/>
      <c r="E78" s="878"/>
      <c r="F78" s="878"/>
      <c r="G78" s="878"/>
      <c r="H78" s="878"/>
      <c r="I78" s="878"/>
      <c r="J78" s="878"/>
      <c r="K78" s="878"/>
      <c r="L78" s="878"/>
      <c r="M78" s="878"/>
      <c r="N78" s="878"/>
      <c r="O78" s="878"/>
      <c r="P78" s="878"/>
      <c r="Q78" s="878"/>
      <c r="R78" s="878"/>
      <c r="S78" s="878"/>
      <c r="T78" s="878"/>
      <c r="U78" s="878"/>
      <c r="V78" s="878"/>
      <c r="W78" s="878"/>
      <c r="X78" s="878"/>
      <c r="Y78" s="878"/>
      <c r="Z78" s="878"/>
    </row>
    <row r="79" ht="12.0" customHeight="1">
      <c r="A79" s="878"/>
      <c r="B79" s="879"/>
      <c r="C79" s="842"/>
      <c r="D79" s="878"/>
      <c r="E79" s="878"/>
      <c r="F79" s="878"/>
      <c r="G79" s="878"/>
      <c r="H79" s="878"/>
      <c r="I79" s="878"/>
      <c r="J79" s="878"/>
      <c r="K79" s="878"/>
      <c r="L79" s="878"/>
      <c r="M79" s="878"/>
      <c r="N79" s="878"/>
      <c r="O79" s="878"/>
      <c r="P79" s="878"/>
      <c r="Q79" s="878"/>
      <c r="R79" s="878"/>
      <c r="S79" s="878"/>
      <c r="T79" s="878"/>
      <c r="U79" s="878"/>
      <c r="V79" s="878"/>
      <c r="W79" s="878"/>
      <c r="X79" s="878"/>
      <c r="Y79" s="878"/>
      <c r="Z79" s="878"/>
    </row>
    <row r="80" ht="12.0" customHeight="1">
      <c r="A80" s="878"/>
      <c r="B80" s="879"/>
      <c r="C80" s="842"/>
      <c r="D80" s="878"/>
      <c r="E80" s="878"/>
      <c r="F80" s="878"/>
      <c r="G80" s="878"/>
      <c r="H80" s="878"/>
      <c r="I80" s="878"/>
      <c r="J80" s="878"/>
      <c r="K80" s="878"/>
      <c r="L80" s="878"/>
      <c r="M80" s="878"/>
      <c r="N80" s="878"/>
      <c r="O80" s="878"/>
      <c r="P80" s="878"/>
      <c r="Q80" s="878"/>
      <c r="R80" s="878"/>
      <c r="S80" s="878"/>
      <c r="T80" s="878"/>
      <c r="U80" s="878"/>
      <c r="V80" s="878"/>
      <c r="W80" s="878"/>
      <c r="X80" s="878"/>
      <c r="Y80" s="878"/>
      <c r="Z80" s="878"/>
    </row>
    <row r="81" ht="12.0" customHeight="1">
      <c r="A81" s="878"/>
      <c r="B81" s="879"/>
      <c r="C81" s="842"/>
      <c r="D81" s="878"/>
      <c r="E81" s="878"/>
      <c r="F81" s="878"/>
      <c r="G81" s="878"/>
      <c r="H81" s="878"/>
      <c r="I81" s="878"/>
      <c r="J81" s="878"/>
      <c r="K81" s="878"/>
      <c r="L81" s="878"/>
      <c r="M81" s="878"/>
      <c r="N81" s="878"/>
      <c r="O81" s="878"/>
      <c r="P81" s="878"/>
      <c r="Q81" s="878"/>
      <c r="R81" s="878"/>
      <c r="S81" s="878"/>
      <c r="T81" s="878"/>
      <c r="U81" s="878"/>
      <c r="V81" s="878"/>
      <c r="W81" s="878"/>
      <c r="X81" s="878"/>
      <c r="Y81" s="878"/>
      <c r="Z81" s="878"/>
    </row>
    <row r="82" ht="12.0" customHeight="1">
      <c r="A82" s="878"/>
      <c r="B82" s="879"/>
      <c r="C82" s="842"/>
      <c r="D82" s="878"/>
      <c r="E82" s="878"/>
      <c r="F82" s="878"/>
      <c r="G82" s="878"/>
      <c r="H82" s="878"/>
      <c r="I82" s="878"/>
      <c r="J82" s="878"/>
      <c r="K82" s="878"/>
      <c r="L82" s="878"/>
      <c r="M82" s="878"/>
      <c r="N82" s="878"/>
      <c r="O82" s="878"/>
      <c r="P82" s="878"/>
      <c r="Q82" s="878"/>
      <c r="R82" s="878"/>
      <c r="S82" s="878"/>
      <c r="T82" s="878"/>
      <c r="U82" s="878"/>
      <c r="V82" s="878"/>
      <c r="W82" s="878"/>
      <c r="X82" s="878"/>
      <c r="Y82" s="878"/>
      <c r="Z82" s="878"/>
    </row>
    <row r="83" ht="12.0" customHeight="1">
      <c r="A83" s="878"/>
      <c r="B83" s="879"/>
      <c r="C83" s="842"/>
      <c r="D83" s="878"/>
      <c r="E83" s="878"/>
      <c r="F83" s="878"/>
      <c r="G83" s="878"/>
      <c r="H83" s="878"/>
      <c r="I83" s="878"/>
      <c r="J83" s="878"/>
      <c r="K83" s="878"/>
      <c r="L83" s="878"/>
      <c r="M83" s="878"/>
      <c r="N83" s="878"/>
      <c r="O83" s="878"/>
      <c r="P83" s="878"/>
      <c r="Q83" s="878"/>
      <c r="R83" s="878"/>
      <c r="S83" s="878"/>
      <c r="T83" s="878"/>
      <c r="U83" s="878"/>
      <c r="V83" s="878"/>
      <c r="W83" s="878"/>
      <c r="X83" s="878"/>
      <c r="Y83" s="878"/>
      <c r="Z83" s="878"/>
    </row>
    <row r="84" ht="12.0" customHeight="1">
      <c r="A84" s="878"/>
      <c r="B84" s="879"/>
      <c r="C84" s="842"/>
      <c r="D84" s="878"/>
      <c r="E84" s="878"/>
      <c r="F84" s="878"/>
      <c r="G84" s="878"/>
      <c r="H84" s="878"/>
      <c r="I84" s="878"/>
      <c r="J84" s="878"/>
      <c r="K84" s="878"/>
      <c r="L84" s="878"/>
      <c r="M84" s="878"/>
      <c r="N84" s="878"/>
      <c r="O84" s="878"/>
      <c r="P84" s="878"/>
      <c r="Q84" s="878"/>
      <c r="R84" s="878"/>
      <c r="S84" s="878"/>
      <c r="T84" s="878"/>
      <c r="U84" s="878"/>
      <c r="V84" s="878"/>
      <c r="W84" s="878"/>
      <c r="X84" s="878"/>
      <c r="Y84" s="878"/>
      <c r="Z84" s="878"/>
    </row>
    <row r="85" ht="12.0" customHeight="1">
      <c r="A85" s="878"/>
      <c r="B85" s="879"/>
      <c r="C85" s="842"/>
      <c r="D85" s="878"/>
      <c r="E85" s="878"/>
      <c r="F85" s="878"/>
      <c r="G85" s="878"/>
      <c r="H85" s="878"/>
      <c r="I85" s="878"/>
      <c r="J85" s="878"/>
      <c r="K85" s="878"/>
      <c r="L85" s="878"/>
      <c r="M85" s="878"/>
      <c r="N85" s="878"/>
      <c r="O85" s="878"/>
      <c r="P85" s="878"/>
      <c r="Q85" s="878"/>
      <c r="R85" s="878"/>
      <c r="S85" s="878"/>
      <c r="T85" s="878"/>
      <c r="U85" s="878"/>
      <c r="V85" s="878"/>
      <c r="W85" s="878"/>
      <c r="X85" s="878"/>
      <c r="Y85" s="878"/>
      <c r="Z85" s="878"/>
    </row>
    <row r="86" ht="12.0" customHeight="1">
      <c r="A86" s="878"/>
      <c r="B86" s="879"/>
      <c r="C86" s="842"/>
      <c r="D86" s="878"/>
      <c r="E86" s="878"/>
      <c r="F86" s="878"/>
      <c r="G86" s="878"/>
      <c r="H86" s="878"/>
      <c r="I86" s="878"/>
      <c r="J86" s="878"/>
      <c r="K86" s="878"/>
      <c r="L86" s="878"/>
      <c r="M86" s="878"/>
      <c r="N86" s="878"/>
      <c r="O86" s="878"/>
      <c r="P86" s="878"/>
      <c r="Q86" s="878"/>
      <c r="R86" s="878"/>
      <c r="S86" s="878"/>
      <c r="T86" s="878"/>
      <c r="U86" s="878"/>
      <c r="V86" s="878"/>
      <c r="W86" s="878"/>
      <c r="X86" s="878"/>
      <c r="Y86" s="878"/>
      <c r="Z86" s="878"/>
    </row>
    <row r="87" ht="12.0" customHeight="1">
      <c r="A87" s="878"/>
      <c r="B87" s="879"/>
      <c r="C87" s="842"/>
      <c r="D87" s="878"/>
      <c r="E87" s="878"/>
      <c r="F87" s="878"/>
      <c r="G87" s="878"/>
      <c r="H87" s="878"/>
      <c r="I87" s="878"/>
      <c r="J87" s="878"/>
      <c r="K87" s="878"/>
      <c r="L87" s="878"/>
      <c r="M87" s="878"/>
      <c r="N87" s="878"/>
      <c r="O87" s="878"/>
      <c r="P87" s="878"/>
      <c r="Q87" s="878"/>
      <c r="R87" s="878"/>
      <c r="S87" s="878"/>
      <c r="T87" s="878"/>
      <c r="U87" s="878"/>
      <c r="V87" s="878"/>
      <c r="W87" s="878"/>
      <c r="X87" s="878"/>
      <c r="Y87" s="878"/>
      <c r="Z87" s="878"/>
    </row>
    <row r="88" ht="12.0" customHeight="1">
      <c r="A88" s="878"/>
      <c r="B88" s="879"/>
      <c r="C88" s="842"/>
      <c r="D88" s="878"/>
      <c r="E88" s="878"/>
      <c r="F88" s="878"/>
      <c r="G88" s="878"/>
      <c r="H88" s="878"/>
      <c r="I88" s="878"/>
      <c r="J88" s="878"/>
      <c r="K88" s="878"/>
      <c r="L88" s="878"/>
      <c r="M88" s="878"/>
      <c r="N88" s="878"/>
      <c r="O88" s="878"/>
      <c r="P88" s="878"/>
      <c r="Q88" s="878"/>
      <c r="R88" s="878"/>
      <c r="S88" s="878"/>
      <c r="T88" s="878"/>
      <c r="U88" s="878"/>
      <c r="V88" s="878"/>
      <c r="W88" s="878"/>
      <c r="X88" s="878"/>
      <c r="Y88" s="878"/>
      <c r="Z88" s="878"/>
    </row>
    <row r="89" ht="12.0" customHeight="1">
      <c r="A89" s="878"/>
      <c r="B89" s="879"/>
      <c r="C89" s="842"/>
      <c r="D89" s="878"/>
      <c r="E89" s="878"/>
      <c r="F89" s="878"/>
      <c r="G89" s="878"/>
      <c r="H89" s="878"/>
      <c r="I89" s="878"/>
      <c r="J89" s="878"/>
      <c r="K89" s="878"/>
      <c r="L89" s="878"/>
      <c r="M89" s="878"/>
      <c r="N89" s="878"/>
      <c r="O89" s="878"/>
      <c r="P89" s="878"/>
      <c r="Q89" s="878"/>
      <c r="R89" s="878"/>
      <c r="S89" s="878"/>
      <c r="T89" s="878"/>
      <c r="U89" s="878"/>
      <c r="V89" s="878"/>
      <c r="W89" s="878"/>
      <c r="X89" s="878"/>
      <c r="Y89" s="878"/>
      <c r="Z89" s="878"/>
    </row>
    <row r="90" ht="12.0" customHeight="1">
      <c r="A90" s="878"/>
      <c r="B90" s="879"/>
      <c r="C90" s="842"/>
      <c r="D90" s="878"/>
      <c r="E90" s="878"/>
      <c r="F90" s="878"/>
      <c r="G90" s="878"/>
      <c r="H90" s="878"/>
      <c r="I90" s="878"/>
      <c r="J90" s="878"/>
      <c r="K90" s="878"/>
      <c r="L90" s="878"/>
      <c r="M90" s="878"/>
      <c r="N90" s="878"/>
      <c r="O90" s="878"/>
      <c r="P90" s="878"/>
      <c r="Q90" s="878"/>
      <c r="R90" s="878"/>
      <c r="S90" s="878"/>
      <c r="T90" s="878"/>
      <c r="U90" s="878"/>
      <c r="V90" s="878"/>
      <c r="W90" s="878"/>
      <c r="X90" s="878"/>
      <c r="Y90" s="878"/>
      <c r="Z90" s="878"/>
    </row>
    <row r="91" ht="12.0" customHeight="1">
      <c r="A91" s="878"/>
      <c r="B91" s="879"/>
      <c r="C91" s="842"/>
      <c r="D91" s="878"/>
      <c r="E91" s="878"/>
      <c r="F91" s="878"/>
      <c r="G91" s="878"/>
      <c r="H91" s="878"/>
      <c r="I91" s="878"/>
      <c r="J91" s="878"/>
      <c r="K91" s="878"/>
      <c r="L91" s="878"/>
      <c r="M91" s="878"/>
      <c r="N91" s="878"/>
      <c r="O91" s="878"/>
      <c r="P91" s="878"/>
      <c r="Q91" s="878"/>
      <c r="R91" s="878"/>
      <c r="S91" s="878"/>
      <c r="T91" s="878"/>
      <c r="U91" s="878"/>
      <c r="V91" s="878"/>
      <c r="W91" s="878"/>
      <c r="X91" s="878"/>
      <c r="Y91" s="878"/>
      <c r="Z91" s="878"/>
    </row>
    <row r="92" ht="12.0" customHeight="1">
      <c r="A92" s="878"/>
      <c r="B92" s="879"/>
      <c r="C92" s="842"/>
      <c r="D92" s="878"/>
      <c r="E92" s="878"/>
      <c r="F92" s="878"/>
      <c r="G92" s="878"/>
      <c r="H92" s="878"/>
      <c r="I92" s="878"/>
      <c r="J92" s="878"/>
      <c r="K92" s="878"/>
      <c r="L92" s="878"/>
      <c r="M92" s="878"/>
      <c r="N92" s="878"/>
      <c r="O92" s="878"/>
      <c r="P92" s="878"/>
      <c r="Q92" s="878"/>
      <c r="R92" s="878"/>
      <c r="S92" s="878"/>
      <c r="T92" s="878"/>
      <c r="U92" s="878"/>
      <c r="V92" s="878"/>
      <c r="W92" s="878"/>
      <c r="X92" s="878"/>
      <c r="Y92" s="878"/>
      <c r="Z92" s="878"/>
    </row>
    <row r="93" ht="12.0" customHeight="1">
      <c r="A93" s="878"/>
      <c r="B93" s="879"/>
      <c r="C93" s="842"/>
      <c r="D93" s="878"/>
      <c r="E93" s="878"/>
      <c r="F93" s="878"/>
      <c r="G93" s="878"/>
      <c r="H93" s="878"/>
      <c r="I93" s="878"/>
      <c r="J93" s="878"/>
      <c r="K93" s="878"/>
      <c r="L93" s="878"/>
      <c r="M93" s="878"/>
      <c r="N93" s="878"/>
      <c r="O93" s="878"/>
      <c r="P93" s="878"/>
      <c r="Q93" s="878"/>
      <c r="R93" s="878"/>
      <c r="S93" s="878"/>
      <c r="T93" s="878"/>
      <c r="U93" s="878"/>
      <c r="V93" s="878"/>
      <c r="W93" s="878"/>
      <c r="X93" s="878"/>
      <c r="Y93" s="878"/>
      <c r="Z93" s="878"/>
    </row>
    <row r="94" ht="12.0" customHeight="1">
      <c r="A94" s="878"/>
      <c r="B94" s="879"/>
      <c r="C94" s="842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8"/>
      <c r="T94" s="878"/>
      <c r="U94" s="878"/>
      <c r="V94" s="878"/>
      <c r="W94" s="878"/>
      <c r="X94" s="878"/>
      <c r="Y94" s="878"/>
      <c r="Z94" s="878"/>
    </row>
    <row r="95" ht="12.0" customHeight="1">
      <c r="A95" s="878"/>
      <c r="B95" s="879"/>
      <c r="C95" s="842"/>
      <c r="D95" s="878"/>
      <c r="E95" s="878"/>
      <c r="F95" s="878"/>
      <c r="G95" s="878"/>
      <c r="H95" s="878"/>
      <c r="I95" s="878"/>
      <c r="J95" s="878"/>
      <c r="K95" s="878"/>
      <c r="L95" s="878"/>
      <c r="M95" s="878"/>
      <c r="N95" s="878"/>
      <c r="O95" s="878"/>
      <c r="P95" s="878"/>
      <c r="Q95" s="878"/>
      <c r="R95" s="878"/>
      <c r="S95" s="878"/>
      <c r="T95" s="878"/>
      <c r="U95" s="878"/>
      <c r="V95" s="878"/>
      <c r="W95" s="878"/>
      <c r="X95" s="878"/>
      <c r="Y95" s="878"/>
      <c r="Z95" s="878"/>
    </row>
    <row r="96" ht="12.0" customHeight="1">
      <c r="A96" s="878"/>
      <c r="B96" s="879"/>
      <c r="C96" s="842"/>
      <c r="D96" s="878"/>
      <c r="E96" s="878"/>
      <c r="F96" s="878"/>
      <c r="G96" s="878"/>
      <c r="H96" s="878"/>
      <c r="I96" s="878"/>
      <c r="J96" s="878"/>
      <c r="K96" s="878"/>
      <c r="L96" s="878"/>
      <c r="M96" s="878"/>
      <c r="N96" s="878"/>
      <c r="O96" s="878"/>
      <c r="P96" s="878"/>
      <c r="Q96" s="878"/>
      <c r="R96" s="878"/>
      <c r="S96" s="878"/>
      <c r="T96" s="878"/>
      <c r="U96" s="878"/>
      <c r="V96" s="878"/>
      <c r="W96" s="878"/>
      <c r="X96" s="878"/>
      <c r="Y96" s="878"/>
      <c r="Z96" s="878"/>
    </row>
    <row r="97" ht="12.0" customHeight="1">
      <c r="A97" s="878"/>
      <c r="B97" s="879"/>
      <c r="C97" s="842"/>
      <c r="D97" s="878"/>
      <c r="E97" s="878"/>
      <c r="F97" s="878"/>
      <c r="G97" s="878"/>
      <c r="H97" s="878"/>
      <c r="I97" s="878"/>
      <c r="J97" s="878"/>
      <c r="K97" s="878"/>
      <c r="L97" s="878"/>
      <c r="M97" s="878"/>
      <c r="N97" s="878"/>
      <c r="O97" s="878"/>
      <c r="P97" s="878"/>
      <c r="Q97" s="878"/>
      <c r="R97" s="878"/>
      <c r="S97" s="878"/>
      <c r="T97" s="878"/>
      <c r="U97" s="878"/>
      <c r="V97" s="878"/>
      <c r="W97" s="878"/>
      <c r="X97" s="878"/>
      <c r="Y97" s="878"/>
      <c r="Z97" s="878"/>
    </row>
    <row r="98" ht="12.0" customHeight="1">
      <c r="A98" s="878"/>
      <c r="B98" s="879"/>
      <c r="C98" s="842"/>
      <c r="D98" s="878"/>
      <c r="E98" s="878"/>
      <c r="F98" s="878"/>
      <c r="G98" s="878"/>
      <c r="H98" s="878"/>
      <c r="I98" s="878"/>
      <c r="J98" s="878"/>
      <c r="K98" s="878"/>
      <c r="L98" s="878"/>
      <c r="M98" s="878"/>
      <c r="N98" s="878"/>
      <c r="O98" s="878"/>
      <c r="P98" s="878"/>
      <c r="Q98" s="878"/>
      <c r="R98" s="878"/>
      <c r="S98" s="878"/>
      <c r="T98" s="878"/>
      <c r="U98" s="878"/>
      <c r="V98" s="878"/>
      <c r="W98" s="878"/>
      <c r="X98" s="878"/>
      <c r="Y98" s="878"/>
      <c r="Z98" s="878"/>
    </row>
    <row r="99" ht="12.0" customHeight="1">
      <c r="A99" s="878"/>
      <c r="B99" s="879"/>
      <c r="C99" s="842"/>
      <c r="D99" s="878"/>
      <c r="E99" s="878"/>
      <c r="F99" s="878"/>
      <c r="G99" s="878"/>
      <c r="H99" s="878"/>
      <c r="I99" s="878"/>
      <c r="J99" s="878"/>
      <c r="K99" s="878"/>
      <c r="L99" s="878"/>
      <c r="M99" s="878"/>
      <c r="N99" s="878"/>
      <c r="O99" s="878"/>
      <c r="P99" s="878"/>
      <c r="Q99" s="878"/>
      <c r="R99" s="878"/>
      <c r="S99" s="878"/>
      <c r="T99" s="878"/>
      <c r="U99" s="878"/>
      <c r="V99" s="878"/>
      <c r="W99" s="878"/>
      <c r="X99" s="878"/>
      <c r="Y99" s="878"/>
      <c r="Z99" s="878"/>
    </row>
    <row r="100" ht="12.0" customHeight="1">
      <c r="A100" s="878"/>
      <c r="B100" s="879"/>
      <c r="C100" s="842"/>
      <c r="D100" s="878"/>
      <c r="E100" s="878"/>
      <c r="F100" s="878"/>
      <c r="G100" s="878"/>
      <c r="H100" s="878"/>
      <c r="I100" s="878"/>
      <c r="J100" s="878"/>
      <c r="K100" s="878"/>
      <c r="L100" s="878"/>
      <c r="M100" s="878"/>
      <c r="N100" s="878"/>
      <c r="O100" s="878"/>
      <c r="P100" s="878"/>
      <c r="Q100" s="878"/>
      <c r="R100" s="878"/>
      <c r="S100" s="878"/>
      <c r="T100" s="878"/>
      <c r="U100" s="878"/>
      <c r="V100" s="878"/>
      <c r="W100" s="878"/>
      <c r="X100" s="878"/>
      <c r="Y100" s="878"/>
      <c r="Z100" s="878"/>
    </row>
    <row r="101" ht="12.0" customHeight="1">
      <c r="A101" s="878"/>
      <c r="B101" s="879"/>
      <c r="C101" s="842"/>
      <c r="D101" s="878"/>
      <c r="E101" s="878"/>
      <c r="F101" s="878"/>
      <c r="G101" s="878"/>
      <c r="H101" s="878"/>
      <c r="I101" s="878"/>
      <c r="J101" s="878"/>
      <c r="K101" s="878"/>
      <c r="L101" s="878"/>
      <c r="M101" s="878"/>
      <c r="N101" s="878"/>
      <c r="O101" s="878"/>
      <c r="P101" s="878"/>
      <c r="Q101" s="878"/>
      <c r="R101" s="878"/>
      <c r="S101" s="878"/>
      <c r="T101" s="878"/>
      <c r="U101" s="878"/>
      <c r="V101" s="878"/>
      <c r="W101" s="878"/>
      <c r="X101" s="878"/>
      <c r="Y101" s="878"/>
      <c r="Z101" s="878"/>
    </row>
    <row r="102" ht="12.0" customHeight="1">
      <c r="A102" s="878"/>
      <c r="B102" s="879"/>
      <c r="C102" s="842"/>
      <c r="D102" s="878"/>
      <c r="E102" s="878"/>
      <c r="F102" s="878"/>
      <c r="G102" s="878"/>
      <c r="H102" s="878"/>
      <c r="I102" s="878"/>
      <c r="J102" s="878"/>
      <c r="K102" s="878"/>
      <c r="L102" s="878"/>
      <c r="M102" s="878"/>
      <c r="N102" s="878"/>
      <c r="O102" s="878"/>
      <c r="P102" s="878"/>
      <c r="Q102" s="878"/>
      <c r="R102" s="878"/>
      <c r="S102" s="878"/>
      <c r="T102" s="878"/>
      <c r="U102" s="878"/>
      <c r="V102" s="878"/>
      <c r="W102" s="878"/>
      <c r="X102" s="878"/>
      <c r="Y102" s="878"/>
      <c r="Z102" s="878"/>
    </row>
    <row r="103" ht="12.0" customHeight="1">
      <c r="A103" s="878"/>
      <c r="B103" s="879"/>
      <c r="C103" s="842"/>
      <c r="D103" s="878"/>
      <c r="E103" s="878"/>
      <c r="F103" s="878"/>
      <c r="G103" s="878"/>
      <c r="H103" s="878"/>
      <c r="I103" s="878"/>
      <c r="J103" s="878"/>
      <c r="K103" s="878"/>
      <c r="L103" s="878"/>
      <c r="M103" s="878"/>
      <c r="N103" s="878"/>
      <c r="O103" s="878"/>
      <c r="P103" s="878"/>
      <c r="Q103" s="878"/>
      <c r="R103" s="878"/>
      <c r="S103" s="878"/>
      <c r="T103" s="878"/>
      <c r="U103" s="878"/>
      <c r="V103" s="878"/>
      <c r="W103" s="878"/>
      <c r="X103" s="878"/>
      <c r="Y103" s="878"/>
      <c r="Z103" s="878"/>
    </row>
    <row r="104" ht="12.0" customHeight="1">
      <c r="A104" s="878"/>
      <c r="B104" s="879"/>
      <c r="C104" s="842"/>
      <c r="D104" s="878"/>
      <c r="E104" s="878"/>
      <c r="F104" s="878"/>
      <c r="G104" s="878"/>
      <c r="H104" s="878"/>
      <c r="I104" s="878"/>
      <c r="J104" s="878"/>
      <c r="K104" s="878"/>
      <c r="L104" s="878"/>
      <c r="M104" s="878"/>
      <c r="N104" s="878"/>
      <c r="O104" s="878"/>
      <c r="P104" s="878"/>
      <c r="Q104" s="878"/>
      <c r="R104" s="878"/>
      <c r="S104" s="878"/>
      <c r="T104" s="878"/>
      <c r="U104" s="878"/>
      <c r="V104" s="878"/>
      <c r="W104" s="878"/>
      <c r="X104" s="878"/>
      <c r="Y104" s="878"/>
      <c r="Z104" s="878"/>
    </row>
    <row r="105" ht="12.0" customHeight="1">
      <c r="A105" s="878"/>
      <c r="B105" s="879"/>
      <c r="C105" s="842"/>
      <c r="D105" s="878"/>
      <c r="E105" s="878"/>
      <c r="F105" s="878"/>
      <c r="G105" s="878"/>
      <c r="H105" s="878"/>
      <c r="I105" s="878"/>
      <c r="J105" s="878"/>
      <c r="K105" s="878"/>
      <c r="L105" s="878"/>
      <c r="M105" s="878"/>
      <c r="N105" s="878"/>
      <c r="O105" s="878"/>
      <c r="P105" s="878"/>
      <c r="Q105" s="878"/>
      <c r="R105" s="878"/>
      <c r="S105" s="878"/>
      <c r="T105" s="878"/>
      <c r="U105" s="878"/>
      <c r="V105" s="878"/>
      <c r="W105" s="878"/>
      <c r="X105" s="878"/>
      <c r="Y105" s="878"/>
      <c r="Z105" s="878"/>
    </row>
    <row r="106" ht="12.0" customHeight="1">
      <c r="A106" s="878"/>
      <c r="B106" s="879"/>
      <c r="C106" s="842"/>
      <c r="D106" s="878"/>
      <c r="E106" s="878"/>
      <c r="F106" s="878"/>
      <c r="G106" s="878"/>
      <c r="H106" s="878"/>
      <c r="I106" s="878"/>
      <c r="J106" s="878"/>
      <c r="K106" s="878"/>
      <c r="L106" s="878"/>
      <c r="M106" s="878"/>
      <c r="N106" s="878"/>
      <c r="O106" s="878"/>
      <c r="P106" s="878"/>
      <c r="Q106" s="878"/>
      <c r="R106" s="878"/>
      <c r="S106" s="878"/>
      <c r="T106" s="878"/>
      <c r="U106" s="878"/>
      <c r="V106" s="878"/>
      <c r="W106" s="878"/>
      <c r="X106" s="878"/>
      <c r="Y106" s="878"/>
      <c r="Z106" s="878"/>
    </row>
    <row r="107" ht="12.0" customHeight="1">
      <c r="A107" s="878"/>
      <c r="B107" s="879"/>
      <c r="C107" s="842"/>
      <c r="D107" s="878"/>
      <c r="E107" s="878"/>
      <c r="F107" s="878"/>
      <c r="G107" s="878"/>
      <c r="H107" s="878"/>
      <c r="I107" s="878"/>
      <c r="J107" s="878"/>
      <c r="K107" s="878"/>
      <c r="L107" s="878"/>
      <c r="M107" s="878"/>
      <c r="N107" s="878"/>
      <c r="O107" s="878"/>
      <c r="P107" s="878"/>
      <c r="Q107" s="878"/>
      <c r="R107" s="878"/>
      <c r="S107" s="878"/>
      <c r="T107" s="878"/>
      <c r="U107" s="878"/>
      <c r="V107" s="878"/>
      <c r="W107" s="878"/>
      <c r="X107" s="878"/>
      <c r="Y107" s="878"/>
      <c r="Z107" s="878"/>
    </row>
    <row r="108" ht="12.0" customHeight="1">
      <c r="A108" s="878"/>
      <c r="B108" s="879"/>
      <c r="C108" s="842"/>
      <c r="D108" s="878"/>
      <c r="E108" s="878"/>
      <c r="F108" s="878"/>
      <c r="G108" s="878"/>
      <c r="H108" s="878"/>
      <c r="I108" s="878"/>
      <c r="J108" s="878"/>
      <c r="K108" s="878"/>
      <c r="L108" s="878"/>
      <c r="M108" s="878"/>
      <c r="N108" s="878"/>
      <c r="O108" s="878"/>
      <c r="P108" s="878"/>
      <c r="Q108" s="878"/>
      <c r="R108" s="878"/>
      <c r="S108" s="878"/>
      <c r="T108" s="878"/>
      <c r="U108" s="878"/>
      <c r="V108" s="878"/>
      <c r="W108" s="878"/>
      <c r="X108" s="878"/>
      <c r="Y108" s="878"/>
      <c r="Z108" s="878"/>
    </row>
    <row r="109" ht="12.0" customHeight="1">
      <c r="A109" s="878"/>
      <c r="B109" s="879"/>
      <c r="C109" s="842"/>
      <c r="D109" s="878"/>
      <c r="E109" s="878"/>
      <c r="F109" s="878"/>
      <c r="G109" s="878"/>
      <c r="H109" s="878"/>
      <c r="I109" s="878"/>
      <c r="J109" s="878"/>
      <c r="K109" s="878"/>
      <c r="L109" s="878"/>
      <c r="M109" s="878"/>
      <c r="N109" s="878"/>
      <c r="O109" s="878"/>
      <c r="P109" s="878"/>
      <c r="Q109" s="878"/>
      <c r="R109" s="878"/>
      <c r="S109" s="878"/>
      <c r="T109" s="878"/>
      <c r="U109" s="878"/>
      <c r="V109" s="878"/>
      <c r="W109" s="878"/>
      <c r="X109" s="878"/>
      <c r="Y109" s="878"/>
      <c r="Z109" s="878"/>
    </row>
    <row r="110" ht="12.0" customHeight="1">
      <c r="A110" s="878"/>
      <c r="B110" s="879"/>
      <c r="C110" s="842"/>
      <c r="D110" s="878"/>
      <c r="E110" s="878"/>
      <c r="F110" s="878"/>
      <c r="G110" s="878"/>
      <c r="H110" s="878"/>
      <c r="I110" s="878"/>
      <c r="J110" s="878"/>
      <c r="K110" s="878"/>
      <c r="L110" s="878"/>
      <c r="M110" s="878"/>
      <c r="N110" s="878"/>
      <c r="O110" s="878"/>
      <c r="P110" s="878"/>
      <c r="Q110" s="878"/>
      <c r="R110" s="878"/>
      <c r="S110" s="878"/>
      <c r="T110" s="878"/>
      <c r="U110" s="878"/>
      <c r="V110" s="878"/>
      <c r="W110" s="878"/>
      <c r="X110" s="878"/>
      <c r="Y110" s="878"/>
      <c r="Z110" s="878"/>
    </row>
    <row r="111" ht="12.0" customHeight="1">
      <c r="A111" s="878"/>
      <c r="B111" s="879"/>
      <c r="C111" s="842"/>
      <c r="D111" s="878"/>
      <c r="E111" s="878"/>
      <c r="F111" s="878"/>
      <c r="G111" s="878"/>
      <c r="H111" s="878"/>
      <c r="I111" s="878"/>
      <c r="J111" s="878"/>
      <c r="K111" s="878"/>
      <c r="L111" s="878"/>
      <c r="M111" s="878"/>
      <c r="N111" s="878"/>
      <c r="O111" s="878"/>
      <c r="P111" s="878"/>
      <c r="Q111" s="878"/>
      <c r="R111" s="878"/>
      <c r="S111" s="878"/>
      <c r="T111" s="878"/>
      <c r="U111" s="878"/>
      <c r="V111" s="878"/>
      <c r="W111" s="878"/>
      <c r="X111" s="878"/>
      <c r="Y111" s="878"/>
      <c r="Z111" s="878"/>
    </row>
    <row r="112" ht="12.0" customHeight="1">
      <c r="A112" s="878"/>
      <c r="B112" s="879"/>
      <c r="C112" s="842"/>
      <c r="D112" s="878"/>
      <c r="E112" s="878"/>
      <c r="F112" s="878"/>
      <c r="G112" s="878"/>
      <c r="H112" s="878"/>
      <c r="I112" s="878"/>
      <c r="J112" s="878"/>
      <c r="K112" s="878"/>
      <c r="L112" s="878"/>
      <c r="M112" s="878"/>
      <c r="N112" s="878"/>
      <c r="O112" s="878"/>
      <c r="P112" s="878"/>
      <c r="Q112" s="878"/>
      <c r="R112" s="878"/>
      <c r="S112" s="878"/>
      <c r="T112" s="878"/>
      <c r="U112" s="878"/>
      <c r="V112" s="878"/>
      <c r="W112" s="878"/>
      <c r="X112" s="878"/>
      <c r="Y112" s="878"/>
      <c r="Z112" s="878"/>
    </row>
    <row r="113" ht="12.0" customHeight="1">
      <c r="A113" s="878"/>
      <c r="B113" s="879"/>
      <c r="C113" s="842"/>
      <c r="D113" s="878"/>
      <c r="E113" s="878"/>
      <c r="F113" s="878"/>
      <c r="G113" s="878"/>
      <c r="H113" s="878"/>
      <c r="I113" s="878"/>
      <c r="J113" s="878"/>
      <c r="K113" s="878"/>
      <c r="L113" s="878"/>
      <c r="M113" s="878"/>
      <c r="N113" s="878"/>
      <c r="O113" s="878"/>
      <c r="P113" s="878"/>
      <c r="Q113" s="878"/>
      <c r="R113" s="878"/>
      <c r="S113" s="878"/>
      <c r="T113" s="878"/>
      <c r="U113" s="878"/>
      <c r="V113" s="878"/>
      <c r="W113" s="878"/>
      <c r="X113" s="878"/>
      <c r="Y113" s="878"/>
      <c r="Z113" s="878"/>
    </row>
    <row r="114" ht="12.0" customHeight="1">
      <c r="A114" s="878"/>
      <c r="B114" s="879"/>
      <c r="C114" s="842"/>
      <c r="D114" s="878"/>
      <c r="E114" s="878"/>
      <c r="F114" s="878"/>
      <c r="G114" s="878"/>
      <c r="H114" s="878"/>
      <c r="I114" s="878"/>
      <c r="J114" s="878"/>
      <c r="K114" s="878"/>
      <c r="L114" s="878"/>
      <c r="M114" s="878"/>
      <c r="N114" s="878"/>
      <c r="O114" s="878"/>
      <c r="P114" s="878"/>
      <c r="Q114" s="878"/>
      <c r="R114" s="878"/>
      <c r="S114" s="878"/>
      <c r="T114" s="878"/>
      <c r="U114" s="878"/>
      <c r="V114" s="878"/>
      <c r="W114" s="878"/>
      <c r="X114" s="878"/>
      <c r="Y114" s="878"/>
      <c r="Z114" s="878"/>
    </row>
    <row r="115" ht="12.0" customHeight="1">
      <c r="A115" s="878"/>
      <c r="B115" s="879"/>
      <c r="C115" s="842"/>
      <c r="D115" s="878"/>
      <c r="E115" s="878"/>
      <c r="F115" s="878"/>
      <c r="G115" s="878"/>
      <c r="H115" s="878"/>
      <c r="I115" s="878"/>
      <c r="J115" s="878"/>
      <c r="K115" s="878"/>
      <c r="L115" s="878"/>
      <c r="M115" s="878"/>
      <c r="N115" s="878"/>
      <c r="O115" s="878"/>
      <c r="P115" s="878"/>
      <c r="Q115" s="878"/>
      <c r="R115" s="878"/>
      <c r="S115" s="878"/>
      <c r="T115" s="878"/>
      <c r="U115" s="878"/>
      <c r="V115" s="878"/>
      <c r="W115" s="878"/>
      <c r="X115" s="878"/>
      <c r="Y115" s="878"/>
      <c r="Z115" s="878"/>
    </row>
    <row r="116" ht="12.0" customHeight="1">
      <c r="A116" s="878"/>
      <c r="B116" s="879"/>
      <c r="C116" s="842"/>
      <c r="D116" s="878"/>
      <c r="E116" s="878"/>
      <c r="F116" s="878"/>
      <c r="G116" s="878"/>
      <c r="H116" s="878"/>
      <c r="I116" s="878"/>
      <c r="J116" s="878"/>
      <c r="K116" s="878"/>
      <c r="L116" s="878"/>
      <c r="M116" s="878"/>
      <c r="N116" s="878"/>
      <c r="O116" s="878"/>
      <c r="P116" s="878"/>
      <c r="Q116" s="878"/>
      <c r="R116" s="878"/>
      <c r="S116" s="878"/>
      <c r="T116" s="878"/>
      <c r="U116" s="878"/>
      <c r="V116" s="878"/>
      <c r="W116" s="878"/>
      <c r="X116" s="878"/>
      <c r="Y116" s="878"/>
      <c r="Z116" s="878"/>
    </row>
    <row r="117" ht="12.0" customHeight="1">
      <c r="A117" s="878"/>
      <c r="B117" s="879"/>
      <c r="C117" s="842"/>
      <c r="D117" s="878"/>
      <c r="E117" s="878"/>
      <c r="F117" s="878"/>
      <c r="G117" s="878"/>
      <c r="H117" s="878"/>
      <c r="I117" s="878"/>
      <c r="J117" s="878"/>
      <c r="K117" s="878"/>
      <c r="L117" s="878"/>
      <c r="M117" s="878"/>
      <c r="N117" s="878"/>
      <c r="O117" s="878"/>
      <c r="P117" s="878"/>
      <c r="Q117" s="878"/>
      <c r="R117" s="878"/>
      <c r="S117" s="878"/>
      <c r="T117" s="878"/>
      <c r="U117" s="878"/>
      <c r="V117" s="878"/>
      <c r="W117" s="878"/>
      <c r="X117" s="878"/>
      <c r="Y117" s="878"/>
      <c r="Z117" s="878"/>
    </row>
    <row r="118" ht="12.0" customHeight="1">
      <c r="A118" s="878"/>
      <c r="B118" s="879"/>
      <c r="C118" s="842"/>
      <c r="D118" s="878"/>
      <c r="E118" s="878"/>
      <c r="F118" s="878"/>
      <c r="G118" s="878"/>
      <c r="H118" s="878"/>
      <c r="I118" s="878"/>
      <c r="J118" s="878"/>
      <c r="K118" s="878"/>
      <c r="L118" s="878"/>
      <c r="M118" s="878"/>
      <c r="N118" s="878"/>
      <c r="O118" s="878"/>
      <c r="P118" s="878"/>
      <c r="Q118" s="878"/>
      <c r="R118" s="878"/>
      <c r="S118" s="878"/>
      <c r="T118" s="878"/>
      <c r="U118" s="878"/>
      <c r="V118" s="878"/>
      <c r="W118" s="878"/>
      <c r="X118" s="878"/>
      <c r="Y118" s="878"/>
      <c r="Z118" s="878"/>
    </row>
    <row r="119" ht="12.0" customHeight="1">
      <c r="A119" s="878"/>
      <c r="B119" s="879"/>
      <c r="C119" s="842"/>
      <c r="D119" s="878"/>
      <c r="E119" s="878"/>
      <c r="F119" s="878"/>
      <c r="G119" s="878"/>
      <c r="H119" s="878"/>
      <c r="I119" s="878"/>
      <c r="J119" s="878"/>
      <c r="K119" s="878"/>
      <c r="L119" s="878"/>
      <c r="M119" s="878"/>
      <c r="N119" s="878"/>
      <c r="O119" s="878"/>
      <c r="P119" s="878"/>
      <c r="Q119" s="878"/>
      <c r="R119" s="878"/>
      <c r="S119" s="878"/>
      <c r="T119" s="878"/>
      <c r="U119" s="878"/>
      <c r="V119" s="878"/>
      <c r="W119" s="878"/>
      <c r="X119" s="878"/>
      <c r="Y119" s="878"/>
      <c r="Z119" s="878"/>
    </row>
    <row r="120" ht="12.0" customHeight="1">
      <c r="A120" s="878"/>
      <c r="B120" s="879"/>
      <c r="C120" s="842"/>
      <c r="D120" s="878"/>
      <c r="E120" s="878"/>
      <c r="F120" s="878"/>
      <c r="G120" s="878"/>
      <c r="H120" s="878"/>
      <c r="I120" s="878"/>
      <c r="J120" s="878"/>
      <c r="K120" s="878"/>
      <c r="L120" s="878"/>
      <c r="M120" s="878"/>
      <c r="N120" s="878"/>
      <c r="O120" s="878"/>
      <c r="P120" s="878"/>
      <c r="Q120" s="878"/>
      <c r="R120" s="878"/>
      <c r="S120" s="878"/>
      <c r="T120" s="878"/>
      <c r="U120" s="878"/>
      <c r="V120" s="878"/>
      <c r="W120" s="878"/>
      <c r="X120" s="878"/>
      <c r="Y120" s="878"/>
      <c r="Z120" s="878"/>
    </row>
    <row r="121" ht="12.0" customHeight="1">
      <c r="A121" s="878"/>
      <c r="B121" s="879"/>
      <c r="C121" s="842"/>
      <c r="D121" s="878"/>
      <c r="E121" s="878"/>
      <c r="F121" s="878"/>
      <c r="G121" s="878"/>
      <c r="H121" s="878"/>
      <c r="I121" s="878"/>
      <c r="J121" s="878"/>
      <c r="K121" s="878"/>
      <c r="L121" s="878"/>
      <c r="M121" s="878"/>
      <c r="N121" s="878"/>
      <c r="O121" s="878"/>
      <c r="P121" s="878"/>
      <c r="Q121" s="878"/>
      <c r="R121" s="878"/>
      <c r="S121" s="878"/>
      <c r="T121" s="878"/>
      <c r="U121" s="878"/>
      <c r="V121" s="878"/>
      <c r="W121" s="878"/>
      <c r="X121" s="878"/>
      <c r="Y121" s="878"/>
      <c r="Z121" s="878"/>
    </row>
    <row r="122" ht="12.0" customHeight="1">
      <c r="A122" s="878"/>
      <c r="B122" s="879"/>
      <c r="C122" s="842"/>
      <c r="D122" s="878"/>
      <c r="E122" s="878"/>
      <c r="F122" s="878"/>
      <c r="G122" s="878"/>
      <c r="H122" s="878"/>
      <c r="I122" s="878"/>
      <c r="J122" s="878"/>
      <c r="K122" s="878"/>
      <c r="L122" s="878"/>
      <c r="M122" s="878"/>
      <c r="N122" s="878"/>
      <c r="O122" s="878"/>
      <c r="P122" s="878"/>
      <c r="Q122" s="878"/>
      <c r="R122" s="878"/>
      <c r="S122" s="878"/>
      <c r="T122" s="878"/>
      <c r="U122" s="878"/>
      <c r="V122" s="878"/>
      <c r="W122" s="878"/>
      <c r="X122" s="878"/>
      <c r="Y122" s="878"/>
      <c r="Z122" s="878"/>
    </row>
    <row r="123" ht="12.0" customHeight="1">
      <c r="A123" s="878"/>
      <c r="B123" s="879"/>
      <c r="C123" s="842"/>
      <c r="D123" s="878"/>
      <c r="E123" s="878"/>
      <c r="F123" s="878"/>
      <c r="G123" s="878"/>
      <c r="H123" s="878"/>
      <c r="I123" s="878"/>
      <c r="J123" s="878"/>
      <c r="K123" s="878"/>
      <c r="L123" s="878"/>
      <c r="M123" s="878"/>
      <c r="N123" s="878"/>
      <c r="O123" s="878"/>
      <c r="P123" s="878"/>
      <c r="Q123" s="878"/>
      <c r="R123" s="878"/>
      <c r="S123" s="878"/>
      <c r="T123" s="878"/>
      <c r="U123" s="878"/>
      <c r="V123" s="878"/>
      <c r="W123" s="878"/>
      <c r="X123" s="878"/>
      <c r="Y123" s="878"/>
      <c r="Z123" s="878"/>
    </row>
    <row r="124" ht="12.0" customHeight="1">
      <c r="A124" s="878"/>
      <c r="B124" s="879"/>
      <c r="C124" s="842"/>
      <c r="D124" s="878"/>
      <c r="E124" s="878"/>
      <c r="F124" s="878"/>
      <c r="G124" s="878"/>
      <c r="H124" s="878"/>
      <c r="I124" s="878"/>
      <c r="J124" s="878"/>
      <c r="K124" s="878"/>
      <c r="L124" s="878"/>
      <c r="M124" s="878"/>
      <c r="N124" s="878"/>
      <c r="O124" s="878"/>
      <c r="P124" s="878"/>
      <c r="Q124" s="878"/>
      <c r="R124" s="878"/>
      <c r="S124" s="878"/>
      <c r="T124" s="878"/>
      <c r="U124" s="878"/>
      <c r="V124" s="878"/>
      <c r="W124" s="878"/>
      <c r="X124" s="878"/>
      <c r="Y124" s="878"/>
      <c r="Z124" s="878"/>
    </row>
    <row r="125" ht="12.0" customHeight="1">
      <c r="A125" s="878"/>
      <c r="B125" s="879"/>
      <c r="C125" s="842"/>
      <c r="D125" s="878"/>
      <c r="E125" s="878"/>
      <c r="F125" s="878"/>
      <c r="G125" s="878"/>
      <c r="H125" s="878"/>
      <c r="I125" s="878"/>
      <c r="J125" s="878"/>
      <c r="K125" s="878"/>
      <c r="L125" s="878"/>
      <c r="M125" s="878"/>
      <c r="N125" s="878"/>
      <c r="O125" s="878"/>
      <c r="P125" s="878"/>
      <c r="Q125" s="878"/>
      <c r="R125" s="878"/>
      <c r="S125" s="878"/>
      <c r="T125" s="878"/>
      <c r="U125" s="878"/>
      <c r="V125" s="878"/>
      <c r="W125" s="878"/>
      <c r="X125" s="878"/>
      <c r="Y125" s="878"/>
      <c r="Z125" s="878"/>
    </row>
    <row r="126" ht="12.0" customHeight="1">
      <c r="A126" s="878"/>
      <c r="B126" s="879"/>
      <c r="C126" s="842"/>
      <c r="D126" s="878"/>
      <c r="E126" s="878"/>
      <c r="F126" s="878"/>
      <c r="G126" s="878"/>
      <c r="H126" s="878"/>
      <c r="I126" s="878"/>
      <c r="J126" s="878"/>
      <c r="K126" s="878"/>
      <c r="L126" s="878"/>
      <c r="M126" s="878"/>
      <c r="N126" s="878"/>
      <c r="O126" s="878"/>
      <c r="P126" s="878"/>
      <c r="Q126" s="878"/>
      <c r="R126" s="878"/>
      <c r="S126" s="878"/>
      <c r="T126" s="878"/>
      <c r="U126" s="878"/>
      <c r="V126" s="878"/>
      <c r="W126" s="878"/>
      <c r="X126" s="878"/>
      <c r="Y126" s="878"/>
      <c r="Z126" s="878"/>
    </row>
    <row r="127" ht="12.0" customHeight="1">
      <c r="A127" s="878"/>
      <c r="B127" s="879"/>
      <c r="C127" s="842"/>
      <c r="D127" s="878"/>
      <c r="E127" s="878"/>
      <c r="F127" s="878"/>
      <c r="G127" s="878"/>
      <c r="H127" s="878"/>
      <c r="I127" s="878"/>
      <c r="J127" s="878"/>
      <c r="K127" s="878"/>
      <c r="L127" s="878"/>
      <c r="M127" s="878"/>
      <c r="N127" s="878"/>
      <c r="O127" s="878"/>
      <c r="P127" s="878"/>
      <c r="Q127" s="878"/>
      <c r="R127" s="878"/>
      <c r="S127" s="878"/>
      <c r="T127" s="878"/>
      <c r="U127" s="878"/>
      <c r="V127" s="878"/>
      <c r="W127" s="878"/>
      <c r="X127" s="878"/>
      <c r="Y127" s="878"/>
      <c r="Z127" s="878"/>
    </row>
    <row r="128" ht="12.0" customHeight="1">
      <c r="A128" s="878"/>
      <c r="B128" s="879"/>
      <c r="C128" s="842"/>
      <c r="D128" s="878"/>
      <c r="E128" s="878"/>
      <c r="F128" s="878"/>
      <c r="G128" s="878"/>
      <c r="H128" s="878"/>
      <c r="I128" s="878"/>
      <c r="J128" s="878"/>
      <c r="K128" s="878"/>
      <c r="L128" s="878"/>
      <c r="M128" s="878"/>
      <c r="N128" s="878"/>
      <c r="O128" s="878"/>
      <c r="P128" s="878"/>
      <c r="Q128" s="878"/>
      <c r="R128" s="878"/>
      <c r="S128" s="878"/>
      <c r="T128" s="878"/>
      <c r="U128" s="878"/>
      <c r="V128" s="878"/>
      <c r="W128" s="878"/>
      <c r="X128" s="878"/>
      <c r="Y128" s="878"/>
      <c r="Z128" s="878"/>
    </row>
    <row r="129" ht="12.0" customHeight="1">
      <c r="A129" s="878"/>
      <c r="B129" s="879"/>
      <c r="C129" s="842"/>
      <c r="D129" s="878"/>
      <c r="E129" s="878"/>
      <c r="F129" s="878"/>
      <c r="G129" s="878"/>
      <c r="H129" s="878"/>
      <c r="I129" s="878"/>
      <c r="J129" s="878"/>
      <c r="K129" s="878"/>
      <c r="L129" s="878"/>
      <c r="M129" s="878"/>
      <c r="N129" s="878"/>
      <c r="O129" s="878"/>
      <c r="P129" s="878"/>
      <c r="Q129" s="878"/>
      <c r="R129" s="878"/>
      <c r="S129" s="878"/>
      <c r="T129" s="878"/>
      <c r="U129" s="878"/>
      <c r="V129" s="878"/>
      <c r="W129" s="878"/>
      <c r="X129" s="878"/>
      <c r="Y129" s="878"/>
      <c r="Z129" s="878"/>
    </row>
    <row r="130" ht="12.0" customHeight="1">
      <c r="A130" s="878"/>
      <c r="B130" s="879"/>
      <c r="C130" s="842"/>
      <c r="D130" s="878"/>
      <c r="E130" s="878"/>
      <c r="F130" s="878"/>
      <c r="G130" s="878"/>
      <c r="H130" s="878"/>
      <c r="I130" s="878"/>
      <c r="J130" s="878"/>
      <c r="K130" s="878"/>
      <c r="L130" s="878"/>
      <c r="M130" s="878"/>
      <c r="N130" s="878"/>
      <c r="O130" s="878"/>
      <c r="P130" s="878"/>
      <c r="Q130" s="878"/>
      <c r="R130" s="878"/>
      <c r="S130" s="878"/>
      <c r="T130" s="878"/>
      <c r="U130" s="878"/>
      <c r="V130" s="878"/>
      <c r="W130" s="878"/>
      <c r="X130" s="878"/>
      <c r="Y130" s="878"/>
      <c r="Z130" s="878"/>
    </row>
    <row r="131" ht="12.0" customHeight="1">
      <c r="A131" s="878"/>
      <c r="B131" s="879"/>
      <c r="C131" s="842"/>
      <c r="D131" s="878"/>
      <c r="E131" s="878"/>
      <c r="F131" s="878"/>
      <c r="G131" s="878"/>
      <c r="H131" s="878"/>
      <c r="I131" s="878"/>
      <c r="J131" s="878"/>
      <c r="K131" s="878"/>
      <c r="L131" s="878"/>
      <c r="M131" s="878"/>
      <c r="N131" s="878"/>
      <c r="O131" s="878"/>
      <c r="P131" s="878"/>
      <c r="Q131" s="878"/>
      <c r="R131" s="878"/>
      <c r="S131" s="878"/>
      <c r="T131" s="878"/>
      <c r="U131" s="878"/>
      <c r="V131" s="878"/>
      <c r="W131" s="878"/>
      <c r="X131" s="878"/>
      <c r="Y131" s="878"/>
      <c r="Z131" s="878"/>
    </row>
    <row r="132" ht="12.0" customHeight="1">
      <c r="A132" s="878"/>
      <c r="B132" s="879"/>
      <c r="C132" s="842"/>
      <c r="D132" s="878"/>
      <c r="E132" s="878"/>
      <c r="F132" s="878"/>
      <c r="G132" s="878"/>
      <c r="H132" s="878"/>
      <c r="I132" s="878"/>
      <c r="J132" s="878"/>
      <c r="K132" s="878"/>
      <c r="L132" s="878"/>
      <c r="M132" s="878"/>
      <c r="N132" s="878"/>
      <c r="O132" s="878"/>
      <c r="P132" s="878"/>
      <c r="Q132" s="878"/>
      <c r="R132" s="878"/>
      <c r="S132" s="878"/>
      <c r="T132" s="878"/>
      <c r="U132" s="878"/>
      <c r="V132" s="878"/>
      <c r="W132" s="878"/>
      <c r="X132" s="878"/>
      <c r="Y132" s="878"/>
      <c r="Z132" s="878"/>
    </row>
    <row r="133" ht="12.0" customHeight="1">
      <c r="A133" s="878"/>
      <c r="B133" s="879"/>
      <c r="C133" s="842"/>
      <c r="D133" s="878"/>
      <c r="E133" s="878"/>
      <c r="F133" s="878"/>
      <c r="G133" s="878"/>
      <c r="H133" s="878"/>
      <c r="I133" s="878"/>
      <c r="J133" s="878"/>
      <c r="K133" s="878"/>
      <c r="L133" s="878"/>
      <c r="M133" s="878"/>
      <c r="N133" s="878"/>
      <c r="O133" s="878"/>
      <c r="P133" s="878"/>
      <c r="Q133" s="878"/>
      <c r="R133" s="878"/>
      <c r="S133" s="878"/>
      <c r="T133" s="878"/>
      <c r="U133" s="878"/>
      <c r="V133" s="878"/>
      <c r="W133" s="878"/>
      <c r="X133" s="878"/>
      <c r="Y133" s="878"/>
      <c r="Z133" s="878"/>
    </row>
    <row r="134" ht="12.0" customHeight="1">
      <c r="A134" s="878"/>
      <c r="B134" s="879"/>
      <c r="C134" s="842"/>
      <c r="D134" s="878"/>
      <c r="E134" s="878"/>
      <c r="F134" s="878"/>
      <c r="G134" s="878"/>
      <c r="H134" s="878"/>
      <c r="I134" s="878"/>
      <c r="J134" s="878"/>
      <c r="K134" s="878"/>
      <c r="L134" s="878"/>
      <c r="M134" s="878"/>
      <c r="N134" s="878"/>
      <c r="O134" s="878"/>
      <c r="P134" s="878"/>
      <c r="Q134" s="878"/>
      <c r="R134" s="878"/>
      <c r="S134" s="878"/>
      <c r="T134" s="878"/>
      <c r="U134" s="878"/>
      <c r="V134" s="878"/>
      <c r="W134" s="878"/>
      <c r="X134" s="878"/>
      <c r="Y134" s="878"/>
      <c r="Z134" s="878"/>
    </row>
    <row r="135" ht="12.0" customHeight="1">
      <c r="A135" s="878"/>
      <c r="B135" s="879"/>
      <c r="C135" s="842"/>
      <c r="D135" s="878"/>
      <c r="E135" s="878"/>
      <c r="F135" s="878"/>
      <c r="G135" s="878"/>
      <c r="H135" s="878"/>
      <c r="I135" s="878"/>
      <c r="J135" s="878"/>
      <c r="K135" s="878"/>
      <c r="L135" s="878"/>
      <c r="M135" s="878"/>
      <c r="N135" s="878"/>
      <c r="O135" s="878"/>
      <c r="P135" s="878"/>
      <c r="Q135" s="878"/>
      <c r="R135" s="878"/>
      <c r="S135" s="878"/>
      <c r="T135" s="878"/>
      <c r="U135" s="878"/>
      <c r="V135" s="878"/>
      <c r="W135" s="878"/>
      <c r="X135" s="878"/>
      <c r="Y135" s="878"/>
      <c r="Z135" s="878"/>
    </row>
    <row r="136" ht="12.0" customHeight="1">
      <c r="A136" s="878"/>
      <c r="B136" s="879"/>
      <c r="C136" s="842"/>
      <c r="D136" s="878"/>
      <c r="E136" s="878"/>
      <c r="F136" s="878"/>
      <c r="G136" s="878"/>
      <c r="H136" s="878"/>
      <c r="I136" s="878"/>
      <c r="J136" s="878"/>
      <c r="K136" s="878"/>
      <c r="L136" s="878"/>
      <c r="M136" s="878"/>
      <c r="N136" s="878"/>
      <c r="O136" s="878"/>
      <c r="P136" s="878"/>
      <c r="Q136" s="878"/>
      <c r="R136" s="878"/>
      <c r="S136" s="878"/>
      <c r="T136" s="878"/>
      <c r="U136" s="878"/>
      <c r="V136" s="878"/>
      <c r="W136" s="878"/>
      <c r="X136" s="878"/>
      <c r="Y136" s="878"/>
      <c r="Z136" s="878"/>
    </row>
    <row r="137" ht="12.0" customHeight="1">
      <c r="A137" s="878"/>
      <c r="B137" s="879"/>
      <c r="C137" s="842"/>
      <c r="D137" s="878"/>
      <c r="E137" s="878"/>
      <c r="F137" s="878"/>
      <c r="G137" s="878"/>
      <c r="H137" s="878"/>
      <c r="I137" s="878"/>
      <c r="J137" s="878"/>
      <c r="K137" s="878"/>
      <c r="L137" s="878"/>
      <c r="M137" s="878"/>
      <c r="N137" s="878"/>
      <c r="O137" s="878"/>
      <c r="P137" s="878"/>
      <c r="Q137" s="878"/>
      <c r="R137" s="878"/>
      <c r="S137" s="878"/>
      <c r="T137" s="878"/>
      <c r="U137" s="878"/>
      <c r="V137" s="878"/>
      <c r="W137" s="878"/>
      <c r="X137" s="878"/>
      <c r="Y137" s="878"/>
      <c r="Z137" s="878"/>
    </row>
    <row r="138" ht="12.0" customHeight="1">
      <c r="A138" s="878"/>
      <c r="B138" s="879"/>
      <c r="C138" s="842"/>
      <c r="D138" s="878"/>
      <c r="E138" s="878"/>
      <c r="F138" s="878"/>
      <c r="G138" s="878"/>
      <c r="H138" s="878"/>
      <c r="I138" s="878"/>
      <c r="J138" s="878"/>
      <c r="K138" s="878"/>
      <c r="L138" s="878"/>
      <c r="M138" s="878"/>
      <c r="N138" s="878"/>
      <c r="O138" s="878"/>
      <c r="P138" s="878"/>
      <c r="Q138" s="878"/>
      <c r="R138" s="878"/>
      <c r="S138" s="878"/>
      <c r="T138" s="878"/>
      <c r="U138" s="878"/>
      <c r="V138" s="878"/>
      <c r="W138" s="878"/>
      <c r="X138" s="878"/>
      <c r="Y138" s="878"/>
      <c r="Z138" s="878"/>
    </row>
    <row r="139" ht="12.0" customHeight="1">
      <c r="A139" s="878"/>
      <c r="B139" s="879"/>
      <c r="C139" s="842"/>
      <c r="D139" s="878"/>
      <c r="E139" s="878"/>
      <c r="F139" s="878"/>
      <c r="G139" s="878"/>
      <c r="H139" s="878"/>
      <c r="I139" s="878"/>
      <c r="J139" s="878"/>
      <c r="K139" s="878"/>
      <c r="L139" s="878"/>
      <c r="M139" s="878"/>
      <c r="N139" s="878"/>
      <c r="O139" s="878"/>
      <c r="P139" s="878"/>
      <c r="Q139" s="878"/>
      <c r="R139" s="878"/>
      <c r="S139" s="878"/>
      <c r="T139" s="878"/>
      <c r="U139" s="878"/>
      <c r="V139" s="878"/>
      <c r="W139" s="878"/>
      <c r="X139" s="878"/>
      <c r="Y139" s="878"/>
      <c r="Z139" s="878"/>
    </row>
    <row r="140" ht="12.0" customHeight="1">
      <c r="A140" s="878"/>
      <c r="B140" s="879"/>
      <c r="C140" s="842"/>
      <c r="D140" s="878"/>
      <c r="E140" s="878"/>
      <c r="F140" s="878"/>
      <c r="G140" s="878"/>
      <c r="H140" s="878"/>
      <c r="I140" s="878"/>
      <c r="J140" s="878"/>
      <c r="K140" s="878"/>
      <c r="L140" s="878"/>
      <c r="M140" s="878"/>
      <c r="N140" s="878"/>
      <c r="O140" s="878"/>
      <c r="P140" s="878"/>
      <c r="Q140" s="878"/>
      <c r="R140" s="878"/>
      <c r="S140" s="878"/>
      <c r="T140" s="878"/>
      <c r="U140" s="878"/>
      <c r="V140" s="878"/>
      <c r="W140" s="878"/>
      <c r="X140" s="878"/>
      <c r="Y140" s="878"/>
      <c r="Z140" s="878"/>
    </row>
    <row r="141" ht="12.0" customHeight="1">
      <c r="A141" s="878"/>
      <c r="B141" s="879"/>
      <c r="C141" s="842"/>
      <c r="D141" s="878"/>
      <c r="E141" s="878"/>
      <c r="F141" s="878"/>
      <c r="G141" s="878"/>
      <c r="H141" s="878"/>
      <c r="I141" s="878"/>
      <c r="J141" s="878"/>
      <c r="K141" s="878"/>
      <c r="L141" s="878"/>
      <c r="M141" s="878"/>
      <c r="N141" s="878"/>
      <c r="O141" s="878"/>
      <c r="P141" s="878"/>
      <c r="Q141" s="878"/>
      <c r="R141" s="878"/>
      <c r="S141" s="878"/>
      <c r="T141" s="878"/>
      <c r="U141" s="878"/>
      <c r="V141" s="878"/>
      <c r="W141" s="878"/>
      <c r="X141" s="878"/>
      <c r="Y141" s="878"/>
      <c r="Z141" s="878"/>
    </row>
    <row r="142" ht="12.0" customHeight="1">
      <c r="A142" s="878"/>
      <c r="B142" s="879"/>
      <c r="C142" s="842"/>
      <c r="D142" s="878"/>
      <c r="E142" s="878"/>
      <c r="F142" s="878"/>
      <c r="G142" s="878"/>
      <c r="H142" s="878"/>
      <c r="I142" s="878"/>
      <c r="J142" s="878"/>
      <c r="K142" s="878"/>
      <c r="L142" s="878"/>
      <c r="M142" s="878"/>
      <c r="N142" s="878"/>
      <c r="O142" s="878"/>
      <c r="P142" s="878"/>
      <c r="Q142" s="878"/>
      <c r="R142" s="878"/>
      <c r="S142" s="878"/>
      <c r="T142" s="878"/>
      <c r="U142" s="878"/>
      <c r="V142" s="878"/>
      <c r="W142" s="878"/>
      <c r="X142" s="878"/>
      <c r="Y142" s="878"/>
      <c r="Z142" s="878"/>
    </row>
    <row r="143" ht="12.0" customHeight="1">
      <c r="A143" s="878"/>
      <c r="B143" s="879"/>
      <c r="C143" s="842"/>
      <c r="D143" s="878"/>
      <c r="E143" s="878"/>
      <c r="F143" s="878"/>
      <c r="G143" s="878"/>
      <c r="H143" s="878"/>
      <c r="I143" s="878"/>
      <c r="J143" s="878"/>
      <c r="K143" s="878"/>
      <c r="L143" s="878"/>
      <c r="M143" s="878"/>
      <c r="N143" s="878"/>
      <c r="O143" s="878"/>
      <c r="P143" s="878"/>
      <c r="Q143" s="878"/>
      <c r="R143" s="878"/>
      <c r="S143" s="878"/>
      <c r="T143" s="878"/>
      <c r="U143" s="878"/>
      <c r="V143" s="878"/>
      <c r="W143" s="878"/>
      <c r="X143" s="878"/>
      <c r="Y143" s="878"/>
      <c r="Z143" s="878"/>
    </row>
    <row r="144" ht="12.0" customHeight="1">
      <c r="A144" s="878"/>
      <c r="B144" s="879"/>
      <c r="C144" s="842"/>
      <c r="D144" s="878"/>
      <c r="E144" s="878"/>
      <c r="F144" s="878"/>
      <c r="G144" s="878"/>
      <c r="H144" s="878"/>
      <c r="I144" s="878"/>
      <c r="J144" s="878"/>
      <c r="K144" s="878"/>
      <c r="L144" s="878"/>
      <c r="M144" s="878"/>
      <c r="N144" s="878"/>
      <c r="O144" s="878"/>
      <c r="P144" s="878"/>
      <c r="Q144" s="878"/>
      <c r="R144" s="878"/>
      <c r="S144" s="878"/>
      <c r="T144" s="878"/>
      <c r="U144" s="878"/>
      <c r="V144" s="878"/>
      <c r="W144" s="878"/>
      <c r="X144" s="878"/>
      <c r="Y144" s="878"/>
      <c r="Z144" s="878"/>
    </row>
    <row r="145" ht="12.0" customHeight="1">
      <c r="A145" s="878"/>
      <c r="B145" s="879"/>
      <c r="C145" s="842"/>
      <c r="D145" s="878"/>
      <c r="E145" s="878"/>
      <c r="F145" s="878"/>
      <c r="G145" s="878"/>
      <c r="H145" s="878"/>
      <c r="I145" s="878"/>
      <c r="J145" s="878"/>
      <c r="K145" s="878"/>
      <c r="L145" s="878"/>
      <c r="M145" s="878"/>
      <c r="N145" s="878"/>
      <c r="O145" s="878"/>
      <c r="P145" s="878"/>
      <c r="Q145" s="878"/>
      <c r="R145" s="878"/>
      <c r="S145" s="878"/>
      <c r="T145" s="878"/>
      <c r="U145" s="878"/>
      <c r="V145" s="878"/>
      <c r="W145" s="878"/>
      <c r="X145" s="878"/>
      <c r="Y145" s="878"/>
      <c r="Z145" s="878"/>
    </row>
    <row r="146" ht="12.0" customHeight="1">
      <c r="A146" s="878"/>
      <c r="B146" s="879"/>
      <c r="C146" s="842"/>
      <c r="D146" s="878"/>
      <c r="E146" s="878"/>
      <c r="F146" s="878"/>
      <c r="G146" s="878"/>
      <c r="H146" s="878"/>
      <c r="I146" s="878"/>
      <c r="J146" s="878"/>
      <c r="K146" s="878"/>
      <c r="L146" s="878"/>
      <c r="M146" s="878"/>
      <c r="N146" s="878"/>
      <c r="O146" s="878"/>
      <c r="P146" s="878"/>
      <c r="Q146" s="878"/>
      <c r="R146" s="878"/>
      <c r="S146" s="878"/>
      <c r="T146" s="878"/>
      <c r="U146" s="878"/>
      <c r="V146" s="878"/>
      <c r="W146" s="878"/>
      <c r="X146" s="878"/>
      <c r="Y146" s="878"/>
      <c r="Z146" s="878"/>
    </row>
    <row r="147" ht="12.0" customHeight="1">
      <c r="A147" s="878"/>
      <c r="B147" s="879"/>
      <c r="C147" s="842"/>
      <c r="D147" s="878"/>
      <c r="E147" s="878"/>
      <c r="F147" s="878"/>
      <c r="G147" s="878"/>
      <c r="H147" s="878"/>
      <c r="I147" s="878"/>
      <c r="J147" s="878"/>
      <c r="K147" s="878"/>
      <c r="L147" s="878"/>
      <c r="M147" s="878"/>
      <c r="N147" s="878"/>
      <c r="O147" s="878"/>
      <c r="P147" s="878"/>
      <c r="Q147" s="878"/>
      <c r="R147" s="878"/>
      <c r="S147" s="878"/>
      <c r="T147" s="878"/>
      <c r="U147" s="878"/>
      <c r="V147" s="878"/>
      <c r="W147" s="878"/>
      <c r="X147" s="878"/>
      <c r="Y147" s="878"/>
      <c r="Z147" s="878"/>
    </row>
    <row r="148" ht="12.0" customHeight="1">
      <c r="A148" s="878"/>
      <c r="B148" s="879"/>
      <c r="C148" s="842"/>
      <c r="D148" s="878"/>
      <c r="E148" s="878"/>
      <c r="F148" s="878"/>
      <c r="G148" s="878"/>
      <c r="H148" s="878"/>
      <c r="I148" s="878"/>
      <c r="J148" s="878"/>
      <c r="K148" s="878"/>
      <c r="L148" s="878"/>
      <c r="M148" s="878"/>
      <c r="N148" s="878"/>
      <c r="O148" s="878"/>
      <c r="P148" s="878"/>
      <c r="Q148" s="878"/>
      <c r="R148" s="878"/>
      <c r="S148" s="878"/>
      <c r="T148" s="878"/>
      <c r="U148" s="878"/>
      <c r="V148" s="878"/>
      <c r="W148" s="878"/>
      <c r="X148" s="878"/>
      <c r="Y148" s="878"/>
      <c r="Z148" s="878"/>
    </row>
    <row r="149" ht="12.0" customHeight="1">
      <c r="A149" s="878"/>
      <c r="B149" s="879"/>
      <c r="C149" s="842"/>
      <c r="D149" s="878"/>
      <c r="E149" s="878"/>
      <c r="F149" s="878"/>
      <c r="G149" s="878"/>
      <c r="H149" s="878"/>
      <c r="I149" s="878"/>
      <c r="J149" s="878"/>
      <c r="K149" s="878"/>
      <c r="L149" s="878"/>
      <c r="M149" s="878"/>
      <c r="N149" s="878"/>
      <c r="O149" s="878"/>
      <c r="P149" s="878"/>
      <c r="Q149" s="878"/>
      <c r="R149" s="878"/>
      <c r="S149" s="878"/>
      <c r="T149" s="878"/>
      <c r="U149" s="878"/>
      <c r="V149" s="878"/>
      <c r="W149" s="878"/>
      <c r="X149" s="878"/>
      <c r="Y149" s="878"/>
      <c r="Z149" s="878"/>
    </row>
    <row r="150" ht="12.0" customHeight="1">
      <c r="A150" s="878"/>
      <c r="B150" s="879"/>
      <c r="C150" s="842"/>
      <c r="D150" s="878"/>
      <c r="E150" s="878"/>
      <c r="F150" s="878"/>
      <c r="G150" s="878"/>
      <c r="H150" s="878"/>
      <c r="I150" s="878"/>
      <c r="J150" s="878"/>
      <c r="K150" s="878"/>
      <c r="L150" s="878"/>
      <c r="M150" s="878"/>
      <c r="N150" s="878"/>
      <c r="O150" s="878"/>
      <c r="P150" s="878"/>
      <c r="Q150" s="878"/>
      <c r="R150" s="878"/>
      <c r="S150" s="878"/>
      <c r="T150" s="878"/>
      <c r="U150" s="878"/>
      <c r="V150" s="878"/>
      <c r="W150" s="878"/>
      <c r="X150" s="878"/>
      <c r="Y150" s="878"/>
      <c r="Z150" s="878"/>
    </row>
    <row r="151" ht="12.0" customHeight="1">
      <c r="A151" s="878"/>
      <c r="B151" s="879"/>
      <c r="C151" s="842"/>
      <c r="D151" s="878"/>
      <c r="E151" s="878"/>
      <c r="F151" s="878"/>
      <c r="G151" s="878"/>
      <c r="H151" s="878"/>
      <c r="I151" s="878"/>
      <c r="J151" s="878"/>
      <c r="K151" s="878"/>
      <c r="L151" s="878"/>
      <c r="M151" s="878"/>
      <c r="N151" s="878"/>
      <c r="O151" s="878"/>
      <c r="P151" s="878"/>
      <c r="Q151" s="878"/>
      <c r="R151" s="878"/>
      <c r="S151" s="878"/>
      <c r="T151" s="878"/>
      <c r="U151" s="878"/>
      <c r="V151" s="878"/>
      <c r="W151" s="878"/>
      <c r="X151" s="878"/>
      <c r="Y151" s="878"/>
      <c r="Z151" s="878"/>
    </row>
    <row r="152" ht="12.0" customHeight="1">
      <c r="A152" s="878"/>
      <c r="B152" s="879"/>
      <c r="C152" s="842"/>
      <c r="D152" s="878"/>
      <c r="E152" s="878"/>
      <c r="F152" s="878"/>
      <c r="G152" s="878"/>
      <c r="H152" s="878"/>
      <c r="I152" s="878"/>
      <c r="J152" s="878"/>
      <c r="K152" s="878"/>
      <c r="L152" s="878"/>
      <c r="M152" s="878"/>
      <c r="N152" s="878"/>
      <c r="O152" s="878"/>
      <c r="P152" s="878"/>
      <c r="Q152" s="878"/>
      <c r="R152" s="878"/>
      <c r="S152" s="878"/>
      <c r="T152" s="878"/>
      <c r="U152" s="878"/>
      <c r="V152" s="878"/>
      <c r="W152" s="878"/>
      <c r="X152" s="878"/>
      <c r="Y152" s="878"/>
      <c r="Z152" s="878"/>
    </row>
    <row r="153" ht="12.0" customHeight="1">
      <c r="A153" s="878"/>
      <c r="B153" s="879"/>
      <c r="C153" s="842"/>
      <c r="D153" s="878"/>
      <c r="E153" s="878"/>
      <c r="F153" s="878"/>
      <c r="G153" s="878"/>
      <c r="H153" s="878"/>
      <c r="I153" s="878"/>
      <c r="J153" s="878"/>
      <c r="K153" s="878"/>
      <c r="L153" s="878"/>
      <c r="M153" s="878"/>
      <c r="N153" s="878"/>
      <c r="O153" s="878"/>
      <c r="P153" s="878"/>
      <c r="Q153" s="878"/>
      <c r="R153" s="878"/>
      <c r="S153" s="878"/>
      <c r="T153" s="878"/>
      <c r="U153" s="878"/>
      <c r="V153" s="878"/>
      <c r="W153" s="878"/>
      <c r="X153" s="878"/>
      <c r="Y153" s="878"/>
      <c r="Z153" s="878"/>
    </row>
    <row r="154" ht="12.0" customHeight="1">
      <c r="A154" s="878"/>
      <c r="B154" s="879"/>
      <c r="C154" s="842"/>
      <c r="D154" s="878"/>
      <c r="E154" s="878"/>
      <c r="F154" s="878"/>
      <c r="G154" s="878"/>
      <c r="H154" s="878"/>
      <c r="I154" s="878"/>
      <c r="J154" s="878"/>
      <c r="K154" s="878"/>
      <c r="L154" s="878"/>
      <c r="M154" s="878"/>
      <c r="N154" s="878"/>
      <c r="O154" s="878"/>
      <c r="P154" s="878"/>
      <c r="Q154" s="878"/>
      <c r="R154" s="878"/>
      <c r="S154" s="878"/>
      <c r="T154" s="878"/>
      <c r="U154" s="878"/>
      <c r="V154" s="878"/>
      <c r="W154" s="878"/>
      <c r="X154" s="878"/>
      <c r="Y154" s="878"/>
      <c r="Z154" s="878"/>
    </row>
    <row r="155" ht="12.0" customHeight="1">
      <c r="A155" s="878"/>
      <c r="B155" s="879"/>
      <c r="C155" s="842"/>
      <c r="D155" s="878"/>
      <c r="E155" s="878"/>
      <c r="F155" s="878"/>
      <c r="G155" s="878"/>
      <c r="H155" s="878"/>
      <c r="I155" s="878"/>
      <c r="J155" s="878"/>
      <c r="K155" s="878"/>
      <c r="L155" s="878"/>
      <c r="M155" s="878"/>
      <c r="N155" s="878"/>
      <c r="O155" s="878"/>
      <c r="P155" s="878"/>
      <c r="Q155" s="878"/>
      <c r="R155" s="878"/>
      <c r="S155" s="878"/>
      <c r="T155" s="878"/>
      <c r="U155" s="878"/>
      <c r="V155" s="878"/>
      <c r="W155" s="878"/>
      <c r="X155" s="878"/>
      <c r="Y155" s="878"/>
      <c r="Z155" s="878"/>
    </row>
    <row r="156" ht="12.0" customHeight="1">
      <c r="A156" s="878"/>
      <c r="B156" s="879"/>
      <c r="C156" s="842"/>
      <c r="D156" s="878"/>
      <c r="E156" s="878"/>
      <c r="F156" s="878"/>
      <c r="G156" s="878"/>
      <c r="H156" s="878"/>
      <c r="I156" s="878"/>
      <c r="J156" s="878"/>
      <c r="K156" s="878"/>
      <c r="L156" s="878"/>
      <c r="M156" s="878"/>
      <c r="N156" s="878"/>
      <c r="O156" s="878"/>
      <c r="P156" s="878"/>
      <c r="Q156" s="878"/>
      <c r="R156" s="878"/>
      <c r="S156" s="878"/>
      <c r="T156" s="878"/>
      <c r="U156" s="878"/>
      <c r="V156" s="878"/>
      <c r="W156" s="878"/>
      <c r="X156" s="878"/>
      <c r="Y156" s="878"/>
      <c r="Z156" s="878"/>
    </row>
    <row r="157" ht="12.0" customHeight="1">
      <c r="A157" s="878"/>
      <c r="B157" s="879"/>
      <c r="C157" s="842"/>
      <c r="D157" s="878"/>
      <c r="E157" s="878"/>
      <c r="F157" s="878"/>
      <c r="G157" s="878"/>
      <c r="H157" s="878"/>
      <c r="I157" s="878"/>
      <c r="J157" s="878"/>
      <c r="K157" s="878"/>
      <c r="L157" s="878"/>
      <c r="M157" s="878"/>
      <c r="N157" s="878"/>
      <c r="O157" s="878"/>
      <c r="P157" s="878"/>
      <c r="Q157" s="878"/>
      <c r="R157" s="878"/>
      <c r="S157" s="878"/>
      <c r="T157" s="878"/>
      <c r="U157" s="878"/>
      <c r="V157" s="878"/>
      <c r="W157" s="878"/>
      <c r="X157" s="878"/>
      <c r="Y157" s="878"/>
      <c r="Z157" s="878"/>
    </row>
    <row r="158" ht="12.0" customHeight="1">
      <c r="A158" s="878"/>
      <c r="B158" s="879"/>
      <c r="C158" s="842"/>
      <c r="D158" s="878"/>
      <c r="E158" s="878"/>
      <c r="F158" s="878"/>
      <c r="G158" s="878"/>
      <c r="H158" s="878"/>
      <c r="I158" s="878"/>
      <c r="J158" s="878"/>
      <c r="K158" s="878"/>
      <c r="L158" s="878"/>
      <c r="M158" s="878"/>
      <c r="N158" s="878"/>
      <c r="O158" s="878"/>
      <c r="P158" s="878"/>
      <c r="Q158" s="878"/>
      <c r="R158" s="878"/>
      <c r="S158" s="878"/>
      <c r="T158" s="878"/>
      <c r="U158" s="878"/>
      <c r="V158" s="878"/>
      <c r="W158" s="878"/>
      <c r="X158" s="878"/>
      <c r="Y158" s="878"/>
      <c r="Z158" s="878"/>
    </row>
    <row r="159" ht="12.0" customHeight="1">
      <c r="A159" s="878"/>
      <c r="B159" s="879"/>
      <c r="C159" s="842"/>
      <c r="D159" s="878"/>
      <c r="E159" s="878"/>
      <c r="F159" s="878"/>
      <c r="G159" s="878"/>
      <c r="H159" s="878"/>
      <c r="I159" s="878"/>
      <c r="J159" s="878"/>
      <c r="K159" s="878"/>
      <c r="L159" s="878"/>
      <c r="M159" s="878"/>
      <c r="N159" s="878"/>
      <c r="O159" s="878"/>
      <c r="P159" s="878"/>
      <c r="Q159" s="878"/>
      <c r="R159" s="878"/>
      <c r="S159" s="878"/>
      <c r="T159" s="878"/>
      <c r="U159" s="878"/>
      <c r="V159" s="878"/>
      <c r="W159" s="878"/>
      <c r="X159" s="878"/>
      <c r="Y159" s="878"/>
      <c r="Z159" s="878"/>
    </row>
    <row r="160" ht="12.0" customHeight="1">
      <c r="A160" s="878"/>
      <c r="B160" s="879"/>
      <c r="C160" s="842"/>
      <c r="D160" s="878"/>
      <c r="E160" s="878"/>
      <c r="F160" s="878"/>
      <c r="G160" s="878"/>
      <c r="H160" s="878"/>
      <c r="I160" s="878"/>
      <c r="J160" s="878"/>
      <c r="K160" s="878"/>
      <c r="L160" s="878"/>
      <c r="M160" s="878"/>
      <c r="N160" s="878"/>
      <c r="O160" s="878"/>
      <c r="P160" s="878"/>
      <c r="Q160" s="878"/>
      <c r="R160" s="878"/>
      <c r="S160" s="878"/>
      <c r="T160" s="878"/>
      <c r="U160" s="878"/>
      <c r="V160" s="878"/>
      <c r="W160" s="878"/>
      <c r="X160" s="878"/>
      <c r="Y160" s="878"/>
      <c r="Z160" s="878"/>
    </row>
    <row r="161" ht="12.0" customHeight="1">
      <c r="A161" s="878"/>
      <c r="B161" s="879"/>
      <c r="C161" s="842"/>
      <c r="D161" s="878"/>
      <c r="E161" s="878"/>
      <c r="F161" s="878"/>
      <c r="G161" s="878"/>
      <c r="H161" s="878"/>
      <c r="I161" s="878"/>
      <c r="J161" s="878"/>
      <c r="K161" s="878"/>
      <c r="L161" s="878"/>
      <c r="M161" s="878"/>
      <c r="N161" s="878"/>
      <c r="O161" s="878"/>
      <c r="P161" s="878"/>
      <c r="Q161" s="878"/>
      <c r="R161" s="878"/>
      <c r="S161" s="878"/>
      <c r="T161" s="878"/>
      <c r="U161" s="878"/>
      <c r="V161" s="878"/>
      <c r="W161" s="878"/>
      <c r="X161" s="878"/>
      <c r="Y161" s="878"/>
      <c r="Z161" s="878"/>
    </row>
    <row r="162" ht="12.0" customHeight="1">
      <c r="A162" s="878"/>
      <c r="B162" s="879"/>
      <c r="C162" s="842"/>
      <c r="D162" s="878"/>
      <c r="E162" s="878"/>
      <c r="F162" s="878"/>
      <c r="G162" s="878"/>
      <c r="H162" s="878"/>
      <c r="I162" s="878"/>
      <c r="J162" s="878"/>
      <c r="K162" s="878"/>
      <c r="L162" s="878"/>
      <c r="M162" s="878"/>
      <c r="N162" s="878"/>
      <c r="O162" s="878"/>
      <c r="P162" s="878"/>
      <c r="Q162" s="878"/>
      <c r="R162" s="878"/>
      <c r="S162" s="878"/>
      <c r="T162" s="878"/>
      <c r="U162" s="878"/>
      <c r="V162" s="878"/>
      <c r="W162" s="878"/>
      <c r="X162" s="878"/>
      <c r="Y162" s="878"/>
      <c r="Z162" s="878"/>
    </row>
    <row r="163" ht="12.0" customHeight="1">
      <c r="A163" s="878"/>
      <c r="B163" s="879"/>
      <c r="C163" s="842"/>
      <c r="D163" s="878"/>
      <c r="E163" s="878"/>
      <c r="F163" s="878"/>
      <c r="G163" s="878"/>
      <c r="H163" s="878"/>
      <c r="I163" s="878"/>
      <c r="J163" s="878"/>
      <c r="K163" s="878"/>
      <c r="L163" s="878"/>
      <c r="M163" s="878"/>
      <c r="N163" s="878"/>
      <c r="O163" s="878"/>
      <c r="P163" s="878"/>
      <c r="Q163" s="878"/>
      <c r="R163" s="878"/>
      <c r="S163" s="878"/>
      <c r="T163" s="878"/>
      <c r="U163" s="878"/>
      <c r="V163" s="878"/>
      <c r="W163" s="878"/>
      <c r="X163" s="878"/>
      <c r="Y163" s="878"/>
      <c r="Z163" s="878"/>
    </row>
    <row r="164" ht="12.0" customHeight="1">
      <c r="A164" s="878"/>
      <c r="B164" s="879"/>
      <c r="C164" s="842"/>
      <c r="D164" s="878"/>
      <c r="E164" s="878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</row>
    <row r="165" ht="12.0" customHeight="1">
      <c r="A165" s="878"/>
      <c r="B165" s="879"/>
      <c r="C165" s="842"/>
      <c r="D165" s="878"/>
      <c r="E165" s="878"/>
      <c r="F165" s="878"/>
      <c r="G165" s="878"/>
      <c r="H165" s="878"/>
      <c r="I165" s="878"/>
      <c r="J165" s="878"/>
      <c r="K165" s="878"/>
      <c r="L165" s="878"/>
      <c r="M165" s="878"/>
      <c r="N165" s="878"/>
      <c r="O165" s="878"/>
      <c r="P165" s="878"/>
      <c r="Q165" s="878"/>
      <c r="R165" s="878"/>
      <c r="S165" s="878"/>
      <c r="T165" s="878"/>
      <c r="U165" s="878"/>
      <c r="V165" s="878"/>
      <c r="W165" s="878"/>
      <c r="X165" s="878"/>
      <c r="Y165" s="878"/>
      <c r="Z165" s="878"/>
    </row>
    <row r="166" ht="12.0" customHeight="1">
      <c r="A166" s="878"/>
      <c r="B166" s="879"/>
      <c r="C166" s="842"/>
      <c r="D166" s="878"/>
      <c r="E166" s="878"/>
      <c r="F166" s="878"/>
      <c r="G166" s="878"/>
      <c r="H166" s="878"/>
      <c r="I166" s="878"/>
      <c r="J166" s="878"/>
      <c r="K166" s="878"/>
      <c r="L166" s="878"/>
      <c r="M166" s="878"/>
      <c r="N166" s="878"/>
      <c r="O166" s="878"/>
      <c r="P166" s="878"/>
      <c r="Q166" s="878"/>
      <c r="R166" s="878"/>
      <c r="S166" s="878"/>
      <c r="T166" s="878"/>
      <c r="U166" s="878"/>
      <c r="V166" s="878"/>
      <c r="W166" s="878"/>
      <c r="X166" s="878"/>
      <c r="Y166" s="878"/>
      <c r="Z166" s="878"/>
    </row>
    <row r="167" ht="12.0" customHeight="1">
      <c r="A167" s="878"/>
      <c r="B167" s="879"/>
      <c r="C167" s="842"/>
      <c r="D167" s="878"/>
      <c r="E167" s="878"/>
      <c r="F167" s="878"/>
      <c r="G167" s="878"/>
      <c r="H167" s="878"/>
      <c r="I167" s="878"/>
      <c r="J167" s="878"/>
      <c r="K167" s="878"/>
      <c r="L167" s="878"/>
      <c r="M167" s="878"/>
      <c r="N167" s="878"/>
      <c r="O167" s="878"/>
      <c r="P167" s="878"/>
      <c r="Q167" s="878"/>
      <c r="R167" s="878"/>
      <c r="S167" s="878"/>
      <c r="T167" s="878"/>
      <c r="U167" s="878"/>
      <c r="V167" s="878"/>
      <c r="W167" s="878"/>
      <c r="X167" s="878"/>
      <c r="Y167" s="878"/>
      <c r="Z167" s="878"/>
    </row>
    <row r="168" ht="12.0" customHeight="1">
      <c r="A168" s="878"/>
      <c r="B168" s="879"/>
      <c r="C168" s="842"/>
      <c r="D168" s="878"/>
      <c r="E168" s="878"/>
      <c r="F168" s="878"/>
      <c r="G168" s="878"/>
      <c r="H168" s="878"/>
      <c r="I168" s="878"/>
      <c r="J168" s="878"/>
      <c r="K168" s="878"/>
      <c r="L168" s="878"/>
      <c r="M168" s="878"/>
      <c r="N168" s="878"/>
      <c r="O168" s="878"/>
      <c r="P168" s="878"/>
      <c r="Q168" s="878"/>
      <c r="R168" s="878"/>
      <c r="S168" s="878"/>
      <c r="T168" s="878"/>
      <c r="U168" s="878"/>
      <c r="V168" s="878"/>
      <c r="W168" s="878"/>
      <c r="X168" s="878"/>
      <c r="Y168" s="878"/>
      <c r="Z168" s="878"/>
    </row>
    <row r="169" ht="12.0" customHeight="1">
      <c r="A169" s="878"/>
      <c r="B169" s="879"/>
      <c r="C169" s="842"/>
      <c r="D169" s="878"/>
      <c r="E169" s="878"/>
      <c r="F169" s="878"/>
      <c r="G169" s="878"/>
      <c r="H169" s="878"/>
      <c r="I169" s="878"/>
      <c r="J169" s="878"/>
      <c r="K169" s="878"/>
      <c r="L169" s="878"/>
      <c r="M169" s="878"/>
      <c r="N169" s="878"/>
      <c r="O169" s="878"/>
      <c r="P169" s="878"/>
      <c r="Q169" s="878"/>
      <c r="R169" s="878"/>
      <c r="S169" s="878"/>
      <c r="T169" s="878"/>
      <c r="U169" s="878"/>
      <c r="V169" s="878"/>
      <c r="W169" s="878"/>
      <c r="X169" s="878"/>
      <c r="Y169" s="878"/>
      <c r="Z169" s="878"/>
    </row>
    <row r="170" ht="12.0" customHeight="1">
      <c r="A170" s="878"/>
      <c r="B170" s="879"/>
      <c r="C170" s="842"/>
      <c r="D170" s="878"/>
      <c r="E170" s="878"/>
      <c r="F170" s="878"/>
      <c r="G170" s="878"/>
      <c r="H170" s="878"/>
      <c r="I170" s="878"/>
      <c r="J170" s="878"/>
      <c r="K170" s="878"/>
      <c r="L170" s="878"/>
      <c r="M170" s="878"/>
      <c r="N170" s="878"/>
      <c r="O170" s="878"/>
      <c r="P170" s="878"/>
      <c r="Q170" s="878"/>
      <c r="R170" s="878"/>
      <c r="S170" s="878"/>
      <c r="T170" s="878"/>
      <c r="U170" s="878"/>
      <c r="V170" s="878"/>
      <c r="W170" s="878"/>
      <c r="X170" s="878"/>
      <c r="Y170" s="878"/>
      <c r="Z170" s="878"/>
    </row>
    <row r="171" ht="12.0" customHeight="1">
      <c r="A171" s="878"/>
      <c r="B171" s="879"/>
      <c r="C171" s="842"/>
      <c r="D171" s="878"/>
      <c r="E171" s="878"/>
      <c r="F171" s="878"/>
      <c r="G171" s="878"/>
      <c r="H171" s="878"/>
      <c r="I171" s="878"/>
      <c r="J171" s="878"/>
      <c r="K171" s="878"/>
      <c r="L171" s="878"/>
      <c r="M171" s="878"/>
      <c r="N171" s="878"/>
      <c r="O171" s="878"/>
      <c r="P171" s="878"/>
      <c r="Q171" s="878"/>
      <c r="R171" s="878"/>
      <c r="S171" s="878"/>
      <c r="T171" s="878"/>
      <c r="U171" s="878"/>
      <c r="V171" s="878"/>
      <c r="W171" s="878"/>
      <c r="X171" s="878"/>
      <c r="Y171" s="878"/>
      <c r="Z171" s="878"/>
    </row>
    <row r="172" ht="12.0" customHeight="1">
      <c r="A172" s="878"/>
      <c r="B172" s="879"/>
      <c r="C172" s="842"/>
      <c r="D172" s="878"/>
      <c r="E172" s="878"/>
      <c r="F172" s="878"/>
      <c r="G172" s="878"/>
      <c r="H172" s="878"/>
      <c r="I172" s="878"/>
      <c r="J172" s="878"/>
      <c r="K172" s="878"/>
      <c r="L172" s="878"/>
      <c r="M172" s="878"/>
      <c r="N172" s="878"/>
      <c r="O172" s="878"/>
      <c r="P172" s="878"/>
      <c r="Q172" s="878"/>
      <c r="R172" s="878"/>
      <c r="S172" s="878"/>
      <c r="T172" s="878"/>
      <c r="U172" s="878"/>
      <c r="V172" s="878"/>
      <c r="W172" s="878"/>
      <c r="X172" s="878"/>
      <c r="Y172" s="878"/>
      <c r="Z172" s="878"/>
    </row>
    <row r="173" ht="12.0" customHeight="1">
      <c r="A173" s="878"/>
      <c r="B173" s="879"/>
      <c r="C173" s="842"/>
      <c r="D173" s="878"/>
      <c r="E173" s="878"/>
      <c r="F173" s="878"/>
      <c r="G173" s="878"/>
      <c r="H173" s="878"/>
      <c r="I173" s="878"/>
      <c r="J173" s="878"/>
      <c r="K173" s="878"/>
      <c r="L173" s="878"/>
      <c r="M173" s="878"/>
      <c r="N173" s="878"/>
      <c r="O173" s="878"/>
      <c r="P173" s="878"/>
      <c r="Q173" s="878"/>
      <c r="R173" s="878"/>
      <c r="S173" s="878"/>
      <c r="T173" s="878"/>
      <c r="U173" s="878"/>
      <c r="V173" s="878"/>
      <c r="W173" s="878"/>
      <c r="X173" s="878"/>
      <c r="Y173" s="878"/>
      <c r="Z173" s="878"/>
    </row>
    <row r="174" ht="12.0" customHeight="1">
      <c r="A174" s="878"/>
      <c r="B174" s="879"/>
      <c r="C174" s="842"/>
      <c r="D174" s="878"/>
      <c r="E174" s="878"/>
      <c r="F174" s="878"/>
      <c r="G174" s="878"/>
      <c r="H174" s="878"/>
      <c r="I174" s="878"/>
      <c r="J174" s="878"/>
      <c r="K174" s="878"/>
      <c r="L174" s="878"/>
      <c r="M174" s="878"/>
      <c r="N174" s="878"/>
      <c r="O174" s="878"/>
      <c r="P174" s="878"/>
      <c r="Q174" s="878"/>
      <c r="R174" s="878"/>
      <c r="S174" s="878"/>
      <c r="T174" s="878"/>
      <c r="U174" s="878"/>
      <c r="V174" s="878"/>
      <c r="W174" s="878"/>
      <c r="X174" s="878"/>
      <c r="Y174" s="878"/>
      <c r="Z174" s="878"/>
    </row>
    <row r="175" ht="12.0" customHeight="1">
      <c r="A175" s="878"/>
      <c r="B175" s="879"/>
      <c r="C175" s="842"/>
      <c r="D175" s="878"/>
      <c r="E175" s="878"/>
      <c r="F175" s="878"/>
      <c r="G175" s="878"/>
      <c r="H175" s="878"/>
      <c r="I175" s="878"/>
      <c r="J175" s="878"/>
      <c r="K175" s="878"/>
      <c r="L175" s="878"/>
      <c r="M175" s="878"/>
      <c r="N175" s="878"/>
      <c r="O175" s="878"/>
      <c r="P175" s="878"/>
      <c r="Q175" s="878"/>
      <c r="R175" s="878"/>
      <c r="S175" s="878"/>
      <c r="T175" s="878"/>
      <c r="U175" s="878"/>
      <c r="V175" s="878"/>
      <c r="W175" s="878"/>
      <c r="X175" s="878"/>
      <c r="Y175" s="878"/>
      <c r="Z175" s="878"/>
    </row>
    <row r="176" ht="12.0" customHeight="1">
      <c r="A176" s="878"/>
      <c r="B176" s="879"/>
      <c r="C176" s="842"/>
      <c r="D176" s="878"/>
      <c r="E176" s="878"/>
      <c r="F176" s="878"/>
      <c r="G176" s="878"/>
      <c r="H176" s="878"/>
      <c r="I176" s="878"/>
      <c r="J176" s="878"/>
      <c r="K176" s="878"/>
      <c r="L176" s="878"/>
      <c r="M176" s="878"/>
      <c r="N176" s="878"/>
      <c r="O176" s="878"/>
      <c r="P176" s="878"/>
      <c r="Q176" s="878"/>
      <c r="R176" s="878"/>
      <c r="S176" s="878"/>
      <c r="T176" s="878"/>
      <c r="U176" s="878"/>
      <c r="V176" s="878"/>
      <c r="W176" s="878"/>
      <c r="X176" s="878"/>
      <c r="Y176" s="878"/>
      <c r="Z176" s="878"/>
    </row>
    <row r="177" ht="12.0" customHeight="1">
      <c r="A177" s="878"/>
      <c r="B177" s="879"/>
      <c r="C177" s="842"/>
      <c r="D177" s="878"/>
      <c r="E177" s="878"/>
      <c r="F177" s="878"/>
      <c r="G177" s="878"/>
      <c r="H177" s="878"/>
      <c r="I177" s="878"/>
      <c r="J177" s="878"/>
      <c r="K177" s="878"/>
      <c r="L177" s="878"/>
      <c r="M177" s="878"/>
      <c r="N177" s="878"/>
      <c r="O177" s="878"/>
      <c r="P177" s="878"/>
      <c r="Q177" s="878"/>
      <c r="R177" s="878"/>
      <c r="S177" s="878"/>
      <c r="T177" s="878"/>
      <c r="U177" s="878"/>
      <c r="V177" s="878"/>
      <c r="W177" s="878"/>
      <c r="X177" s="878"/>
      <c r="Y177" s="878"/>
      <c r="Z177" s="878"/>
    </row>
    <row r="178" ht="12.0" customHeight="1">
      <c r="A178" s="878"/>
      <c r="B178" s="879"/>
      <c r="C178" s="842"/>
      <c r="D178" s="878"/>
      <c r="E178" s="878"/>
      <c r="F178" s="878"/>
      <c r="G178" s="878"/>
      <c r="H178" s="878"/>
      <c r="I178" s="878"/>
      <c r="J178" s="878"/>
      <c r="K178" s="878"/>
      <c r="L178" s="878"/>
      <c r="M178" s="878"/>
      <c r="N178" s="878"/>
      <c r="O178" s="878"/>
      <c r="P178" s="878"/>
      <c r="Q178" s="878"/>
      <c r="R178" s="878"/>
      <c r="S178" s="878"/>
      <c r="T178" s="878"/>
      <c r="U178" s="878"/>
      <c r="V178" s="878"/>
      <c r="W178" s="878"/>
      <c r="X178" s="878"/>
      <c r="Y178" s="878"/>
      <c r="Z178" s="878"/>
    </row>
    <row r="179" ht="12.0" customHeight="1">
      <c r="A179" s="878"/>
      <c r="B179" s="879"/>
      <c r="C179" s="842"/>
      <c r="D179" s="878"/>
      <c r="E179" s="878"/>
      <c r="F179" s="878"/>
      <c r="G179" s="878"/>
      <c r="H179" s="878"/>
      <c r="I179" s="878"/>
      <c r="J179" s="878"/>
      <c r="K179" s="878"/>
      <c r="L179" s="878"/>
      <c r="M179" s="878"/>
      <c r="N179" s="878"/>
      <c r="O179" s="878"/>
      <c r="P179" s="878"/>
      <c r="Q179" s="878"/>
      <c r="R179" s="878"/>
      <c r="S179" s="878"/>
      <c r="T179" s="878"/>
      <c r="U179" s="878"/>
      <c r="V179" s="878"/>
      <c r="W179" s="878"/>
      <c r="X179" s="878"/>
      <c r="Y179" s="878"/>
      <c r="Z179" s="878"/>
    </row>
    <row r="180" ht="12.0" customHeight="1">
      <c r="A180" s="878"/>
      <c r="B180" s="879"/>
      <c r="C180" s="842"/>
      <c r="D180" s="878"/>
      <c r="E180" s="878"/>
      <c r="F180" s="878"/>
      <c r="G180" s="878"/>
      <c r="H180" s="878"/>
      <c r="I180" s="878"/>
      <c r="J180" s="878"/>
      <c r="K180" s="878"/>
      <c r="L180" s="878"/>
      <c r="M180" s="878"/>
      <c r="N180" s="878"/>
      <c r="O180" s="878"/>
      <c r="P180" s="878"/>
      <c r="Q180" s="878"/>
      <c r="R180" s="878"/>
      <c r="S180" s="878"/>
      <c r="T180" s="878"/>
      <c r="U180" s="878"/>
      <c r="V180" s="878"/>
      <c r="W180" s="878"/>
      <c r="X180" s="878"/>
      <c r="Y180" s="878"/>
      <c r="Z180" s="878"/>
    </row>
    <row r="181" ht="12.0" customHeight="1">
      <c r="A181" s="878"/>
      <c r="B181" s="879"/>
      <c r="C181" s="842"/>
      <c r="D181" s="878"/>
      <c r="E181" s="878"/>
      <c r="F181" s="878"/>
      <c r="G181" s="878"/>
      <c r="H181" s="878"/>
      <c r="I181" s="878"/>
      <c r="J181" s="878"/>
      <c r="K181" s="878"/>
      <c r="L181" s="878"/>
      <c r="M181" s="878"/>
      <c r="N181" s="878"/>
      <c r="O181" s="878"/>
      <c r="P181" s="878"/>
      <c r="Q181" s="878"/>
      <c r="R181" s="878"/>
      <c r="S181" s="878"/>
      <c r="T181" s="878"/>
      <c r="U181" s="878"/>
      <c r="V181" s="878"/>
      <c r="W181" s="878"/>
      <c r="X181" s="878"/>
      <c r="Y181" s="878"/>
      <c r="Z181" s="878"/>
    </row>
    <row r="182" ht="12.0" customHeight="1">
      <c r="A182" s="878"/>
      <c r="B182" s="879"/>
      <c r="C182" s="842"/>
      <c r="D182" s="878"/>
      <c r="E182" s="878"/>
      <c r="F182" s="878"/>
      <c r="G182" s="878"/>
      <c r="H182" s="878"/>
      <c r="I182" s="878"/>
      <c r="J182" s="878"/>
      <c r="K182" s="878"/>
      <c r="L182" s="878"/>
      <c r="M182" s="878"/>
      <c r="N182" s="878"/>
      <c r="O182" s="878"/>
      <c r="P182" s="878"/>
      <c r="Q182" s="878"/>
      <c r="R182" s="878"/>
      <c r="S182" s="878"/>
      <c r="T182" s="878"/>
      <c r="U182" s="878"/>
      <c r="V182" s="878"/>
      <c r="W182" s="878"/>
      <c r="X182" s="878"/>
      <c r="Y182" s="878"/>
      <c r="Z182" s="878"/>
    </row>
    <row r="183" ht="12.0" customHeight="1">
      <c r="A183" s="878"/>
      <c r="B183" s="879"/>
      <c r="C183" s="842"/>
      <c r="D183" s="878"/>
      <c r="E183" s="878"/>
      <c r="F183" s="878"/>
      <c r="G183" s="878"/>
      <c r="H183" s="878"/>
      <c r="I183" s="878"/>
      <c r="J183" s="878"/>
      <c r="K183" s="878"/>
      <c r="L183" s="878"/>
      <c r="M183" s="878"/>
      <c r="N183" s="878"/>
      <c r="O183" s="878"/>
      <c r="P183" s="878"/>
      <c r="Q183" s="878"/>
      <c r="R183" s="878"/>
      <c r="S183" s="878"/>
      <c r="T183" s="878"/>
      <c r="U183" s="878"/>
      <c r="V183" s="878"/>
      <c r="W183" s="878"/>
      <c r="X183" s="878"/>
      <c r="Y183" s="878"/>
      <c r="Z183" s="878"/>
    </row>
    <row r="184" ht="12.0" customHeight="1">
      <c r="A184" s="878"/>
      <c r="B184" s="879"/>
      <c r="C184" s="842"/>
      <c r="D184" s="878"/>
      <c r="E184" s="878"/>
      <c r="F184" s="878"/>
      <c r="G184" s="878"/>
      <c r="H184" s="878"/>
      <c r="I184" s="878"/>
      <c r="J184" s="878"/>
      <c r="K184" s="878"/>
      <c r="L184" s="878"/>
      <c r="M184" s="878"/>
      <c r="N184" s="878"/>
      <c r="O184" s="878"/>
      <c r="P184" s="878"/>
      <c r="Q184" s="878"/>
      <c r="R184" s="878"/>
      <c r="S184" s="878"/>
      <c r="T184" s="878"/>
      <c r="U184" s="878"/>
      <c r="V184" s="878"/>
      <c r="W184" s="878"/>
      <c r="X184" s="878"/>
      <c r="Y184" s="878"/>
      <c r="Z184" s="878"/>
    </row>
    <row r="185" ht="12.0" customHeight="1">
      <c r="A185" s="878"/>
      <c r="B185" s="879"/>
      <c r="C185" s="842"/>
      <c r="D185" s="878"/>
      <c r="E185" s="878"/>
      <c r="F185" s="878"/>
      <c r="G185" s="878"/>
      <c r="H185" s="878"/>
      <c r="I185" s="878"/>
      <c r="J185" s="878"/>
      <c r="K185" s="878"/>
      <c r="L185" s="878"/>
      <c r="M185" s="878"/>
      <c r="N185" s="878"/>
      <c r="O185" s="878"/>
      <c r="P185" s="878"/>
      <c r="Q185" s="878"/>
      <c r="R185" s="878"/>
      <c r="S185" s="878"/>
      <c r="T185" s="878"/>
      <c r="U185" s="878"/>
      <c r="V185" s="878"/>
      <c r="W185" s="878"/>
      <c r="X185" s="878"/>
      <c r="Y185" s="878"/>
      <c r="Z185" s="878"/>
    </row>
    <row r="186" ht="12.0" customHeight="1">
      <c r="A186" s="878"/>
      <c r="B186" s="879"/>
      <c r="C186" s="842"/>
      <c r="D186" s="878"/>
      <c r="E186" s="878"/>
      <c r="F186" s="878"/>
      <c r="G186" s="878"/>
      <c r="H186" s="878"/>
      <c r="I186" s="878"/>
      <c r="J186" s="878"/>
      <c r="K186" s="878"/>
      <c r="L186" s="878"/>
      <c r="M186" s="878"/>
      <c r="N186" s="878"/>
      <c r="O186" s="878"/>
      <c r="P186" s="878"/>
      <c r="Q186" s="878"/>
      <c r="R186" s="878"/>
      <c r="S186" s="878"/>
      <c r="T186" s="878"/>
      <c r="U186" s="878"/>
      <c r="V186" s="878"/>
      <c r="W186" s="878"/>
      <c r="X186" s="878"/>
      <c r="Y186" s="878"/>
      <c r="Z186" s="878"/>
    </row>
    <row r="187" ht="12.0" customHeight="1">
      <c r="A187" s="878"/>
      <c r="B187" s="879"/>
      <c r="C187" s="842"/>
      <c r="D187" s="878"/>
      <c r="E187" s="878"/>
      <c r="F187" s="878"/>
      <c r="G187" s="878"/>
      <c r="H187" s="878"/>
      <c r="I187" s="878"/>
      <c r="J187" s="878"/>
      <c r="K187" s="878"/>
      <c r="L187" s="878"/>
      <c r="M187" s="878"/>
      <c r="N187" s="878"/>
      <c r="O187" s="878"/>
      <c r="P187" s="878"/>
      <c r="Q187" s="878"/>
      <c r="R187" s="878"/>
      <c r="S187" s="878"/>
      <c r="T187" s="878"/>
      <c r="U187" s="878"/>
      <c r="V187" s="878"/>
      <c r="W187" s="878"/>
      <c r="X187" s="878"/>
      <c r="Y187" s="878"/>
      <c r="Z187" s="878"/>
    </row>
    <row r="188" ht="12.0" customHeight="1">
      <c r="A188" s="878"/>
      <c r="B188" s="879"/>
      <c r="C188" s="842"/>
      <c r="D188" s="878"/>
      <c r="E188" s="878"/>
      <c r="F188" s="878"/>
      <c r="G188" s="878"/>
      <c r="H188" s="878"/>
      <c r="I188" s="878"/>
      <c r="J188" s="878"/>
      <c r="K188" s="878"/>
      <c r="L188" s="878"/>
      <c r="M188" s="878"/>
      <c r="N188" s="878"/>
      <c r="O188" s="878"/>
      <c r="P188" s="878"/>
      <c r="Q188" s="878"/>
      <c r="R188" s="878"/>
      <c r="S188" s="878"/>
      <c r="T188" s="878"/>
      <c r="U188" s="878"/>
      <c r="V188" s="878"/>
      <c r="W188" s="878"/>
      <c r="X188" s="878"/>
      <c r="Y188" s="878"/>
      <c r="Z188" s="878"/>
    </row>
    <row r="189" ht="12.0" customHeight="1">
      <c r="A189" s="878"/>
      <c r="B189" s="879"/>
      <c r="C189" s="842"/>
      <c r="D189" s="878"/>
      <c r="E189" s="878"/>
      <c r="F189" s="878"/>
      <c r="G189" s="878"/>
      <c r="H189" s="878"/>
      <c r="I189" s="878"/>
      <c r="J189" s="878"/>
      <c r="K189" s="878"/>
      <c r="L189" s="878"/>
      <c r="M189" s="878"/>
      <c r="N189" s="878"/>
      <c r="O189" s="878"/>
      <c r="P189" s="878"/>
      <c r="Q189" s="878"/>
      <c r="R189" s="878"/>
      <c r="S189" s="878"/>
      <c r="T189" s="878"/>
      <c r="U189" s="878"/>
      <c r="V189" s="878"/>
      <c r="W189" s="878"/>
      <c r="X189" s="878"/>
      <c r="Y189" s="878"/>
      <c r="Z189" s="878"/>
    </row>
    <row r="190" ht="12.0" customHeight="1">
      <c r="A190" s="878"/>
      <c r="B190" s="879"/>
      <c r="C190" s="842"/>
      <c r="D190" s="878"/>
      <c r="E190" s="878"/>
      <c r="F190" s="878"/>
      <c r="G190" s="878"/>
      <c r="H190" s="878"/>
      <c r="I190" s="878"/>
      <c r="J190" s="878"/>
      <c r="K190" s="878"/>
      <c r="L190" s="878"/>
      <c r="M190" s="878"/>
      <c r="N190" s="878"/>
      <c r="O190" s="878"/>
      <c r="P190" s="878"/>
      <c r="Q190" s="878"/>
      <c r="R190" s="878"/>
      <c r="S190" s="878"/>
      <c r="T190" s="878"/>
      <c r="U190" s="878"/>
      <c r="V190" s="878"/>
      <c r="W190" s="878"/>
      <c r="X190" s="878"/>
      <c r="Y190" s="878"/>
      <c r="Z190" s="878"/>
    </row>
    <row r="191" ht="12.0" customHeight="1">
      <c r="A191" s="878"/>
      <c r="B191" s="879"/>
      <c r="C191" s="842"/>
      <c r="D191" s="878"/>
      <c r="E191" s="878"/>
      <c r="F191" s="878"/>
      <c r="G191" s="878"/>
      <c r="H191" s="878"/>
      <c r="I191" s="878"/>
      <c r="J191" s="878"/>
      <c r="K191" s="878"/>
      <c r="L191" s="878"/>
      <c r="M191" s="878"/>
      <c r="N191" s="878"/>
      <c r="O191" s="878"/>
      <c r="P191" s="878"/>
      <c r="Q191" s="878"/>
      <c r="R191" s="878"/>
      <c r="S191" s="878"/>
      <c r="T191" s="878"/>
      <c r="U191" s="878"/>
      <c r="V191" s="878"/>
      <c r="W191" s="878"/>
      <c r="X191" s="878"/>
      <c r="Y191" s="878"/>
      <c r="Z191" s="878"/>
    </row>
    <row r="192" ht="12.0" customHeight="1">
      <c r="A192" s="878"/>
      <c r="B192" s="879"/>
      <c r="C192" s="842"/>
      <c r="D192" s="878"/>
      <c r="E192" s="878"/>
      <c r="F192" s="878"/>
      <c r="G192" s="878"/>
      <c r="H192" s="878"/>
      <c r="I192" s="878"/>
      <c r="J192" s="878"/>
      <c r="K192" s="878"/>
      <c r="L192" s="878"/>
      <c r="M192" s="878"/>
      <c r="N192" s="878"/>
      <c r="O192" s="878"/>
      <c r="P192" s="878"/>
      <c r="Q192" s="878"/>
      <c r="R192" s="878"/>
      <c r="S192" s="878"/>
      <c r="T192" s="878"/>
      <c r="U192" s="878"/>
      <c r="V192" s="878"/>
      <c r="W192" s="878"/>
      <c r="X192" s="878"/>
      <c r="Y192" s="878"/>
      <c r="Z192" s="878"/>
    </row>
    <row r="193" ht="12.0" customHeight="1">
      <c r="A193" s="878"/>
      <c r="B193" s="879"/>
      <c r="C193" s="842"/>
      <c r="D193" s="878"/>
      <c r="E193" s="878"/>
      <c r="F193" s="878"/>
      <c r="G193" s="878"/>
      <c r="H193" s="878"/>
      <c r="I193" s="878"/>
      <c r="J193" s="878"/>
      <c r="K193" s="878"/>
      <c r="L193" s="878"/>
      <c r="M193" s="878"/>
      <c r="N193" s="878"/>
      <c r="O193" s="878"/>
      <c r="P193" s="878"/>
      <c r="Q193" s="878"/>
      <c r="R193" s="878"/>
      <c r="S193" s="878"/>
      <c r="T193" s="878"/>
      <c r="U193" s="878"/>
      <c r="V193" s="878"/>
      <c r="W193" s="878"/>
      <c r="X193" s="878"/>
      <c r="Y193" s="878"/>
      <c r="Z193" s="878"/>
    </row>
    <row r="194" ht="12.0" customHeight="1">
      <c r="A194" s="878"/>
      <c r="B194" s="879"/>
      <c r="C194" s="842"/>
      <c r="D194" s="878"/>
      <c r="E194" s="878"/>
      <c r="F194" s="878"/>
      <c r="G194" s="878"/>
      <c r="H194" s="878"/>
      <c r="I194" s="878"/>
      <c r="J194" s="878"/>
      <c r="K194" s="878"/>
      <c r="L194" s="878"/>
      <c r="M194" s="878"/>
      <c r="N194" s="878"/>
      <c r="O194" s="878"/>
      <c r="P194" s="878"/>
      <c r="Q194" s="878"/>
      <c r="R194" s="878"/>
      <c r="S194" s="878"/>
      <c r="T194" s="878"/>
      <c r="U194" s="878"/>
      <c r="V194" s="878"/>
      <c r="W194" s="878"/>
      <c r="X194" s="878"/>
      <c r="Y194" s="878"/>
      <c r="Z194" s="878"/>
    </row>
    <row r="195" ht="12.0" customHeight="1">
      <c r="A195" s="878"/>
      <c r="B195" s="879"/>
      <c r="C195" s="842"/>
      <c r="D195" s="878"/>
      <c r="E195" s="878"/>
      <c r="F195" s="878"/>
      <c r="G195" s="878"/>
      <c r="H195" s="878"/>
      <c r="I195" s="878"/>
      <c r="J195" s="878"/>
      <c r="K195" s="878"/>
      <c r="L195" s="878"/>
      <c r="M195" s="878"/>
      <c r="N195" s="878"/>
      <c r="O195" s="878"/>
      <c r="P195" s="878"/>
      <c r="Q195" s="878"/>
      <c r="R195" s="878"/>
      <c r="S195" s="878"/>
      <c r="T195" s="878"/>
      <c r="U195" s="878"/>
      <c r="V195" s="878"/>
      <c r="W195" s="878"/>
      <c r="X195" s="878"/>
      <c r="Y195" s="878"/>
      <c r="Z195" s="878"/>
    </row>
    <row r="196" ht="12.0" customHeight="1">
      <c r="A196" s="878"/>
      <c r="B196" s="879"/>
      <c r="C196" s="842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878"/>
      <c r="R196" s="878"/>
      <c r="S196" s="878"/>
      <c r="T196" s="878"/>
      <c r="U196" s="878"/>
      <c r="V196" s="878"/>
      <c r="W196" s="878"/>
      <c r="X196" s="878"/>
      <c r="Y196" s="878"/>
      <c r="Z196" s="878"/>
    </row>
    <row r="197" ht="12.0" customHeight="1">
      <c r="A197" s="878"/>
      <c r="B197" s="879"/>
      <c r="C197" s="842"/>
      <c r="D197" s="878"/>
      <c r="E197" s="878"/>
      <c r="F197" s="878"/>
      <c r="G197" s="878"/>
      <c r="H197" s="878"/>
      <c r="I197" s="878"/>
      <c r="J197" s="878"/>
      <c r="K197" s="878"/>
      <c r="L197" s="878"/>
      <c r="M197" s="878"/>
      <c r="N197" s="878"/>
      <c r="O197" s="878"/>
      <c r="P197" s="878"/>
      <c r="Q197" s="878"/>
      <c r="R197" s="878"/>
      <c r="S197" s="878"/>
      <c r="T197" s="878"/>
      <c r="U197" s="878"/>
      <c r="V197" s="878"/>
      <c r="W197" s="878"/>
      <c r="X197" s="878"/>
      <c r="Y197" s="878"/>
      <c r="Z197" s="878"/>
    </row>
    <row r="198" ht="12.0" customHeight="1">
      <c r="A198" s="878"/>
      <c r="B198" s="879"/>
      <c r="C198" s="842"/>
      <c r="D198" s="878"/>
      <c r="E198" s="878"/>
      <c r="F198" s="878"/>
      <c r="G198" s="878"/>
      <c r="H198" s="878"/>
      <c r="I198" s="878"/>
      <c r="J198" s="878"/>
      <c r="K198" s="878"/>
      <c r="L198" s="878"/>
      <c r="M198" s="878"/>
      <c r="N198" s="878"/>
      <c r="O198" s="878"/>
      <c r="P198" s="878"/>
      <c r="Q198" s="878"/>
      <c r="R198" s="878"/>
      <c r="S198" s="878"/>
      <c r="T198" s="878"/>
      <c r="U198" s="878"/>
      <c r="V198" s="878"/>
      <c r="W198" s="878"/>
      <c r="X198" s="878"/>
      <c r="Y198" s="878"/>
      <c r="Z198" s="878"/>
    </row>
    <row r="199" ht="12.0" customHeight="1">
      <c r="A199" s="878"/>
      <c r="B199" s="879"/>
      <c r="C199" s="842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878"/>
      <c r="R199" s="878"/>
      <c r="S199" s="878"/>
      <c r="T199" s="878"/>
      <c r="U199" s="878"/>
      <c r="V199" s="878"/>
      <c r="W199" s="878"/>
      <c r="X199" s="878"/>
      <c r="Y199" s="878"/>
      <c r="Z199" s="878"/>
    </row>
    <row r="200" ht="12.0" customHeight="1">
      <c r="A200" s="878"/>
      <c r="B200" s="879"/>
      <c r="C200" s="842"/>
      <c r="D200" s="878"/>
      <c r="E200" s="878"/>
      <c r="F200" s="878"/>
      <c r="G200" s="878"/>
      <c r="H200" s="878"/>
      <c r="I200" s="878"/>
      <c r="J200" s="878"/>
      <c r="K200" s="878"/>
      <c r="L200" s="878"/>
      <c r="M200" s="878"/>
      <c r="N200" s="878"/>
      <c r="O200" s="878"/>
      <c r="P200" s="878"/>
      <c r="Q200" s="878"/>
      <c r="R200" s="878"/>
      <c r="S200" s="878"/>
      <c r="T200" s="878"/>
      <c r="U200" s="878"/>
      <c r="V200" s="878"/>
      <c r="W200" s="878"/>
      <c r="X200" s="878"/>
      <c r="Y200" s="878"/>
      <c r="Z200" s="878"/>
    </row>
    <row r="201" ht="12.0" customHeight="1">
      <c r="A201" s="878"/>
      <c r="B201" s="879"/>
      <c r="C201" s="842"/>
      <c r="D201" s="878"/>
      <c r="E201" s="878"/>
      <c r="F201" s="878"/>
      <c r="G201" s="878"/>
      <c r="H201" s="878"/>
      <c r="I201" s="878"/>
      <c r="J201" s="878"/>
      <c r="K201" s="878"/>
      <c r="L201" s="878"/>
      <c r="M201" s="878"/>
      <c r="N201" s="878"/>
      <c r="O201" s="878"/>
      <c r="P201" s="878"/>
      <c r="Q201" s="878"/>
      <c r="R201" s="878"/>
      <c r="S201" s="878"/>
      <c r="T201" s="878"/>
      <c r="U201" s="878"/>
      <c r="V201" s="878"/>
      <c r="W201" s="878"/>
      <c r="X201" s="878"/>
      <c r="Y201" s="878"/>
      <c r="Z201" s="878"/>
    </row>
    <row r="202" ht="12.0" customHeight="1">
      <c r="A202" s="878"/>
      <c r="B202" s="879"/>
      <c r="C202" s="842"/>
      <c r="D202" s="878"/>
      <c r="E202" s="878"/>
      <c r="F202" s="878"/>
      <c r="G202" s="878"/>
      <c r="H202" s="878"/>
      <c r="I202" s="878"/>
      <c r="J202" s="878"/>
      <c r="K202" s="878"/>
      <c r="L202" s="878"/>
      <c r="M202" s="878"/>
      <c r="N202" s="878"/>
      <c r="O202" s="878"/>
      <c r="P202" s="878"/>
      <c r="Q202" s="878"/>
      <c r="R202" s="878"/>
      <c r="S202" s="878"/>
      <c r="T202" s="878"/>
      <c r="U202" s="878"/>
      <c r="V202" s="878"/>
      <c r="W202" s="878"/>
      <c r="X202" s="878"/>
      <c r="Y202" s="878"/>
      <c r="Z202" s="878"/>
    </row>
    <row r="203" ht="12.0" customHeight="1">
      <c r="A203" s="878"/>
      <c r="B203" s="879"/>
      <c r="C203" s="842"/>
      <c r="D203" s="878"/>
      <c r="E203" s="878"/>
      <c r="F203" s="878"/>
      <c r="G203" s="878"/>
      <c r="H203" s="878"/>
      <c r="I203" s="878"/>
      <c r="J203" s="878"/>
      <c r="K203" s="878"/>
      <c r="L203" s="878"/>
      <c r="M203" s="878"/>
      <c r="N203" s="878"/>
      <c r="O203" s="878"/>
      <c r="P203" s="878"/>
      <c r="Q203" s="878"/>
      <c r="R203" s="878"/>
      <c r="S203" s="878"/>
      <c r="T203" s="878"/>
      <c r="U203" s="878"/>
      <c r="V203" s="878"/>
      <c r="W203" s="878"/>
      <c r="X203" s="878"/>
      <c r="Y203" s="878"/>
      <c r="Z203" s="878"/>
    </row>
    <row r="204" ht="12.0" customHeight="1">
      <c r="A204" s="878"/>
      <c r="B204" s="879"/>
      <c r="C204" s="842"/>
      <c r="D204" s="878"/>
      <c r="E204" s="878"/>
      <c r="F204" s="878"/>
      <c r="G204" s="878"/>
      <c r="H204" s="878"/>
      <c r="I204" s="878"/>
      <c r="J204" s="878"/>
      <c r="K204" s="878"/>
      <c r="L204" s="878"/>
      <c r="M204" s="878"/>
      <c r="N204" s="878"/>
      <c r="O204" s="878"/>
      <c r="P204" s="878"/>
      <c r="Q204" s="878"/>
      <c r="R204" s="878"/>
      <c r="S204" s="878"/>
      <c r="T204" s="878"/>
      <c r="U204" s="878"/>
      <c r="V204" s="878"/>
      <c r="W204" s="878"/>
      <c r="X204" s="878"/>
      <c r="Y204" s="878"/>
      <c r="Z204" s="878"/>
    </row>
    <row r="205" ht="12.0" customHeight="1">
      <c r="A205" s="878"/>
      <c r="B205" s="879"/>
      <c r="C205" s="842"/>
      <c r="D205" s="878"/>
      <c r="E205" s="878"/>
      <c r="F205" s="878"/>
      <c r="G205" s="878"/>
      <c r="H205" s="878"/>
      <c r="I205" s="878"/>
      <c r="J205" s="878"/>
      <c r="K205" s="878"/>
      <c r="L205" s="878"/>
      <c r="M205" s="878"/>
      <c r="N205" s="878"/>
      <c r="O205" s="878"/>
      <c r="P205" s="878"/>
      <c r="Q205" s="878"/>
      <c r="R205" s="878"/>
      <c r="S205" s="878"/>
      <c r="T205" s="878"/>
      <c r="U205" s="878"/>
      <c r="V205" s="878"/>
      <c r="W205" s="878"/>
      <c r="X205" s="878"/>
      <c r="Y205" s="878"/>
      <c r="Z205" s="878"/>
    </row>
    <row r="206" ht="12.0" customHeight="1">
      <c r="A206" s="878"/>
      <c r="B206" s="879"/>
      <c r="C206" s="842"/>
      <c r="D206" s="878"/>
      <c r="E206" s="878"/>
      <c r="F206" s="878"/>
      <c r="G206" s="878"/>
      <c r="H206" s="878"/>
      <c r="I206" s="878"/>
      <c r="J206" s="878"/>
      <c r="K206" s="878"/>
      <c r="L206" s="878"/>
      <c r="M206" s="878"/>
      <c r="N206" s="878"/>
      <c r="O206" s="878"/>
      <c r="P206" s="878"/>
      <c r="Q206" s="878"/>
      <c r="R206" s="878"/>
      <c r="S206" s="878"/>
      <c r="T206" s="878"/>
      <c r="U206" s="878"/>
      <c r="V206" s="878"/>
      <c r="W206" s="878"/>
      <c r="X206" s="878"/>
      <c r="Y206" s="878"/>
      <c r="Z206" s="878"/>
    </row>
    <row r="207" ht="12.0" customHeight="1">
      <c r="A207" s="878"/>
      <c r="B207" s="879"/>
      <c r="C207" s="842"/>
      <c r="D207" s="878"/>
      <c r="E207" s="878"/>
      <c r="F207" s="878"/>
      <c r="G207" s="878"/>
      <c r="H207" s="878"/>
      <c r="I207" s="878"/>
      <c r="J207" s="878"/>
      <c r="K207" s="878"/>
      <c r="L207" s="878"/>
      <c r="M207" s="878"/>
      <c r="N207" s="878"/>
      <c r="O207" s="878"/>
      <c r="P207" s="878"/>
      <c r="Q207" s="878"/>
      <c r="R207" s="878"/>
      <c r="S207" s="878"/>
      <c r="T207" s="878"/>
      <c r="U207" s="878"/>
      <c r="V207" s="878"/>
      <c r="W207" s="878"/>
      <c r="X207" s="878"/>
      <c r="Y207" s="878"/>
      <c r="Z207" s="878"/>
    </row>
    <row r="208" ht="12.0" customHeight="1">
      <c r="A208" s="878"/>
      <c r="B208" s="879"/>
      <c r="C208" s="842"/>
      <c r="D208" s="878"/>
      <c r="E208" s="878"/>
      <c r="F208" s="878"/>
      <c r="G208" s="878"/>
      <c r="H208" s="878"/>
      <c r="I208" s="878"/>
      <c r="J208" s="878"/>
      <c r="K208" s="878"/>
      <c r="L208" s="878"/>
      <c r="M208" s="878"/>
      <c r="N208" s="878"/>
      <c r="O208" s="878"/>
      <c r="P208" s="878"/>
      <c r="Q208" s="878"/>
      <c r="R208" s="878"/>
      <c r="S208" s="878"/>
      <c r="T208" s="878"/>
      <c r="U208" s="878"/>
      <c r="V208" s="878"/>
      <c r="W208" s="878"/>
      <c r="X208" s="878"/>
      <c r="Y208" s="878"/>
      <c r="Z208" s="878"/>
    </row>
    <row r="209" ht="12.0" customHeight="1">
      <c r="A209" s="878"/>
      <c r="B209" s="879"/>
      <c r="C209" s="842"/>
      <c r="D209" s="878"/>
      <c r="E209" s="878"/>
      <c r="F209" s="878"/>
      <c r="G209" s="878"/>
      <c r="H209" s="878"/>
      <c r="I209" s="878"/>
      <c r="J209" s="878"/>
      <c r="K209" s="878"/>
      <c r="L209" s="878"/>
      <c r="M209" s="878"/>
      <c r="N209" s="878"/>
      <c r="O209" s="878"/>
      <c r="P209" s="878"/>
      <c r="Q209" s="878"/>
      <c r="R209" s="878"/>
      <c r="S209" s="878"/>
      <c r="T209" s="878"/>
      <c r="U209" s="878"/>
      <c r="V209" s="878"/>
      <c r="W209" s="878"/>
      <c r="X209" s="878"/>
      <c r="Y209" s="878"/>
      <c r="Z209" s="878"/>
    </row>
    <row r="210" ht="12.0" customHeight="1">
      <c r="A210" s="878"/>
      <c r="B210" s="879"/>
      <c r="C210" s="842"/>
      <c r="D210" s="878"/>
      <c r="E210" s="878"/>
      <c r="F210" s="878"/>
      <c r="G210" s="878"/>
      <c r="H210" s="878"/>
      <c r="I210" s="878"/>
      <c r="J210" s="878"/>
      <c r="K210" s="878"/>
      <c r="L210" s="878"/>
      <c r="M210" s="878"/>
      <c r="N210" s="878"/>
      <c r="O210" s="878"/>
      <c r="P210" s="878"/>
      <c r="Q210" s="878"/>
      <c r="R210" s="878"/>
      <c r="S210" s="878"/>
      <c r="T210" s="878"/>
      <c r="U210" s="878"/>
      <c r="V210" s="878"/>
      <c r="W210" s="878"/>
      <c r="X210" s="878"/>
      <c r="Y210" s="878"/>
      <c r="Z210" s="878"/>
    </row>
    <row r="211" ht="12.0" customHeight="1">
      <c r="A211" s="878"/>
      <c r="B211" s="879"/>
      <c r="C211" s="842"/>
      <c r="D211" s="878"/>
      <c r="E211" s="878"/>
      <c r="F211" s="878"/>
      <c r="G211" s="878"/>
      <c r="H211" s="878"/>
      <c r="I211" s="878"/>
      <c r="J211" s="878"/>
      <c r="K211" s="878"/>
      <c r="L211" s="878"/>
      <c r="M211" s="878"/>
      <c r="N211" s="878"/>
      <c r="O211" s="878"/>
      <c r="P211" s="878"/>
      <c r="Q211" s="878"/>
      <c r="R211" s="878"/>
      <c r="S211" s="878"/>
      <c r="T211" s="878"/>
      <c r="U211" s="878"/>
      <c r="V211" s="878"/>
      <c r="W211" s="878"/>
      <c r="X211" s="878"/>
      <c r="Y211" s="878"/>
      <c r="Z211" s="878"/>
    </row>
    <row r="212" ht="12.0" customHeight="1">
      <c r="A212" s="878"/>
      <c r="B212" s="879"/>
      <c r="C212" s="842"/>
      <c r="D212" s="878"/>
      <c r="E212" s="878"/>
      <c r="F212" s="878"/>
      <c r="G212" s="878"/>
      <c r="H212" s="878"/>
      <c r="I212" s="878"/>
      <c r="J212" s="878"/>
      <c r="K212" s="878"/>
      <c r="L212" s="878"/>
      <c r="M212" s="878"/>
      <c r="N212" s="878"/>
      <c r="O212" s="878"/>
      <c r="P212" s="878"/>
      <c r="Q212" s="878"/>
      <c r="R212" s="878"/>
      <c r="S212" s="878"/>
      <c r="T212" s="878"/>
      <c r="U212" s="878"/>
      <c r="V212" s="878"/>
      <c r="W212" s="878"/>
      <c r="X212" s="878"/>
      <c r="Y212" s="878"/>
      <c r="Z212" s="878"/>
    </row>
    <row r="213" ht="12.0" customHeight="1">
      <c r="A213" s="878"/>
      <c r="B213" s="879"/>
      <c r="C213" s="842"/>
      <c r="D213" s="878"/>
      <c r="E213" s="878"/>
      <c r="F213" s="878"/>
      <c r="G213" s="878"/>
      <c r="H213" s="878"/>
      <c r="I213" s="878"/>
      <c r="J213" s="878"/>
      <c r="K213" s="878"/>
      <c r="L213" s="878"/>
      <c r="M213" s="878"/>
      <c r="N213" s="878"/>
      <c r="O213" s="878"/>
      <c r="P213" s="878"/>
      <c r="Q213" s="878"/>
      <c r="R213" s="878"/>
      <c r="S213" s="878"/>
      <c r="T213" s="878"/>
      <c r="U213" s="878"/>
      <c r="V213" s="878"/>
      <c r="W213" s="878"/>
      <c r="X213" s="878"/>
      <c r="Y213" s="878"/>
      <c r="Z213" s="878"/>
    </row>
    <row r="214" ht="12.0" customHeight="1">
      <c r="A214" s="878"/>
      <c r="B214" s="879"/>
      <c r="C214" s="842"/>
      <c r="D214" s="878"/>
      <c r="E214" s="878"/>
      <c r="F214" s="878"/>
      <c r="G214" s="878"/>
      <c r="H214" s="878"/>
      <c r="I214" s="878"/>
      <c r="J214" s="878"/>
      <c r="K214" s="878"/>
      <c r="L214" s="878"/>
      <c r="M214" s="878"/>
      <c r="N214" s="878"/>
      <c r="O214" s="878"/>
      <c r="P214" s="878"/>
      <c r="Q214" s="878"/>
      <c r="R214" s="878"/>
      <c r="S214" s="878"/>
      <c r="T214" s="878"/>
      <c r="U214" s="878"/>
      <c r="V214" s="878"/>
      <c r="W214" s="878"/>
      <c r="X214" s="878"/>
      <c r="Y214" s="878"/>
      <c r="Z214" s="878"/>
    </row>
    <row r="215" ht="12.0" customHeight="1">
      <c r="A215" s="878"/>
      <c r="B215" s="879"/>
      <c r="C215" s="842"/>
      <c r="D215" s="878"/>
      <c r="E215" s="878"/>
      <c r="F215" s="878"/>
      <c r="G215" s="878"/>
      <c r="H215" s="878"/>
      <c r="I215" s="878"/>
      <c r="J215" s="878"/>
      <c r="K215" s="878"/>
      <c r="L215" s="878"/>
      <c r="M215" s="878"/>
      <c r="N215" s="878"/>
      <c r="O215" s="878"/>
      <c r="P215" s="878"/>
      <c r="Q215" s="878"/>
      <c r="R215" s="878"/>
      <c r="S215" s="878"/>
      <c r="T215" s="878"/>
      <c r="U215" s="878"/>
      <c r="V215" s="878"/>
      <c r="W215" s="878"/>
      <c r="X215" s="878"/>
      <c r="Y215" s="878"/>
      <c r="Z215" s="878"/>
    </row>
    <row r="216" ht="12.0" customHeight="1">
      <c r="A216" s="878"/>
      <c r="B216" s="879"/>
      <c r="C216" s="842"/>
      <c r="D216" s="878"/>
      <c r="E216" s="878"/>
      <c r="F216" s="878"/>
      <c r="G216" s="878"/>
      <c r="H216" s="878"/>
      <c r="I216" s="878"/>
      <c r="J216" s="878"/>
      <c r="K216" s="878"/>
      <c r="L216" s="878"/>
      <c r="M216" s="878"/>
      <c r="N216" s="878"/>
      <c r="O216" s="878"/>
      <c r="P216" s="878"/>
      <c r="Q216" s="878"/>
      <c r="R216" s="878"/>
      <c r="S216" s="878"/>
      <c r="T216" s="878"/>
      <c r="U216" s="878"/>
      <c r="V216" s="878"/>
      <c r="W216" s="878"/>
      <c r="X216" s="878"/>
      <c r="Y216" s="878"/>
      <c r="Z216" s="878"/>
    </row>
    <row r="217" ht="12.0" customHeight="1">
      <c r="A217" s="878"/>
      <c r="B217" s="879"/>
      <c r="C217" s="842"/>
      <c r="D217" s="878"/>
      <c r="E217" s="878"/>
      <c r="F217" s="878"/>
      <c r="G217" s="878"/>
      <c r="H217" s="878"/>
      <c r="I217" s="878"/>
      <c r="J217" s="878"/>
      <c r="K217" s="878"/>
      <c r="L217" s="878"/>
      <c r="M217" s="878"/>
      <c r="N217" s="878"/>
      <c r="O217" s="878"/>
      <c r="P217" s="878"/>
      <c r="Q217" s="878"/>
      <c r="R217" s="878"/>
      <c r="S217" s="878"/>
      <c r="T217" s="878"/>
      <c r="U217" s="878"/>
      <c r="V217" s="878"/>
      <c r="W217" s="878"/>
      <c r="X217" s="878"/>
      <c r="Y217" s="878"/>
      <c r="Z217" s="878"/>
    </row>
    <row r="218" ht="12.0" customHeight="1">
      <c r="A218" s="878"/>
      <c r="B218" s="879"/>
      <c r="C218" s="842"/>
      <c r="D218" s="878"/>
      <c r="E218" s="878"/>
      <c r="F218" s="878"/>
      <c r="G218" s="878"/>
      <c r="H218" s="878"/>
      <c r="I218" s="878"/>
      <c r="J218" s="878"/>
      <c r="K218" s="878"/>
      <c r="L218" s="878"/>
      <c r="M218" s="878"/>
      <c r="N218" s="878"/>
      <c r="O218" s="878"/>
      <c r="P218" s="878"/>
      <c r="Q218" s="878"/>
      <c r="R218" s="878"/>
      <c r="S218" s="878"/>
      <c r="T218" s="878"/>
      <c r="U218" s="878"/>
      <c r="V218" s="878"/>
      <c r="W218" s="878"/>
      <c r="X218" s="878"/>
      <c r="Y218" s="878"/>
      <c r="Z218" s="878"/>
    </row>
    <row r="219" ht="12.0" customHeight="1">
      <c r="A219" s="878"/>
      <c r="B219" s="879"/>
      <c r="C219" s="842"/>
      <c r="D219" s="878"/>
      <c r="E219" s="878"/>
      <c r="F219" s="878"/>
      <c r="G219" s="878"/>
      <c r="H219" s="878"/>
      <c r="I219" s="878"/>
      <c r="J219" s="878"/>
      <c r="K219" s="878"/>
      <c r="L219" s="878"/>
      <c r="M219" s="878"/>
      <c r="N219" s="878"/>
      <c r="O219" s="878"/>
      <c r="P219" s="878"/>
      <c r="Q219" s="878"/>
      <c r="R219" s="878"/>
      <c r="S219" s="878"/>
      <c r="T219" s="878"/>
      <c r="U219" s="878"/>
      <c r="V219" s="878"/>
      <c r="W219" s="878"/>
      <c r="X219" s="878"/>
      <c r="Y219" s="878"/>
      <c r="Z219" s="878"/>
    </row>
    <row r="220" ht="12.0" customHeight="1">
      <c r="A220" s="878"/>
      <c r="B220" s="879"/>
      <c r="C220" s="842"/>
      <c r="D220" s="878"/>
      <c r="E220" s="878"/>
      <c r="F220" s="878"/>
      <c r="G220" s="878"/>
      <c r="H220" s="878"/>
      <c r="I220" s="878"/>
      <c r="J220" s="878"/>
      <c r="K220" s="878"/>
      <c r="L220" s="878"/>
      <c r="M220" s="878"/>
      <c r="N220" s="878"/>
      <c r="O220" s="878"/>
      <c r="P220" s="878"/>
      <c r="Q220" s="878"/>
      <c r="R220" s="878"/>
      <c r="S220" s="878"/>
      <c r="T220" s="878"/>
      <c r="U220" s="878"/>
      <c r="V220" s="878"/>
      <c r="W220" s="878"/>
      <c r="X220" s="878"/>
      <c r="Y220" s="878"/>
      <c r="Z220" s="878"/>
    </row>
    <row r="221" ht="12.0" customHeight="1">
      <c r="A221" s="878"/>
      <c r="B221" s="879"/>
      <c r="C221" s="842"/>
      <c r="D221" s="878"/>
      <c r="E221" s="878"/>
      <c r="F221" s="878"/>
      <c r="G221" s="878"/>
      <c r="H221" s="878"/>
      <c r="I221" s="878"/>
      <c r="J221" s="878"/>
      <c r="K221" s="878"/>
      <c r="L221" s="878"/>
      <c r="M221" s="878"/>
      <c r="N221" s="878"/>
      <c r="O221" s="878"/>
      <c r="P221" s="878"/>
      <c r="Q221" s="878"/>
      <c r="R221" s="878"/>
      <c r="S221" s="878"/>
      <c r="T221" s="878"/>
      <c r="U221" s="878"/>
      <c r="V221" s="878"/>
      <c r="W221" s="878"/>
      <c r="X221" s="878"/>
      <c r="Y221" s="878"/>
      <c r="Z221" s="878"/>
    </row>
    <row r="222" ht="12.0" customHeight="1">
      <c r="A222" s="878"/>
      <c r="B222" s="879"/>
      <c r="C222" s="842"/>
      <c r="D222" s="878"/>
      <c r="E222" s="878"/>
      <c r="F222" s="878"/>
      <c r="G222" s="878"/>
      <c r="H222" s="878"/>
      <c r="I222" s="878"/>
      <c r="J222" s="878"/>
      <c r="K222" s="878"/>
      <c r="L222" s="878"/>
      <c r="M222" s="878"/>
      <c r="N222" s="878"/>
      <c r="O222" s="878"/>
      <c r="P222" s="878"/>
      <c r="Q222" s="878"/>
      <c r="R222" s="878"/>
      <c r="S222" s="878"/>
      <c r="T222" s="878"/>
      <c r="U222" s="878"/>
      <c r="V222" s="878"/>
      <c r="W222" s="878"/>
      <c r="X222" s="878"/>
      <c r="Y222" s="878"/>
      <c r="Z222" s="878"/>
    </row>
    <row r="223" ht="12.0" customHeight="1">
      <c r="A223" s="878"/>
      <c r="B223" s="879"/>
      <c r="C223" s="842"/>
      <c r="D223" s="878"/>
      <c r="E223" s="878"/>
      <c r="F223" s="878"/>
      <c r="G223" s="878"/>
      <c r="H223" s="878"/>
      <c r="I223" s="878"/>
      <c r="J223" s="878"/>
      <c r="K223" s="878"/>
      <c r="L223" s="878"/>
      <c r="M223" s="878"/>
      <c r="N223" s="878"/>
      <c r="O223" s="878"/>
      <c r="P223" s="878"/>
      <c r="Q223" s="878"/>
      <c r="R223" s="878"/>
      <c r="S223" s="878"/>
      <c r="T223" s="878"/>
      <c r="U223" s="878"/>
      <c r="V223" s="878"/>
      <c r="W223" s="878"/>
      <c r="X223" s="878"/>
      <c r="Y223" s="878"/>
      <c r="Z223" s="878"/>
    </row>
    <row r="224" ht="12.0" customHeight="1">
      <c r="A224" s="878"/>
      <c r="B224" s="879"/>
      <c r="C224" s="842"/>
      <c r="D224" s="878"/>
      <c r="E224" s="878"/>
      <c r="F224" s="878"/>
      <c r="G224" s="878"/>
      <c r="H224" s="878"/>
      <c r="I224" s="878"/>
      <c r="J224" s="878"/>
      <c r="K224" s="878"/>
      <c r="L224" s="878"/>
      <c r="M224" s="878"/>
      <c r="N224" s="878"/>
      <c r="O224" s="878"/>
      <c r="P224" s="878"/>
      <c r="Q224" s="878"/>
      <c r="R224" s="878"/>
      <c r="S224" s="878"/>
      <c r="T224" s="878"/>
      <c r="U224" s="878"/>
      <c r="V224" s="878"/>
      <c r="W224" s="878"/>
      <c r="X224" s="878"/>
      <c r="Y224" s="878"/>
      <c r="Z224" s="878"/>
    </row>
    <row r="225" ht="12.0" customHeight="1">
      <c r="A225" s="878"/>
      <c r="B225" s="879"/>
      <c r="C225" s="842"/>
      <c r="D225" s="878"/>
      <c r="E225" s="878"/>
      <c r="F225" s="878"/>
      <c r="G225" s="878"/>
      <c r="H225" s="878"/>
      <c r="I225" s="878"/>
      <c r="J225" s="878"/>
      <c r="K225" s="878"/>
      <c r="L225" s="878"/>
      <c r="M225" s="878"/>
      <c r="N225" s="878"/>
      <c r="O225" s="878"/>
      <c r="P225" s="878"/>
      <c r="Q225" s="878"/>
      <c r="R225" s="878"/>
      <c r="S225" s="878"/>
      <c r="T225" s="878"/>
      <c r="U225" s="878"/>
      <c r="V225" s="878"/>
      <c r="W225" s="878"/>
      <c r="X225" s="878"/>
      <c r="Y225" s="878"/>
      <c r="Z225" s="878"/>
    </row>
    <row r="226" ht="12.0" customHeight="1">
      <c r="A226" s="878"/>
      <c r="B226" s="879"/>
      <c r="C226" s="842"/>
      <c r="D226" s="878"/>
      <c r="E226" s="878"/>
      <c r="F226" s="878"/>
      <c r="G226" s="878"/>
      <c r="H226" s="878"/>
      <c r="I226" s="878"/>
      <c r="J226" s="878"/>
      <c r="K226" s="878"/>
      <c r="L226" s="878"/>
      <c r="M226" s="878"/>
      <c r="N226" s="878"/>
      <c r="O226" s="878"/>
      <c r="P226" s="878"/>
      <c r="Q226" s="878"/>
      <c r="R226" s="878"/>
      <c r="S226" s="878"/>
      <c r="T226" s="878"/>
      <c r="U226" s="878"/>
      <c r="V226" s="878"/>
      <c r="W226" s="878"/>
      <c r="X226" s="878"/>
      <c r="Y226" s="878"/>
      <c r="Z226" s="878"/>
    </row>
    <row r="227" ht="12.0" customHeight="1">
      <c r="A227" s="878"/>
      <c r="B227" s="879"/>
      <c r="C227" s="842"/>
      <c r="D227" s="878"/>
      <c r="E227" s="878"/>
      <c r="F227" s="878"/>
      <c r="G227" s="878"/>
      <c r="H227" s="878"/>
      <c r="I227" s="878"/>
      <c r="J227" s="878"/>
      <c r="K227" s="878"/>
      <c r="L227" s="878"/>
      <c r="M227" s="878"/>
      <c r="N227" s="878"/>
      <c r="O227" s="878"/>
      <c r="P227" s="878"/>
      <c r="Q227" s="878"/>
      <c r="R227" s="878"/>
      <c r="S227" s="878"/>
      <c r="T227" s="878"/>
      <c r="U227" s="878"/>
      <c r="V227" s="878"/>
      <c r="W227" s="878"/>
      <c r="X227" s="878"/>
      <c r="Y227" s="878"/>
      <c r="Z227" s="878"/>
    </row>
    <row r="228" ht="12.0" customHeight="1">
      <c r="A228" s="878"/>
      <c r="B228" s="879"/>
      <c r="C228" s="842"/>
      <c r="D228" s="878"/>
      <c r="E228" s="878"/>
      <c r="F228" s="878"/>
      <c r="G228" s="878"/>
      <c r="H228" s="878"/>
      <c r="I228" s="878"/>
      <c r="J228" s="878"/>
      <c r="K228" s="878"/>
      <c r="L228" s="878"/>
      <c r="M228" s="878"/>
      <c r="N228" s="878"/>
      <c r="O228" s="878"/>
      <c r="P228" s="878"/>
      <c r="Q228" s="878"/>
      <c r="R228" s="878"/>
      <c r="S228" s="878"/>
      <c r="T228" s="878"/>
      <c r="U228" s="878"/>
      <c r="V228" s="878"/>
      <c r="W228" s="878"/>
      <c r="X228" s="878"/>
      <c r="Y228" s="878"/>
      <c r="Z228" s="878"/>
    </row>
    <row r="229" ht="12.0" customHeight="1">
      <c r="A229" s="878"/>
      <c r="B229" s="879"/>
      <c r="C229" s="842"/>
      <c r="D229" s="878"/>
      <c r="E229" s="878"/>
      <c r="F229" s="878"/>
      <c r="G229" s="878"/>
      <c r="H229" s="878"/>
      <c r="I229" s="878"/>
      <c r="J229" s="878"/>
      <c r="K229" s="878"/>
      <c r="L229" s="878"/>
      <c r="M229" s="878"/>
      <c r="N229" s="878"/>
      <c r="O229" s="878"/>
      <c r="P229" s="878"/>
      <c r="Q229" s="878"/>
      <c r="R229" s="878"/>
      <c r="S229" s="878"/>
      <c r="T229" s="878"/>
      <c r="U229" s="878"/>
      <c r="V229" s="878"/>
      <c r="W229" s="878"/>
      <c r="X229" s="878"/>
      <c r="Y229" s="878"/>
      <c r="Z229" s="878"/>
    </row>
    <row r="230" ht="12.0" customHeight="1">
      <c r="A230" s="878"/>
      <c r="B230" s="879"/>
      <c r="C230" s="842"/>
      <c r="D230" s="878"/>
      <c r="E230" s="878"/>
      <c r="F230" s="878"/>
      <c r="G230" s="878"/>
      <c r="H230" s="878"/>
      <c r="I230" s="878"/>
      <c r="J230" s="878"/>
      <c r="K230" s="878"/>
      <c r="L230" s="878"/>
      <c r="M230" s="878"/>
      <c r="N230" s="878"/>
      <c r="O230" s="878"/>
      <c r="P230" s="878"/>
      <c r="Q230" s="878"/>
      <c r="R230" s="878"/>
      <c r="S230" s="878"/>
      <c r="T230" s="878"/>
      <c r="U230" s="878"/>
      <c r="V230" s="878"/>
      <c r="W230" s="878"/>
      <c r="X230" s="878"/>
      <c r="Y230" s="878"/>
      <c r="Z230" s="878"/>
    </row>
    <row r="231" ht="12.0" customHeight="1">
      <c r="A231" s="878"/>
      <c r="B231" s="879"/>
      <c r="C231" s="842"/>
      <c r="D231" s="878"/>
      <c r="E231" s="878"/>
      <c r="F231" s="878"/>
      <c r="G231" s="878"/>
      <c r="H231" s="878"/>
      <c r="I231" s="878"/>
      <c r="J231" s="878"/>
      <c r="K231" s="878"/>
      <c r="L231" s="878"/>
      <c r="M231" s="878"/>
      <c r="N231" s="878"/>
      <c r="O231" s="878"/>
      <c r="P231" s="878"/>
      <c r="Q231" s="878"/>
      <c r="R231" s="878"/>
      <c r="S231" s="878"/>
      <c r="T231" s="878"/>
      <c r="U231" s="878"/>
      <c r="V231" s="878"/>
      <c r="W231" s="878"/>
      <c r="X231" s="878"/>
      <c r="Y231" s="878"/>
      <c r="Z231" s="878"/>
    </row>
    <row r="232" ht="12.0" customHeight="1">
      <c r="A232" s="878"/>
      <c r="B232" s="879"/>
      <c r="C232" s="842"/>
      <c r="D232" s="878"/>
      <c r="E232" s="878"/>
      <c r="F232" s="878"/>
      <c r="G232" s="878"/>
      <c r="H232" s="878"/>
      <c r="I232" s="878"/>
      <c r="J232" s="878"/>
      <c r="K232" s="878"/>
      <c r="L232" s="878"/>
      <c r="M232" s="878"/>
      <c r="N232" s="878"/>
      <c r="O232" s="878"/>
      <c r="P232" s="878"/>
      <c r="Q232" s="878"/>
      <c r="R232" s="878"/>
      <c r="S232" s="878"/>
      <c r="T232" s="878"/>
      <c r="U232" s="878"/>
      <c r="V232" s="878"/>
      <c r="W232" s="878"/>
      <c r="X232" s="878"/>
      <c r="Y232" s="878"/>
      <c r="Z232" s="878"/>
    </row>
    <row r="233" ht="12.0" customHeight="1">
      <c r="A233" s="878"/>
      <c r="B233" s="879"/>
      <c r="C233" s="842"/>
      <c r="D233" s="878"/>
      <c r="E233" s="878"/>
      <c r="F233" s="878"/>
      <c r="G233" s="878"/>
      <c r="H233" s="878"/>
      <c r="I233" s="878"/>
      <c r="J233" s="878"/>
      <c r="K233" s="878"/>
      <c r="L233" s="878"/>
      <c r="M233" s="878"/>
      <c r="N233" s="878"/>
      <c r="O233" s="878"/>
      <c r="P233" s="878"/>
      <c r="Q233" s="878"/>
      <c r="R233" s="878"/>
      <c r="S233" s="878"/>
      <c r="T233" s="878"/>
      <c r="U233" s="878"/>
      <c r="V233" s="878"/>
      <c r="W233" s="878"/>
      <c r="X233" s="878"/>
      <c r="Y233" s="878"/>
      <c r="Z233" s="878"/>
    </row>
    <row r="234" ht="12.0" customHeight="1">
      <c r="A234" s="878"/>
      <c r="B234" s="879"/>
      <c r="C234" s="842"/>
      <c r="D234" s="878"/>
      <c r="E234" s="878"/>
      <c r="F234" s="878"/>
      <c r="G234" s="878"/>
      <c r="H234" s="878"/>
      <c r="I234" s="878"/>
      <c r="J234" s="878"/>
      <c r="K234" s="878"/>
      <c r="L234" s="878"/>
      <c r="M234" s="878"/>
      <c r="N234" s="878"/>
      <c r="O234" s="878"/>
      <c r="P234" s="878"/>
      <c r="Q234" s="878"/>
      <c r="R234" s="878"/>
      <c r="S234" s="878"/>
      <c r="T234" s="878"/>
      <c r="U234" s="878"/>
      <c r="V234" s="878"/>
      <c r="W234" s="878"/>
      <c r="X234" s="878"/>
      <c r="Y234" s="878"/>
      <c r="Z234" s="878"/>
    </row>
    <row r="235" ht="12.0" customHeight="1">
      <c r="A235" s="878"/>
      <c r="B235" s="879"/>
      <c r="C235" s="842"/>
      <c r="D235" s="878"/>
      <c r="E235" s="878"/>
      <c r="F235" s="878"/>
      <c r="G235" s="878"/>
      <c r="H235" s="878"/>
      <c r="I235" s="878"/>
      <c r="J235" s="878"/>
      <c r="K235" s="878"/>
      <c r="L235" s="878"/>
      <c r="M235" s="878"/>
      <c r="N235" s="878"/>
      <c r="O235" s="878"/>
      <c r="P235" s="878"/>
      <c r="Q235" s="878"/>
      <c r="R235" s="878"/>
      <c r="S235" s="878"/>
      <c r="T235" s="878"/>
      <c r="U235" s="878"/>
      <c r="V235" s="878"/>
      <c r="W235" s="878"/>
      <c r="X235" s="878"/>
      <c r="Y235" s="878"/>
      <c r="Z235" s="878"/>
    </row>
    <row r="236" ht="12.0" customHeight="1">
      <c r="A236" s="878"/>
      <c r="B236" s="879"/>
      <c r="C236" s="842"/>
      <c r="D236" s="878"/>
      <c r="E236" s="878"/>
      <c r="F236" s="878"/>
      <c r="G236" s="878"/>
      <c r="H236" s="878"/>
      <c r="I236" s="878"/>
      <c r="J236" s="878"/>
      <c r="K236" s="878"/>
      <c r="L236" s="878"/>
      <c r="M236" s="878"/>
      <c r="N236" s="878"/>
      <c r="O236" s="878"/>
      <c r="P236" s="878"/>
      <c r="Q236" s="878"/>
      <c r="R236" s="878"/>
      <c r="S236" s="878"/>
      <c r="T236" s="878"/>
      <c r="U236" s="878"/>
      <c r="V236" s="878"/>
      <c r="W236" s="878"/>
      <c r="X236" s="878"/>
      <c r="Y236" s="878"/>
      <c r="Z236" s="878"/>
    </row>
    <row r="237" ht="12.0" customHeight="1">
      <c r="A237" s="878"/>
      <c r="B237" s="879"/>
      <c r="C237" s="842"/>
      <c r="D237" s="878"/>
      <c r="E237" s="878"/>
      <c r="F237" s="878"/>
      <c r="G237" s="878"/>
      <c r="H237" s="878"/>
      <c r="I237" s="878"/>
      <c r="J237" s="878"/>
      <c r="K237" s="878"/>
      <c r="L237" s="878"/>
      <c r="M237" s="878"/>
      <c r="N237" s="878"/>
      <c r="O237" s="878"/>
      <c r="P237" s="878"/>
      <c r="Q237" s="878"/>
      <c r="R237" s="878"/>
      <c r="S237" s="878"/>
      <c r="T237" s="878"/>
      <c r="U237" s="878"/>
      <c r="V237" s="878"/>
      <c r="W237" s="878"/>
      <c r="X237" s="878"/>
      <c r="Y237" s="878"/>
      <c r="Z237" s="878"/>
    </row>
    <row r="238" ht="12.0" customHeight="1">
      <c r="A238" s="878"/>
      <c r="B238" s="879"/>
      <c r="C238" s="842"/>
      <c r="D238" s="878"/>
      <c r="E238" s="878"/>
      <c r="F238" s="878"/>
      <c r="G238" s="878"/>
      <c r="H238" s="878"/>
      <c r="I238" s="878"/>
      <c r="J238" s="878"/>
      <c r="K238" s="878"/>
      <c r="L238" s="878"/>
      <c r="M238" s="878"/>
      <c r="N238" s="878"/>
      <c r="O238" s="878"/>
      <c r="P238" s="878"/>
      <c r="Q238" s="878"/>
      <c r="R238" s="878"/>
      <c r="S238" s="878"/>
      <c r="T238" s="878"/>
      <c r="U238" s="878"/>
      <c r="V238" s="878"/>
      <c r="W238" s="878"/>
      <c r="X238" s="878"/>
      <c r="Y238" s="878"/>
      <c r="Z238" s="878"/>
    </row>
    <row r="239" ht="12.0" customHeight="1">
      <c r="A239" s="878"/>
      <c r="B239" s="879"/>
      <c r="C239" s="842"/>
      <c r="D239" s="878"/>
      <c r="E239" s="878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</row>
    <row r="240" ht="12.0" customHeight="1">
      <c r="A240" s="878"/>
      <c r="B240" s="879"/>
      <c r="C240" s="842"/>
      <c r="D240" s="878"/>
      <c r="E240" s="878"/>
      <c r="F240" s="878"/>
      <c r="G240" s="878"/>
      <c r="H240" s="878"/>
      <c r="I240" s="878"/>
      <c r="J240" s="878"/>
      <c r="K240" s="878"/>
      <c r="L240" s="878"/>
      <c r="M240" s="878"/>
      <c r="N240" s="878"/>
      <c r="O240" s="878"/>
      <c r="P240" s="878"/>
      <c r="Q240" s="878"/>
      <c r="R240" s="878"/>
      <c r="S240" s="878"/>
      <c r="T240" s="878"/>
      <c r="U240" s="878"/>
      <c r="V240" s="878"/>
      <c r="W240" s="878"/>
      <c r="X240" s="878"/>
      <c r="Y240" s="878"/>
      <c r="Z240" s="878"/>
    </row>
    <row r="241" ht="12.0" customHeight="1">
      <c r="A241" s="878"/>
      <c r="B241" s="879"/>
      <c r="C241" s="842"/>
      <c r="D241" s="878"/>
      <c r="E241" s="878"/>
      <c r="F241" s="878"/>
      <c r="G241" s="878"/>
      <c r="H241" s="878"/>
      <c r="I241" s="878"/>
      <c r="J241" s="878"/>
      <c r="K241" s="878"/>
      <c r="L241" s="878"/>
      <c r="M241" s="878"/>
      <c r="N241" s="878"/>
      <c r="O241" s="878"/>
      <c r="P241" s="878"/>
      <c r="Q241" s="878"/>
      <c r="R241" s="878"/>
      <c r="S241" s="878"/>
      <c r="T241" s="878"/>
      <c r="U241" s="878"/>
      <c r="V241" s="878"/>
      <c r="W241" s="878"/>
      <c r="X241" s="878"/>
      <c r="Y241" s="878"/>
      <c r="Z241" s="878"/>
    </row>
    <row r="242" ht="12.0" customHeight="1">
      <c r="A242" s="878"/>
      <c r="B242" s="879"/>
      <c r="C242" s="842"/>
      <c r="D242" s="878"/>
      <c r="E242" s="878"/>
      <c r="F242" s="878"/>
      <c r="G242" s="878"/>
      <c r="H242" s="878"/>
      <c r="I242" s="878"/>
      <c r="J242" s="878"/>
      <c r="K242" s="878"/>
      <c r="L242" s="878"/>
      <c r="M242" s="878"/>
      <c r="N242" s="878"/>
      <c r="O242" s="878"/>
      <c r="P242" s="878"/>
      <c r="Q242" s="878"/>
      <c r="R242" s="878"/>
      <c r="S242" s="878"/>
      <c r="T242" s="878"/>
      <c r="U242" s="878"/>
      <c r="V242" s="878"/>
      <c r="W242" s="878"/>
      <c r="X242" s="878"/>
      <c r="Y242" s="878"/>
      <c r="Z242" s="878"/>
    </row>
    <row r="243" ht="12.0" customHeight="1">
      <c r="A243" s="878"/>
      <c r="B243" s="879"/>
      <c r="C243" s="842"/>
      <c r="D243" s="878"/>
      <c r="E243" s="878"/>
      <c r="F243" s="878"/>
      <c r="G243" s="878"/>
      <c r="H243" s="878"/>
      <c r="I243" s="878"/>
      <c r="J243" s="878"/>
      <c r="K243" s="878"/>
      <c r="L243" s="878"/>
      <c r="M243" s="878"/>
      <c r="N243" s="878"/>
      <c r="O243" s="878"/>
      <c r="P243" s="878"/>
      <c r="Q243" s="878"/>
      <c r="R243" s="878"/>
      <c r="S243" s="878"/>
      <c r="T243" s="878"/>
      <c r="U243" s="878"/>
      <c r="V243" s="878"/>
      <c r="W243" s="878"/>
      <c r="X243" s="878"/>
      <c r="Y243" s="878"/>
      <c r="Z243" s="878"/>
    </row>
    <row r="244" ht="12.0" customHeight="1">
      <c r="A244" s="878"/>
      <c r="B244" s="879"/>
      <c r="C244" s="842"/>
      <c r="D244" s="878"/>
      <c r="E244" s="878"/>
      <c r="F244" s="878"/>
      <c r="G244" s="878"/>
      <c r="H244" s="878"/>
      <c r="I244" s="878"/>
      <c r="J244" s="878"/>
      <c r="K244" s="878"/>
      <c r="L244" s="878"/>
      <c r="M244" s="878"/>
      <c r="N244" s="878"/>
      <c r="O244" s="878"/>
      <c r="P244" s="878"/>
      <c r="Q244" s="878"/>
      <c r="R244" s="878"/>
      <c r="S244" s="878"/>
      <c r="T244" s="878"/>
      <c r="U244" s="878"/>
      <c r="V244" s="878"/>
      <c r="W244" s="878"/>
      <c r="X244" s="878"/>
      <c r="Y244" s="878"/>
      <c r="Z244" s="878"/>
    </row>
    <row r="245" ht="12.0" customHeight="1">
      <c r="A245" s="878"/>
      <c r="B245" s="879"/>
      <c r="C245" s="842"/>
      <c r="D245" s="878"/>
      <c r="E245" s="878"/>
      <c r="F245" s="878"/>
      <c r="G245" s="878"/>
      <c r="H245" s="878"/>
      <c r="I245" s="878"/>
      <c r="J245" s="878"/>
      <c r="K245" s="878"/>
      <c r="L245" s="878"/>
      <c r="M245" s="878"/>
      <c r="N245" s="878"/>
      <c r="O245" s="878"/>
      <c r="P245" s="878"/>
      <c r="Q245" s="878"/>
      <c r="R245" s="878"/>
      <c r="S245" s="878"/>
      <c r="T245" s="878"/>
      <c r="U245" s="878"/>
      <c r="V245" s="878"/>
      <c r="W245" s="878"/>
      <c r="X245" s="878"/>
      <c r="Y245" s="878"/>
      <c r="Z245" s="878"/>
    </row>
    <row r="246" ht="12.0" customHeight="1">
      <c r="A246" s="878"/>
      <c r="B246" s="879"/>
      <c r="C246" s="842"/>
      <c r="D246" s="878"/>
      <c r="E246" s="878"/>
      <c r="F246" s="878"/>
      <c r="G246" s="878"/>
      <c r="H246" s="878"/>
      <c r="I246" s="878"/>
      <c r="J246" s="878"/>
      <c r="K246" s="878"/>
      <c r="L246" s="878"/>
      <c r="M246" s="878"/>
      <c r="N246" s="878"/>
      <c r="O246" s="878"/>
      <c r="P246" s="878"/>
      <c r="Q246" s="878"/>
      <c r="R246" s="878"/>
      <c r="S246" s="878"/>
      <c r="T246" s="878"/>
      <c r="U246" s="878"/>
      <c r="V246" s="878"/>
      <c r="W246" s="878"/>
      <c r="X246" s="878"/>
      <c r="Y246" s="878"/>
      <c r="Z246" s="878"/>
    </row>
    <row r="247" ht="12.0" customHeight="1">
      <c r="A247" s="878"/>
      <c r="B247" s="879"/>
      <c r="C247" s="842"/>
      <c r="D247" s="878"/>
      <c r="E247" s="878"/>
      <c r="F247" s="878"/>
      <c r="G247" s="878"/>
      <c r="H247" s="878"/>
      <c r="I247" s="878"/>
      <c r="J247" s="878"/>
      <c r="K247" s="878"/>
      <c r="L247" s="878"/>
      <c r="M247" s="878"/>
      <c r="N247" s="878"/>
      <c r="O247" s="878"/>
      <c r="P247" s="878"/>
      <c r="Q247" s="878"/>
      <c r="R247" s="878"/>
      <c r="S247" s="878"/>
      <c r="T247" s="878"/>
      <c r="U247" s="878"/>
      <c r="V247" s="878"/>
      <c r="W247" s="878"/>
      <c r="X247" s="878"/>
      <c r="Y247" s="878"/>
      <c r="Z247" s="878"/>
    </row>
    <row r="248" ht="12.0" customHeight="1">
      <c r="A248" s="878"/>
      <c r="B248" s="879"/>
      <c r="C248" s="842"/>
      <c r="D248" s="878"/>
      <c r="E248" s="878"/>
      <c r="F248" s="878"/>
      <c r="G248" s="878"/>
      <c r="H248" s="878"/>
      <c r="I248" s="878"/>
      <c r="J248" s="878"/>
      <c r="K248" s="878"/>
      <c r="L248" s="878"/>
      <c r="M248" s="878"/>
      <c r="N248" s="878"/>
      <c r="O248" s="878"/>
      <c r="P248" s="878"/>
      <c r="Q248" s="878"/>
      <c r="R248" s="878"/>
      <c r="S248" s="878"/>
      <c r="T248" s="878"/>
      <c r="U248" s="878"/>
      <c r="V248" s="878"/>
      <c r="W248" s="878"/>
      <c r="X248" s="878"/>
      <c r="Y248" s="878"/>
      <c r="Z248" s="878"/>
    </row>
    <row r="249" ht="12.0" customHeight="1">
      <c r="A249" s="878"/>
      <c r="B249" s="879"/>
      <c r="C249" s="842"/>
      <c r="D249" s="878"/>
      <c r="E249" s="878"/>
      <c r="F249" s="878"/>
      <c r="G249" s="878"/>
      <c r="H249" s="878"/>
      <c r="I249" s="878"/>
      <c r="J249" s="878"/>
      <c r="K249" s="878"/>
      <c r="L249" s="878"/>
      <c r="M249" s="878"/>
      <c r="N249" s="878"/>
      <c r="O249" s="878"/>
      <c r="P249" s="878"/>
      <c r="Q249" s="878"/>
      <c r="R249" s="878"/>
      <c r="S249" s="878"/>
      <c r="T249" s="878"/>
      <c r="U249" s="878"/>
      <c r="V249" s="878"/>
      <c r="W249" s="878"/>
      <c r="X249" s="878"/>
      <c r="Y249" s="878"/>
      <c r="Z249" s="878"/>
    </row>
    <row r="250" ht="12.0" customHeight="1">
      <c r="A250" s="878"/>
      <c r="B250" s="879"/>
      <c r="C250" s="842"/>
      <c r="D250" s="878"/>
      <c r="E250" s="878"/>
      <c r="F250" s="878"/>
      <c r="G250" s="878"/>
      <c r="H250" s="878"/>
      <c r="I250" s="878"/>
      <c r="J250" s="878"/>
      <c r="K250" s="878"/>
      <c r="L250" s="878"/>
      <c r="M250" s="878"/>
      <c r="N250" s="878"/>
      <c r="O250" s="878"/>
      <c r="P250" s="878"/>
      <c r="Q250" s="878"/>
      <c r="R250" s="878"/>
      <c r="S250" s="878"/>
      <c r="T250" s="878"/>
      <c r="U250" s="878"/>
      <c r="V250" s="878"/>
      <c r="W250" s="878"/>
      <c r="X250" s="878"/>
      <c r="Y250" s="878"/>
      <c r="Z250" s="878"/>
    </row>
    <row r="251" ht="12.0" customHeight="1">
      <c r="A251" s="878"/>
      <c r="B251" s="879"/>
      <c r="C251" s="842"/>
      <c r="D251" s="878"/>
      <c r="E251" s="878"/>
      <c r="F251" s="878"/>
      <c r="G251" s="878"/>
      <c r="H251" s="878"/>
      <c r="I251" s="878"/>
      <c r="J251" s="878"/>
      <c r="K251" s="878"/>
      <c r="L251" s="878"/>
      <c r="M251" s="878"/>
      <c r="N251" s="878"/>
      <c r="O251" s="878"/>
      <c r="P251" s="878"/>
      <c r="Q251" s="878"/>
      <c r="R251" s="878"/>
      <c r="S251" s="878"/>
      <c r="T251" s="878"/>
      <c r="U251" s="878"/>
      <c r="V251" s="878"/>
      <c r="W251" s="878"/>
      <c r="X251" s="878"/>
      <c r="Y251" s="878"/>
      <c r="Z251" s="878"/>
    </row>
    <row r="252" ht="12.0" customHeight="1">
      <c r="A252" s="878"/>
      <c r="B252" s="879"/>
      <c r="C252" s="842"/>
      <c r="D252" s="878"/>
      <c r="E252" s="878"/>
      <c r="F252" s="878"/>
      <c r="G252" s="878"/>
      <c r="H252" s="878"/>
      <c r="I252" s="878"/>
      <c r="J252" s="878"/>
      <c r="K252" s="878"/>
      <c r="L252" s="878"/>
      <c r="M252" s="878"/>
      <c r="N252" s="878"/>
      <c r="O252" s="878"/>
      <c r="P252" s="878"/>
      <c r="Q252" s="878"/>
      <c r="R252" s="878"/>
      <c r="S252" s="878"/>
      <c r="T252" s="878"/>
      <c r="U252" s="878"/>
      <c r="V252" s="878"/>
      <c r="W252" s="878"/>
      <c r="X252" s="878"/>
      <c r="Y252" s="878"/>
      <c r="Z252" s="878"/>
    </row>
    <row r="253" ht="12.0" customHeight="1">
      <c r="A253" s="878"/>
      <c r="B253" s="879"/>
      <c r="C253" s="842"/>
      <c r="D253" s="878"/>
      <c r="E253" s="878"/>
      <c r="F253" s="878"/>
      <c r="G253" s="878"/>
      <c r="H253" s="878"/>
      <c r="I253" s="878"/>
      <c r="J253" s="878"/>
      <c r="K253" s="878"/>
      <c r="L253" s="878"/>
      <c r="M253" s="878"/>
      <c r="N253" s="878"/>
      <c r="O253" s="878"/>
      <c r="P253" s="878"/>
      <c r="Q253" s="878"/>
      <c r="R253" s="878"/>
      <c r="S253" s="878"/>
      <c r="T253" s="878"/>
      <c r="U253" s="878"/>
      <c r="V253" s="878"/>
      <c r="W253" s="878"/>
      <c r="X253" s="878"/>
      <c r="Y253" s="878"/>
      <c r="Z253" s="878"/>
    </row>
    <row r="254" ht="12.0" customHeight="1">
      <c r="A254" s="878"/>
      <c r="B254" s="879"/>
      <c r="C254" s="842"/>
      <c r="D254" s="878"/>
      <c r="E254" s="878"/>
      <c r="F254" s="878"/>
      <c r="G254" s="878"/>
      <c r="H254" s="878"/>
      <c r="I254" s="878"/>
      <c r="J254" s="878"/>
      <c r="K254" s="878"/>
      <c r="L254" s="878"/>
      <c r="M254" s="878"/>
      <c r="N254" s="878"/>
      <c r="O254" s="878"/>
      <c r="P254" s="878"/>
      <c r="Q254" s="878"/>
      <c r="R254" s="878"/>
      <c r="S254" s="878"/>
      <c r="T254" s="878"/>
      <c r="U254" s="878"/>
      <c r="V254" s="878"/>
      <c r="W254" s="878"/>
      <c r="X254" s="878"/>
      <c r="Y254" s="878"/>
      <c r="Z254" s="878"/>
    </row>
    <row r="255" ht="12.0" customHeight="1">
      <c r="A255" s="878"/>
      <c r="B255" s="879"/>
      <c r="C255" s="842"/>
      <c r="D255" s="878"/>
      <c r="E255" s="878"/>
      <c r="F255" s="878"/>
      <c r="G255" s="878"/>
      <c r="H255" s="878"/>
      <c r="I255" s="878"/>
      <c r="J255" s="878"/>
      <c r="K255" s="878"/>
      <c r="L255" s="878"/>
      <c r="M255" s="878"/>
      <c r="N255" s="878"/>
      <c r="O255" s="878"/>
      <c r="P255" s="878"/>
      <c r="Q255" s="878"/>
      <c r="R255" s="878"/>
      <c r="S255" s="878"/>
      <c r="T255" s="878"/>
      <c r="U255" s="878"/>
      <c r="V255" s="878"/>
      <c r="W255" s="878"/>
      <c r="X255" s="878"/>
      <c r="Y255" s="878"/>
      <c r="Z255" s="878"/>
    </row>
    <row r="256" ht="12.0" customHeight="1">
      <c r="A256" s="878"/>
      <c r="B256" s="879"/>
      <c r="C256" s="842"/>
      <c r="D256" s="878"/>
      <c r="E256" s="878"/>
      <c r="F256" s="878"/>
      <c r="G256" s="878"/>
      <c r="H256" s="878"/>
      <c r="I256" s="878"/>
      <c r="J256" s="878"/>
      <c r="K256" s="878"/>
      <c r="L256" s="878"/>
      <c r="M256" s="878"/>
      <c r="N256" s="878"/>
      <c r="O256" s="878"/>
      <c r="P256" s="878"/>
      <c r="Q256" s="878"/>
      <c r="R256" s="878"/>
      <c r="S256" s="878"/>
      <c r="T256" s="878"/>
      <c r="U256" s="878"/>
      <c r="V256" s="878"/>
      <c r="W256" s="878"/>
      <c r="X256" s="878"/>
      <c r="Y256" s="878"/>
      <c r="Z256" s="878"/>
    </row>
    <row r="257" ht="12.0" customHeight="1">
      <c r="A257" s="878"/>
      <c r="B257" s="879"/>
      <c r="C257" s="842"/>
      <c r="D257" s="878"/>
      <c r="E257" s="878"/>
      <c r="F257" s="878"/>
      <c r="G257" s="878"/>
      <c r="H257" s="878"/>
      <c r="I257" s="878"/>
      <c r="J257" s="878"/>
      <c r="K257" s="878"/>
      <c r="L257" s="878"/>
      <c r="M257" s="878"/>
      <c r="N257" s="878"/>
      <c r="O257" s="878"/>
      <c r="P257" s="878"/>
      <c r="Q257" s="878"/>
      <c r="R257" s="878"/>
      <c r="S257" s="878"/>
      <c r="T257" s="878"/>
      <c r="U257" s="878"/>
      <c r="V257" s="878"/>
      <c r="W257" s="878"/>
      <c r="X257" s="878"/>
      <c r="Y257" s="878"/>
      <c r="Z257" s="878"/>
    </row>
    <row r="258" ht="12.0" customHeight="1">
      <c r="A258" s="878"/>
      <c r="B258" s="879"/>
      <c r="C258" s="842"/>
      <c r="D258" s="878"/>
      <c r="E258" s="878"/>
      <c r="F258" s="878"/>
      <c r="G258" s="878"/>
      <c r="H258" s="878"/>
      <c r="I258" s="878"/>
      <c r="J258" s="878"/>
      <c r="K258" s="878"/>
      <c r="L258" s="878"/>
      <c r="M258" s="878"/>
      <c r="N258" s="878"/>
      <c r="O258" s="878"/>
      <c r="P258" s="878"/>
      <c r="Q258" s="878"/>
      <c r="R258" s="878"/>
      <c r="S258" s="878"/>
      <c r="T258" s="878"/>
      <c r="U258" s="878"/>
      <c r="V258" s="878"/>
      <c r="W258" s="878"/>
      <c r="X258" s="878"/>
      <c r="Y258" s="878"/>
      <c r="Z258" s="878"/>
    </row>
    <row r="259" ht="12.0" customHeight="1">
      <c r="A259" s="878"/>
      <c r="B259" s="879"/>
      <c r="C259" s="842"/>
      <c r="D259" s="878"/>
      <c r="E259" s="878"/>
      <c r="F259" s="878"/>
      <c r="G259" s="878"/>
      <c r="H259" s="878"/>
      <c r="I259" s="878"/>
      <c r="J259" s="878"/>
      <c r="K259" s="878"/>
      <c r="L259" s="878"/>
      <c r="M259" s="878"/>
      <c r="N259" s="878"/>
      <c r="O259" s="878"/>
      <c r="P259" s="878"/>
      <c r="Q259" s="878"/>
      <c r="R259" s="878"/>
      <c r="S259" s="878"/>
      <c r="T259" s="878"/>
      <c r="U259" s="878"/>
      <c r="V259" s="878"/>
      <c r="W259" s="878"/>
      <c r="X259" s="878"/>
      <c r="Y259" s="878"/>
      <c r="Z259" s="878"/>
    </row>
    <row r="260" ht="12.0" customHeight="1">
      <c r="A260" s="878"/>
      <c r="B260" s="879"/>
      <c r="C260" s="842"/>
      <c r="D260" s="878"/>
      <c r="E260" s="878"/>
      <c r="F260" s="878"/>
      <c r="G260" s="878"/>
      <c r="H260" s="878"/>
      <c r="I260" s="878"/>
      <c r="J260" s="878"/>
      <c r="K260" s="878"/>
      <c r="L260" s="878"/>
      <c r="M260" s="878"/>
      <c r="N260" s="878"/>
      <c r="O260" s="878"/>
      <c r="P260" s="878"/>
      <c r="Q260" s="878"/>
      <c r="R260" s="878"/>
      <c r="S260" s="878"/>
      <c r="T260" s="878"/>
      <c r="U260" s="878"/>
      <c r="V260" s="878"/>
      <c r="W260" s="878"/>
      <c r="X260" s="878"/>
      <c r="Y260" s="878"/>
      <c r="Z260" s="878"/>
    </row>
    <row r="261" ht="12.0" customHeight="1">
      <c r="A261" s="878"/>
      <c r="B261" s="879"/>
      <c r="C261" s="842"/>
      <c r="D261" s="878"/>
      <c r="E261" s="878"/>
      <c r="F261" s="878"/>
      <c r="G261" s="878"/>
      <c r="H261" s="878"/>
      <c r="I261" s="878"/>
      <c r="J261" s="878"/>
      <c r="K261" s="878"/>
      <c r="L261" s="878"/>
      <c r="M261" s="878"/>
      <c r="N261" s="878"/>
      <c r="O261" s="878"/>
      <c r="P261" s="878"/>
      <c r="Q261" s="878"/>
      <c r="R261" s="878"/>
      <c r="S261" s="878"/>
      <c r="T261" s="878"/>
      <c r="U261" s="878"/>
      <c r="V261" s="878"/>
      <c r="W261" s="878"/>
      <c r="X261" s="878"/>
      <c r="Y261" s="878"/>
      <c r="Z261" s="878"/>
    </row>
    <row r="262" ht="12.0" customHeight="1">
      <c r="A262" s="878"/>
      <c r="B262" s="879"/>
      <c r="C262" s="842"/>
      <c r="D262" s="878"/>
      <c r="E262" s="878"/>
      <c r="F262" s="878"/>
      <c r="G262" s="878"/>
      <c r="H262" s="878"/>
      <c r="I262" s="878"/>
      <c r="J262" s="878"/>
      <c r="K262" s="878"/>
      <c r="L262" s="878"/>
      <c r="M262" s="878"/>
      <c r="N262" s="878"/>
      <c r="O262" s="878"/>
      <c r="P262" s="878"/>
      <c r="Q262" s="878"/>
      <c r="R262" s="878"/>
      <c r="S262" s="878"/>
      <c r="T262" s="878"/>
      <c r="U262" s="878"/>
      <c r="V262" s="878"/>
      <c r="W262" s="878"/>
      <c r="X262" s="878"/>
      <c r="Y262" s="878"/>
      <c r="Z262" s="878"/>
    </row>
    <row r="263" ht="12.0" customHeight="1">
      <c r="A263" s="878"/>
      <c r="B263" s="879"/>
      <c r="C263" s="842"/>
      <c r="D263" s="878"/>
      <c r="E263" s="878"/>
      <c r="F263" s="878"/>
      <c r="G263" s="878"/>
      <c r="H263" s="878"/>
      <c r="I263" s="878"/>
      <c r="J263" s="878"/>
      <c r="K263" s="878"/>
      <c r="L263" s="878"/>
      <c r="M263" s="878"/>
      <c r="N263" s="878"/>
      <c r="O263" s="878"/>
      <c r="P263" s="878"/>
      <c r="Q263" s="878"/>
      <c r="R263" s="878"/>
      <c r="S263" s="878"/>
      <c r="T263" s="878"/>
      <c r="U263" s="878"/>
      <c r="V263" s="878"/>
      <c r="W263" s="878"/>
      <c r="X263" s="878"/>
      <c r="Y263" s="878"/>
      <c r="Z263" s="878"/>
    </row>
    <row r="264" ht="12.0" customHeight="1">
      <c r="A264" s="878"/>
      <c r="B264" s="879"/>
      <c r="C264" s="842"/>
      <c r="D264" s="878"/>
      <c r="E264" s="878"/>
      <c r="F264" s="878"/>
      <c r="G264" s="878"/>
      <c r="H264" s="878"/>
      <c r="I264" s="878"/>
      <c r="J264" s="878"/>
      <c r="K264" s="878"/>
      <c r="L264" s="878"/>
      <c r="M264" s="878"/>
      <c r="N264" s="878"/>
      <c r="O264" s="878"/>
      <c r="P264" s="878"/>
      <c r="Q264" s="878"/>
      <c r="R264" s="878"/>
      <c r="S264" s="878"/>
      <c r="T264" s="878"/>
      <c r="U264" s="878"/>
      <c r="V264" s="878"/>
      <c r="W264" s="878"/>
      <c r="X264" s="878"/>
      <c r="Y264" s="878"/>
      <c r="Z264" s="878"/>
    </row>
    <row r="265" ht="12.0" customHeight="1">
      <c r="A265" s="878"/>
      <c r="B265" s="879"/>
      <c r="C265" s="842"/>
      <c r="D265" s="878"/>
      <c r="E265" s="878"/>
      <c r="F265" s="878"/>
      <c r="G265" s="878"/>
      <c r="H265" s="878"/>
      <c r="I265" s="878"/>
      <c r="J265" s="878"/>
      <c r="K265" s="878"/>
      <c r="L265" s="878"/>
      <c r="M265" s="878"/>
      <c r="N265" s="878"/>
      <c r="O265" s="878"/>
      <c r="P265" s="878"/>
      <c r="Q265" s="878"/>
      <c r="R265" s="878"/>
      <c r="S265" s="878"/>
      <c r="T265" s="878"/>
      <c r="U265" s="878"/>
      <c r="V265" s="878"/>
      <c r="W265" s="878"/>
      <c r="X265" s="878"/>
      <c r="Y265" s="878"/>
      <c r="Z265" s="878"/>
    </row>
    <row r="266" ht="12.0" customHeight="1">
      <c r="A266" s="878"/>
      <c r="B266" s="879"/>
      <c r="C266" s="842"/>
      <c r="D266" s="878"/>
      <c r="E266" s="878"/>
      <c r="F266" s="878"/>
      <c r="G266" s="878"/>
      <c r="H266" s="878"/>
      <c r="I266" s="878"/>
      <c r="J266" s="878"/>
      <c r="K266" s="878"/>
      <c r="L266" s="878"/>
      <c r="M266" s="878"/>
      <c r="N266" s="878"/>
      <c r="O266" s="878"/>
      <c r="P266" s="878"/>
      <c r="Q266" s="878"/>
      <c r="R266" s="878"/>
      <c r="S266" s="878"/>
      <c r="T266" s="878"/>
      <c r="U266" s="878"/>
      <c r="V266" s="878"/>
      <c r="W266" s="878"/>
      <c r="X266" s="878"/>
      <c r="Y266" s="878"/>
      <c r="Z266" s="878"/>
    </row>
    <row r="267" ht="12.0" customHeight="1">
      <c r="A267" s="878"/>
      <c r="B267" s="879"/>
      <c r="C267" s="842"/>
      <c r="D267" s="878"/>
      <c r="E267" s="878"/>
      <c r="F267" s="878"/>
      <c r="G267" s="878"/>
      <c r="H267" s="878"/>
      <c r="I267" s="878"/>
      <c r="J267" s="878"/>
      <c r="K267" s="878"/>
      <c r="L267" s="878"/>
      <c r="M267" s="878"/>
      <c r="N267" s="878"/>
      <c r="O267" s="878"/>
      <c r="P267" s="878"/>
      <c r="Q267" s="878"/>
      <c r="R267" s="878"/>
      <c r="S267" s="878"/>
      <c r="T267" s="878"/>
      <c r="U267" s="878"/>
      <c r="V267" s="878"/>
      <c r="W267" s="878"/>
      <c r="X267" s="878"/>
      <c r="Y267" s="878"/>
      <c r="Z267" s="878"/>
    </row>
    <row r="268" ht="12.0" customHeight="1">
      <c r="A268" s="878"/>
      <c r="B268" s="879"/>
      <c r="C268" s="842"/>
      <c r="D268" s="878"/>
      <c r="E268" s="878"/>
      <c r="F268" s="878"/>
      <c r="G268" s="878"/>
      <c r="H268" s="878"/>
      <c r="I268" s="878"/>
      <c r="J268" s="878"/>
      <c r="K268" s="878"/>
      <c r="L268" s="878"/>
      <c r="M268" s="878"/>
      <c r="N268" s="878"/>
      <c r="O268" s="878"/>
      <c r="P268" s="878"/>
      <c r="Q268" s="878"/>
      <c r="R268" s="878"/>
      <c r="S268" s="878"/>
      <c r="T268" s="878"/>
      <c r="U268" s="878"/>
      <c r="V268" s="878"/>
      <c r="W268" s="878"/>
      <c r="X268" s="878"/>
      <c r="Y268" s="878"/>
      <c r="Z268" s="878"/>
    </row>
    <row r="269" ht="12.0" customHeight="1">
      <c r="A269" s="878"/>
      <c r="B269" s="879"/>
      <c r="C269" s="842"/>
      <c r="D269" s="878"/>
      <c r="E269" s="878"/>
      <c r="F269" s="878"/>
      <c r="G269" s="878"/>
      <c r="H269" s="878"/>
      <c r="I269" s="878"/>
      <c r="J269" s="878"/>
      <c r="K269" s="878"/>
      <c r="L269" s="878"/>
      <c r="M269" s="878"/>
      <c r="N269" s="878"/>
      <c r="O269" s="878"/>
      <c r="P269" s="878"/>
      <c r="Q269" s="878"/>
      <c r="R269" s="878"/>
      <c r="S269" s="878"/>
      <c r="T269" s="878"/>
      <c r="U269" s="878"/>
      <c r="V269" s="878"/>
      <c r="W269" s="878"/>
      <c r="X269" s="878"/>
      <c r="Y269" s="878"/>
      <c r="Z269" s="878"/>
    </row>
    <row r="270" ht="12.0" customHeight="1">
      <c r="A270" s="878"/>
      <c r="B270" s="879"/>
      <c r="C270" s="842"/>
      <c r="D270" s="878"/>
      <c r="E270" s="878"/>
      <c r="F270" s="878"/>
      <c r="G270" s="878"/>
      <c r="H270" s="878"/>
      <c r="I270" s="878"/>
      <c r="J270" s="878"/>
      <c r="K270" s="878"/>
      <c r="L270" s="878"/>
      <c r="M270" s="878"/>
      <c r="N270" s="878"/>
      <c r="O270" s="878"/>
      <c r="P270" s="878"/>
      <c r="Q270" s="878"/>
      <c r="R270" s="878"/>
      <c r="S270" s="878"/>
      <c r="T270" s="878"/>
      <c r="U270" s="878"/>
      <c r="V270" s="878"/>
      <c r="W270" s="878"/>
      <c r="X270" s="878"/>
      <c r="Y270" s="878"/>
      <c r="Z270" s="878"/>
    </row>
    <row r="271" ht="12.0" customHeight="1">
      <c r="A271" s="878"/>
      <c r="B271" s="879"/>
      <c r="C271" s="842"/>
      <c r="D271" s="878"/>
      <c r="E271" s="878"/>
      <c r="F271" s="878"/>
      <c r="G271" s="878"/>
      <c r="H271" s="878"/>
      <c r="I271" s="878"/>
      <c r="J271" s="878"/>
      <c r="K271" s="878"/>
      <c r="L271" s="878"/>
      <c r="M271" s="878"/>
      <c r="N271" s="878"/>
      <c r="O271" s="878"/>
      <c r="P271" s="878"/>
      <c r="Q271" s="878"/>
      <c r="R271" s="878"/>
      <c r="S271" s="878"/>
      <c r="T271" s="878"/>
      <c r="U271" s="878"/>
      <c r="V271" s="878"/>
      <c r="W271" s="878"/>
      <c r="X271" s="878"/>
      <c r="Y271" s="878"/>
      <c r="Z271" s="878"/>
    </row>
    <row r="272" ht="12.0" customHeight="1">
      <c r="A272" s="878"/>
      <c r="B272" s="879"/>
      <c r="C272" s="842"/>
      <c r="D272" s="878"/>
      <c r="E272" s="878"/>
      <c r="F272" s="878"/>
      <c r="G272" s="878"/>
      <c r="H272" s="878"/>
      <c r="I272" s="878"/>
      <c r="J272" s="878"/>
      <c r="K272" s="878"/>
      <c r="L272" s="878"/>
      <c r="M272" s="878"/>
      <c r="N272" s="878"/>
      <c r="O272" s="878"/>
      <c r="P272" s="878"/>
      <c r="Q272" s="878"/>
      <c r="R272" s="878"/>
      <c r="S272" s="878"/>
      <c r="T272" s="878"/>
      <c r="U272" s="878"/>
      <c r="V272" s="878"/>
      <c r="W272" s="878"/>
      <c r="X272" s="878"/>
      <c r="Y272" s="878"/>
      <c r="Z272" s="878"/>
    </row>
    <row r="273" ht="12.0" customHeight="1">
      <c r="A273" s="878"/>
      <c r="B273" s="879"/>
      <c r="C273" s="842"/>
      <c r="D273" s="878"/>
      <c r="E273" s="878"/>
      <c r="F273" s="878"/>
      <c r="G273" s="878"/>
      <c r="H273" s="878"/>
      <c r="I273" s="878"/>
      <c r="J273" s="878"/>
      <c r="K273" s="878"/>
      <c r="L273" s="878"/>
      <c r="M273" s="878"/>
      <c r="N273" s="878"/>
      <c r="O273" s="878"/>
      <c r="P273" s="878"/>
      <c r="Q273" s="878"/>
      <c r="R273" s="878"/>
      <c r="S273" s="878"/>
      <c r="T273" s="878"/>
      <c r="U273" s="878"/>
      <c r="V273" s="878"/>
      <c r="W273" s="878"/>
      <c r="X273" s="878"/>
      <c r="Y273" s="878"/>
      <c r="Z273" s="878"/>
    </row>
    <row r="274" ht="12.0" customHeight="1">
      <c r="A274" s="878"/>
      <c r="B274" s="879"/>
      <c r="C274" s="842"/>
      <c r="D274" s="878"/>
      <c r="E274" s="878"/>
      <c r="F274" s="878"/>
      <c r="G274" s="878"/>
      <c r="H274" s="878"/>
      <c r="I274" s="878"/>
      <c r="J274" s="878"/>
      <c r="K274" s="878"/>
      <c r="L274" s="878"/>
      <c r="M274" s="878"/>
      <c r="N274" s="878"/>
      <c r="O274" s="878"/>
      <c r="P274" s="878"/>
      <c r="Q274" s="878"/>
      <c r="R274" s="878"/>
      <c r="S274" s="878"/>
      <c r="T274" s="878"/>
      <c r="U274" s="878"/>
      <c r="V274" s="878"/>
      <c r="W274" s="878"/>
      <c r="X274" s="878"/>
      <c r="Y274" s="878"/>
      <c r="Z274" s="878"/>
    </row>
    <row r="275" ht="12.0" customHeight="1">
      <c r="A275" s="878"/>
      <c r="B275" s="879"/>
      <c r="C275" s="842"/>
      <c r="D275" s="878"/>
      <c r="E275" s="878"/>
      <c r="F275" s="878"/>
      <c r="G275" s="878"/>
      <c r="H275" s="878"/>
      <c r="I275" s="878"/>
      <c r="J275" s="878"/>
      <c r="K275" s="878"/>
      <c r="L275" s="878"/>
      <c r="M275" s="878"/>
      <c r="N275" s="878"/>
      <c r="O275" s="878"/>
      <c r="P275" s="878"/>
      <c r="Q275" s="878"/>
      <c r="R275" s="878"/>
      <c r="S275" s="878"/>
      <c r="T275" s="878"/>
      <c r="U275" s="878"/>
      <c r="V275" s="878"/>
      <c r="W275" s="878"/>
      <c r="X275" s="878"/>
      <c r="Y275" s="878"/>
      <c r="Z275" s="878"/>
    </row>
    <row r="276" ht="12.0" customHeight="1">
      <c r="A276" s="878"/>
      <c r="B276" s="879"/>
      <c r="C276" s="842"/>
      <c r="D276" s="878"/>
      <c r="E276" s="878"/>
      <c r="F276" s="878"/>
      <c r="G276" s="878"/>
      <c r="H276" s="878"/>
      <c r="I276" s="878"/>
      <c r="J276" s="878"/>
      <c r="K276" s="878"/>
      <c r="L276" s="878"/>
      <c r="M276" s="878"/>
      <c r="N276" s="878"/>
      <c r="O276" s="878"/>
      <c r="P276" s="878"/>
      <c r="Q276" s="878"/>
      <c r="R276" s="878"/>
      <c r="S276" s="878"/>
      <c r="T276" s="878"/>
      <c r="U276" s="878"/>
      <c r="V276" s="878"/>
      <c r="W276" s="878"/>
      <c r="X276" s="878"/>
      <c r="Y276" s="878"/>
      <c r="Z276" s="878"/>
    </row>
    <row r="277" ht="12.0" customHeight="1">
      <c r="A277" s="878"/>
      <c r="B277" s="879"/>
      <c r="C277" s="842"/>
      <c r="D277" s="878"/>
      <c r="E277" s="878"/>
      <c r="F277" s="878"/>
      <c r="G277" s="878"/>
      <c r="H277" s="878"/>
      <c r="I277" s="878"/>
      <c r="J277" s="878"/>
      <c r="K277" s="878"/>
      <c r="L277" s="878"/>
      <c r="M277" s="878"/>
      <c r="N277" s="878"/>
      <c r="O277" s="878"/>
      <c r="P277" s="878"/>
      <c r="Q277" s="878"/>
      <c r="R277" s="878"/>
      <c r="S277" s="878"/>
      <c r="T277" s="878"/>
      <c r="U277" s="878"/>
      <c r="V277" s="878"/>
      <c r="W277" s="878"/>
      <c r="X277" s="878"/>
      <c r="Y277" s="878"/>
      <c r="Z277" s="878"/>
    </row>
    <row r="278" ht="12.0" customHeight="1">
      <c r="A278" s="878"/>
      <c r="B278" s="879"/>
      <c r="C278" s="842"/>
      <c r="D278" s="878"/>
      <c r="E278" s="878"/>
      <c r="F278" s="878"/>
      <c r="G278" s="878"/>
      <c r="H278" s="878"/>
      <c r="I278" s="878"/>
      <c r="J278" s="878"/>
      <c r="K278" s="878"/>
      <c r="L278" s="878"/>
      <c r="M278" s="878"/>
      <c r="N278" s="878"/>
      <c r="O278" s="878"/>
      <c r="P278" s="878"/>
      <c r="Q278" s="878"/>
      <c r="R278" s="878"/>
      <c r="S278" s="878"/>
      <c r="T278" s="878"/>
      <c r="U278" s="878"/>
      <c r="V278" s="878"/>
      <c r="W278" s="878"/>
      <c r="X278" s="878"/>
      <c r="Y278" s="878"/>
      <c r="Z278" s="878"/>
    </row>
    <row r="279" ht="12.0" customHeight="1">
      <c r="A279" s="878"/>
      <c r="B279" s="879"/>
      <c r="C279" s="842"/>
      <c r="D279" s="878"/>
      <c r="E279" s="878"/>
      <c r="F279" s="878"/>
      <c r="G279" s="878"/>
      <c r="H279" s="878"/>
      <c r="I279" s="878"/>
      <c r="J279" s="878"/>
      <c r="K279" s="878"/>
      <c r="L279" s="878"/>
      <c r="M279" s="878"/>
      <c r="N279" s="878"/>
      <c r="O279" s="878"/>
      <c r="P279" s="878"/>
      <c r="Q279" s="878"/>
      <c r="R279" s="878"/>
      <c r="S279" s="878"/>
      <c r="T279" s="878"/>
      <c r="U279" s="878"/>
      <c r="V279" s="878"/>
      <c r="W279" s="878"/>
      <c r="X279" s="878"/>
      <c r="Y279" s="878"/>
      <c r="Z279" s="878"/>
    </row>
    <row r="280" ht="12.0" customHeight="1">
      <c r="A280" s="878"/>
      <c r="B280" s="879"/>
      <c r="C280" s="842"/>
      <c r="D280" s="878"/>
      <c r="E280" s="878"/>
      <c r="F280" s="878"/>
      <c r="G280" s="878"/>
      <c r="H280" s="878"/>
      <c r="I280" s="878"/>
      <c r="J280" s="878"/>
      <c r="K280" s="878"/>
      <c r="L280" s="878"/>
      <c r="M280" s="878"/>
      <c r="N280" s="878"/>
      <c r="O280" s="878"/>
      <c r="P280" s="878"/>
      <c r="Q280" s="878"/>
      <c r="R280" s="878"/>
      <c r="S280" s="878"/>
      <c r="T280" s="878"/>
      <c r="U280" s="878"/>
      <c r="V280" s="878"/>
      <c r="W280" s="878"/>
      <c r="X280" s="878"/>
      <c r="Y280" s="878"/>
      <c r="Z280" s="878"/>
    </row>
    <row r="281" ht="12.0" customHeight="1">
      <c r="A281" s="878"/>
      <c r="B281" s="879"/>
      <c r="C281" s="842"/>
      <c r="D281" s="878"/>
      <c r="E281" s="878"/>
      <c r="F281" s="878"/>
      <c r="G281" s="878"/>
      <c r="H281" s="878"/>
      <c r="I281" s="878"/>
      <c r="J281" s="878"/>
      <c r="K281" s="878"/>
      <c r="L281" s="878"/>
      <c r="M281" s="878"/>
      <c r="N281" s="878"/>
      <c r="O281" s="878"/>
      <c r="P281" s="878"/>
      <c r="Q281" s="878"/>
      <c r="R281" s="878"/>
      <c r="S281" s="878"/>
      <c r="T281" s="878"/>
      <c r="U281" s="878"/>
      <c r="V281" s="878"/>
      <c r="W281" s="878"/>
      <c r="X281" s="878"/>
      <c r="Y281" s="878"/>
      <c r="Z281" s="878"/>
    </row>
    <row r="282" ht="12.0" customHeight="1">
      <c r="A282" s="878"/>
      <c r="B282" s="879"/>
      <c r="C282" s="842"/>
      <c r="D282" s="878"/>
      <c r="E282" s="878"/>
      <c r="F282" s="878"/>
      <c r="G282" s="878"/>
      <c r="H282" s="878"/>
      <c r="I282" s="878"/>
      <c r="J282" s="878"/>
      <c r="K282" s="878"/>
      <c r="L282" s="878"/>
      <c r="M282" s="878"/>
      <c r="N282" s="878"/>
      <c r="O282" s="878"/>
      <c r="P282" s="878"/>
      <c r="Q282" s="878"/>
      <c r="R282" s="878"/>
      <c r="S282" s="878"/>
      <c r="T282" s="878"/>
      <c r="U282" s="878"/>
      <c r="V282" s="878"/>
      <c r="W282" s="878"/>
      <c r="X282" s="878"/>
      <c r="Y282" s="878"/>
      <c r="Z282" s="878"/>
    </row>
    <row r="283" ht="12.0" customHeight="1">
      <c r="A283" s="878"/>
      <c r="B283" s="879"/>
      <c r="C283" s="842"/>
      <c r="D283" s="878"/>
      <c r="E283" s="878"/>
      <c r="F283" s="878"/>
      <c r="G283" s="878"/>
      <c r="H283" s="878"/>
      <c r="I283" s="878"/>
      <c r="J283" s="878"/>
      <c r="K283" s="878"/>
      <c r="L283" s="878"/>
      <c r="M283" s="878"/>
      <c r="N283" s="878"/>
      <c r="O283" s="878"/>
      <c r="P283" s="878"/>
      <c r="Q283" s="878"/>
      <c r="R283" s="878"/>
      <c r="S283" s="878"/>
      <c r="T283" s="878"/>
      <c r="U283" s="878"/>
      <c r="V283" s="878"/>
      <c r="W283" s="878"/>
      <c r="X283" s="878"/>
      <c r="Y283" s="878"/>
      <c r="Z283" s="878"/>
    </row>
    <row r="284" ht="12.0" customHeight="1">
      <c r="A284" s="878"/>
      <c r="B284" s="879"/>
      <c r="C284" s="842"/>
      <c r="D284" s="878"/>
      <c r="E284" s="878"/>
      <c r="F284" s="878"/>
      <c r="G284" s="878"/>
      <c r="H284" s="878"/>
      <c r="I284" s="878"/>
      <c r="J284" s="878"/>
      <c r="K284" s="878"/>
      <c r="L284" s="878"/>
      <c r="M284" s="878"/>
      <c r="N284" s="878"/>
      <c r="O284" s="878"/>
      <c r="P284" s="878"/>
      <c r="Q284" s="878"/>
      <c r="R284" s="878"/>
      <c r="S284" s="878"/>
      <c r="T284" s="878"/>
      <c r="U284" s="878"/>
      <c r="V284" s="878"/>
      <c r="W284" s="878"/>
      <c r="X284" s="878"/>
      <c r="Y284" s="878"/>
      <c r="Z284" s="878"/>
    </row>
    <row r="285" ht="12.0" customHeight="1">
      <c r="A285" s="878"/>
      <c r="B285" s="879"/>
      <c r="C285" s="842"/>
      <c r="D285" s="878"/>
      <c r="E285" s="878"/>
      <c r="F285" s="878"/>
      <c r="G285" s="878"/>
      <c r="H285" s="878"/>
      <c r="I285" s="878"/>
      <c r="J285" s="878"/>
      <c r="K285" s="878"/>
      <c r="L285" s="878"/>
      <c r="M285" s="878"/>
      <c r="N285" s="878"/>
      <c r="O285" s="878"/>
      <c r="P285" s="878"/>
      <c r="Q285" s="878"/>
      <c r="R285" s="878"/>
      <c r="S285" s="878"/>
      <c r="T285" s="878"/>
      <c r="U285" s="878"/>
      <c r="V285" s="878"/>
      <c r="W285" s="878"/>
      <c r="X285" s="878"/>
      <c r="Y285" s="878"/>
      <c r="Z285" s="878"/>
    </row>
    <row r="286" ht="12.0" customHeight="1">
      <c r="A286" s="878"/>
      <c r="B286" s="879"/>
      <c r="C286" s="842"/>
      <c r="D286" s="878"/>
      <c r="E286" s="878"/>
      <c r="F286" s="878"/>
      <c r="G286" s="878"/>
      <c r="H286" s="878"/>
      <c r="I286" s="878"/>
      <c r="J286" s="878"/>
      <c r="K286" s="878"/>
      <c r="L286" s="878"/>
      <c r="M286" s="878"/>
      <c r="N286" s="878"/>
      <c r="O286" s="878"/>
      <c r="P286" s="878"/>
      <c r="Q286" s="878"/>
      <c r="R286" s="878"/>
      <c r="S286" s="878"/>
      <c r="T286" s="878"/>
      <c r="U286" s="878"/>
      <c r="V286" s="878"/>
      <c r="W286" s="878"/>
      <c r="X286" s="878"/>
      <c r="Y286" s="878"/>
      <c r="Z286" s="878"/>
    </row>
    <row r="287" ht="12.0" customHeight="1">
      <c r="A287" s="878"/>
      <c r="B287" s="879"/>
      <c r="C287" s="842"/>
      <c r="D287" s="878"/>
      <c r="E287" s="878"/>
      <c r="F287" s="878"/>
      <c r="G287" s="878"/>
      <c r="H287" s="878"/>
      <c r="I287" s="878"/>
      <c r="J287" s="878"/>
      <c r="K287" s="878"/>
      <c r="L287" s="878"/>
      <c r="M287" s="878"/>
      <c r="N287" s="878"/>
      <c r="O287" s="878"/>
      <c r="P287" s="878"/>
      <c r="Q287" s="878"/>
      <c r="R287" s="878"/>
      <c r="S287" s="878"/>
      <c r="T287" s="878"/>
      <c r="U287" s="878"/>
      <c r="V287" s="878"/>
      <c r="W287" s="878"/>
      <c r="X287" s="878"/>
      <c r="Y287" s="878"/>
      <c r="Z287" s="878"/>
    </row>
    <row r="288" ht="12.0" customHeight="1">
      <c r="A288" s="878"/>
      <c r="B288" s="879"/>
      <c r="C288" s="842"/>
      <c r="D288" s="878"/>
      <c r="E288" s="878"/>
      <c r="F288" s="878"/>
      <c r="G288" s="878"/>
      <c r="H288" s="878"/>
      <c r="I288" s="878"/>
      <c r="J288" s="878"/>
      <c r="K288" s="878"/>
      <c r="L288" s="878"/>
      <c r="M288" s="878"/>
      <c r="N288" s="878"/>
      <c r="O288" s="878"/>
      <c r="P288" s="878"/>
      <c r="Q288" s="878"/>
      <c r="R288" s="878"/>
      <c r="S288" s="878"/>
      <c r="T288" s="878"/>
      <c r="U288" s="878"/>
      <c r="V288" s="878"/>
      <c r="W288" s="878"/>
      <c r="X288" s="878"/>
      <c r="Y288" s="878"/>
      <c r="Z288" s="878"/>
    </row>
    <row r="289" ht="12.0" customHeight="1">
      <c r="A289" s="878"/>
      <c r="B289" s="879"/>
      <c r="C289" s="842"/>
      <c r="D289" s="878"/>
      <c r="E289" s="878"/>
      <c r="F289" s="878"/>
      <c r="G289" s="878"/>
      <c r="H289" s="878"/>
      <c r="I289" s="878"/>
      <c r="J289" s="878"/>
      <c r="K289" s="878"/>
      <c r="L289" s="878"/>
      <c r="M289" s="878"/>
      <c r="N289" s="878"/>
      <c r="O289" s="878"/>
      <c r="P289" s="878"/>
      <c r="Q289" s="878"/>
      <c r="R289" s="878"/>
      <c r="S289" s="878"/>
      <c r="T289" s="878"/>
      <c r="U289" s="878"/>
      <c r="V289" s="878"/>
      <c r="W289" s="878"/>
      <c r="X289" s="878"/>
      <c r="Y289" s="878"/>
      <c r="Z289" s="878"/>
    </row>
    <row r="290" ht="12.0" customHeight="1">
      <c r="A290" s="878"/>
      <c r="B290" s="879"/>
      <c r="C290" s="842"/>
      <c r="D290" s="878"/>
      <c r="E290" s="878"/>
      <c r="F290" s="878"/>
      <c r="G290" s="878"/>
      <c r="H290" s="878"/>
      <c r="I290" s="878"/>
      <c r="J290" s="878"/>
      <c r="K290" s="878"/>
      <c r="L290" s="878"/>
      <c r="M290" s="878"/>
      <c r="N290" s="878"/>
      <c r="O290" s="878"/>
      <c r="P290" s="878"/>
      <c r="Q290" s="878"/>
      <c r="R290" s="878"/>
      <c r="S290" s="878"/>
      <c r="T290" s="878"/>
      <c r="U290" s="878"/>
      <c r="V290" s="878"/>
      <c r="W290" s="878"/>
      <c r="X290" s="878"/>
      <c r="Y290" s="878"/>
      <c r="Z290" s="878"/>
    </row>
    <row r="291" ht="12.0" customHeight="1">
      <c r="A291" s="878"/>
      <c r="B291" s="879"/>
      <c r="C291" s="842"/>
      <c r="D291" s="878"/>
      <c r="E291" s="878"/>
      <c r="F291" s="878"/>
      <c r="G291" s="878"/>
      <c r="H291" s="878"/>
      <c r="I291" s="878"/>
      <c r="J291" s="878"/>
      <c r="K291" s="878"/>
      <c r="L291" s="878"/>
      <c r="M291" s="878"/>
      <c r="N291" s="878"/>
      <c r="O291" s="878"/>
      <c r="P291" s="878"/>
      <c r="Q291" s="878"/>
      <c r="R291" s="878"/>
      <c r="S291" s="878"/>
      <c r="T291" s="878"/>
      <c r="U291" s="878"/>
      <c r="V291" s="878"/>
      <c r="W291" s="878"/>
      <c r="X291" s="878"/>
      <c r="Y291" s="878"/>
      <c r="Z291" s="878"/>
    </row>
    <row r="292" ht="12.0" customHeight="1">
      <c r="A292" s="878"/>
      <c r="B292" s="879"/>
      <c r="C292" s="842"/>
      <c r="D292" s="878"/>
      <c r="E292" s="878"/>
      <c r="F292" s="878"/>
      <c r="G292" s="878"/>
      <c r="H292" s="878"/>
      <c r="I292" s="878"/>
      <c r="J292" s="878"/>
      <c r="K292" s="878"/>
      <c r="L292" s="878"/>
      <c r="M292" s="878"/>
      <c r="N292" s="878"/>
      <c r="O292" s="878"/>
      <c r="P292" s="878"/>
      <c r="Q292" s="878"/>
      <c r="R292" s="878"/>
      <c r="S292" s="878"/>
      <c r="T292" s="878"/>
      <c r="U292" s="878"/>
      <c r="V292" s="878"/>
      <c r="W292" s="878"/>
      <c r="X292" s="878"/>
      <c r="Y292" s="878"/>
      <c r="Z292" s="878"/>
    </row>
    <row r="293" ht="12.0" customHeight="1">
      <c r="A293" s="878"/>
      <c r="B293" s="879"/>
      <c r="C293" s="842"/>
      <c r="D293" s="878"/>
      <c r="E293" s="878"/>
      <c r="F293" s="878"/>
      <c r="G293" s="878"/>
      <c r="H293" s="878"/>
      <c r="I293" s="878"/>
      <c r="J293" s="878"/>
      <c r="K293" s="878"/>
      <c r="L293" s="878"/>
      <c r="M293" s="878"/>
      <c r="N293" s="878"/>
      <c r="O293" s="878"/>
      <c r="P293" s="878"/>
      <c r="Q293" s="878"/>
      <c r="R293" s="878"/>
      <c r="S293" s="878"/>
      <c r="T293" s="878"/>
      <c r="U293" s="878"/>
      <c r="V293" s="878"/>
      <c r="W293" s="878"/>
      <c r="X293" s="878"/>
      <c r="Y293" s="878"/>
      <c r="Z293" s="878"/>
    </row>
    <row r="294" ht="12.0" customHeight="1">
      <c r="A294" s="878"/>
      <c r="B294" s="879"/>
      <c r="C294" s="842"/>
      <c r="D294" s="878"/>
      <c r="E294" s="878"/>
      <c r="F294" s="878"/>
      <c r="G294" s="878"/>
      <c r="H294" s="878"/>
      <c r="I294" s="878"/>
      <c r="J294" s="878"/>
      <c r="K294" s="878"/>
      <c r="L294" s="878"/>
      <c r="M294" s="878"/>
      <c r="N294" s="878"/>
      <c r="O294" s="878"/>
      <c r="P294" s="878"/>
      <c r="Q294" s="878"/>
      <c r="R294" s="878"/>
      <c r="S294" s="878"/>
      <c r="T294" s="878"/>
      <c r="U294" s="878"/>
      <c r="V294" s="878"/>
      <c r="W294" s="878"/>
      <c r="X294" s="878"/>
      <c r="Y294" s="878"/>
      <c r="Z294" s="878"/>
    </row>
    <row r="295" ht="12.0" customHeight="1">
      <c r="A295" s="878"/>
      <c r="B295" s="879"/>
      <c r="C295" s="842"/>
      <c r="D295" s="878"/>
      <c r="E295" s="878"/>
      <c r="F295" s="878"/>
      <c r="G295" s="878"/>
      <c r="H295" s="878"/>
      <c r="I295" s="878"/>
      <c r="J295" s="878"/>
      <c r="K295" s="878"/>
      <c r="L295" s="878"/>
      <c r="M295" s="878"/>
      <c r="N295" s="878"/>
      <c r="O295" s="878"/>
      <c r="P295" s="878"/>
      <c r="Q295" s="878"/>
      <c r="R295" s="878"/>
      <c r="S295" s="878"/>
      <c r="T295" s="878"/>
      <c r="U295" s="878"/>
      <c r="V295" s="878"/>
      <c r="W295" s="878"/>
      <c r="X295" s="878"/>
      <c r="Y295" s="878"/>
      <c r="Z295" s="878"/>
    </row>
    <row r="296" ht="12.0" customHeight="1">
      <c r="A296" s="878"/>
      <c r="B296" s="879"/>
      <c r="C296" s="842"/>
      <c r="D296" s="878"/>
      <c r="E296" s="878"/>
      <c r="F296" s="878"/>
      <c r="G296" s="878"/>
      <c r="H296" s="878"/>
      <c r="I296" s="878"/>
      <c r="J296" s="878"/>
      <c r="K296" s="878"/>
      <c r="L296" s="878"/>
      <c r="M296" s="878"/>
      <c r="N296" s="878"/>
      <c r="O296" s="878"/>
      <c r="P296" s="878"/>
      <c r="Q296" s="878"/>
      <c r="R296" s="878"/>
      <c r="S296" s="878"/>
      <c r="T296" s="878"/>
      <c r="U296" s="878"/>
      <c r="V296" s="878"/>
      <c r="W296" s="878"/>
      <c r="X296" s="878"/>
      <c r="Y296" s="878"/>
      <c r="Z296" s="878"/>
    </row>
    <row r="297" ht="12.0" customHeight="1">
      <c r="A297" s="878"/>
      <c r="B297" s="879"/>
      <c r="C297" s="842"/>
      <c r="D297" s="878"/>
      <c r="E297" s="878"/>
      <c r="F297" s="878"/>
      <c r="G297" s="878"/>
      <c r="H297" s="878"/>
      <c r="I297" s="878"/>
      <c r="J297" s="878"/>
      <c r="K297" s="878"/>
      <c r="L297" s="878"/>
      <c r="M297" s="878"/>
      <c r="N297" s="878"/>
      <c r="O297" s="878"/>
      <c r="P297" s="878"/>
      <c r="Q297" s="878"/>
      <c r="R297" s="878"/>
      <c r="S297" s="878"/>
      <c r="T297" s="878"/>
      <c r="U297" s="878"/>
      <c r="V297" s="878"/>
      <c r="W297" s="878"/>
      <c r="X297" s="878"/>
      <c r="Y297" s="878"/>
      <c r="Z297" s="878"/>
    </row>
    <row r="298" ht="12.0" customHeight="1">
      <c r="A298" s="878"/>
      <c r="B298" s="879"/>
      <c r="C298" s="842"/>
      <c r="D298" s="878"/>
      <c r="E298" s="878"/>
      <c r="F298" s="878"/>
      <c r="G298" s="878"/>
      <c r="H298" s="878"/>
      <c r="I298" s="878"/>
      <c r="J298" s="878"/>
      <c r="K298" s="878"/>
      <c r="L298" s="878"/>
      <c r="M298" s="878"/>
      <c r="N298" s="878"/>
      <c r="O298" s="878"/>
      <c r="P298" s="878"/>
      <c r="Q298" s="878"/>
      <c r="R298" s="878"/>
      <c r="S298" s="878"/>
      <c r="T298" s="878"/>
      <c r="U298" s="878"/>
      <c r="V298" s="878"/>
      <c r="W298" s="878"/>
      <c r="X298" s="878"/>
      <c r="Y298" s="878"/>
      <c r="Z298" s="878"/>
    </row>
    <row r="299" ht="12.0" customHeight="1">
      <c r="A299" s="878"/>
      <c r="B299" s="879"/>
      <c r="C299" s="842"/>
      <c r="D299" s="878"/>
      <c r="E299" s="878"/>
      <c r="F299" s="878"/>
      <c r="G299" s="878"/>
      <c r="H299" s="878"/>
      <c r="I299" s="878"/>
      <c r="J299" s="878"/>
      <c r="K299" s="878"/>
      <c r="L299" s="878"/>
      <c r="M299" s="878"/>
      <c r="N299" s="878"/>
      <c r="O299" s="878"/>
      <c r="P299" s="878"/>
      <c r="Q299" s="878"/>
      <c r="R299" s="878"/>
      <c r="S299" s="878"/>
      <c r="T299" s="878"/>
      <c r="U299" s="878"/>
      <c r="V299" s="878"/>
      <c r="W299" s="878"/>
      <c r="X299" s="878"/>
      <c r="Y299" s="878"/>
      <c r="Z299" s="878"/>
    </row>
    <row r="300" ht="12.0" customHeight="1">
      <c r="A300" s="878"/>
      <c r="B300" s="879"/>
      <c r="C300" s="842"/>
      <c r="D300" s="878"/>
      <c r="E300" s="878"/>
      <c r="F300" s="878"/>
      <c r="G300" s="878"/>
      <c r="H300" s="878"/>
      <c r="I300" s="878"/>
      <c r="J300" s="878"/>
      <c r="K300" s="878"/>
      <c r="L300" s="878"/>
      <c r="M300" s="878"/>
      <c r="N300" s="878"/>
      <c r="O300" s="878"/>
      <c r="P300" s="878"/>
      <c r="Q300" s="878"/>
      <c r="R300" s="878"/>
      <c r="S300" s="878"/>
      <c r="T300" s="878"/>
      <c r="U300" s="878"/>
      <c r="V300" s="878"/>
      <c r="W300" s="878"/>
      <c r="X300" s="878"/>
      <c r="Y300" s="878"/>
      <c r="Z300" s="878"/>
    </row>
    <row r="301" ht="12.0" customHeight="1">
      <c r="A301" s="878"/>
      <c r="B301" s="879"/>
      <c r="C301" s="842"/>
      <c r="D301" s="878"/>
      <c r="E301" s="878"/>
      <c r="F301" s="878"/>
      <c r="G301" s="878"/>
      <c r="H301" s="878"/>
      <c r="I301" s="878"/>
      <c r="J301" s="878"/>
      <c r="K301" s="878"/>
      <c r="L301" s="878"/>
      <c r="M301" s="878"/>
      <c r="N301" s="878"/>
      <c r="O301" s="878"/>
      <c r="P301" s="878"/>
      <c r="Q301" s="878"/>
      <c r="R301" s="878"/>
      <c r="S301" s="878"/>
      <c r="T301" s="878"/>
      <c r="U301" s="878"/>
      <c r="V301" s="878"/>
      <c r="W301" s="878"/>
      <c r="X301" s="878"/>
      <c r="Y301" s="878"/>
      <c r="Z301" s="878"/>
    </row>
    <row r="302" ht="12.0" customHeight="1">
      <c r="A302" s="878"/>
      <c r="B302" s="879"/>
      <c r="C302" s="842"/>
      <c r="D302" s="878"/>
      <c r="E302" s="878"/>
      <c r="F302" s="878"/>
      <c r="G302" s="878"/>
      <c r="H302" s="878"/>
      <c r="I302" s="878"/>
      <c r="J302" s="878"/>
      <c r="K302" s="878"/>
      <c r="L302" s="878"/>
      <c r="M302" s="878"/>
      <c r="N302" s="878"/>
      <c r="O302" s="878"/>
      <c r="P302" s="878"/>
      <c r="Q302" s="878"/>
      <c r="R302" s="878"/>
      <c r="S302" s="878"/>
      <c r="T302" s="878"/>
      <c r="U302" s="878"/>
      <c r="V302" s="878"/>
      <c r="W302" s="878"/>
      <c r="X302" s="878"/>
      <c r="Y302" s="878"/>
      <c r="Z302" s="878"/>
    </row>
    <row r="303" ht="12.0" customHeight="1">
      <c r="A303" s="878"/>
      <c r="B303" s="879"/>
      <c r="C303" s="842"/>
      <c r="D303" s="878"/>
      <c r="E303" s="878"/>
      <c r="F303" s="878"/>
      <c r="G303" s="878"/>
      <c r="H303" s="878"/>
      <c r="I303" s="878"/>
      <c r="J303" s="878"/>
      <c r="K303" s="878"/>
      <c r="L303" s="878"/>
      <c r="M303" s="878"/>
      <c r="N303" s="878"/>
      <c r="O303" s="878"/>
      <c r="P303" s="878"/>
      <c r="Q303" s="878"/>
      <c r="R303" s="878"/>
      <c r="S303" s="878"/>
      <c r="T303" s="878"/>
      <c r="U303" s="878"/>
      <c r="V303" s="878"/>
      <c r="W303" s="878"/>
      <c r="X303" s="878"/>
      <c r="Y303" s="878"/>
      <c r="Z303" s="878"/>
    </row>
    <row r="304" ht="12.0" customHeight="1">
      <c r="A304" s="878"/>
      <c r="B304" s="879"/>
      <c r="C304" s="842"/>
      <c r="D304" s="878"/>
      <c r="E304" s="878"/>
      <c r="F304" s="878"/>
      <c r="G304" s="878"/>
      <c r="H304" s="878"/>
      <c r="I304" s="878"/>
      <c r="J304" s="878"/>
      <c r="K304" s="878"/>
      <c r="L304" s="878"/>
      <c r="M304" s="878"/>
      <c r="N304" s="878"/>
      <c r="O304" s="878"/>
      <c r="P304" s="878"/>
      <c r="Q304" s="878"/>
      <c r="R304" s="878"/>
      <c r="S304" s="878"/>
      <c r="T304" s="878"/>
      <c r="U304" s="878"/>
      <c r="V304" s="878"/>
      <c r="W304" s="878"/>
      <c r="X304" s="878"/>
      <c r="Y304" s="878"/>
      <c r="Z304" s="878"/>
    </row>
    <row r="305" ht="12.0" customHeight="1">
      <c r="A305" s="878"/>
      <c r="B305" s="879"/>
      <c r="C305" s="842"/>
      <c r="D305" s="878"/>
      <c r="E305" s="878"/>
      <c r="F305" s="878"/>
      <c r="G305" s="878"/>
      <c r="H305" s="878"/>
      <c r="I305" s="878"/>
      <c r="J305" s="878"/>
      <c r="K305" s="878"/>
      <c r="L305" s="878"/>
      <c r="M305" s="878"/>
      <c r="N305" s="878"/>
      <c r="O305" s="878"/>
      <c r="P305" s="878"/>
      <c r="Q305" s="878"/>
      <c r="R305" s="878"/>
      <c r="S305" s="878"/>
      <c r="T305" s="878"/>
      <c r="U305" s="878"/>
      <c r="V305" s="878"/>
      <c r="W305" s="878"/>
      <c r="X305" s="878"/>
      <c r="Y305" s="878"/>
      <c r="Z305" s="878"/>
    </row>
    <row r="306" ht="12.0" customHeight="1">
      <c r="A306" s="878"/>
      <c r="B306" s="879"/>
      <c r="C306" s="842"/>
      <c r="D306" s="878"/>
      <c r="E306" s="878"/>
      <c r="F306" s="878"/>
      <c r="G306" s="878"/>
      <c r="H306" s="878"/>
      <c r="I306" s="878"/>
      <c r="J306" s="878"/>
      <c r="K306" s="878"/>
      <c r="L306" s="878"/>
      <c r="M306" s="878"/>
      <c r="N306" s="878"/>
      <c r="O306" s="878"/>
      <c r="P306" s="878"/>
      <c r="Q306" s="878"/>
      <c r="R306" s="878"/>
      <c r="S306" s="878"/>
      <c r="T306" s="878"/>
      <c r="U306" s="878"/>
      <c r="V306" s="878"/>
      <c r="W306" s="878"/>
      <c r="X306" s="878"/>
      <c r="Y306" s="878"/>
      <c r="Z306" s="878"/>
    </row>
    <row r="307" ht="12.0" customHeight="1">
      <c r="A307" s="878"/>
      <c r="B307" s="879"/>
      <c r="C307" s="842"/>
      <c r="D307" s="878"/>
      <c r="E307" s="878"/>
      <c r="F307" s="878"/>
      <c r="G307" s="878"/>
      <c r="H307" s="878"/>
      <c r="I307" s="878"/>
      <c r="J307" s="878"/>
      <c r="K307" s="878"/>
      <c r="L307" s="878"/>
      <c r="M307" s="878"/>
      <c r="N307" s="878"/>
      <c r="O307" s="878"/>
      <c r="P307" s="878"/>
      <c r="Q307" s="878"/>
      <c r="R307" s="878"/>
      <c r="S307" s="878"/>
      <c r="T307" s="878"/>
      <c r="U307" s="878"/>
      <c r="V307" s="878"/>
      <c r="W307" s="878"/>
      <c r="X307" s="878"/>
      <c r="Y307" s="878"/>
      <c r="Z307" s="878"/>
    </row>
    <row r="308" ht="12.0" customHeight="1">
      <c r="A308" s="878"/>
      <c r="B308" s="879"/>
      <c r="C308" s="842"/>
      <c r="D308" s="878"/>
      <c r="E308" s="878"/>
      <c r="F308" s="878"/>
      <c r="G308" s="878"/>
      <c r="H308" s="878"/>
      <c r="I308" s="878"/>
      <c r="J308" s="878"/>
      <c r="K308" s="878"/>
      <c r="L308" s="878"/>
      <c r="M308" s="878"/>
      <c r="N308" s="878"/>
      <c r="O308" s="878"/>
      <c r="P308" s="878"/>
      <c r="Q308" s="878"/>
      <c r="R308" s="878"/>
      <c r="S308" s="878"/>
      <c r="T308" s="878"/>
      <c r="U308" s="878"/>
      <c r="V308" s="878"/>
      <c r="W308" s="878"/>
      <c r="X308" s="878"/>
      <c r="Y308" s="878"/>
      <c r="Z308" s="878"/>
    </row>
    <row r="309" ht="12.0" customHeight="1">
      <c r="A309" s="878"/>
      <c r="B309" s="879"/>
      <c r="C309" s="842"/>
      <c r="D309" s="878"/>
      <c r="E309" s="878"/>
      <c r="F309" s="878"/>
      <c r="G309" s="878"/>
      <c r="H309" s="878"/>
      <c r="I309" s="878"/>
      <c r="J309" s="878"/>
      <c r="K309" s="878"/>
      <c r="L309" s="878"/>
      <c r="M309" s="878"/>
      <c r="N309" s="878"/>
      <c r="O309" s="878"/>
      <c r="P309" s="878"/>
      <c r="Q309" s="878"/>
      <c r="R309" s="878"/>
      <c r="S309" s="878"/>
      <c r="T309" s="878"/>
      <c r="U309" s="878"/>
      <c r="V309" s="878"/>
      <c r="W309" s="878"/>
      <c r="X309" s="878"/>
      <c r="Y309" s="878"/>
      <c r="Z309" s="878"/>
    </row>
    <row r="310" ht="12.0" customHeight="1">
      <c r="A310" s="878"/>
      <c r="B310" s="879"/>
      <c r="C310" s="842"/>
      <c r="D310" s="878"/>
      <c r="E310" s="878"/>
      <c r="F310" s="878"/>
      <c r="G310" s="878"/>
      <c r="H310" s="878"/>
      <c r="I310" s="878"/>
      <c r="J310" s="878"/>
      <c r="K310" s="878"/>
      <c r="L310" s="878"/>
      <c r="M310" s="878"/>
      <c r="N310" s="878"/>
      <c r="O310" s="878"/>
      <c r="P310" s="878"/>
      <c r="Q310" s="878"/>
      <c r="R310" s="878"/>
      <c r="S310" s="878"/>
      <c r="T310" s="878"/>
      <c r="U310" s="878"/>
      <c r="V310" s="878"/>
      <c r="W310" s="878"/>
      <c r="X310" s="878"/>
      <c r="Y310" s="878"/>
      <c r="Z310" s="878"/>
    </row>
    <row r="311" ht="12.0" customHeight="1">
      <c r="A311" s="878"/>
      <c r="B311" s="879"/>
      <c r="C311" s="842"/>
      <c r="D311" s="878"/>
      <c r="E311" s="878"/>
      <c r="F311" s="878"/>
      <c r="G311" s="878"/>
      <c r="H311" s="878"/>
      <c r="I311" s="878"/>
      <c r="J311" s="878"/>
      <c r="K311" s="878"/>
      <c r="L311" s="878"/>
      <c r="M311" s="878"/>
      <c r="N311" s="878"/>
      <c r="O311" s="878"/>
      <c r="P311" s="878"/>
      <c r="Q311" s="878"/>
      <c r="R311" s="878"/>
      <c r="S311" s="878"/>
      <c r="T311" s="878"/>
      <c r="U311" s="878"/>
      <c r="V311" s="878"/>
      <c r="W311" s="878"/>
      <c r="X311" s="878"/>
      <c r="Y311" s="878"/>
      <c r="Z311" s="878"/>
    </row>
    <row r="312" ht="12.0" customHeight="1">
      <c r="A312" s="878"/>
      <c r="B312" s="879"/>
      <c r="C312" s="842"/>
      <c r="D312" s="878"/>
      <c r="E312" s="878"/>
      <c r="F312" s="878"/>
      <c r="G312" s="878"/>
      <c r="H312" s="878"/>
      <c r="I312" s="878"/>
      <c r="J312" s="878"/>
      <c r="K312" s="878"/>
      <c r="L312" s="878"/>
      <c r="M312" s="878"/>
      <c r="N312" s="878"/>
      <c r="O312" s="878"/>
      <c r="P312" s="878"/>
      <c r="Q312" s="878"/>
      <c r="R312" s="878"/>
      <c r="S312" s="878"/>
      <c r="T312" s="878"/>
      <c r="U312" s="878"/>
      <c r="V312" s="878"/>
      <c r="W312" s="878"/>
      <c r="X312" s="878"/>
      <c r="Y312" s="878"/>
      <c r="Z312" s="878"/>
    </row>
    <row r="313" ht="12.0" customHeight="1">
      <c r="A313" s="878"/>
      <c r="B313" s="879"/>
      <c r="C313" s="842"/>
      <c r="D313" s="878"/>
      <c r="E313" s="878"/>
      <c r="F313" s="878"/>
      <c r="G313" s="878"/>
      <c r="H313" s="878"/>
      <c r="I313" s="878"/>
      <c r="J313" s="878"/>
      <c r="K313" s="878"/>
      <c r="L313" s="878"/>
      <c r="M313" s="878"/>
      <c r="N313" s="878"/>
      <c r="O313" s="878"/>
      <c r="P313" s="878"/>
      <c r="Q313" s="878"/>
      <c r="R313" s="878"/>
      <c r="S313" s="878"/>
      <c r="T313" s="878"/>
      <c r="U313" s="878"/>
      <c r="V313" s="878"/>
      <c r="W313" s="878"/>
      <c r="X313" s="878"/>
      <c r="Y313" s="878"/>
      <c r="Z313" s="878"/>
    </row>
    <row r="314" ht="12.0" customHeight="1">
      <c r="A314" s="878"/>
      <c r="B314" s="879"/>
      <c r="C314" s="842"/>
      <c r="D314" s="878"/>
      <c r="E314" s="878"/>
      <c r="F314" s="878"/>
      <c r="G314" s="878"/>
      <c r="H314" s="878"/>
      <c r="I314" s="878"/>
      <c r="J314" s="878"/>
      <c r="K314" s="878"/>
      <c r="L314" s="878"/>
      <c r="M314" s="878"/>
      <c r="N314" s="878"/>
      <c r="O314" s="878"/>
      <c r="P314" s="878"/>
      <c r="Q314" s="878"/>
      <c r="R314" s="878"/>
      <c r="S314" s="878"/>
      <c r="T314" s="878"/>
      <c r="U314" s="878"/>
      <c r="V314" s="878"/>
      <c r="W314" s="878"/>
      <c r="X314" s="878"/>
      <c r="Y314" s="878"/>
      <c r="Z314" s="878"/>
    </row>
    <row r="315" ht="12.0" customHeight="1">
      <c r="A315" s="878"/>
      <c r="B315" s="879"/>
      <c r="C315" s="842"/>
      <c r="D315" s="878"/>
      <c r="E315" s="878"/>
      <c r="F315" s="878"/>
      <c r="G315" s="878"/>
      <c r="H315" s="878"/>
      <c r="I315" s="878"/>
      <c r="J315" s="878"/>
      <c r="K315" s="878"/>
      <c r="L315" s="878"/>
      <c r="M315" s="878"/>
      <c r="N315" s="878"/>
      <c r="O315" s="878"/>
      <c r="P315" s="878"/>
      <c r="Q315" s="878"/>
      <c r="R315" s="878"/>
      <c r="S315" s="878"/>
      <c r="T315" s="878"/>
      <c r="U315" s="878"/>
      <c r="V315" s="878"/>
      <c r="W315" s="878"/>
      <c r="X315" s="878"/>
      <c r="Y315" s="878"/>
      <c r="Z315" s="878"/>
    </row>
    <row r="316" ht="12.0" customHeight="1">
      <c r="A316" s="878"/>
      <c r="B316" s="879"/>
      <c r="C316" s="842"/>
      <c r="D316" s="878"/>
      <c r="E316" s="878"/>
      <c r="F316" s="878"/>
      <c r="G316" s="878"/>
      <c r="H316" s="878"/>
      <c r="I316" s="878"/>
      <c r="J316" s="878"/>
      <c r="K316" s="878"/>
      <c r="L316" s="878"/>
      <c r="M316" s="878"/>
      <c r="N316" s="878"/>
      <c r="O316" s="878"/>
      <c r="P316" s="878"/>
      <c r="Q316" s="878"/>
      <c r="R316" s="878"/>
      <c r="S316" s="878"/>
      <c r="T316" s="878"/>
      <c r="U316" s="878"/>
      <c r="V316" s="878"/>
      <c r="W316" s="878"/>
      <c r="X316" s="878"/>
      <c r="Y316" s="878"/>
      <c r="Z316" s="878"/>
    </row>
    <row r="317" ht="12.0" customHeight="1">
      <c r="A317" s="878"/>
      <c r="B317" s="879"/>
      <c r="C317" s="842"/>
      <c r="D317" s="878"/>
      <c r="E317" s="878"/>
      <c r="F317" s="878"/>
      <c r="G317" s="878"/>
      <c r="H317" s="878"/>
      <c r="I317" s="878"/>
      <c r="J317" s="878"/>
      <c r="K317" s="878"/>
      <c r="L317" s="878"/>
      <c r="M317" s="878"/>
      <c r="N317" s="878"/>
      <c r="O317" s="878"/>
      <c r="P317" s="878"/>
      <c r="Q317" s="878"/>
      <c r="R317" s="878"/>
      <c r="S317" s="878"/>
      <c r="T317" s="878"/>
      <c r="U317" s="878"/>
      <c r="V317" s="878"/>
      <c r="W317" s="878"/>
      <c r="X317" s="878"/>
      <c r="Y317" s="878"/>
      <c r="Z317" s="878"/>
    </row>
    <row r="318" ht="12.0" customHeight="1">
      <c r="A318" s="878"/>
      <c r="B318" s="879"/>
      <c r="C318" s="842"/>
      <c r="D318" s="878"/>
      <c r="E318" s="878"/>
      <c r="F318" s="878"/>
      <c r="G318" s="878"/>
      <c r="H318" s="878"/>
      <c r="I318" s="878"/>
      <c r="J318" s="878"/>
      <c r="K318" s="878"/>
      <c r="L318" s="878"/>
      <c r="M318" s="878"/>
      <c r="N318" s="878"/>
      <c r="O318" s="878"/>
      <c r="P318" s="878"/>
      <c r="Q318" s="878"/>
      <c r="R318" s="878"/>
      <c r="S318" s="878"/>
      <c r="T318" s="878"/>
      <c r="U318" s="878"/>
      <c r="V318" s="878"/>
      <c r="W318" s="878"/>
      <c r="X318" s="878"/>
      <c r="Y318" s="878"/>
      <c r="Z318" s="878"/>
    </row>
    <row r="319" ht="12.0" customHeight="1">
      <c r="A319" s="878"/>
      <c r="B319" s="879"/>
      <c r="C319" s="842"/>
      <c r="D319" s="878"/>
      <c r="E319" s="878"/>
      <c r="F319" s="878"/>
      <c r="G319" s="878"/>
      <c r="H319" s="878"/>
      <c r="I319" s="878"/>
      <c r="J319" s="878"/>
      <c r="K319" s="878"/>
      <c r="L319" s="878"/>
      <c r="M319" s="878"/>
      <c r="N319" s="878"/>
      <c r="O319" s="878"/>
      <c r="P319" s="878"/>
      <c r="Q319" s="878"/>
      <c r="R319" s="878"/>
      <c r="S319" s="878"/>
      <c r="T319" s="878"/>
      <c r="U319" s="878"/>
      <c r="V319" s="878"/>
      <c r="W319" s="878"/>
      <c r="X319" s="878"/>
      <c r="Y319" s="878"/>
      <c r="Z319" s="878"/>
    </row>
    <row r="320" ht="12.0" customHeight="1">
      <c r="A320" s="878"/>
      <c r="B320" s="879"/>
      <c r="C320" s="842"/>
      <c r="D320" s="878"/>
      <c r="E320" s="878"/>
      <c r="F320" s="878"/>
      <c r="G320" s="878"/>
      <c r="H320" s="878"/>
      <c r="I320" s="878"/>
      <c r="J320" s="878"/>
      <c r="K320" s="878"/>
      <c r="L320" s="878"/>
      <c r="M320" s="878"/>
      <c r="N320" s="878"/>
      <c r="O320" s="878"/>
      <c r="P320" s="878"/>
      <c r="Q320" s="878"/>
      <c r="R320" s="878"/>
      <c r="S320" s="878"/>
      <c r="T320" s="878"/>
      <c r="U320" s="878"/>
      <c r="V320" s="878"/>
      <c r="W320" s="878"/>
      <c r="X320" s="878"/>
      <c r="Y320" s="878"/>
      <c r="Z320" s="878"/>
    </row>
    <row r="321" ht="12.0" customHeight="1">
      <c r="A321" s="878"/>
      <c r="B321" s="879"/>
      <c r="C321" s="842"/>
      <c r="D321" s="878"/>
      <c r="E321" s="878"/>
      <c r="F321" s="878"/>
      <c r="G321" s="878"/>
      <c r="H321" s="878"/>
      <c r="I321" s="878"/>
      <c r="J321" s="878"/>
      <c r="K321" s="878"/>
      <c r="L321" s="878"/>
      <c r="M321" s="878"/>
      <c r="N321" s="878"/>
      <c r="O321" s="878"/>
      <c r="P321" s="878"/>
      <c r="Q321" s="878"/>
      <c r="R321" s="878"/>
      <c r="S321" s="878"/>
      <c r="T321" s="878"/>
      <c r="U321" s="878"/>
      <c r="V321" s="878"/>
      <c r="W321" s="878"/>
      <c r="X321" s="878"/>
      <c r="Y321" s="878"/>
      <c r="Z321" s="878"/>
    </row>
    <row r="322" ht="12.0" customHeight="1">
      <c r="A322" s="878"/>
      <c r="B322" s="879"/>
      <c r="C322" s="842"/>
      <c r="D322" s="878"/>
      <c r="E322" s="878"/>
      <c r="F322" s="878"/>
      <c r="G322" s="878"/>
      <c r="H322" s="878"/>
      <c r="I322" s="878"/>
      <c r="J322" s="878"/>
      <c r="K322" s="878"/>
      <c r="L322" s="878"/>
      <c r="M322" s="878"/>
      <c r="N322" s="878"/>
      <c r="O322" s="878"/>
      <c r="P322" s="878"/>
      <c r="Q322" s="878"/>
      <c r="R322" s="878"/>
      <c r="S322" s="878"/>
      <c r="T322" s="878"/>
      <c r="U322" s="878"/>
      <c r="V322" s="878"/>
      <c r="W322" s="878"/>
      <c r="X322" s="878"/>
      <c r="Y322" s="878"/>
      <c r="Z322" s="878"/>
    </row>
    <row r="323" ht="12.0" customHeight="1">
      <c r="A323" s="878"/>
      <c r="B323" s="879"/>
      <c r="C323" s="842"/>
      <c r="D323" s="878"/>
      <c r="E323" s="878"/>
      <c r="F323" s="878"/>
      <c r="G323" s="878"/>
      <c r="H323" s="878"/>
      <c r="I323" s="878"/>
      <c r="J323" s="878"/>
      <c r="K323" s="878"/>
      <c r="L323" s="878"/>
      <c r="M323" s="878"/>
      <c r="N323" s="878"/>
      <c r="O323" s="878"/>
      <c r="P323" s="878"/>
      <c r="Q323" s="878"/>
      <c r="R323" s="878"/>
      <c r="S323" s="878"/>
      <c r="T323" s="878"/>
      <c r="U323" s="878"/>
      <c r="V323" s="878"/>
      <c r="W323" s="878"/>
      <c r="X323" s="878"/>
      <c r="Y323" s="878"/>
      <c r="Z323" s="878"/>
    </row>
    <row r="324" ht="12.0" customHeight="1">
      <c r="A324" s="878"/>
      <c r="B324" s="879"/>
      <c r="C324" s="842"/>
      <c r="D324" s="878"/>
      <c r="E324" s="878"/>
      <c r="F324" s="878"/>
      <c r="G324" s="878"/>
      <c r="H324" s="878"/>
      <c r="I324" s="878"/>
      <c r="J324" s="878"/>
      <c r="K324" s="878"/>
      <c r="L324" s="878"/>
      <c r="M324" s="878"/>
      <c r="N324" s="878"/>
      <c r="O324" s="878"/>
      <c r="P324" s="878"/>
      <c r="Q324" s="878"/>
      <c r="R324" s="878"/>
      <c r="S324" s="878"/>
      <c r="T324" s="878"/>
      <c r="U324" s="878"/>
      <c r="V324" s="878"/>
      <c r="W324" s="878"/>
      <c r="X324" s="878"/>
      <c r="Y324" s="878"/>
      <c r="Z324" s="878"/>
    </row>
    <row r="325" ht="12.0" customHeight="1">
      <c r="A325" s="878"/>
      <c r="B325" s="879"/>
      <c r="C325" s="842"/>
      <c r="D325" s="878"/>
      <c r="E325" s="878"/>
      <c r="F325" s="878"/>
      <c r="G325" s="878"/>
      <c r="H325" s="878"/>
      <c r="I325" s="878"/>
      <c r="J325" s="878"/>
      <c r="K325" s="878"/>
      <c r="L325" s="878"/>
      <c r="M325" s="878"/>
      <c r="N325" s="878"/>
      <c r="O325" s="878"/>
      <c r="P325" s="878"/>
      <c r="Q325" s="878"/>
      <c r="R325" s="878"/>
      <c r="S325" s="878"/>
      <c r="T325" s="878"/>
      <c r="U325" s="878"/>
      <c r="V325" s="878"/>
      <c r="W325" s="878"/>
      <c r="X325" s="878"/>
      <c r="Y325" s="878"/>
      <c r="Z325" s="878"/>
    </row>
    <row r="326" ht="12.0" customHeight="1">
      <c r="A326" s="878"/>
      <c r="B326" s="879"/>
      <c r="C326" s="842"/>
      <c r="D326" s="878"/>
      <c r="E326" s="878"/>
      <c r="F326" s="878"/>
      <c r="G326" s="878"/>
      <c r="H326" s="878"/>
      <c r="I326" s="878"/>
      <c r="J326" s="878"/>
      <c r="K326" s="878"/>
      <c r="L326" s="878"/>
      <c r="M326" s="878"/>
      <c r="N326" s="878"/>
      <c r="O326" s="878"/>
      <c r="P326" s="878"/>
      <c r="Q326" s="878"/>
      <c r="R326" s="878"/>
      <c r="S326" s="878"/>
      <c r="T326" s="878"/>
      <c r="U326" s="878"/>
      <c r="V326" s="878"/>
      <c r="W326" s="878"/>
      <c r="X326" s="878"/>
      <c r="Y326" s="878"/>
      <c r="Z326" s="878"/>
    </row>
    <row r="327" ht="12.0" customHeight="1">
      <c r="A327" s="878"/>
      <c r="B327" s="879"/>
      <c r="C327" s="842"/>
      <c r="D327" s="878"/>
      <c r="E327" s="878"/>
      <c r="F327" s="878"/>
      <c r="G327" s="878"/>
      <c r="H327" s="878"/>
      <c r="I327" s="878"/>
      <c r="J327" s="878"/>
      <c r="K327" s="878"/>
      <c r="L327" s="878"/>
      <c r="M327" s="878"/>
      <c r="N327" s="878"/>
      <c r="O327" s="878"/>
      <c r="P327" s="878"/>
      <c r="Q327" s="878"/>
      <c r="R327" s="878"/>
      <c r="S327" s="878"/>
      <c r="T327" s="878"/>
      <c r="U327" s="878"/>
      <c r="V327" s="878"/>
      <c r="W327" s="878"/>
      <c r="X327" s="878"/>
      <c r="Y327" s="878"/>
      <c r="Z327" s="878"/>
    </row>
    <row r="328" ht="12.0" customHeight="1">
      <c r="A328" s="878"/>
      <c r="B328" s="879"/>
      <c r="C328" s="842"/>
      <c r="D328" s="878"/>
      <c r="E328" s="878"/>
      <c r="F328" s="878"/>
      <c r="G328" s="878"/>
      <c r="H328" s="878"/>
      <c r="I328" s="878"/>
      <c r="J328" s="878"/>
      <c r="K328" s="878"/>
      <c r="L328" s="878"/>
      <c r="M328" s="878"/>
      <c r="N328" s="878"/>
      <c r="O328" s="878"/>
      <c r="P328" s="878"/>
      <c r="Q328" s="878"/>
      <c r="R328" s="878"/>
      <c r="S328" s="878"/>
      <c r="T328" s="878"/>
      <c r="U328" s="878"/>
      <c r="V328" s="878"/>
      <c r="W328" s="878"/>
      <c r="X328" s="878"/>
      <c r="Y328" s="878"/>
      <c r="Z328" s="878"/>
    </row>
    <row r="329" ht="12.0" customHeight="1">
      <c r="A329" s="878"/>
      <c r="B329" s="879"/>
      <c r="C329" s="842"/>
      <c r="D329" s="878"/>
      <c r="E329" s="878"/>
      <c r="F329" s="878"/>
      <c r="G329" s="878"/>
      <c r="H329" s="878"/>
      <c r="I329" s="878"/>
      <c r="J329" s="878"/>
      <c r="K329" s="878"/>
      <c r="L329" s="878"/>
      <c r="M329" s="878"/>
      <c r="N329" s="878"/>
      <c r="O329" s="878"/>
      <c r="P329" s="878"/>
      <c r="Q329" s="878"/>
      <c r="R329" s="878"/>
      <c r="S329" s="878"/>
      <c r="T329" s="878"/>
      <c r="U329" s="878"/>
      <c r="V329" s="878"/>
      <c r="W329" s="878"/>
      <c r="X329" s="878"/>
      <c r="Y329" s="878"/>
      <c r="Z329" s="878"/>
    </row>
    <row r="330" ht="12.0" customHeight="1">
      <c r="A330" s="878"/>
      <c r="B330" s="879"/>
      <c r="C330" s="842"/>
      <c r="D330" s="878"/>
      <c r="E330" s="878"/>
      <c r="F330" s="878"/>
      <c r="G330" s="878"/>
      <c r="H330" s="878"/>
      <c r="I330" s="878"/>
      <c r="J330" s="878"/>
      <c r="K330" s="878"/>
      <c r="L330" s="878"/>
      <c r="M330" s="878"/>
      <c r="N330" s="878"/>
      <c r="O330" s="878"/>
      <c r="P330" s="878"/>
      <c r="Q330" s="878"/>
      <c r="R330" s="878"/>
      <c r="S330" s="878"/>
      <c r="T330" s="878"/>
      <c r="U330" s="878"/>
      <c r="V330" s="878"/>
      <c r="W330" s="878"/>
      <c r="X330" s="878"/>
      <c r="Y330" s="878"/>
      <c r="Z330" s="878"/>
    </row>
    <row r="331" ht="12.0" customHeight="1">
      <c r="A331" s="878"/>
      <c r="B331" s="879"/>
      <c r="C331" s="842"/>
      <c r="D331" s="878"/>
      <c r="E331" s="878"/>
      <c r="F331" s="878"/>
      <c r="G331" s="878"/>
      <c r="H331" s="878"/>
      <c r="I331" s="878"/>
      <c r="J331" s="878"/>
      <c r="K331" s="878"/>
      <c r="L331" s="878"/>
      <c r="M331" s="878"/>
      <c r="N331" s="878"/>
      <c r="O331" s="878"/>
      <c r="P331" s="878"/>
      <c r="Q331" s="878"/>
      <c r="R331" s="878"/>
      <c r="S331" s="878"/>
      <c r="T331" s="878"/>
      <c r="U331" s="878"/>
      <c r="V331" s="878"/>
      <c r="W331" s="878"/>
      <c r="X331" s="878"/>
      <c r="Y331" s="878"/>
      <c r="Z331" s="878"/>
    </row>
    <row r="332" ht="12.0" customHeight="1">
      <c r="A332" s="878"/>
      <c r="B332" s="879"/>
      <c r="C332" s="842"/>
      <c r="D332" s="878"/>
      <c r="E332" s="878"/>
      <c r="F332" s="878"/>
      <c r="G332" s="878"/>
      <c r="H332" s="878"/>
      <c r="I332" s="878"/>
      <c r="J332" s="878"/>
      <c r="K332" s="878"/>
      <c r="L332" s="878"/>
      <c r="M332" s="878"/>
      <c r="N332" s="878"/>
      <c r="O332" s="878"/>
      <c r="P332" s="878"/>
      <c r="Q332" s="878"/>
      <c r="R332" s="878"/>
      <c r="S332" s="878"/>
      <c r="T332" s="878"/>
      <c r="U332" s="878"/>
      <c r="V332" s="878"/>
      <c r="W332" s="878"/>
      <c r="X332" s="878"/>
      <c r="Y332" s="878"/>
      <c r="Z332" s="878"/>
    </row>
    <row r="333" ht="12.0" customHeight="1">
      <c r="A333" s="878"/>
      <c r="B333" s="879"/>
      <c r="C333" s="842"/>
      <c r="D333" s="878"/>
      <c r="E333" s="878"/>
      <c r="F333" s="878"/>
      <c r="G333" s="878"/>
      <c r="H333" s="878"/>
      <c r="I333" s="878"/>
      <c r="J333" s="878"/>
      <c r="K333" s="878"/>
      <c r="L333" s="878"/>
      <c r="M333" s="878"/>
      <c r="N333" s="878"/>
      <c r="O333" s="878"/>
      <c r="P333" s="878"/>
      <c r="Q333" s="878"/>
      <c r="R333" s="878"/>
      <c r="S333" s="878"/>
      <c r="T333" s="878"/>
      <c r="U333" s="878"/>
      <c r="V333" s="878"/>
      <c r="W333" s="878"/>
      <c r="X333" s="878"/>
      <c r="Y333" s="878"/>
      <c r="Z333" s="878"/>
    </row>
    <row r="334" ht="12.0" customHeight="1">
      <c r="A334" s="878"/>
      <c r="B334" s="879"/>
      <c r="C334" s="842"/>
      <c r="D334" s="878"/>
      <c r="E334" s="878"/>
      <c r="F334" s="878"/>
      <c r="G334" s="878"/>
      <c r="H334" s="878"/>
      <c r="I334" s="878"/>
      <c r="J334" s="878"/>
      <c r="K334" s="878"/>
      <c r="L334" s="878"/>
      <c r="M334" s="878"/>
      <c r="N334" s="878"/>
      <c r="O334" s="878"/>
      <c r="P334" s="878"/>
      <c r="Q334" s="878"/>
      <c r="R334" s="878"/>
      <c r="S334" s="878"/>
      <c r="T334" s="878"/>
      <c r="U334" s="878"/>
      <c r="V334" s="878"/>
      <c r="W334" s="878"/>
      <c r="X334" s="878"/>
      <c r="Y334" s="878"/>
      <c r="Z334" s="878"/>
    </row>
    <row r="335" ht="12.0" customHeight="1">
      <c r="A335" s="878"/>
      <c r="B335" s="879"/>
      <c r="C335" s="842"/>
      <c r="D335" s="878"/>
      <c r="E335" s="878"/>
      <c r="F335" s="878"/>
      <c r="G335" s="878"/>
      <c r="H335" s="878"/>
      <c r="I335" s="878"/>
      <c r="J335" s="878"/>
      <c r="K335" s="878"/>
      <c r="L335" s="878"/>
      <c r="M335" s="878"/>
      <c r="N335" s="878"/>
      <c r="O335" s="878"/>
      <c r="P335" s="878"/>
      <c r="Q335" s="878"/>
      <c r="R335" s="878"/>
      <c r="S335" s="878"/>
      <c r="T335" s="878"/>
      <c r="U335" s="878"/>
      <c r="V335" s="878"/>
      <c r="W335" s="878"/>
      <c r="X335" s="878"/>
      <c r="Y335" s="878"/>
      <c r="Z335" s="878"/>
    </row>
    <row r="336" ht="12.0" customHeight="1">
      <c r="A336" s="878"/>
      <c r="B336" s="879"/>
      <c r="C336" s="842"/>
      <c r="D336" s="878"/>
      <c r="E336" s="878"/>
      <c r="F336" s="878"/>
      <c r="G336" s="878"/>
      <c r="H336" s="878"/>
      <c r="I336" s="878"/>
      <c r="J336" s="878"/>
      <c r="K336" s="878"/>
      <c r="L336" s="878"/>
      <c r="M336" s="878"/>
      <c r="N336" s="878"/>
      <c r="O336" s="878"/>
      <c r="P336" s="878"/>
      <c r="Q336" s="878"/>
      <c r="R336" s="878"/>
      <c r="S336" s="878"/>
      <c r="T336" s="878"/>
      <c r="U336" s="878"/>
      <c r="V336" s="878"/>
      <c r="W336" s="878"/>
      <c r="X336" s="878"/>
      <c r="Y336" s="878"/>
      <c r="Z336" s="878"/>
    </row>
    <row r="337" ht="12.0" customHeight="1">
      <c r="A337" s="878"/>
      <c r="B337" s="879"/>
      <c r="C337" s="842"/>
      <c r="D337" s="878"/>
      <c r="E337" s="878"/>
      <c r="F337" s="878"/>
      <c r="G337" s="878"/>
      <c r="H337" s="878"/>
      <c r="I337" s="878"/>
      <c r="J337" s="878"/>
      <c r="K337" s="878"/>
      <c r="L337" s="878"/>
      <c r="M337" s="878"/>
      <c r="N337" s="878"/>
      <c r="O337" s="878"/>
      <c r="P337" s="878"/>
      <c r="Q337" s="878"/>
      <c r="R337" s="878"/>
      <c r="S337" s="878"/>
      <c r="T337" s="878"/>
      <c r="U337" s="878"/>
      <c r="V337" s="878"/>
      <c r="W337" s="878"/>
      <c r="X337" s="878"/>
      <c r="Y337" s="878"/>
      <c r="Z337" s="878"/>
    </row>
    <row r="338" ht="12.0" customHeight="1">
      <c r="A338" s="878"/>
      <c r="B338" s="879"/>
      <c r="C338" s="842"/>
      <c r="D338" s="878"/>
      <c r="E338" s="878"/>
      <c r="F338" s="878"/>
      <c r="G338" s="878"/>
      <c r="H338" s="878"/>
      <c r="I338" s="878"/>
      <c r="J338" s="878"/>
      <c r="K338" s="878"/>
      <c r="L338" s="878"/>
      <c r="M338" s="878"/>
      <c r="N338" s="878"/>
      <c r="O338" s="878"/>
      <c r="P338" s="878"/>
      <c r="Q338" s="878"/>
      <c r="R338" s="878"/>
      <c r="S338" s="878"/>
      <c r="T338" s="878"/>
      <c r="U338" s="878"/>
      <c r="V338" s="878"/>
      <c r="W338" s="878"/>
      <c r="X338" s="878"/>
      <c r="Y338" s="878"/>
      <c r="Z338" s="878"/>
    </row>
    <row r="339" ht="12.0" customHeight="1">
      <c r="A339" s="878"/>
      <c r="B339" s="879"/>
      <c r="C339" s="842"/>
      <c r="D339" s="878"/>
      <c r="E339" s="878"/>
      <c r="F339" s="878"/>
      <c r="G339" s="878"/>
      <c r="H339" s="878"/>
      <c r="I339" s="878"/>
      <c r="J339" s="878"/>
      <c r="K339" s="878"/>
      <c r="L339" s="878"/>
      <c r="M339" s="878"/>
      <c r="N339" s="878"/>
      <c r="O339" s="878"/>
      <c r="P339" s="878"/>
      <c r="Q339" s="878"/>
      <c r="R339" s="878"/>
      <c r="S339" s="878"/>
      <c r="T339" s="878"/>
      <c r="U339" s="878"/>
      <c r="V339" s="878"/>
      <c r="W339" s="878"/>
      <c r="X339" s="878"/>
      <c r="Y339" s="878"/>
      <c r="Z339" s="878"/>
    </row>
    <row r="340" ht="12.0" customHeight="1">
      <c r="A340" s="878"/>
      <c r="B340" s="879"/>
      <c r="C340" s="842"/>
      <c r="D340" s="878"/>
      <c r="E340" s="878"/>
      <c r="F340" s="878"/>
      <c r="G340" s="878"/>
      <c r="H340" s="878"/>
      <c r="I340" s="878"/>
      <c r="J340" s="878"/>
      <c r="K340" s="878"/>
      <c r="L340" s="878"/>
      <c r="M340" s="878"/>
      <c r="N340" s="878"/>
      <c r="O340" s="878"/>
      <c r="P340" s="878"/>
      <c r="Q340" s="878"/>
      <c r="R340" s="878"/>
      <c r="S340" s="878"/>
      <c r="T340" s="878"/>
      <c r="U340" s="878"/>
      <c r="V340" s="878"/>
      <c r="W340" s="878"/>
      <c r="X340" s="878"/>
      <c r="Y340" s="878"/>
      <c r="Z340" s="878"/>
    </row>
    <row r="341" ht="12.0" customHeight="1">
      <c r="A341" s="878"/>
      <c r="B341" s="879"/>
      <c r="C341" s="842"/>
      <c r="D341" s="878"/>
      <c r="E341" s="878"/>
      <c r="F341" s="878"/>
      <c r="G341" s="878"/>
      <c r="H341" s="878"/>
      <c r="I341" s="878"/>
      <c r="J341" s="878"/>
      <c r="K341" s="878"/>
      <c r="L341" s="878"/>
      <c r="M341" s="878"/>
      <c r="N341" s="878"/>
      <c r="O341" s="878"/>
      <c r="P341" s="878"/>
      <c r="Q341" s="878"/>
      <c r="R341" s="878"/>
      <c r="S341" s="878"/>
      <c r="T341" s="878"/>
      <c r="U341" s="878"/>
      <c r="V341" s="878"/>
      <c r="W341" s="878"/>
      <c r="X341" s="878"/>
      <c r="Y341" s="878"/>
      <c r="Z341" s="878"/>
    </row>
    <row r="342" ht="12.0" customHeight="1">
      <c r="A342" s="878"/>
      <c r="B342" s="879"/>
      <c r="C342" s="842"/>
      <c r="D342" s="878"/>
      <c r="E342" s="878"/>
      <c r="F342" s="878"/>
      <c r="G342" s="878"/>
      <c r="H342" s="878"/>
      <c r="I342" s="878"/>
      <c r="J342" s="878"/>
      <c r="K342" s="878"/>
      <c r="L342" s="878"/>
      <c r="M342" s="878"/>
      <c r="N342" s="878"/>
      <c r="O342" s="878"/>
      <c r="P342" s="878"/>
      <c r="Q342" s="878"/>
      <c r="R342" s="878"/>
      <c r="S342" s="878"/>
      <c r="T342" s="878"/>
      <c r="U342" s="878"/>
      <c r="V342" s="878"/>
      <c r="W342" s="878"/>
      <c r="X342" s="878"/>
      <c r="Y342" s="878"/>
      <c r="Z342" s="878"/>
    </row>
    <row r="343" ht="12.0" customHeight="1">
      <c r="A343" s="878"/>
      <c r="B343" s="879"/>
      <c r="C343" s="842"/>
      <c r="D343" s="878"/>
      <c r="E343" s="878"/>
      <c r="F343" s="878"/>
      <c r="G343" s="878"/>
      <c r="H343" s="878"/>
      <c r="I343" s="878"/>
      <c r="J343" s="878"/>
      <c r="K343" s="878"/>
      <c r="L343" s="878"/>
      <c r="M343" s="878"/>
      <c r="N343" s="878"/>
      <c r="O343" s="878"/>
      <c r="P343" s="878"/>
      <c r="Q343" s="878"/>
      <c r="R343" s="878"/>
      <c r="S343" s="878"/>
      <c r="T343" s="878"/>
      <c r="U343" s="878"/>
      <c r="V343" s="878"/>
      <c r="W343" s="878"/>
      <c r="X343" s="878"/>
      <c r="Y343" s="878"/>
      <c r="Z343" s="878"/>
    </row>
    <row r="344" ht="12.0" customHeight="1">
      <c r="A344" s="878"/>
      <c r="B344" s="879"/>
      <c r="C344" s="842"/>
      <c r="D344" s="878"/>
      <c r="E344" s="878"/>
      <c r="F344" s="878"/>
      <c r="G344" s="878"/>
      <c r="H344" s="878"/>
      <c r="I344" s="878"/>
      <c r="J344" s="878"/>
      <c r="K344" s="878"/>
      <c r="L344" s="878"/>
      <c r="M344" s="878"/>
      <c r="N344" s="878"/>
      <c r="O344" s="878"/>
      <c r="P344" s="878"/>
      <c r="Q344" s="878"/>
      <c r="R344" s="878"/>
      <c r="S344" s="878"/>
      <c r="T344" s="878"/>
      <c r="U344" s="878"/>
      <c r="V344" s="878"/>
      <c r="W344" s="878"/>
      <c r="X344" s="878"/>
      <c r="Y344" s="878"/>
      <c r="Z344" s="878"/>
    </row>
    <row r="345" ht="12.0" customHeight="1">
      <c r="A345" s="878"/>
      <c r="B345" s="879"/>
      <c r="C345" s="842"/>
      <c r="D345" s="878"/>
      <c r="E345" s="878"/>
      <c r="F345" s="878"/>
      <c r="G345" s="878"/>
      <c r="H345" s="878"/>
      <c r="I345" s="878"/>
      <c r="J345" s="878"/>
      <c r="K345" s="878"/>
      <c r="L345" s="878"/>
      <c r="M345" s="878"/>
      <c r="N345" s="878"/>
      <c r="O345" s="878"/>
      <c r="P345" s="878"/>
      <c r="Q345" s="878"/>
      <c r="R345" s="878"/>
      <c r="S345" s="878"/>
      <c r="T345" s="878"/>
      <c r="U345" s="878"/>
      <c r="V345" s="878"/>
      <c r="W345" s="878"/>
      <c r="X345" s="878"/>
      <c r="Y345" s="878"/>
      <c r="Z345" s="878"/>
    </row>
    <row r="346" ht="12.0" customHeight="1">
      <c r="A346" s="878"/>
      <c r="B346" s="879"/>
      <c r="C346" s="842"/>
      <c r="D346" s="878"/>
      <c r="E346" s="878"/>
      <c r="F346" s="878"/>
      <c r="G346" s="878"/>
      <c r="H346" s="878"/>
      <c r="I346" s="878"/>
      <c r="J346" s="878"/>
      <c r="K346" s="878"/>
      <c r="L346" s="878"/>
      <c r="M346" s="878"/>
      <c r="N346" s="878"/>
      <c r="O346" s="878"/>
      <c r="P346" s="878"/>
      <c r="Q346" s="878"/>
      <c r="R346" s="878"/>
      <c r="S346" s="878"/>
      <c r="T346" s="878"/>
      <c r="U346" s="878"/>
      <c r="V346" s="878"/>
      <c r="W346" s="878"/>
      <c r="X346" s="878"/>
      <c r="Y346" s="878"/>
      <c r="Z346" s="878"/>
    </row>
    <row r="347" ht="12.0" customHeight="1">
      <c r="A347" s="878"/>
      <c r="B347" s="879"/>
      <c r="C347" s="842"/>
      <c r="D347" s="878"/>
      <c r="E347" s="878"/>
      <c r="F347" s="878"/>
      <c r="G347" s="878"/>
      <c r="H347" s="878"/>
      <c r="I347" s="878"/>
      <c r="J347" s="878"/>
      <c r="K347" s="878"/>
      <c r="L347" s="878"/>
      <c r="M347" s="878"/>
      <c r="N347" s="878"/>
      <c r="O347" s="878"/>
      <c r="P347" s="878"/>
      <c r="Q347" s="878"/>
      <c r="R347" s="878"/>
      <c r="S347" s="878"/>
      <c r="T347" s="878"/>
      <c r="U347" s="878"/>
      <c r="V347" s="878"/>
      <c r="W347" s="878"/>
      <c r="X347" s="878"/>
      <c r="Y347" s="878"/>
      <c r="Z347" s="878"/>
    </row>
    <row r="348" ht="12.0" customHeight="1">
      <c r="A348" s="878"/>
      <c r="B348" s="879"/>
      <c r="C348" s="842"/>
      <c r="D348" s="878"/>
      <c r="E348" s="878"/>
      <c r="F348" s="878"/>
      <c r="G348" s="878"/>
      <c r="H348" s="878"/>
      <c r="I348" s="878"/>
      <c r="J348" s="878"/>
      <c r="K348" s="878"/>
      <c r="L348" s="878"/>
      <c r="M348" s="878"/>
      <c r="N348" s="878"/>
      <c r="O348" s="878"/>
      <c r="P348" s="878"/>
      <c r="Q348" s="878"/>
      <c r="R348" s="878"/>
      <c r="S348" s="878"/>
      <c r="T348" s="878"/>
      <c r="U348" s="878"/>
      <c r="V348" s="878"/>
      <c r="W348" s="878"/>
      <c r="X348" s="878"/>
      <c r="Y348" s="878"/>
      <c r="Z348" s="878"/>
    </row>
    <row r="349" ht="12.0" customHeight="1">
      <c r="A349" s="878"/>
      <c r="B349" s="879"/>
      <c r="C349" s="842"/>
      <c r="D349" s="878"/>
      <c r="E349" s="878"/>
      <c r="F349" s="878"/>
      <c r="G349" s="878"/>
      <c r="H349" s="878"/>
      <c r="I349" s="878"/>
      <c r="J349" s="878"/>
      <c r="K349" s="878"/>
      <c r="L349" s="878"/>
      <c r="M349" s="878"/>
      <c r="N349" s="878"/>
      <c r="O349" s="878"/>
      <c r="P349" s="878"/>
      <c r="Q349" s="878"/>
      <c r="R349" s="878"/>
      <c r="S349" s="878"/>
      <c r="T349" s="878"/>
      <c r="U349" s="878"/>
      <c r="V349" s="878"/>
      <c r="W349" s="878"/>
      <c r="X349" s="878"/>
      <c r="Y349" s="878"/>
      <c r="Z349" s="878"/>
    </row>
    <row r="350" ht="12.0" customHeight="1">
      <c r="A350" s="878"/>
      <c r="B350" s="879"/>
      <c r="C350" s="842"/>
      <c r="D350" s="878"/>
      <c r="E350" s="878"/>
      <c r="F350" s="878"/>
      <c r="G350" s="878"/>
      <c r="H350" s="878"/>
      <c r="I350" s="878"/>
      <c r="J350" s="878"/>
      <c r="K350" s="878"/>
      <c r="L350" s="878"/>
      <c r="M350" s="878"/>
      <c r="N350" s="878"/>
      <c r="O350" s="878"/>
      <c r="P350" s="878"/>
      <c r="Q350" s="878"/>
      <c r="R350" s="878"/>
      <c r="S350" s="878"/>
      <c r="T350" s="878"/>
      <c r="U350" s="878"/>
      <c r="V350" s="878"/>
      <c r="W350" s="878"/>
      <c r="X350" s="878"/>
      <c r="Y350" s="878"/>
      <c r="Z350" s="878"/>
    </row>
    <row r="351" ht="12.0" customHeight="1">
      <c r="A351" s="878"/>
      <c r="B351" s="879"/>
      <c r="C351" s="842"/>
      <c r="D351" s="878"/>
      <c r="E351" s="878"/>
      <c r="F351" s="878"/>
      <c r="G351" s="878"/>
      <c r="H351" s="878"/>
      <c r="I351" s="878"/>
      <c r="J351" s="878"/>
      <c r="K351" s="878"/>
      <c r="L351" s="878"/>
      <c r="M351" s="878"/>
      <c r="N351" s="878"/>
      <c r="O351" s="878"/>
      <c r="P351" s="878"/>
      <c r="Q351" s="878"/>
      <c r="R351" s="878"/>
      <c r="S351" s="878"/>
      <c r="T351" s="878"/>
      <c r="U351" s="878"/>
      <c r="V351" s="878"/>
      <c r="W351" s="878"/>
      <c r="X351" s="878"/>
      <c r="Y351" s="878"/>
      <c r="Z351" s="878"/>
    </row>
    <row r="352" ht="12.0" customHeight="1">
      <c r="A352" s="878"/>
      <c r="B352" s="879"/>
      <c r="C352" s="842"/>
      <c r="D352" s="878"/>
      <c r="E352" s="878"/>
      <c r="F352" s="878"/>
      <c r="G352" s="878"/>
      <c r="H352" s="878"/>
      <c r="I352" s="878"/>
      <c r="J352" s="878"/>
      <c r="K352" s="878"/>
      <c r="L352" s="878"/>
      <c r="M352" s="878"/>
      <c r="N352" s="878"/>
      <c r="O352" s="878"/>
      <c r="P352" s="878"/>
      <c r="Q352" s="878"/>
      <c r="R352" s="878"/>
      <c r="S352" s="878"/>
      <c r="T352" s="878"/>
      <c r="U352" s="878"/>
      <c r="V352" s="878"/>
      <c r="W352" s="878"/>
      <c r="X352" s="878"/>
      <c r="Y352" s="878"/>
      <c r="Z352" s="878"/>
    </row>
    <row r="353" ht="12.0" customHeight="1">
      <c r="A353" s="878"/>
      <c r="B353" s="879"/>
      <c r="C353" s="842"/>
      <c r="D353" s="878"/>
      <c r="E353" s="878"/>
      <c r="F353" s="878"/>
      <c r="G353" s="878"/>
      <c r="H353" s="878"/>
      <c r="I353" s="878"/>
      <c r="J353" s="878"/>
      <c r="K353" s="878"/>
      <c r="L353" s="878"/>
      <c r="M353" s="878"/>
      <c r="N353" s="878"/>
      <c r="O353" s="878"/>
      <c r="P353" s="878"/>
      <c r="Q353" s="878"/>
      <c r="R353" s="878"/>
      <c r="S353" s="878"/>
      <c r="T353" s="878"/>
      <c r="U353" s="878"/>
      <c r="V353" s="878"/>
      <c r="W353" s="878"/>
      <c r="X353" s="878"/>
      <c r="Y353" s="878"/>
      <c r="Z353" s="878"/>
    </row>
    <row r="354" ht="12.0" customHeight="1">
      <c r="A354" s="878"/>
      <c r="B354" s="879"/>
      <c r="C354" s="842"/>
      <c r="D354" s="878"/>
      <c r="E354" s="878"/>
      <c r="F354" s="878"/>
      <c r="G354" s="878"/>
      <c r="H354" s="878"/>
      <c r="I354" s="878"/>
      <c r="J354" s="878"/>
      <c r="K354" s="878"/>
      <c r="L354" s="878"/>
      <c r="M354" s="878"/>
      <c r="N354" s="878"/>
      <c r="O354" s="878"/>
      <c r="P354" s="878"/>
      <c r="Q354" s="878"/>
      <c r="R354" s="878"/>
      <c r="S354" s="878"/>
      <c r="T354" s="878"/>
      <c r="U354" s="878"/>
      <c r="V354" s="878"/>
      <c r="W354" s="878"/>
      <c r="X354" s="878"/>
      <c r="Y354" s="878"/>
      <c r="Z354" s="878"/>
    </row>
    <row r="355" ht="12.0" customHeight="1">
      <c r="A355" s="878"/>
      <c r="B355" s="879"/>
      <c r="C355" s="842"/>
      <c r="D355" s="878"/>
      <c r="E355" s="878"/>
      <c r="F355" s="878"/>
      <c r="G355" s="878"/>
      <c r="H355" s="878"/>
      <c r="I355" s="878"/>
      <c r="J355" s="878"/>
      <c r="K355" s="878"/>
      <c r="L355" s="878"/>
      <c r="M355" s="878"/>
      <c r="N355" s="878"/>
      <c r="O355" s="878"/>
      <c r="P355" s="878"/>
      <c r="Q355" s="878"/>
      <c r="R355" s="878"/>
      <c r="S355" s="878"/>
      <c r="T355" s="878"/>
      <c r="U355" s="878"/>
      <c r="V355" s="878"/>
      <c r="W355" s="878"/>
      <c r="X355" s="878"/>
      <c r="Y355" s="878"/>
      <c r="Z355" s="878"/>
    </row>
    <row r="356" ht="12.0" customHeight="1">
      <c r="A356" s="878"/>
      <c r="B356" s="879"/>
      <c r="C356" s="842"/>
      <c r="D356" s="878"/>
      <c r="E356" s="878"/>
      <c r="F356" s="878"/>
      <c r="G356" s="878"/>
      <c r="H356" s="878"/>
      <c r="I356" s="878"/>
      <c r="J356" s="878"/>
      <c r="K356" s="878"/>
      <c r="L356" s="878"/>
      <c r="M356" s="878"/>
      <c r="N356" s="878"/>
      <c r="O356" s="878"/>
      <c r="P356" s="878"/>
      <c r="Q356" s="878"/>
      <c r="R356" s="878"/>
      <c r="S356" s="878"/>
      <c r="T356" s="878"/>
      <c r="U356" s="878"/>
      <c r="V356" s="878"/>
      <c r="W356" s="878"/>
      <c r="X356" s="878"/>
      <c r="Y356" s="878"/>
      <c r="Z356" s="878"/>
    </row>
    <row r="357" ht="12.0" customHeight="1">
      <c r="A357" s="878"/>
      <c r="B357" s="879"/>
      <c r="C357" s="842"/>
      <c r="D357" s="878"/>
      <c r="E357" s="878"/>
      <c r="F357" s="878"/>
      <c r="G357" s="878"/>
      <c r="H357" s="878"/>
      <c r="I357" s="878"/>
      <c r="J357" s="878"/>
      <c r="K357" s="878"/>
      <c r="L357" s="878"/>
      <c r="M357" s="878"/>
      <c r="N357" s="878"/>
      <c r="O357" s="878"/>
      <c r="P357" s="878"/>
      <c r="Q357" s="878"/>
      <c r="R357" s="878"/>
      <c r="S357" s="878"/>
      <c r="T357" s="878"/>
      <c r="U357" s="878"/>
      <c r="V357" s="878"/>
      <c r="W357" s="878"/>
      <c r="X357" s="878"/>
      <c r="Y357" s="878"/>
      <c r="Z357" s="878"/>
    </row>
    <row r="358" ht="12.0" customHeight="1">
      <c r="A358" s="878"/>
      <c r="B358" s="879"/>
      <c r="C358" s="842"/>
      <c r="D358" s="878"/>
      <c r="E358" s="878"/>
      <c r="F358" s="878"/>
      <c r="G358" s="878"/>
      <c r="H358" s="878"/>
      <c r="I358" s="878"/>
      <c r="J358" s="878"/>
      <c r="K358" s="878"/>
      <c r="L358" s="878"/>
      <c r="M358" s="878"/>
      <c r="N358" s="878"/>
      <c r="O358" s="878"/>
      <c r="P358" s="878"/>
      <c r="Q358" s="878"/>
      <c r="R358" s="878"/>
      <c r="S358" s="878"/>
      <c r="T358" s="878"/>
      <c r="U358" s="878"/>
      <c r="V358" s="878"/>
      <c r="W358" s="878"/>
      <c r="X358" s="878"/>
      <c r="Y358" s="878"/>
      <c r="Z358" s="878"/>
    </row>
    <row r="359" ht="12.0" customHeight="1">
      <c r="A359" s="878"/>
      <c r="B359" s="879"/>
      <c r="C359" s="842"/>
      <c r="D359" s="878"/>
      <c r="E359" s="878"/>
      <c r="F359" s="878"/>
      <c r="G359" s="878"/>
      <c r="H359" s="878"/>
      <c r="I359" s="878"/>
      <c r="J359" s="878"/>
      <c r="K359" s="878"/>
      <c r="L359" s="878"/>
      <c r="M359" s="878"/>
      <c r="N359" s="878"/>
      <c r="O359" s="878"/>
      <c r="P359" s="878"/>
      <c r="Q359" s="878"/>
      <c r="R359" s="878"/>
      <c r="S359" s="878"/>
      <c r="T359" s="878"/>
      <c r="U359" s="878"/>
      <c r="V359" s="878"/>
      <c r="W359" s="878"/>
      <c r="X359" s="878"/>
      <c r="Y359" s="878"/>
      <c r="Z359" s="878"/>
    </row>
    <row r="360" ht="12.0" customHeight="1">
      <c r="A360" s="878"/>
      <c r="B360" s="879"/>
      <c r="C360" s="842"/>
      <c r="D360" s="878"/>
      <c r="E360" s="878"/>
      <c r="F360" s="878"/>
      <c r="G360" s="878"/>
      <c r="H360" s="878"/>
      <c r="I360" s="878"/>
      <c r="J360" s="878"/>
      <c r="K360" s="878"/>
      <c r="L360" s="878"/>
      <c r="M360" s="878"/>
      <c r="N360" s="878"/>
      <c r="O360" s="878"/>
      <c r="P360" s="878"/>
      <c r="Q360" s="878"/>
      <c r="R360" s="878"/>
      <c r="S360" s="878"/>
      <c r="T360" s="878"/>
      <c r="U360" s="878"/>
      <c r="V360" s="878"/>
      <c r="W360" s="878"/>
      <c r="X360" s="878"/>
      <c r="Y360" s="878"/>
      <c r="Z360" s="878"/>
    </row>
    <row r="361" ht="12.0" customHeight="1">
      <c r="A361" s="878"/>
      <c r="B361" s="879"/>
      <c r="C361" s="842"/>
      <c r="D361" s="878"/>
      <c r="E361" s="878"/>
      <c r="F361" s="878"/>
      <c r="G361" s="878"/>
      <c r="H361" s="878"/>
      <c r="I361" s="878"/>
      <c r="J361" s="878"/>
      <c r="K361" s="878"/>
      <c r="L361" s="878"/>
      <c r="M361" s="878"/>
      <c r="N361" s="878"/>
      <c r="O361" s="878"/>
      <c r="P361" s="878"/>
      <c r="Q361" s="878"/>
      <c r="R361" s="878"/>
      <c r="S361" s="878"/>
      <c r="T361" s="878"/>
      <c r="U361" s="878"/>
      <c r="V361" s="878"/>
      <c r="W361" s="878"/>
      <c r="X361" s="878"/>
      <c r="Y361" s="878"/>
      <c r="Z361" s="878"/>
    </row>
    <row r="362" ht="12.0" customHeight="1">
      <c r="A362" s="878"/>
      <c r="B362" s="879"/>
      <c r="C362" s="842"/>
      <c r="D362" s="878"/>
      <c r="E362" s="878"/>
      <c r="F362" s="878"/>
      <c r="G362" s="878"/>
      <c r="H362" s="878"/>
      <c r="I362" s="878"/>
      <c r="J362" s="878"/>
      <c r="K362" s="878"/>
      <c r="L362" s="878"/>
      <c r="M362" s="878"/>
      <c r="N362" s="878"/>
      <c r="O362" s="878"/>
      <c r="P362" s="878"/>
      <c r="Q362" s="878"/>
      <c r="R362" s="878"/>
      <c r="S362" s="878"/>
      <c r="T362" s="878"/>
      <c r="U362" s="878"/>
      <c r="V362" s="878"/>
      <c r="W362" s="878"/>
      <c r="X362" s="878"/>
      <c r="Y362" s="878"/>
      <c r="Z362" s="878"/>
    </row>
    <row r="363" ht="12.0" customHeight="1">
      <c r="A363" s="878"/>
      <c r="B363" s="879"/>
      <c r="C363" s="842"/>
      <c r="D363" s="878"/>
      <c r="E363" s="878"/>
      <c r="F363" s="878"/>
      <c r="G363" s="878"/>
      <c r="H363" s="878"/>
      <c r="I363" s="878"/>
      <c r="J363" s="878"/>
      <c r="K363" s="878"/>
      <c r="L363" s="878"/>
      <c r="M363" s="878"/>
      <c r="N363" s="878"/>
      <c r="O363" s="878"/>
      <c r="P363" s="878"/>
      <c r="Q363" s="878"/>
      <c r="R363" s="878"/>
      <c r="S363" s="878"/>
      <c r="T363" s="878"/>
      <c r="U363" s="878"/>
      <c r="V363" s="878"/>
      <c r="W363" s="878"/>
      <c r="X363" s="878"/>
      <c r="Y363" s="878"/>
      <c r="Z363" s="878"/>
    </row>
    <row r="364" ht="12.0" customHeight="1">
      <c r="A364" s="878"/>
      <c r="B364" s="879"/>
      <c r="C364" s="842"/>
      <c r="D364" s="878"/>
      <c r="E364" s="878"/>
      <c r="F364" s="878"/>
      <c r="G364" s="878"/>
      <c r="H364" s="878"/>
      <c r="I364" s="878"/>
      <c r="J364" s="878"/>
      <c r="K364" s="878"/>
      <c r="L364" s="878"/>
      <c r="M364" s="878"/>
      <c r="N364" s="878"/>
      <c r="O364" s="878"/>
      <c r="P364" s="878"/>
      <c r="Q364" s="878"/>
      <c r="R364" s="878"/>
      <c r="S364" s="878"/>
      <c r="T364" s="878"/>
      <c r="U364" s="878"/>
      <c r="V364" s="878"/>
      <c r="W364" s="878"/>
      <c r="X364" s="878"/>
      <c r="Y364" s="878"/>
      <c r="Z364" s="878"/>
    </row>
    <row r="365" ht="12.0" customHeight="1">
      <c r="A365" s="878"/>
      <c r="B365" s="879"/>
      <c r="C365" s="842"/>
      <c r="D365" s="878"/>
      <c r="E365" s="878"/>
      <c r="F365" s="878"/>
      <c r="G365" s="878"/>
      <c r="H365" s="878"/>
      <c r="I365" s="878"/>
      <c r="J365" s="878"/>
      <c r="K365" s="878"/>
      <c r="L365" s="878"/>
      <c r="M365" s="878"/>
      <c r="N365" s="878"/>
      <c r="O365" s="878"/>
      <c r="P365" s="878"/>
      <c r="Q365" s="878"/>
      <c r="R365" s="878"/>
      <c r="S365" s="878"/>
      <c r="T365" s="878"/>
      <c r="U365" s="878"/>
      <c r="V365" s="878"/>
      <c r="W365" s="878"/>
      <c r="X365" s="878"/>
      <c r="Y365" s="878"/>
      <c r="Z365" s="878"/>
    </row>
    <row r="366" ht="12.0" customHeight="1">
      <c r="A366" s="878"/>
      <c r="B366" s="879"/>
      <c r="C366" s="842"/>
      <c r="D366" s="878"/>
      <c r="E366" s="878"/>
      <c r="F366" s="878"/>
      <c r="G366" s="878"/>
      <c r="H366" s="878"/>
      <c r="I366" s="878"/>
      <c r="J366" s="878"/>
      <c r="K366" s="878"/>
      <c r="L366" s="878"/>
      <c r="M366" s="878"/>
      <c r="N366" s="878"/>
      <c r="O366" s="878"/>
      <c r="P366" s="878"/>
      <c r="Q366" s="878"/>
      <c r="R366" s="878"/>
      <c r="S366" s="878"/>
      <c r="T366" s="878"/>
      <c r="U366" s="878"/>
      <c r="V366" s="878"/>
      <c r="W366" s="878"/>
      <c r="X366" s="878"/>
      <c r="Y366" s="878"/>
      <c r="Z366" s="878"/>
    </row>
    <row r="367" ht="12.0" customHeight="1">
      <c r="A367" s="878"/>
      <c r="B367" s="879"/>
      <c r="C367" s="842"/>
      <c r="D367" s="878"/>
      <c r="E367" s="878"/>
      <c r="F367" s="878"/>
      <c r="G367" s="878"/>
      <c r="H367" s="878"/>
      <c r="I367" s="878"/>
      <c r="J367" s="878"/>
      <c r="K367" s="878"/>
      <c r="L367" s="878"/>
      <c r="M367" s="878"/>
      <c r="N367" s="878"/>
      <c r="O367" s="878"/>
      <c r="P367" s="878"/>
      <c r="Q367" s="878"/>
      <c r="R367" s="878"/>
      <c r="S367" s="878"/>
      <c r="T367" s="878"/>
      <c r="U367" s="878"/>
      <c r="V367" s="878"/>
      <c r="W367" s="878"/>
      <c r="X367" s="878"/>
      <c r="Y367" s="878"/>
      <c r="Z367" s="878"/>
    </row>
    <row r="368" ht="12.0" customHeight="1">
      <c r="A368" s="878"/>
      <c r="B368" s="879"/>
      <c r="C368" s="842"/>
      <c r="D368" s="878"/>
      <c r="E368" s="878"/>
      <c r="F368" s="878"/>
      <c r="G368" s="878"/>
      <c r="H368" s="878"/>
      <c r="I368" s="878"/>
      <c r="J368" s="878"/>
      <c r="K368" s="878"/>
      <c r="L368" s="878"/>
      <c r="M368" s="878"/>
      <c r="N368" s="878"/>
      <c r="O368" s="878"/>
      <c r="P368" s="878"/>
      <c r="Q368" s="878"/>
      <c r="R368" s="878"/>
      <c r="S368" s="878"/>
      <c r="T368" s="878"/>
      <c r="U368" s="878"/>
      <c r="V368" s="878"/>
      <c r="W368" s="878"/>
      <c r="X368" s="878"/>
      <c r="Y368" s="878"/>
      <c r="Z368" s="878"/>
    </row>
    <row r="369" ht="12.0" customHeight="1">
      <c r="A369" s="878"/>
      <c r="B369" s="879"/>
      <c r="C369" s="842"/>
      <c r="D369" s="878"/>
      <c r="E369" s="878"/>
      <c r="F369" s="878"/>
      <c r="G369" s="878"/>
      <c r="H369" s="878"/>
      <c r="I369" s="878"/>
      <c r="J369" s="878"/>
      <c r="K369" s="878"/>
      <c r="L369" s="878"/>
      <c r="M369" s="878"/>
      <c r="N369" s="878"/>
      <c r="O369" s="878"/>
      <c r="P369" s="878"/>
      <c r="Q369" s="878"/>
      <c r="R369" s="878"/>
      <c r="S369" s="878"/>
      <c r="T369" s="878"/>
      <c r="U369" s="878"/>
      <c r="V369" s="878"/>
      <c r="W369" s="878"/>
      <c r="X369" s="878"/>
      <c r="Y369" s="878"/>
      <c r="Z369" s="878"/>
    </row>
    <row r="370" ht="12.0" customHeight="1">
      <c r="A370" s="878"/>
      <c r="B370" s="879"/>
      <c r="C370" s="842"/>
      <c r="D370" s="878"/>
      <c r="E370" s="878"/>
      <c r="F370" s="878"/>
      <c r="G370" s="878"/>
      <c r="H370" s="878"/>
      <c r="I370" s="878"/>
      <c r="J370" s="878"/>
      <c r="K370" s="878"/>
      <c r="L370" s="878"/>
      <c r="M370" s="878"/>
      <c r="N370" s="878"/>
      <c r="O370" s="878"/>
      <c r="P370" s="878"/>
      <c r="Q370" s="878"/>
      <c r="R370" s="878"/>
      <c r="S370" s="878"/>
      <c r="T370" s="878"/>
      <c r="U370" s="878"/>
      <c r="V370" s="878"/>
      <c r="W370" s="878"/>
      <c r="X370" s="878"/>
      <c r="Y370" s="878"/>
      <c r="Z370" s="878"/>
    </row>
    <row r="371" ht="12.0" customHeight="1">
      <c r="A371" s="878"/>
      <c r="B371" s="879"/>
      <c r="C371" s="842"/>
      <c r="D371" s="878"/>
      <c r="E371" s="878"/>
      <c r="F371" s="878"/>
      <c r="G371" s="878"/>
      <c r="H371" s="878"/>
      <c r="I371" s="878"/>
      <c r="J371" s="878"/>
      <c r="K371" s="878"/>
      <c r="L371" s="878"/>
      <c r="M371" s="878"/>
      <c r="N371" s="878"/>
      <c r="O371" s="878"/>
      <c r="P371" s="878"/>
      <c r="Q371" s="878"/>
      <c r="R371" s="878"/>
      <c r="S371" s="878"/>
      <c r="T371" s="878"/>
      <c r="U371" s="878"/>
      <c r="V371" s="878"/>
      <c r="W371" s="878"/>
      <c r="X371" s="878"/>
      <c r="Y371" s="878"/>
      <c r="Z371" s="878"/>
    </row>
    <row r="372" ht="12.0" customHeight="1">
      <c r="A372" s="878"/>
      <c r="B372" s="879"/>
      <c r="C372" s="842"/>
      <c r="D372" s="878"/>
      <c r="E372" s="878"/>
      <c r="F372" s="878"/>
      <c r="G372" s="878"/>
      <c r="H372" s="878"/>
      <c r="I372" s="878"/>
      <c r="J372" s="878"/>
      <c r="K372" s="878"/>
      <c r="L372" s="878"/>
      <c r="M372" s="878"/>
      <c r="N372" s="878"/>
      <c r="O372" s="878"/>
      <c r="P372" s="878"/>
      <c r="Q372" s="878"/>
      <c r="R372" s="878"/>
      <c r="S372" s="878"/>
      <c r="T372" s="878"/>
      <c r="U372" s="878"/>
      <c r="V372" s="878"/>
      <c r="W372" s="878"/>
      <c r="X372" s="878"/>
      <c r="Y372" s="878"/>
      <c r="Z372" s="878"/>
    </row>
    <row r="373" ht="12.0" customHeight="1">
      <c r="A373" s="878"/>
      <c r="B373" s="879"/>
      <c r="C373" s="842"/>
      <c r="D373" s="878"/>
      <c r="E373" s="878"/>
      <c r="F373" s="878"/>
      <c r="G373" s="878"/>
      <c r="H373" s="878"/>
      <c r="I373" s="878"/>
      <c r="J373" s="878"/>
      <c r="K373" s="878"/>
      <c r="L373" s="878"/>
      <c r="M373" s="878"/>
      <c r="N373" s="878"/>
      <c r="O373" s="878"/>
      <c r="P373" s="878"/>
      <c r="Q373" s="878"/>
      <c r="R373" s="878"/>
      <c r="S373" s="878"/>
      <c r="T373" s="878"/>
      <c r="U373" s="878"/>
      <c r="V373" s="878"/>
      <c r="W373" s="878"/>
      <c r="X373" s="878"/>
      <c r="Y373" s="878"/>
      <c r="Z373" s="878"/>
    </row>
    <row r="374" ht="12.0" customHeight="1">
      <c r="A374" s="878"/>
      <c r="B374" s="879"/>
      <c r="C374" s="842"/>
      <c r="D374" s="878"/>
      <c r="E374" s="878"/>
      <c r="F374" s="878"/>
      <c r="G374" s="878"/>
      <c r="H374" s="878"/>
      <c r="I374" s="878"/>
      <c r="J374" s="878"/>
      <c r="K374" s="878"/>
      <c r="L374" s="878"/>
      <c r="M374" s="878"/>
      <c r="N374" s="878"/>
      <c r="O374" s="878"/>
      <c r="P374" s="878"/>
      <c r="Q374" s="878"/>
      <c r="R374" s="878"/>
      <c r="S374" s="878"/>
      <c r="T374" s="878"/>
      <c r="U374" s="878"/>
      <c r="V374" s="878"/>
      <c r="W374" s="878"/>
      <c r="X374" s="878"/>
      <c r="Y374" s="878"/>
      <c r="Z374" s="878"/>
    </row>
    <row r="375" ht="12.0" customHeight="1">
      <c r="A375" s="878"/>
      <c r="B375" s="879"/>
      <c r="C375" s="842"/>
      <c r="D375" s="878"/>
      <c r="E375" s="878"/>
      <c r="F375" s="878"/>
      <c r="G375" s="878"/>
      <c r="H375" s="878"/>
      <c r="I375" s="878"/>
      <c r="J375" s="878"/>
      <c r="K375" s="878"/>
      <c r="L375" s="878"/>
      <c r="M375" s="878"/>
      <c r="N375" s="878"/>
      <c r="O375" s="878"/>
      <c r="P375" s="878"/>
      <c r="Q375" s="878"/>
      <c r="R375" s="878"/>
      <c r="S375" s="878"/>
      <c r="T375" s="878"/>
      <c r="U375" s="878"/>
      <c r="V375" s="878"/>
      <c r="W375" s="878"/>
      <c r="X375" s="878"/>
      <c r="Y375" s="878"/>
      <c r="Z375" s="878"/>
    </row>
    <row r="376" ht="12.0" customHeight="1">
      <c r="A376" s="878"/>
      <c r="B376" s="879"/>
      <c r="C376" s="842"/>
      <c r="D376" s="878"/>
      <c r="E376" s="878"/>
      <c r="F376" s="878"/>
      <c r="G376" s="878"/>
      <c r="H376" s="878"/>
      <c r="I376" s="878"/>
      <c r="J376" s="878"/>
      <c r="K376" s="878"/>
      <c r="L376" s="878"/>
      <c r="M376" s="878"/>
      <c r="N376" s="878"/>
      <c r="O376" s="878"/>
      <c r="P376" s="878"/>
      <c r="Q376" s="878"/>
      <c r="R376" s="878"/>
      <c r="S376" s="878"/>
      <c r="T376" s="878"/>
      <c r="U376" s="878"/>
      <c r="V376" s="878"/>
      <c r="W376" s="878"/>
      <c r="X376" s="878"/>
      <c r="Y376" s="878"/>
      <c r="Z376" s="878"/>
    </row>
    <row r="377" ht="12.0" customHeight="1">
      <c r="A377" s="878"/>
      <c r="B377" s="879"/>
      <c r="C377" s="842"/>
      <c r="D377" s="878"/>
      <c r="E377" s="878"/>
      <c r="F377" s="878"/>
      <c r="G377" s="878"/>
      <c r="H377" s="878"/>
      <c r="I377" s="878"/>
      <c r="J377" s="878"/>
      <c r="K377" s="878"/>
      <c r="L377" s="878"/>
      <c r="M377" s="878"/>
      <c r="N377" s="878"/>
      <c r="O377" s="878"/>
      <c r="P377" s="878"/>
      <c r="Q377" s="878"/>
      <c r="R377" s="878"/>
      <c r="S377" s="878"/>
      <c r="T377" s="878"/>
      <c r="U377" s="878"/>
      <c r="V377" s="878"/>
      <c r="W377" s="878"/>
      <c r="X377" s="878"/>
      <c r="Y377" s="878"/>
      <c r="Z377" s="878"/>
    </row>
    <row r="378" ht="12.0" customHeight="1">
      <c r="A378" s="878"/>
      <c r="B378" s="879"/>
      <c r="C378" s="842"/>
      <c r="D378" s="878"/>
      <c r="E378" s="878"/>
      <c r="F378" s="878"/>
      <c r="G378" s="878"/>
      <c r="H378" s="878"/>
      <c r="I378" s="878"/>
      <c r="J378" s="878"/>
      <c r="K378" s="878"/>
      <c r="L378" s="878"/>
      <c r="M378" s="878"/>
      <c r="N378" s="878"/>
      <c r="O378" s="878"/>
      <c r="P378" s="878"/>
      <c r="Q378" s="878"/>
      <c r="R378" s="878"/>
      <c r="S378" s="878"/>
      <c r="T378" s="878"/>
      <c r="U378" s="878"/>
      <c r="V378" s="878"/>
      <c r="W378" s="878"/>
      <c r="X378" s="878"/>
      <c r="Y378" s="878"/>
      <c r="Z378" s="878"/>
    </row>
    <row r="379" ht="12.0" customHeight="1">
      <c r="A379" s="878"/>
      <c r="B379" s="879"/>
      <c r="C379" s="842"/>
      <c r="D379" s="878"/>
      <c r="E379" s="878"/>
      <c r="F379" s="878"/>
      <c r="G379" s="878"/>
      <c r="H379" s="878"/>
      <c r="I379" s="878"/>
      <c r="J379" s="878"/>
      <c r="K379" s="878"/>
      <c r="L379" s="878"/>
      <c r="M379" s="878"/>
      <c r="N379" s="878"/>
      <c r="O379" s="878"/>
      <c r="P379" s="878"/>
      <c r="Q379" s="878"/>
      <c r="R379" s="878"/>
      <c r="S379" s="878"/>
      <c r="T379" s="878"/>
      <c r="U379" s="878"/>
      <c r="V379" s="878"/>
      <c r="W379" s="878"/>
      <c r="X379" s="878"/>
      <c r="Y379" s="878"/>
      <c r="Z379" s="878"/>
    </row>
    <row r="380" ht="12.0" customHeight="1">
      <c r="A380" s="878"/>
      <c r="B380" s="879"/>
      <c r="C380" s="842"/>
      <c r="D380" s="878"/>
      <c r="E380" s="878"/>
      <c r="F380" s="878"/>
      <c r="G380" s="878"/>
      <c r="H380" s="878"/>
      <c r="I380" s="878"/>
      <c r="J380" s="878"/>
      <c r="K380" s="878"/>
      <c r="L380" s="878"/>
      <c r="M380" s="878"/>
      <c r="N380" s="878"/>
      <c r="O380" s="878"/>
      <c r="P380" s="878"/>
      <c r="Q380" s="878"/>
      <c r="R380" s="878"/>
      <c r="S380" s="878"/>
      <c r="T380" s="878"/>
      <c r="U380" s="878"/>
      <c r="V380" s="878"/>
      <c r="W380" s="878"/>
      <c r="X380" s="878"/>
      <c r="Y380" s="878"/>
      <c r="Z380" s="878"/>
    </row>
    <row r="381" ht="12.0" customHeight="1">
      <c r="A381" s="878"/>
      <c r="B381" s="879"/>
      <c r="C381" s="842"/>
      <c r="D381" s="878"/>
      <c r="E381" s="878"/>
      <c r="F381" s="878"/>
      <c r="G381" s="878"/>
      <c r="H381" s="878"/>
      <c r="I381" s="878"/>
      <c r="J381" s="878"/>
      <c r="K381" s="878"/>
      <c r="L381" s="878"/>
      <c r="M381" s="878"/>
      <c r="N381" s="878"/>
      <c r="O381" s="878"/>
      <c r="P381" s="878"/>
      <c r="Q381" s="878"/>
      <c r="R381" s="878"/>
      <c r="S381" s="878"/>
      <c r="T381" s="878"/>
      <c r="U381" s="878"/>
      <c r="V381" s="878"/>
      <c r="W381" s="878"/>
      <c r="X381" s="878"/>
      <c r="Y381" s="878"/>
      <c r="Z381" s="878"/>
    </row>
    <row r="382" ht="12.0" customHeight="1">
      <c r="A382" s="878"/>
      <c r="B382" s="879"/>
      <c r="C382" s="842"/>
      <c r="D382" s="878"/>
      <c r="E382" s="878"/>
      <c r="F382" s="878"/>
      <c r="G382" s="878"/>
      <c r="H382" s="878"/>
      <c r="I382" s="878"/>
      <c r="J382" s="878"/>
      <c r="K382" s="878"/>
      <c r="L382" s="878"/>
      <c r="M382" s="878"/>
      <c r="N382" s="878"/>
      <c r="O382" s="878"/>
      <c r="P382" s="878"/>
      <c r="Q382" s="878"/>
      <c r="R382" s="878"/>
      <c r="S382" s="878"/>
      <c r="T382" s="878"/>
      <c r="U382" s="878"/>
      <c r="V382" s="878"/>
      <c r="W382" s="878"/>
      <c r="X382" s="878"/>
      <c r="Y382" s="878"/>
      <c r="Z382" s="878"/>
    </row>
    <row r="383" ht="12.0" customHeight="1">
      <c r="A383" s="878"/>
      <c r="B383" s="879"/>
      <c r="C383" s="842"/>
      <c r="D383" s="878"/>
      <c r="E383" s="878"/>
      <c r="F383" s="878"/>
      <c r="G383" s="878"/>
      <c r="H383" s="878"/>
      <c r="I383" s="878"/>
      <c r="J383" s="878"/>
      <c r="K383" s="878"/>
      <c r="L383" s="878"/>
      <c r="M383" s="878"/>
      <c r="N383" s="878"/>
      <c r="O383" s="878"/>
      <c r="P383" s="878"/>
      <c r="Q383" s="878"/>
      <c r="R383" s="878"/>
      <c r="S383" s="878"/>
      <c r="T383" s="878"/>
      <c r="U383" s="878"/>
      <c r="V383" s="878"/>
      <c r="W383" s="878"/>
      <c r="X383" s="878"/>
      <c r="Y383" s="878"/>
      <c r="Z383" s="878"/>
    </row>
    <row r="384" ht="12.0" customHeight="1">
      <c r="A384" s="878"/>
      <c r="B384" s="879"/>
      <c r="C384" s="842"/>
      <c r="D384" s="878"/>
      <c r="E384" s="878"/>
      <c r="F384" s="878"/>
      <c r="G384" s="878"/>
      <c r="H384" s="878"/>
      <c r="I384" s="878"/>
      <c r="J384" s="878"/>
      <c r="K384" s="878"/>
      <c r="L384" s="878"/>
      <c r="M384" s="878"/>
      <c r="N384" s="878"/>
      <c r="O384" s="878"/>
      <c r="P384" s="878"/>
      <c r="Q384" s="878"/>
      <c r="R384" s="878"/>
      <c r="S384" s="878"/>
      <c r="T384" s="878"/>
      <c r="U384" s="878"/>
      <c r="V384" s="878"/>
      <c r="W384" s="878"/>
      <c r="X384" s="878"/>
      <c r="Y384" s="878"/>
      <c r="Z384" s="878"/>
    </row>
    <row r="385" ht="12.0" customHeight="1">
      <c r="A385" s="878"/>
      <c r="B385" s="879"/>
      <c r="C385" s="842"/>
      <c r="D385" s="878"/>
      <c r="E385" s="878"/>
      <c r="F385" s="878"/>
      <c r="G385" s="878"/>
      <c r="H385" s="878"/>
      <c r="I385" s="878"/>
      <c r="J385" s="878"/>
      <c r="K385" s="878"/>
      <c r="L385" s="878"/>
      <c r="M385" s="878"/>
      <c r="N385" s="878"/>
      <c r="O385" s="878"/>
      <c r="P385" s="878"/>
      <c r="Q385" s="878"/>
      <c r="R385" s="878"/>
      <c r="S385" s="878"/>
      <c r="T385" s="878"/>
      <c r="U385" s="878"/>
      <c r="V385" s="878"/>
      <c r="W385" s="878"/>
      <c r="X385" s="878"/>
      <c r="Y385" s="878"/>
      <c r="Z385" s="878"/>
    </row>
    <row r="386" ht="12.0" customHeight="1">
      <c r="A386" s="878"/>
      <c r="B386" s="879"/>
      <c r="C386" s="842"/>
      <c r="D386" s="878"/>
      <c r="E386" s="878"/>
      <c r="F386" s="878"/>
      <c r="G386" s="878"/>
      <c r="H386" s="878"/>
      <c r="I386" s="878"/>
      <c r="J386" s="878"/>
      <c r="K386" s="878"/>
      <c r="L386" s="878"/>
      <c r="M386" s="878"/>
      <c r="N386" s="878"/>
      <c r="O386" s="878"/>
      <c r="P386" s="878"/>
      <c r="Q386" s="878"/>
      <c r="R386" s="878"/>
      <c r="S386" s="878"/>
      <c r="T386" s="878"/>
      <c r="U386" s="878"/>
      <c r="V386" s="878"/>
      <c r="W386" s="878"/>
      <c r="X386" s="878"/>
      <c r="Y386" s="878"/>
      <c r="Z386" s="878"/>
    </row>
    <row r="387" ht="12.0" customHeight="1">
      <c r="A387" s="878"/>
      <c r="B387" s="879"/>
      <c r="C387" s="842"/>
      <c r="D387" s="878"/>
      <c r="E387" s="878"/>
      <c r="F387" s="878"/>
      <c r="G387" s="878"/>
      <c r="H387" s="878"/>
      <c r="I387" s="878"/>
      <c r="J387" s="878"/>
      <c r="K387" s="878"/>
      <c r="L387" s="878"/>
      <c r="M387" s="878"/>
      <c r="N387" s="878"/>
      <c r="O387" s="878"/>
      <c r="P387" s="878"/>
      <c r="Q387" s="878"/>
      <c r="R387" s="878"/>
      <c r="S387" s="878"/>
      <c r="T387" s="878"/>
      <c r="U387" s="878"/>
      <c r="V387" s="878"/>
      <c r="W387" s="878"/>
      <c r="X387" s="878"/>
      <c r="Y387" s="878"/>
      <c r="Z387" s="878"/>
    </row>
    <row r="388" ht="12.0" customHeight="1">
      <c r="A388" s="878"/>
      <c r="B388" s="879"/>
      <c r="C388" s="842"/>
      <c r="D388" s="878"/>
      <c r="E388" s="878"/>
      <c r="F388" s="878"/>
      <c r="G388" s="878"/>
      <c r="H388" s="878"/>
      <c r="I388" s="878"/>
      <c r="J388" s="878"/>
      <c r="K388" s="878"/>
      <c r="L388" s="878"/>
      <c r="M388" s="878"/>
      <c r="N388" s="878"/>
      <c r="O388" s="878"/>
      <c r="P388" s="878"/>
      <c r="Q388" s="878"/>
      <c r="R388" s="878"/>
      <c r="S388" s="878"/>
      <c r="T388" s="878"/>
      <c r="U388" s="878"/>
      <c r="V388" s="878"/>
      <c r="W388" s="878"/>
      <c r="X388" s="878"/>
      <c r="Y388" s="878"/>
      <c r="Z388" s="878"/>
    </row>
    <row r="389" ht="12.0" customHeight="1">
      <c r="A389" s="878"/>
      <c r="B389" s="879"/>
      <c r="C389" s="842"/>
      <c r="D389" s="878"/>
      <c r="E389" s="878"/>
      <c r="F389" s="878"/>
      <c r="G389" s="878"/>
      <c r="H389" s="878"/>
      <c r="I389" s="878"/>
      <c r="J389" s="878"/>
      <c r="K389" s="878"/>
      <c r="L389" s="878"/>
      <c r="M389" s="878"/>
      <c r="N389" s="878"/>
      <c r="O389" s="878"/>
      <c r="P389" s="878"/>
      <c r="Q389" s="878"/>
      <c r="R389" s="878"/>
      <c r="S389" s="878"/>
      <c r="T389" s="878"/>
      <c r="U389" s="878"/>
      <c r="V389" s="878"/>
      <c r="W389" s="878"/>
      <c r="X389" s="878"/>
      <c r="Y389" s="878"/>
      <c r="Z389" s="878"/>
    </row>
    <row r="390" ht="12.0" customHeight="1">
      <c r="A390" s="878"/>
      <c r="B390" s="879"/>
      <c r="C390" s="842"/>
      <c r="D390" s="878"/>
      <c r="E390" s="878"/>
      <c r="F390" s="878"/>
      <c r="G390" s="878"/>
      <c r="H390" s="878"/>
      <c r="I390" s="878"/>
      <c r="J390" s="878"/>
      <c r="K390" s="878"/>
      <c r="L390" s="878"/>
      <c r="M390" s="878"/>
      <c r="N390" s="878"/>
      <c r="O390" s="878"/>
      <c r="P390" s="878"/>
      <c r="Q390" s="878"/>
      <c r="R390" s="878"/>
      <c r="S390" s="878"/>
      <c r="T390" s="878"/>
      <c r="U390" s="878"/>
      <c r="V390" s="878"/>
      <c r="W390" s="878"/>
      <c r="X390" s="878"/>
      <c r="Y390" s="878"/>
      <c r="Z390" s="878"/>
    </row>
    <row r="391" ht="12.0" customHeight="1">
      <c r="A391" s="878"/>
      <c r="B391" s="879"/>
      <c r="C391" s="842"/>
      <c r="D391" s="878"/>
      <c r="E391" s="878"/>
      <c r="F391" s="878"/>
      <c r="G391" s="878"/>
      <c r="H391" s="878"/>
      <c r="I391" s="878"/>
      <c r="J391" s="878"/>
      <c r="K391" s="878"/>
      <c r="L391" s="878"/>
      <c r="M391" s="878"/>
      <c r="N391" s="878"/>
      <c r="O391" s="878"/>
      <c r="P391" s="878"/>
      <c r="Q391" s="878"/>
      <c r="R391" s="878"/>
      <c r="S391" s="878"/>
      <c r="T391" s="878"/>
      <c r="U391" s="878"/>
      <c r="V391" s="878"/>
      <c r="W391" s="878"/>
      <c r="X391" s="878"/>
      <c r="Y391" s="878"/>
      <c r="Z391" s="878"/>
    </row>
    <row r="392" ht="12.0" customHeight="1">
      <c r="A392" s="878"/>
      <c r="B392" s="879"/>
      <c r="C392" s="842"/>
      <c r="D392" s="878"/>
      <c r="E392" s="878"/>
      <c r="F392" s="878"/>
      <c r="G392" s="878"/>
      <c r="H392" s="878"/>
      <c r="I392" s="878"/>
      <c r="J392" s="878"/>
      <c r="K392" s="878"/>
      <c r="L392" s="878"/>
      <c r="M392" s="878"/>
      <c r="N392" s="878"/>
      <c r="O392" s="878"/>
      <c r="P392" s="878"/>
      <c r="Q392" s="878"/>
      <c r="R392" s="878"/>
      <c r="S392" s="878"/>
      <c r="T392" s="878"/>
      <c r="U392" s="878"/>
      <c r="V392" s="878"/>
      <c r="W392" s="878"/>
      <c r="X392" s="878"/>
      <c r="Y392" s="878"/>
      <c r="Z392" s="878"/>
    </row>
    <row r="393" ht="12.0" customHeight="1">
      <c r="A393" s="878"/>
      <c r="B393" s="879"/>
      <c r="C393" s="842"/>
      <c r="D393" s="878"/>
      <c r="E393" s="878"/>
      <c r="F393" s="878"/>
      <c r="G393" s="878"/>
      <c r="H393" s="878"/>
      <c r="I393" s="878"/>
      <c r="J393" s="878"/>
      <c r="K393" s="878"/>
      <c r="L393" s="878"/>
      <c r="M393" s="878"/>
      <c r="N393" s="878"/>
      <c r="O393" s="878"/>
      <c r="P393" s="878"/>
      <c r="Q393" s="878"/>
      <c r="R393" s="878"/>
      <c r="S393" s="878"/>
      <c r="T393" s="878"/>
      <c r="U393" s="878"/>
      <c r="V393" s="878"/>
      <c r="W393" s="878"/>
      <c r="X393" s="878"/>
      <c r="Y393" s="878"/>
      <c r="Z393" s="878"/>
    </row>
    <row r="394" ht="12.0" customHeight="1">
      <c r="A394" s="878"/>
      <c r="B394" s="879"/>
      <c r="C394" s="842"/>
      <c r="D394" s="878"/>
      <c r="E394" s="878"/>
      <c r="F394" s="878"/>
      <c r="G394" s="878"/>
      <c r="H394" s="878"/>
      <c r="I394" s="878"/>
      <c r="J394" s="878"/>
      <c r="K394" s="878"/>
      <c r="L394" s="878"/>
      <c r="M394" s="878"/>
      <c r="N394" s="878"/>
      <c r="O394" s="878"/>
      <c r="P394" s="878"/>
      <c r="Q394" s="878"/>
      <c r="R394" s="878"/>
      <c r="S394" s="878"/>
      <c r="T394" s="878"/>
      <c r="U394" s="878"/>
      <c r="V394" s="878"/>
      <c r="W394" s="878"/>
      <c r="X394" s="878"/>
      <c r="Y394" s="878"/>
      <c r="Z394" s="878"/>
    </row>
    <row r="395" ht="12.0" customHeight="1">
      <c r="A395" s="878"/>
      <c r="B395" s="879"/>
      <c r="C395" s="842"/>
      <c r="D395" s="878"/>
      <c r="E395" s="878"/>
      <c r="F395" s="878"/>
      <c r="G395" s="878"/>
      <c r="H395" s="878"/>
      <c r="I395" s="878"/>
      <c r="J395" s="878"/>
      <c r="K395" s="878"/>
      <c r="L395" s="878"/>
      <c r="M395" s="878"/>
      <c r="N395" s="878"/>
      <c r="O395" s="878"/>
      <c r="P395" s="878"/>
      <c r="Q395" s="878"/>
      <c r="R395" s="878"/>
      <c r="S395" s="878"/>
      <c r="T395" s="878"/>
      <c r="U395" s="878"/>
      <c r="V395" s="878"/>
      <c r="W395" s="878"/>
      <c r="X395" s="878"/>
      <c r="Y395" s="878"/>
      <c r="Z395" s="878"/>
    </row>
    <row r="396" ht="12.0" customHeight="1">
      <c r="A396" s="878"/>
      <c r="B396" s="879"/>
      <c r="C396" s="842"/>
      <c r="D396" s="878"/>
      <c r="E396" s="878"/>
      <c r="F396" s="878"/>
      <c r="G396" s="878"/>
      <c r="H396" s="878"/>
      <c r="I396" s="878"/>
      <c r="J396" s="878"/>
      <c r="K396" s="878"/>
      <c r="L396" s="878"/>
      <c r="M396" s="878"/>
      <c r="N396" s="878"/>
      <c r="O396" s="878"/>
      <c r="P396" s="878"/>
      <c r="Q396" s="878"/>
      <c r="R396" s="878"/>
      <c r="S396" s="878"/>
      <c r="T396" s="878"/>
      <c r="U396" s="878"/>
      <c r="V396" s="878"/>
      <c r="W396" s="878"/>
      <c r="X396" s="878"/>
      <c r="Y396" s="878"/>
      <c r="Z396" s="878"/>
    </row>
    <row r="397" ht="12.0" customHeight="1">
      <c r="A397" s="878"/>
      <c r="B397" s="879"/>
      <c r="C397" s="842"/>
      <c r="D397" s="878"/>
      <c r="E397" s="878"/>
      <c r="F397" s="878"/>
      <c r="G397" s="878"/>
      <c r="H397" s="878"/>
      <c r="I397" s="878"/>
      <c r="J397" s="878"/>
      <c r="K397" s="878"/>
      <c r="L397" s="878"/>
      <c r="M397" s="878"/>
      <c r="N397" s="878"/>
      <c r="O397" s="878"/>
      <c r="P397" s="878"/>
      <c r="Q397" s="878"/>
      <c r="R397" s="878"/>
      <c r="S397" s="878"/>
      <c r="T397" s="878"/>
      <c r="U397" s="878"/>
      <c r="V397" s="878"/>
      <c r="W397" s="878"/>
      <c r="X397" s="878"/>
      <c r="Y397" s="878"/>
      <c r="Z397" s="878"/>
    </row>
    <row r="398" ht="12.0" customHeight="1">
      <c r="A398" s="878"/>
      <c r="B398" s="879"/>
      <c r="C398" s="842"/>
      <c r="D398" s="878"/>
      <c r="E398" s="878"/>
      <c r="F398" s="878"/>
      <c r="G398" s="878"/>
      <c r="H398" s="878"/>
      <c r="I398" s="878"/>
      <c r="J398" s="878"/>
      <c r="K398" s="878"/>
      <c r="L398" s="878"/>
      <c r="M398" s="878"/>
      <c r="N398" s="878"/>
      <c r="O398" s="878"/>
      <c r="P398" s="878"/>
      <c r="Q398" s="878"/>
      <c r="R398" s="878"/>
      <c r="S398" s="878"/>
      <c r="T398" s="878"/>
      <c r="U398" s="878"/>
      <c r="V398" s="878"/>
      <c r="W398" s="878"/>
      <c r="X398" s="878"/>
      <c r="Y398" s="878"/>
      <c r="Z398" s="878"/>
    </row>
    <row r="399" ht="12.0" customHeight="1">
      <c r="A399" s="878"/>
      <c r="B399" s="879"/>
      <c r="C399" s="842"/>
      <c r="D399" s="878"/>
      <c r="E399" s="878"/>
      <c r="F399" s="878"/>
      <c r="G399" s="878"/>
      <c r="H399" s="878"/>
      <c r="I399" s="878"/>
      <c r="J399" s="878"/>
      <c r="K399" s="878"/>
      <c r="L399" s="878"/>
      <c r="M399" s="878"/>
      <c r="N399" s="878"/>
      <c r="O399" s="878"/>
      <c r="P399" s="878"/>
      <c r="Q399" s="878"/>
      <c r="R399" s="878"/>
      <c r="S399" s="878"/>
      <c r="T399" s="878"/>
      <c r="U399" s="878"/>
      <c r="V399" s="878"/>
      <c r="W399" s="878"/>
      <c r="X399" s="878"/>
      <c r="Y399" s="878"/>
      <c r="Z399" s="878"/>
    </row>
    <row r="400" ht="12.0" customHeight="1">
      <c r="A400" s="878"/>
      <c r="B400" s="879"/>
      <c r="C400" s="842"/>
      <c r="D400" s="878"/>
      <c r="E400" s="878"/>
      <c r="F400" s="878"/>
      <c r="G400" s="878"/>
      <c r="H400" s="878"/>
      <c r="I400" s="878"/>
      <c r="J400" s="878"/>
      <c r="K400" s="878"/>
      <c r="L400" s="878"/>
      <c r="M400" s="878"/>
      <c r="N400" s="878"/>
      <c r="O400" s="878"/>
      <c r="P400" s="878"/>
      <c r="Q400" s="878"/>
      <c r="R400" s="878"/>
      <c r="S400" s="878"/>
      <c r="T400" s="878"/>
      <c r="U400" s="878"/>
      <c r="V400" s="878"/>
      <c r="W400" s="878"/>
      <c r="X400" s="878"/>
      <c r="Y400" s="878"/>
      <c r="Z400" s="878"/>
    </row>
    <row r="401" ht="12.0" customHeight="1">
      <c r="A401" s="878"/>
      <c r="B401" s="879"/>
      <c r="C401" s="842"/>
      <c r="D401" s="878"/>
      <c r="E401" s="878"/>
      <c r="F401" s="878"/>
      <c r="G401" s="878"/>
      <c r="H401" s="878"/>
      <c r="I401" s="878"/>
      <c r="J401" s="878"/>
      <c r="K401" s="878"/>
      <c r="L401" s="878"/>
      <c r="M401" s="878"/>
      <c r="N401" s="878"/>
      <c r="O401" s="878"/>
      <c r="P401" s="878"/>
      <c r="Q401" s="878"/>
      <c r="R401" s="878"/>
      <c r="S401" s="878"/>
      <c r="T401" s="878"/>
      <c r="U401" s="878"/>
      <c r="V401" s="878"/>
      <c r="W401" s="878"/>
      <c r="X401" s="878"/>
      <c r="Y401" s="878"/>
      <c r="Z401" s="878"/>
    </row>
    <row r="402" ht="12.0" customHeight="1">
      <c r="A402" s="878"/>
      <c r="B402" s="879"/>
      <c r="C402" s="842"/>
      <c r="D402" s="878"/>
      <c r="E402" s="878"/>
      <c r="F402" s="878"/>
      <c r="G402" s="878"/>
      <c r="H402" s="878"/>
      <c r="I402" s="878"/>
      <c r="J402" s="878"/>
      <c r="K402" s="878"/>
      <c r="L402" s="878"/>
      <c r="M402" s="878"/>
      <c r="N402" s="878"/>
      <c r="O402" s="878"/>
      <c r="P402" s="878"/>
      <c r="Q402" s="878"/>
      <c r="R402" s="878"/>
      <c r="S402" s="878"/>
      <c r="T402" s="878"/>
      <c r="U402" s="878"/>
      <c r="V402" s="878"/>
      <c r="W402" s="878"/>
      <c r="X402" s="878"/>
      <c r="Y402" s="878"/>
      <c r="Z402" s="878"/>
    </row>
    <row r="403" ht="12.0" customHeight="1">
      <c r="A403" s="878"/>
      <c r="B403" s="879"/>
      <c r="C403" s="842"/>
      <c r="D403" s="878"/>
      <c r="E403" s="878"/>
      <c r="F403" s="878"/>
      <c r="G403" s="878"/>
      <c r="H403" s="878"/>
      <c r="I403" s="878"/>
      <c r="J403" s="878"/>
      <c r="K403" s="878"/>
      <c r="L403" s="878"/>
      <c r="M403" s="878"/>
      <c r="N403" s="878"/>
      <c r="O403" s="878"/>
      <c r="P403" s="878"/>
      <c r="Q403" s="878"/>
      <c r="R403" s="878"/>
      <c r="S403" s="878"/>
      <c r="T403" s="878"/>
      <c r="U403" s="878"/>
      <c r="V403" s="878"/>
      <c r="W403" s="878"/>
      <c r="X403" s="878"/>
      <c r="Y403" s="878"/>
      <c r="Z403" s="878"/>
    </row>
    <row r="404" ht="12.0" customHeight="1">
      <c r="A404" s="878"/>
      <c r="B404" s="879"/>
      <c r="C404" s="842"/>
      <c r="D404" s="878"/>
      <c r="E404" s="878"/>
      <c r="F404" s="878"/>
      <c r="G404" s="878"/>
      <c r="H404" s="878"/>
      <c r="I404" s="878"/>
      <c r="J404" s="878"/>
      <c r="K404" s="878"/>
      <c r="L404" s="878"/>
      <c r="M404" s="878"/>
      <c r="N404" s="878"/>
      <c r="O404" s="878"/>
      <c r="P404" s="878"/>
      <c r="Q404" s="878"/>
      <c r="R404" s="878"/>
      <c r="S404" s="878"/>
      <c r="T404" s="878"/>
      <c r="U404" s="878"/>
      <c r="V404" s="878"/>
      <c r="W404" s="878"/>
      <c r="X404" s="878"/>
      <c r="Y404" s="878"/>
      <c r="Z404" s="878"/>
    </row>
    <row r="405" ht="12.0" customHeight="1">
      <c r="A405" s="878"/>
      <c r="B405" s="879"/>
      <c r="C405" s="842"/>
      <c r="D405" s="878"/>
      <c r="E405" s="878"/>
      <c r="F405" s="878"/>
      <c r="G405" s="878"/>
      <c r="H405" s="878"/>
      <c r="I405" s="878"/>
      <c r="J405" s="878"/>
      <c r="K405" s="878"/>
      <c r="L405" s="878"/>
      <c r="M405" s="878"/>
      <c r="N405" s="878"/>
      <c r="O405" s="878"/>
      <c r="P405" s="878"/>
      <c r="Q405" s="878"/>
      <c r="R405" s="878"/>
      <c r="S405" s="878"/>
      <c r="T405" s="878"/>
      <c r="U405" s="878"/>
      <c r="V405" s="878"/>
      <c r="W405" s="878"/>
      <c r="X405" s="878"/>
      <c r="Y405" s="878"/>
      <c r="Z405" s="878"/>
    </row>
    <row r="406" ht="12.0" customHeight="1">
      <c r="A406" s="878"/>
      <c r="B406" s="879"/>
      <c r="C406" s="842"/>
      <c r="D406" s="878"/>
      <c r="E406" s="878"/>
      <c r="F406" s="878"/>
      <c r="G406" s="878"/>
      <c r="H406" s="878"/>
      <c r="I406" s="878"/>
      <c r="J406" s="878"/>
      <c r="K406" s="878"/>
      <c r="L406" s="878"/>
      <c r="M406" s="878"/>
      <c r="N406" s="878"/>
      <c r="O406" s="878"/>
      <c r="P406" s="878"/>
      <c r="Q406" s="878"/>
      <c r="R406" s="878"/>
      <c r="S406" s="878"/>
      <c r="T406" s="878"/>
      <c r="U406" s="878"/>
      <c r="V406" s="878"/>
      <c r="W406" s="878"/>
      <c r="X406" s="878"/>
      <c r="Y406" s="878"/>
      <c r="Z406" s="878"/>
    </row>
    <row r="407" ht="12.0" customHeight="1">
      <c r="A407" s="878"/>
      <c r="B407" s="879"/>
      <c r="C407" s="842"/>
      <c r="D407" s="878"/>
      <c r="E407" s="878"/>
      <c r="F407" s="878"/>
      <c r="G407" s="878"/>
      <c r="H407" s="878"/>
      <c r="I407" s="878"/>
      <c r="J407" s="878"/>
      <c r="K407" s="878"/>
      <c r="L407" s="878"/>
      <c r="M407" s="878"/>
      <c r="N407" s="878"/>
      <c r="O407" s="878"/>
      <c r="P407" s="878"/>
      <c r="Q407" s="878"/>
      <c r="R407" s="878"/>
      <c r="S407" s="878"/>
      <c r="T407" s="878"/>
      <c r="U407" s="878"/>
      <c r="V407" s="878"/>
      <c r="W407" s="878"/>
      <c r="X407" s="878"/>
      <c r="Y407" s="878"/>
      <c r="Z407" s="878"/>
    </row>
    <row r="408" ht="12.0" customHeight="1">
      <c r="A408" s="878"/>
      <c r="B408" s="879"/>
      <c r="C408" s="842"/>
      <c r="D408" s="878"/>
      <c r="E408" s="878"/>
      <c r="F408" s="878"/>
      <c r="G408" s="878"/>
      <c r="H408" s="878"/>
      <c r="I408" s="878"/>
      <c r="J408" s="878"/>
      <c r="K408" s="878"/>
      <c r="L408" s="878"/>
      <c r="M408" s="878"/>
      <c r="N408" s="878"/>
      <c r="O408" s="878"/>
      <c r="P408" s="878"/>
      <c r="Q408" s="878"/>
      <c r="R408" s="878"/>
      <c r="S408" s="878"/>
      <c r="T408" s="878"/>
      <c r="U408" s="878"/>
      <c r="V408" s="878"/>
      <c r="W408" s="878"/>
      <c r="X408" s="878"/>
      <c r="Y408" s="878"/>
      <c r="Z408" s="878"/>
    </row>
    <row r="409" ht="12.0" customHeight="1">
      <c r="A409" s="878"/>
      <c r="B409" s="879"/>
      <c r="C409" s="842"/>
      <c r="D409" s="878"/>
      <c r="E409" s="878"/>
      <c r="F409" s="878"/>
      <c r="G409" s="878"/>
      <c r="H409" s="878"/>
      <c r="I409" s="878"/>
      <c r="J409" s="878"/>
      <c r="K409" s="878"/>
      <c r="L409" s="878"/>
      <c r="M409" s="878"/>
      <c r="N409" s="878"/>
      <c r="O409" s="878"/>
      <c r="P409" s="878"/>
      <c r="Q409" s="878"/>
      <c r="R409" s="878"/>
      <c r="S409" s="878"/>
      <c r="T409" s="878"/>
      <c r="U409" s="878"/>
      <c r="V409" s="878"/>
      <c r="W409" s="878"/>
      <c r="X409" s="878"/>
      <c r="Y409" s="878"/>
      <c r="Z409" s="878"/>
    </row>
    <row r="410" ht="12.0" customHeight="1">
      <c r="A410" s="878"/>
      <c r="B410" s="879"/>
      <c r="C410" s="842"/>
      <c r="D410" s="878"/>
      <c r="E410" s="878"/>
      <c r="F410" s="878"/>
      <c r="G410" s="878"/>
      <c r="H410" s="878"/>
      <c r="I410" s="878"/>
      <c r="J410" s="878"/>
      <c r="K410" s="878"/>
      <c r="L410" s="878"/>
      <c r="M410" s="878"/>
      <c r="N410" s="878"/>
      <c r="O410" s="878"/>
      <c r="P410" s="878"/>
      <c r="Q410" s="878"/>
      <c r="R410" s="878"/>
      <c r="S410" s="878"/>
      <c r="T410" s="878"/>
      <c r="U410" s="878"/>
      <c r="V410" s="878"/>
      <c r="W410" s="878"/>
      <c r="X410" s="878"/>
      <c r="Y410" s="878"/>
      <c r="Z410" s="878"/>
    </row>
    <row r="411" ht="12.0" customHeight="1">
      <c r="A411" s="878"/>
      <c r="B411" s="879"/>
      <c r="C411" s="842"/>
      <c r="D411" s="878"/>
      <c r="E411" s="878"/>
      <c r="F411" s="878"/>
      <c r="G411" s="878"/>
      <c r="H411" s="878"/>
      <c r="I411" s="878"/>
      <c r="J411" s="878"/>
      <c r="K411" s="878"/>
      <c r="L411" s="878"/>
      <c r="M411" s="878"/>
      <c r="N411" s="878"/>
      <c r="O411" s="878"/>
      <c r="P411" s="878"/>
      <c r="Q411" s="878"/>
      <c r="R411" s="878"/>
      <c r="S411" s="878"/>
      <c r="T411" s="878"/>
      <c r="U411" s="878"/>
      <c r="V411" s="878"/>
      <c r="W411" s="878"/>
      <c r="X411" s="878"/>
      <c r="Y411" s="878"/>
      <c r="Z411" s="878"/>
    </row>
    <row r="412" ht="12.0" customHeight="1">
      <c r="A412" s="878"/>
      <c r="B412" s="879"/>
      <c r="C412" s="842"/>
      <c r="D412" s="878"/>
      <c r="E412" s="878"/>
      <c r="F412" s="878"/>
      <c r="G412" s="878"/>
      <c r="H412" s="878"/>
      <c r="I412" s="878"/>
      <c r="J412" s="878"/>
      <c r="K412" s="878"/>
      <c r="L412" s="878"/>
      <c r="M412" s="878"/>
      <c r="N412" s="878"/>
      <c r="O412" s="878"/>
      <c r="P412" s="878"/>
      <c r="Q412" s="878"/>
      <c r="R412" s="878"/>
      <c r="S412" s="878"/>
      <c r="T412" s="878"/>
      <c r="U412" s="878"/>
      <c r="V412" s="878"/>
      <c r="W412" s="878"/>
      <c r="X412" s="878"/>
      <c r="Y412" s="878"/>
      <c r="Z412" s="878"/>
    </row>
    <row r="413" ht="12.0" customHeight="1">
      <c r="A413" s="878"/>
      <c r="B413" s="879"/>
      <c r="C413" s="842"/>
      <c r="D413" s="878"/>
      <c r="E413" s="878"/>
      <c r="F413" s="878"/>
      <c r="G413" s="878"/>
      <c r="H413" s="878"/>
      <c r="I413" s="878"/>
      <c r="J413" s="878"/>
      <c r="K413" s="878"/>
      <c r="L413" s="878"/>
      <c r="M413" s="878"/>
      <c r="N413" s="878"/>
      <c r="O413" s="878"/>
      <c r="P413" s="878"/>
      <c r="Q413" s="878"/>
      <c r="R413" s="878"/>
      <c r="S413" s="878"/>
      <c r="T413" s="878"/>
      <c r="U413" s="878"/>
      <c r="V413" s="878"/>
      <c r="W413" s="878"/>
      <c r="X413" s="878"/>
      <c r="Y413" s="878"/>
      <c r="Z413" s="878"/>
    </row>
    <row r="414" ht="12.0" customHeight="1">
      <c r="A414" s="878"/>
      <c r="B414" s="879"/>
      <c r="C414" s="842"/>
      <c r="D414" s="878"/>
      <c r="E414" s="878"/>
      <c r="F414" s="878"/>
      <c r="G414" s="878"/>
      <c r="H414" s="878"/>
      <c r="I414" s="878"/>
      <c r="J414" s="878"/>
      <c r="K414" s="878"/>
      <c r="L414" s="878"/>
      <c r="M414" s="878"/>
      <c r="N414" s="878"/>
      <c r="O414" s="878"/>
      <c r="P414" s="878"/>
      <c r="Q414" s="878"/>
      <c r="R414" s="878"/>
      <c r="S414" s="878"/>
      <c r="T414" s="878"/>
      <c r="U414" s="878"/>
      <c r="V414" s="878"/>
      <c r="W414" s="878"/>
      <c r="X414" s="878"/>
      <c r="Y414" s="878"/>
      <c r="Z414" s="878"/>
    </row>
    <row r="415" ht="12.0" customHeight="1">
      <c r="A415" s="878"/>
      <c r="B415" s="879"/>
      <c r="C415" s="842"/>
      <c r="D415" s="878"/>
      <c r="E415" s="878"/>
      <c r="F415" s="878"/>
      <c r="G415" s="878"/>
      <c r="H415" s="878"/>
      <c r="I415" s="878"/>
      <c r="J415" s="878"/>
      <c r="K415" s="878"/>
      <c r="L415" s="878"/>
      <c r="M415" s="878"/>
      <c r="N415" s="878"/>
      <c r="O415" s="878"/>
      <c r="P415" s="878"/>
      <c r="Q415" s="878"/>
      <c r="R415" s="878"/>
      <c r="S415" s="878"/>
      <c r="T415" s="878"/>
      <c r="U415" s="878"/>
      <c r="V415" s="878"/>
      <c r="W415" s="878"/>
      <c r="X415" s="878"/>
      <c r="Y415" s="878"/>
      <c r="Z415" s="878"/>
    </row>
    <row r="416" ht="12.0" customHeight="1">
      <c r="A416" s="878"/>
      <c r="B416" s="879"/>
      <c r="C416" s="842"/>
      <c r="D416" s="878"/>
      <c r="E416" s="878"/>
      <c r="F416" s="878"/>
      <c r="G416" s="878"/>
      <c r="H416" s="878"/>
      <c r="I416" s="878"/>
      <c r="J416" s="878"/>
      <c r="K416" s="878"/>
      <c r="L416" s="878"/>
      <c r="M416" s="878"/>
      <c r="N416" s="878"/>
      <c r="O416" s="878"/>
      <c r="P416" s="878"/>
      <c r="Q416" s="878"/>
      <c r="R416" s="878"/>
      <c r="S416" s="878"/>
      <c r="T416" s="878"/>
      <c r="U416" s="878"/>
      <c r="V416" s="878"/>
      <c r="W416" s="878"/>
      <c r="X416" s="878"/>
      <c r="Y416" s="878"/>
      <c r="Z416" s="878"/>
    </row>
    <row r="417" ht="12.0" customHeight="1">
      <c r="A417" s="878"/>
      <c r="B417" s="879"/>
      <c r="C417" s="842"/>
      <c r="D417" s="878"/>
      <c r="E417" s="878"/>
      <c r="F417" s="878"/>
      <c r="G417" s="878"/>
      <c r="H417" s="878"/>
      <c r="I417" s="878"/>
      <c r="J417" s="878"/>
      <c r="K417" s="878"/>
      <c r="L417" s="878"/>
      <c r="M417" s="878"/>
      <c r="N417" s="878"/>
      <c r="O417" s="878"/>
      <c r="P417" s="878"/>
      <c r="Q417" s="878"/>
      <c r="R417" s="878"/>
      <c r="S417" s="878"/>
      <c r="T417" s="878"/>
      <c r="U417" s="878"/>
      <c r="V417" s="878"/>
      <c r="W417" s="878"/>
      <c r="X417" s="878"/>
      <c r="Y417" s="878"/>
      <c r="Z417" s="878"/>
    </row>
    <row r="418" ht="12.0" customHeight="1">
      <c r="A418" s="878"/>
      <c r="B418" s="879"/>
      <c r="C418" s="842"/>
      <c r="D418" s="878"/>
      <c r="E418" s="878"/>
      <c r="F418" s="878"/>
      <c r="G418" s="878"/>
      <c r="H418" s="878"/>
      <c r="I418" s="878"/>
      <c r="J418" s="878"/>
      <c r="K418" s="878"/>
      <c r="L418" s="878"/>
      <c r="M418" s="878"/>
      <c r="N418" s="878"/>
      <c r="O418" s="878"/>
      <c r="P418" s="878"/>
      <c r="Q418" s="878"/>
      <c r="R418" s="878"/>
      <c r="S418" s="878"/>
      <c r="T418" s="878"/>
      <c r="U418" s="878"/>
      <c r="V418" s="878"/>
      <c r="W418" s="878"/>
      <c r="X418" s="878"/>
      <c r="Y418" s="878"/>
      <c r="Z418" s="878"/>
    </row>
    <row r="419" ht="12.0" customHeight="1">
      <c r="A419" s="878"/>
      <c r="B419" s="879"/>
      <c r="C419" s="842"/>
      <c r="D419" s="878"/>
      <c r="E419" s="878"/>
      <c r="F419" s="878"/>
      <c r="G419" s="878"/>
      <c r="H419" s="878"/>
      <c r="I419" s="878"/>
      <c r="J419" s="878"/>
      <c r="K419" s="878"/>
      <c r="L419" s="878"/>
      <c r="M419" s="878"/>
      <c r="N419" s="878"/>
      <c r="O419" s="878"/>
      <c r="P419" s="878"/>
      <c r="Q419" s="878"/>
      <c r="R419" s="878"/>
      <c r="S419" s="878"/>
      <c r="T419" s="878"/>
      <c r="U419" s="878"/>
      <c r="V419" s="878"/>
      <c r="W419" s="878"/>
      <c r="X419" s="878"/>
      <c r="Y419" s="878"/>
      <c r="Z419" s="878"/>
    </row>
    <row r="420" ht="12.0" customHeight="1">
      <c r="A420" s="878"/>
      <c r="B420" s="879"/>
      <c r="C420" s="842"/>
      <c r="D420" s="878"/>
      <c r="E420" s="878"/>
      <c r="F420" s="878"/>
      <c r="G420" s="878"/>
      <c r="H420" s="878"/>
      <c r="I420" s="878"/>
      <c r="J420" s="878"/>
      <c r="K420" s="878"/>
      <c r="L420" s="878"/>
      <c r="M420" s="878"/>
      <c r="N420" s="878"/>
      <c r="O420" s="878"/>
      <c r="P420" s="878"/>
      <c r="Q420" s="878"/>
      <c r="R420" s="878"/>
      <c r="S420" s="878"/>
      <c r="T420" s="878"/>
      <c r="U420" s="878"/>
      <c r="V420" s="878"/>
      <c r="W420" s="878"/>
      <c r="X420" s="878"/>
      <c r="Y420" s="878"/>
      <c r="Z420" s="878"/>
    </row>
    <row r="421" ht="12.0" customHeight="1">
      <c r="A421" s="878"/>
      <c r="B421" s="879"/>
      <c r="C421" s="842"/>
      <c r="D421" s="878"/>
      <c r="E421" s="878"/>
      <c r="F421" s="878"/>
      <c r="G421" s="878"/>
      <c r="H421" s="878"/>
      <c r="I421" s="878"/>
      <c r="J421" s="878"/>
      <c r="K421" s="878"/>
      <c r="L421" s="878"/>
      <c r="M421" s="878"/>
      <c r="N421" s="878"/>
      <c r="O421" s="878"/>
      <c r="P421" s="878"/>
      <c r="Q421" s="878"/>
      <c r="R421" s="878"/>
      <c r="S421" s="878"/>
      <c r="T421" s="878"/>
      <c r="U421" s="878"/>
      <c r="V421" s="878"/>
      <c r="W421" s="878"/>
      <c r="X421" s="878"/>
      <c r="Y421" s="878"/>
      <c r="Z421" s="878"/>
    </row>
    <row r="422" ht="12.0" customHeight="1">
      <c r="A422" s="878"/>
      <c r="B422" s="879"/>
      <c r="C422" s="842"/>
      <c r="D422" s="878"/>
      <c r="E422" s="878"/>
      <c r="F422" s="878"/>
      <c r="G422" s="878"/>
      <c r="H422" s="878"/>
      <c r="I422" s="878"/>
      <c r="J422" s="878"/>
      <c r="K422" s="878"/>
      <c r="L422" s="878"/>
      <c r="M422" s="878"/>
      <c r="N422" s="878"/>
      <c r="O422" s="878"/>
      <c r="P422" s="878"/>
      <c r="Q422" s="878"/>
      <c r="R422" s="878"/>
      <c r="S422" s="878"/>
      <c r="T422" s="878"/>
      <c r="U422" s="878"/>
      <c r="V422" s="878"/>
      <c r="W422" s="878"/>
      <c r="X422" s="878"/>
      <c r="Y422" s="878"/>
      <c r="Z422" s="878"/>
    </row>
    <row r="423" ht="12.0" customHeight="1">
      <c r="A423" s="878"/>
      <c r="B423" s="879"/>
      <c r="C423" s="842"/>
      <c r="D423" s="878"/>
      <c r="E423" s="878"/>
      <c r="F423" s="878"/>
      <c r="G423" s="878"/>
      <c r="H423" s="878"/>
      <c r="I423" s="878"/>
      <c r="J423" s="878"/>
      <c r="K423" s="878"/>
      <c r="L423" s="878"/>
      <c r="M423" s="878"/>
      <c r="N423" s="878"/>
      <c r="O423" s="878"/>
      <c r="P423" s="878"/>
      <c r="Q423" s="878"/>
      <c r="R423" s="878"/>
      <c r="S423" s="878"/>
      <c r="T423" s="878"/>
      <c r="U423" s="878"/>
      <c r="V423" s="878"/>
      <c r="W423" s="878"/>
      <c r="X423" s="878"/>
      <c r="Y423" s="878"/>
      <c r="Z423" s="878"/>
    </row>
    <row r="424" ht="12.0" customHeight="1">
      <c r="A424" s="878"/>
      <c r="B424" s="879"/>
      <c r="C424" s="842"/>
      <c r="D424" s="878"/>
      <c r="E424" s="878"/>
      <c r="F424" s="878"/>
      <c r="G424" s="878"/>
      <c r="H424" s="878"/>
      <c r="I424" s="878"/>
      <c r="J424" s="878"/>
      <c r="K424" s="878"/>
      <c r="L424" s="878"/>
      <c r="M424" s="878"/>
      <c r="N424" s="878"/>
      <c r="O424" s="878"/>
      <c r="P424" s="878"/>
      <c r="Q424" s="878"/>
      <c r="R424" s="878"/>
      <c r="S424" s="878"/>
      <c r="T424" s="878"/>
      <c r="U424" s="878"/>
      <c r="V424" s="878"/>
      <c r="W424" s="878"/>
      <c r="X424" s="878"/>
      <c r="Y424" s="878"/>
      <c r="Z424" s="878"/>
    </row>
    <row r="425" ht="12.0" customHeight="1">
      <c r="A425" s="878"/>
      <c r="B425" s="879"/>
      <c r="C425" s="842"/>
      <c r="D425" s="878"/>
      <c r="E425" s="878"/>
      <c r="F425" s="878"/>
      <c r="G425" s="878"/>
      <c r="H425" s="878"/>
      <c r="I425" s="878"/>
      <c r="J425" s="878"/>
      <c r="K425" s="878"/>
      <c r="L425" s="878"/>
      <c r="M425" s="878"/>
      <c r="N425" s="878"/>
      <c r="O425" s="878"/>
      <c r="P425" s="878"/>
      <c r="Q425" s="878"/>
      <c r="R425" s="878"/>
      <c r="S425" s="878"/>
      <c r="T425" s="878"/>
      <c r="U425" s="878"/>
      <c r="V425" s="878"/>
      <c r="W425" s="878"/>
      <c r="X425" s="878"/>
      <c r="Y425" s="878"/>
      <c r="Z425" s="878"/>
    </row>
    <row r="426" ht="12.0" customHeight="1">
      <c r="A426" s="878"/>
      <c r="B426" s="879"/>
      <c r="C426" s="842"/>
      <c r="D426" s="878"/>
      <c r="E426" s="878"/>
      <c r="F426" s="878"/>
      <c r="G426" s="878"/>
      <c r="H426" s="878"/>
      <c r="I426" s="878"/>
      <c r="J426" s="878"/>
      <c r="K426" s="878"/>
      <c r="L426" s="878"/>
      <c r="M426" s="878"/>
      <c r="N426" s="878"/>
      <c r="O426" s="878"/>
      <c r="P426" s="878"/>
      <c r="Q426" s="878"/>
      <c r="R426" s="878"/>
      <c r="S426" s="878"/>
      <c r="T426" s="878"/>
      <c r="U426" s="878"/>
      <c r="V426" s="878"/>
      <c r="W426" s="878"/>
      <c r="X426" s="878"/>
      <c r="Y426" s="878"/>
      <c r="Z426" s="878"/>
    </row>
    <row r="427" ht="12.0" customHeight="1">
      <c r="A427" s="878"/>
      <c r="B427" s="879"/>
      <c r="C427" s="842"/>
      <c r="D427" s="878"/>
      <c r="E427" s="878"/>
      <c r="F427" s="878"/>
      <c r="G427" s="878"/>
      <c r="H427" s="878"/>
      <c r="I427" s="878"/>
      <c r="J427" s="878"/>
      <c r="K427" s="878"/>
      <c r="L427" s="878"/>
      <c r="M427" s="878"/>
      <c r="N427" s="878"/>
      <c r="O427" s="878"/>
      <c r="P427" s="878"/>
      <c r="Q427" s="878"/>
      <c r="R427" s="878"/>
      <c r="S427" s="878"/>
      <c r="T427" s="878"/>
      <c r="U427" s="878"/>
      <c r="V427" s="878"/>
      <c r="W427" s="878"/>
      <c r="X427" s="878"/>
      <c r="Y427" s="878"/>
      <c r="Z427" s="878"/>
    </row>
    <row r="428" ht="12.0" customHeight="1">
      <c r="A428" s="878"/>
      <c r="B428" s="879"/>
      <c r="C428" s="842"/>
      <c r="D428" s="878"/>
      <c r="E428" s="878"/>
      <c r="F428" s="878"/>
      <c r="G428" s="878"/>
      <c r="H428" s="878"/>
      <c r="I428" s="878"/>
      <c r="J428" s="878"/>
      <c r="K428" s="878"/>
      <c r="L428" s="878"/>
      <c r="M428" s="878"/>
      <c r="N428" s="878"/>
      <c r="O428" s="878"/>
      <c r="P428" s="878"/>
      <c r="Q428" s="878"/>
      <c r="R428" s="878"/>
      <c r="S428" s="878"/>
      <c r="T428" s="878"/>
      <c r="U428" s="878"/>
      <c r="V428" s="878"/>
      <c r="W428" s="878"/>
      <c r="X428" s="878"/>
      <c r="Y428" s="878"/>
      <c r="Z428" s="878"/>
    </row>
    <row r="429" ht="12.0" customHeight="1">
      <c r="A429" s="878"/>
      <c r="B429" s="879"/>
      <c r="C429" s="842"/>
      <c r="D429" s="878"/>
      <c r="E429" s="878"/>
      <c r="F429" s="878"/>
      <c r="G429" s="878"/>
      <c r="H429" s="878"/>
      <c r="I429" s="878"/>
      <c r="J429" s="878"/>
      <c r="K429" s="878"/>
      <c r="L429" s="878"/>
      <c r="M429" s="878"/>
      <c r="N429" s="878"/>
      <c r="O429" s="878"/>
      <c r="P429" s="878"/>
      <c r="Q429" s="878"/>
      <c r="R429" s="878"/>
      <c r="S429" s="878"/>
      <c r="T429" s="878"/>
      <c r="U429" s="878"/>
      <c r="V429" s="878"/>
      <c r="W429" s="878"/>
      <c r="X429" s="878"/>
      <c r="Y429" s="878"/>
      <c r="Z429" s="878"/>
    </row>
    <row r="430" ht="12.0" customHeight="1">
      <c r="A430" s="878"/>
      <c r="B430" s="879"/>
      <c r="C430" s="842"/>
      <c r="D430" s="878"/>
      <c r="E430" s="878"/>
      <c r="F430" s="878"/>
      <c r="G430" s="878"/>
      <c r="H430" s="878"/>
      <c r="I430" s="878"/>
      <c r="J430" s="878"/>
      <c r="K430" s="878"/>
      <c r="L430" s="878"/>
      <c r="M430" s="878"/>
      <c r="N430" s="878"/>
      <c r="O430" s="878"/>
      <c r="P430" s="878"/>
      <c r="Q430" s="878"/>
      <c r="R430" s="878"/>
      <c r="S430" s="878"/>
      <c r="T430" s="878"/>
      <c r="U430" s="878"/>
      <c r="V430" s="878"/>
      <c r="W430" s="878"/>
      <c r="X430" s="878"/>
      <c r="Y430" s="878"/>
      <c r="Z430" s="878"/>
    </row>
    <row r="431" ht="12.0" customHeight="1">
      <c r="A431" s="878"/>
      <c r="B431" s="879"/>
      <c r="C431" s="842"/>
      <c r="D431" s="878"/>
      <c r="E431" s="878"/>
      <c r="F431" s="878"/>
      <c r="G431" s="878"/>
      <c r="H431" s="878"/>
      <c r="I431" s="878"/>
      <c r="J431" s="878"/>
      <c r="K431" s="878"/>
      <c r="L431" s="878"/>
      <c r="M431" s="878"/>
      <c r="N431" s="878"/>
      <c r="O431" s="878"/>
      <c r="P431" s="878"/>
      <c r="Q431" s="878"/>
      <c r="R431" s="878"/>
      <c r="S431" s="878"/>
      <c r="T431" s="878"/>
      <c r="U431" s="878"/>
      <c r="V431" s="878"/>
      <c r="W431" s="878"/>
      <c r="X431" s="878"/>
      <c r="Y431" s="878"/>
      <c r="Z431" s="878"/>
    </row>
    <row r="432" ht="12.0" customHeight="1">
      <c r="A432" s="878"/>
      <c r="B432" s="879"/>
      <c r="C432" s="842"/>
      <c r="D432" s="878"/>
      <c r="E432" s="878"/>
      <c r="F432" s="878"/>
      <c r="G432" s="878"/>
      <c r="H432" s="878"/>
      <c r="I432" s="878"/>
      <c r="J432" s="878"/>
      <c r="K432" s="878"/>
      <c r="L432" s="878"/>
      <c r="M432" s="878"/>
      <c r="N432" s="878"/>
      <c r="O432" s="878"/>
      <c r="P432" s="878"/>
      <c r="Q432" s="878"/>
      <c r="R432" s="878"/>
      <c r="S432" s="878"/>
      <c r="T432" s="878"/>
      <c r="U432" s="878"/>
      <c r="V432" s="878"/>
      <c r="W432" s="878"/>
      <c r="X432" s="878"/>
      <c r="Y432" s="878"/>
      <c r="Z432" s="878"/>
    </row>
    <row r="433" ht="12.0" customHeight="1">
      <c r="A433" s="878"/>
      <c r="B433" s="879"/>
      <c r="C433" s="842"/>
      <c r="D433" s="878"/>
      <c r="E433" s="878"/>
      <c r="F433" s="878"/>
      <c r="G433" s="878"/>
      <c r="H433" s="878"/>
      <c r="I433" s="878"/>
      <c r="J433" s="878"/>
      <c r="K433" s="878"/>
      <c r="L433" s="878"/>
      <c r="M433" s="878"/>
      <c r="N433" s="878"/>
      <c r="O433" s="878"/>
      <c r="P433" s="878"/>
      <c r="Q433" s="878"/>
      <c r="R433" s="878"/>
      <c r="S433" s="878"/>
      <c r="T433" s="878"/>
      <c r="U433" s="878"/>
      <c r="V433" s="878"/>
      <c r="W433" s="878"/>
      <c r="X433" s="878"/>
      <c r="Y433" s="878"/>
      <c r="Z433" s="878"/>
    </row>
    <row r="434" ht="12.0" customHeight="1">
      <c r="A434" s="878"/>
      <c r="B434" s="879"/>
      <c r="C434" s="842"/>
      <c r="D434" s="878"/>
      <c r="E434" s="878"/>
      <c r="F434" s="878"/>
      <c r="G434" s="878"/>
      <c r="H434" s="878"/>
      <c r="I434" s="878"/>
      <c r="J434" s="878"/>
      <c r="K434" s="878"/>
      <c r="L434" s="878"/>
      <c r="M434" s="878"/>
      <c r="N434" s="878"/>
      <c r="O434" s="878"/>
      <c r="P434" s="878"/>
      <c r="Q434" s="878"/>
      <c r="R434" s="878"/>
      <c r="S434" s="878"/>
      <c r="T434" s="878"/>
      <c r="U434" s="878"/>
      <c r="V434" s="878"/>
      <c r="W434" s="878"/>
      <c r="X434" s="878"/>
      <c r="Y434" s="878"/>
      <c r="Z434" s="878"/>
    </row>
    <row r="435" ht="12.0" customHeight="1">
      <c r="A435" s="878"/>
      <c r="B435" s="879"/>
      <c r="C435" s="842"/>
      <c r="D435" s="878"/>
      <c r="E435" s="878"/>
      <c r="F435" s="878"/>
      <c r="G435" s="878"/>
      <c r="H435" s="878"/>
      <c r="I435" s="878"/>
      <c r="J435" s="878"/>
      <c r="K435" s="878"/>
      <c r="L435" s="878"/>
      <c r="M435" s="878"/>
      <c r="N435" s="878"/>
      <c r="O435" s="878"/>
      <c r="P435" s="878"/>
      <c r="Q435" s="878"/>
      <c r="R435" s="878"/>
      <c r="S435" s="878"/>
      <c r="T435" s="878"/>
      <c r="U435" s="878"/>
      <c r="V435" s="878"/>
      <c r="W435" s="878"/>
      <c r="X435" s="878"/>
      <c r="Y435" s="878"/>
      <c r="Z435" s="878"/>
    </row>
    <row r="436" ht="12.0" customHeight="1">
      <c r="A436" s="878"/>
      <c r="B436" s="879"/>
      <c r="C436" s="842"/>
      <c r="D436" s="878"/>
      <c r="E436" s="878"/>
      <c r="F436" s="878"/>
      <c r="G436" s="878"/>
      <c r="H436" s="878"/>
      <c r="I436" s="878"/>
      <c r="J436" s="878"/>
      <c r="K436" s="878"/>
      <c r="L436" s="878"/>
      <c r="M436" s="878"/>
      <c r="N436" s="878"/>
      <c r="O436" s="878"/>
      <c r="P436" s="878"/>
      <c r="Q436" s="878"/>
      <c r="R436" s="878"/>
      <c r="S436" s="878"/>
      <c r="T436" s="878"/>
      <c r="U436" s="878"/>
      <c r="V436" s="878"/>
      <c r="W436" s="878"/>
      <c r="X436" s="878"/>
      <c r="Y436" s="878"/>
      <c r="Z436" s="878"/>
    </row>
    <row r="437" ht="12.0" customHeight="1">
      <c r="A437" s="878"/>
      <c r="B437" s="879"/>
      <c r="C437" s="842"/>
      <c r="D437" s="878"/>
      <c r="E437" s="878"/>
      <c r="F437" s="878"/>
      <c r="G437" s="878"/>
      <c r="H437" s="878"/>
      <c r="I437" s="878"/>
      <c r="J437" s="878"/>
      <c r="K437" s="878"/>
      <c r="L437" s="878"/>
      <c r="M437" s="878"/>
      <c r="N437" s="878"/>
      <c r="O437" s="878"/>
      <c r="P437" s="878"/>
      <c r="Q437" s="878"/>
      <c r="R437" s="878"/>
      <c r="S437" s="878"/>
      <c r="T437" s="878"/>
      <c r="U437" s="878"/>
      <c r="V437" s="878"/>
      <c r="W437" s="878"/>
      <c r="X437" s="878"/>
      <c r="Y437" s="878"/>
      <c r="Z437" s="878"/>
    </row>
    <row r="438" ht="12.0" customHeight="1">
      <c r="A438" s="878"/>
      <c r="B438" s="879"/>
      <c r="C438" s="842"/>
      <c r="D438" s="878"/>
      <c r="E438" s="878"/>
      <c r="F438" s="878"/>
      <c r="G438" s="878"/>
      <c r="H438" s="878"/>
      <c r="I438" s="878"/>
      <c r="J438" s="878"/>
      <c r="K438" s="878"/>
      <c r="L438" s="878"/>
      <c r="M438" s="878"/>
      <c r="N438" s="878"/>
      <c r="O438" s="878"/>
      <c r="P438" s="878"/>
      <c r="Q438" s="878"/>
      <c r="R438" s="878"/>
      <c r="S438" s="878"/>
      <c r="T438" s="878"/>
      <c r="U438" s="878"/>
      <c r="V438" s="878"/>
      <c r="W438" s="878"/>
      <c r="X438" s="878"/>
      <c r="Y438" s="878"/>
      <c r="Z438" s="878"/>
    </row>
    <row r="439" ht="12.0" customHeight="1">
      <c r="A439" s="878"/>
      <c r="B439" s="879"/>
      <c r="C439" s="842"/>
      <c r="D439" s="878"/>
      <c r="E439" s="878"/>
      <c r="F439" s="878"/>
      <c r="G439" s="878"/>
      <c r="H439" s="878"/>
      <c r="I439" s="878"/>
      <c r="J439" s="878"/>
      <c r="K439" s="878"/>
      <c r="L439" s="878"/>
      <c r="M439" s="878"/>
      <c r="N439" s="878"/>
      <c r="O439" s="878"/>
      <c r="P439" s="878"/>
      <c r="Q439" s="878"/>
      <c r="R439" s="878"/>
      <c r="S439" s="878"/>
      <c r="T439" s="878"/>
      <c r="U439" s="878"/>
      <c r="V439" s="878"/>
      <c r="W439" s="878"/>
      <c r="X439" s="878"/>
      <c r="Y439" s="878"/>
      <c r="Z439" s="878"/>
    </row>
    <row r="440" ht="12.0" customHeight="1">
      <c r="A440" s="878"/>
      <c r="B440" s="879"/>
      <c r="C440" s="842"/>
      <c r="D440" s="878"/>
      <c r="E440" s="878"/>
      <c r="F440" s="878"/>
      <c r="G440" s="878"/>
      <c r="H440" s="878"/>
      <c r="I440" s="878"/>
      <c r="J440" s="878"/>
      <c r="K440" s="878"/>
      <c r="L440" s="878"/>
      <c r="M440" s="878"/>
      <c r="N440" s="878"/>
      <c r="O440" s="878"/>
      <c r="P440" s="878"/>
      <c r="Q440" s="878"/>
      <c r="R440" s="878"/>
      <c r="S440" s="878"/>
      <c r="T440" s="878"/>
      <c r="U440" s="878"/>
      <c r="V440" s="878"/>
      <c r="W440" s="878"/>
      <c r="X440" s="878"/>
      <c r="Y440" s="878"/>
      <c r="Z440" s="878"/>
    </row>
    <row r="441" ht="12.0" customHeight="1">
      <c r="A441" s="878"/>
      <c r="B441" s="879"/>
      <c r="C441" s="842"/>
      <c r="D441" s="878"/>
      <c r="E441" s="878"/>
      <c r="F441" s="878"/>
      <c r="G441" s="878"/>
      <c r="H441" s="878"/>
      <c r="I441" s="878"/>
      <c r="J441" s="878"/>
      <c r="K441" s="878"/>
      <c r="L441" s="878"/>
      <c r="M441" s="878"/>
      <c r="N441" s="878"/>
      <c r="O441" s="878"/>
      <c r="P441" s="878"/>
      <c r="Q441" s="878"/>
      <c r="R441" s="878"/>
      <c r="S441" s="878"/>
      <c r="T441" s="878"/>
      <c r="U441" s="878"/>
      <c r="V441" s="878"/>
      <c r="W441" s="878"/>
      <c r="X441" s="878"/>
      <c r="Y441" s="878"/>
      <c r="Z441" s="878"/>
    </row>
    <row r="442" ht="12.0" customHeight="1">
      <c r="A442" s="878"/>
      <c r="B442" s="879"/>
      <c r="C442" s="842"/>
      <c r="D442" s="878"/>
      <c r="E442" s="878"/>
      <c r="F442" s="878"/>
      <c r="G442" s="878"/>
      <c r="H442" s="878"/>
      <c r="I442" s="878"/>
      <c r="J442" s="878"/>
      <c r="K442" s="878"/>
      <c r="L442" s="878"/>
      <c r="M442" s="878"/>
      <c r="N442" s="878"/>
      <c r="O442" s="878"/>
      <c r="P442" s="878"/>
      <c r="Q442" s="878"/>
      <c r="R442" s="878"/>
      <c r="S442" s="878"/>
      <c r="T442" s="878"/>
      <c r="U442" s="878"/>
      <c r="V442" s="878"/>
      <c r="W442" s="878"/>
      <c r="X442" s="878"/>
      <c r="Y442" s="878"/>
      <c r="Z442" s="878"/>
    </row>
    <row r="443" ht="12.0" customHeight="1">
      <c r="A443" s="878"/>
      <c r="B443" s="879"/>
      <c r="C443" s="842"/>
      <c r="D443" s="878"/>
      <c r="E443" s="878"/>
      <c r="F443" s="878"/>
      <c r="G443" s="878"/>
      <c r="H443" s="878"/>
      <c r="I443" s="878"/>
      <c r="J443" s="878"/>
      <c r="K443" s="878"/>
      <c r="L443" s="878"/>
      <c r="M443" s="878"/>
      <c r="N443" s="878"/>
      <c r="O443" s="878"/>
      <c r="P443" s="878"/>
      <c r="Q443" s="878"/>
      <c r="R443" s="878"/>
      <c r="S443" s="878"/>
      <c r="T443" s="878"/>
      <c r="U443" s="878"/>
      <c r="V443" s="878"/>
      <c r="W443" s="878"/>
      <c r="X443" s="878"/>
      <c r="Y443" s="878"/>
      <c r="Z443" s="878"/>
    </row>
    <row r="444" ht="12.0" customHeight="1">
      <c r="A444" s="878"/>
      <c r="B444" s="879"/>
      <c r="C444" s="842"/>
      <c r="D444" s="878"/>
      <c r="E444" s="878"/>
      <c r="F444" s="878"/>
      <c r="G444" s="878"/>
      <c r="H444" s="878"/>
      <c r="I444" s="878"/>
      <c r="J444" s="878"/>
      <c r="K444" s="878"/>
      <c r="L444" s="878"/>
      <c r="M444" s="878"/>
      <c r="N444" s="878"/>
      <c r="O444" s="878"/>
      <c r="P444" s="878"/>
      <c r="Q444" s="878"/>
      <c r="R444" s="878"/>
      <c r="S444" s="878"/>
      <c r="T444" s="878"/>
      <c r="U444" s="878"/>
      <c r="V444" s="878"/>
      <c r="W444" s="878"/>
      <c r="X444" s="878"/>
      <c r="Y444" s="878"/>
      <c r="Z444" s="878"/>
    </row>
    <row r="445" ht="12.0" customHeight="1">
      <c r="A445" s="878"/>
      <c r="B445" s="879"/>
      <c r="C445" s="842"/>
      <c r="D445" s="878"/>
      <c r="E445" s="878"/>
      <c r="F445" s="878"/>
      <c r="G445" s="878"/>
      <c r="H445" s="878"/>
      <c r="I445" s="878"/>
      <c r="J445" s="878"/>
      <c r="K445" s="878"/>
      <c r="L445" s="878"/>
      <c r="M445" s="878"/>
      <c r="N445" s="878"/>
      <c r="O445" s="878"/>
      <c r="P445" s="878"/>
      <c r="Q445" s="878"/>
      <c r="R445" s="878"/>
      <c r="S445" s="878"/>
      <c r="T445" s="878"/>
      <c r="U445" s="878"/>
      <c r="V445" s="878"/>
      <c r="W445" s="878"/>
      <c r="X445" s="878"/>
      <c r="Y445" s="878"/>
      <c r="Z445" s="878"/>
    </row>
    <row r="446" ht="12.0" customHeight="1">
      <c r="A446" s="878"/>
      <c r="B446" s="879"/>
      <c r="C446" s="842"/>
      <c r="D446" s="878"/>
      <c r="E446" s="878"/>
      <c r="F446" s="878"/>
      <c r="G446" s="878"/>
      <c r="H446" s="878"/>
      <c r="I446" s="878"/>
      <c r="J446" s="878"/>
      <c r="K446" s="878"/>
      <c r="L446" s="878"/>
      <c r="M446" s="878"/>
      <c r="N446" s="878"/>
      <c r="O446" s="878"/>
      <c r="P446" s="878"/>
      <c r="Q446" s="878"/>
      <c r="R446" s="878"/>
      <c r="S446" s="878"/>
      <c r="T446" s="878"/>
      <c r="U446" s="878"/>
      <c r="V446" s="878"/>
      <c r="W446" s="878"/>
      <c r="X446" s="878"/>
      <c r="Y446" s="878"/>
      <c r="Z446" s="878"/>
    </row>
    <row r="447" ht="12.0" customHeight="1">
      <c r="A447" s="878"/>
      <c r="B447" s="879"/>
      <c r="C447" s="842"/>
      <c r="D447" s="878"/>
      <c r="E447" s="878"/>
      <c r="F447" s="878"/>
      <c r="G447" s="878"/>
      <c r="H447" s="878"/>
      <c r="I447" s="878"/>
      <c r="J447" s="878"/>
      <c r="K447" s="878"/>
      <c r="L447" s="878"/>
      <c r="M447" s="878"/>
      <c r="N447" s="878"/>
      <c r="O447" s="878"/>
      <c r="P447" s="878"/>
      <c r="Q447" s="878"/>
      <c r="R447" s="878"/>
      <c r="S447" s="878"/>
      <c r="T447" s="878"/>
      <c r="U447" s="878"/>
      <c r="V447" s="878"/>
      <c r="W447" s="878"/>
      <c r="X447" s="878"/>
      <c r="Y447" s="878"/>
      <c r="Z447" s="878"/>
    </row>
    <row r="448" ht="12.0" customHeight="1">
      <c r="A448" s="878"/>
      <c r="B448" s="879"/>
      <c r="C448" s="842"/>
      <c r="D448" s="878"/>
      <c r="E448" s="878"/>
      <c r="F448" s="878"/>
      <c r="G448" s="878"/>
      <c r="H448" s="878"/>
      <c r="I448" s="878"/>
      <c r="J448" s="878"/>
      <c r="K448" s="878"/>
      <c r="L448" s="878"/>
      <c r="M448" s="878"/>
      <c r="N448" s="878"/>
      <c r="O448" s="878"/>
      <c r="P448" s="878"/>
      <c r="Q448" s="878"/>
      <c r="R448" s="878"/>
      <c r="S448" s="878"/>
      <c r="T448" s="878"/>
      <c r="U448" s="878"/>
      <c r="V448" s="878"/>
      <c r="W448" s="878"/>
      <c r="X448" s="878"/>
      <c r="Y448" s="878"/>
      <c r="Z448" s="878"/>
    </row>
    <row r="449" ht="12.0" customHeight="1">
      <c r="A449" s="878"/>
      <c r="B449" s="879"/>
      <c r="C449" s="842"/>
      <c r="D449" s="878"/>
      <c r="E449" s="878"/>
      <c r="F449" s="878"/>
      <c r="G449" s="878"/>
      <c r="H449" s="878"/>
      <c r="I449" s="878"/>
      <c r="J449" s="878"/>
      <c r="K449" s="878"/>
      <c r="L449" s="878"/>
      <c r="M449" s="878"/>
      <c r="N449" s="878"/>
      <c r="O449" s="878"/>
      <c r="P449" s="878"/>
      <c r="Q449" s="878"/>
      <c r="R449" s="878"/>
      <c r="S449" s="878"/>
      <c r="T449" s="878"/>
      <c r="U449" s="878"/>
      <c r="V449" s="878"/>
      <c r="W449" s="878"/>
      <c r="X449" s="878"/>
      <c r="Y449" s="878"/>
      <c r="Z449" s="878"/>
    </row>
    <row r="450" ht="12.0" customHeight="1">
      <c r="A450" s="878"/>
      <c r="B450" s="879"/>
      <c r="C450" s="842"/>
      <c r="D450" s="878"/>
      <c r="E450" s="878"/>
      <c r="F450" s="878"/>
      <c r="G450" s="878"/>
      <c r="H450" s="878"/>
      <c r="I450" s="878"/>
      <c r="J450" s="878"/>
      <c r="K450" s="878"/>
      <c r="L450" s="878"/>
      <c r="M450" s="878"/>
      <c r="N450" s="878"/>
      <c r="O450" s="878"/>
      <c r="P450" s="878"/>
      <c r="Q450" s="878"/>
      <c r="R450" s="878"/>
      <c r="S450" s="878"/>
      <c r="T450" s="878"/>
      <c r="U450" s="878"/>
      <c r="V450" s="878"/>
      <c r="W450" s="878"/>
      <c r="X450" s="878"/>
      <c r="Y450" s="878"/>
      <c r="Z450" s="878"/>
    </row>
    <row r="451" ht="12.0" customHeight="1">
      <c r="A451" s="878"/>
      <c r="B451" s="879"/>
      <c r="C451" s="842"/>
      <c r="D451" s="878"/>
      <c r="E451" s="878"/>
      <c r="F451" s="878"/>
      <c r="G451" s="878"/>
      <c r="H451" s="878"/>
      <c r="I451" s="878"/>
      <c r="J451" s="878"/>
      <c r="K451" s="878"/>
      <c r="L451" s="878"/>
      <c r="M451" s="878"/>
      <c r="N451" s="878"/>
      <c r="O451" s="878"/>
      <c r="P451" s="878"/>
      <c r="Q451" s="878"/>
      <c r="R451" s="878"/>
      <c r="S451" s="878"/>
      <c r="T451" s="878"/>
      <c r="U451" s="878"/>
      <c r="V451" s="878"/>
      <c r="W451" s="878"/>
      <c r="X451" s="878"/>
      <c r="Y451" s="878"/>
      <c r="Z451" s="878"/>
    </row>
    <row r="452" ht="12.0" customHeight="1">
      <c r="A452" s="878"/>
      <c r="B452" s="879"/>
      <c r="C452" s="842"/>
      <c r="D452" s="878"/>
      <c r="E452" s="878"/>
      <c r="F452" s="878"/>
      <c r="G452" s="878"/>
      <c r="H452" s="878"/>
      <c r="I452" s="878"/>
      <c r="J452" s="878"/>
      <c r="K452" s="878"/>
      <c r="L452" s="878"/>
      <c r="M452" s="878"/>
      <c r="N452" s="878"/>
      <c r="O452" s="878"/>
      <c r="P452" s="878"/>
      <c r="Q452" s="878"/>
      <c r="R452" s="878"/>
      <c r="S452" s="878"/>
      <c r="T452" s="878"/>
      <c r="U452" s="878"/>
      <c r="V452" s="878"/>
      <c r="W452" s="878"/>
      <c r="X452" s="878"/>
      <c r="Y452" s="878"/>
      <c r="Z452" s="878"/>
    </row>
    <row r="453" ht="12.0" customHeight="1">
      <c r="A453" s="878"/>
      <c r="B453" s="879"/>
      <c r="C453" s="842"/>
      <c r="D453" s="878"/>
      <c r="E453" s="878"/>
      <c r="F453" s="878"/>
      <c r="G453" s="878"/>
      <c r="H453" s="878"/>
      <c r="I453" s="878"/>
      <c r="J453" s="878"/>
      <c r="K453" s="878"/>
      <c r="L453" s="878"/>
      <c r="M453" s="878"/>
      <c r="N453" s="878"/>
      <c r="O453" s="878"/>
      <c r="P453" s="878"/>
      <c r="Q453" s="878"/>
      <c r="R453" s="878"/>
      <c r="S453" s="878"/>
      <c r="T453" s="878"/>
      <c r="U453" s="878"/>
      <c r="V453" s="878"/>
      <c r="W453" s="878"/>
      <c r="X453" s="878"/>
      <c r="Y453" s="878"/>
      <c r="Z453" s="878"/>
    </row>
    <row r="454" ht="12.0" customHeight="1">
      <c r="A454" s="878"/>
      <c r="B454" s="879"/>
      <c r="C454" s="842"/>
      <c r="D454" s="878"/>
      <c r="E454" s="878"/>
      <c r="F454" s="878"/>
      <c r="G454" s="878"/>
      <c r="H454" s="878"/>
      <c r="I454" s="878"/>
      <c r="J454" s="878"/>
      <c r="K454" s="878"/>
      <c r="L454" s="878"/>
      <c r="M454" s="878"/>
      <c r="N454" s="878"/>
      <c r="O454" s="878"/>
      <c r="P454" s="878"/>
      <c r="Q454" s="878"/>
      <c r="R454" s="878"/>
      <c r="S454" s="878"/>
      <c r="T454" s="878"/>
      <c r="U454" s="878"/>
      <c r="V454" s="878"/>
      <c r="W454" s="878"/>
      <c r="X454" s="878"/>
      <c r="Y454" s="878"/>
      <c r="Z454" s="878"/>
    </row>
    <row r="455" ht="12.0" customHeight="1">
      <c r="A455" s="878"/>
      <c r="B455" s="879"/>
      <c r="C455" s="842"/>
      <c r="D455" s="878"/>
      <c r="E455" s="878"/>
      <c r="F455" s="878"/>
      <c r="G455" s="878"/>
      <c r="H455" s="878"/>
      <c r="I455" s="878"/>
      <c r="J455" s="878"/>
      <c r="K455" s="878"/>
      <c r="L455" s="878"/>
      <c r="M455" s="878"/>
      <c r="N455" s="878"/>
      <c r="O455" s="878"/>
      <c r="P455" s="878"/>
      <c r="Q455" s="878"/>
      <c r="R455" s="878"/>
      <c r="S455" s="878"/>
      <c r="T455" s="878"/>
      <c r="U455" s="878"/>
      <c r="V455" s="878"/>
      <c r="W455" s="878"/>
      <c r="X455" s="878"/>
      <c r="Y455" s="878"/>
      <c r="Z455" s="878"/>
    </row>
    <row r="456" ht="12.0" customHeight="1">
      <c r="A456" s="878"/>
      <c r="B456" s="879"/>
      <c r="C456" s="842"/>
      <c r="D456" s="878"/>
      <c r="E456" s="878"/>
      <c r="F456" s="878"/>
      <c r="G456" s="878"/>
      <c r="H456" s="878"/>
      <c r="I456" s="878"/>
      <c r="J456" s="878"/>
      <c r="K456" s="878"/>
      <c r="L456" s="878"/>
      <c r="M456" s="878"/>
      <c r="N456" s="878"/>
      <c r="O456" s="878"/>
      <c r="P456" s="878"/>
      <c r="Q456" s="878"/>
      <c r="R456" s="878"/>
      <c r="S456" s="878"/>
      <c r="T456" s="878"/>
      <c r="U456" s="878"/>
      <c r="V456" s="878"/>
      <c r="W456" s="878"/>
      <c r="X456" s="878"/>
      <c r="Y456" s="878"/>
      <c r="Z456" s="878"/>
    </row>
    <row r="457" ht="12.0" customHeight="1">
      <c r="A457" s="878"/>
      <c r="B457" s="879"/>
      <c r="C457" s="842"/>
      <c r="D457" s="878"/>
      <c r="E457" s="878"/>
      <c r="F457" s="878"/>
      <c r="G457" s="878"/>
      <c r="H457" s="878"/>
      <c r="I457" s="878"/>
      <c r="J457" s="878"/>
      <c r="K457" s="878"/>
      <c r="L457" s="878"/>
      <c r="M457" s="878"/>
      <c r="N457" s="878"/>
      <c r="O457" s="878"/>
      <c r="P457" s="878"/>
      <c r="Q457" s="878"/>
      <c r="R457" s="878"/>
      <c r="S457" s="878"/>
      <c r="T457" s="878"/>
      <c r="U457" s="878"/>
      <c r="V457" s="878"/>
      <c r="W457" s="878"/>
      <c r="X457" s="878"/>
      <c r="Y457" s="878"/>
      <c r="Z457" s="878"/>
    </row>
    <row r="458" ht="12.0" customHeight="1">
      <c r="A458" s="878"/>
      <c r="B458" s="879"/>
      <c r="C458" s="842"/>
      <c r="D458" s="878"/>
      <c r="E458" s="878"/>
      <c r="F458" s="878"/>
      <c r="G458" s="878"/>
      <c r="H458" s="878"/>
      <c r="I458" s="878"/>
      <c r="J458" s="878"/>
      <c r="K458" s="878"/>
      <c r="L458" s="878"/>
      <c r="M458" s="878"/>
      <c r="N458" s="878"/>
      <c r="O458" s="878"/>
      <c r="P458" s="878"/>
      <c r="Q458" s="878"/>
      <c r="R458" s="878"/>
      <c r="S458" s="878"/>
      <c r="T458" s="878"/>
      <c r="U458" s="878"/>
      <c r="V458" s="878"/>
      <c r="W458" s="878"/>
      <c r="X458" s="878"/>
      <c r="Y458" s="878"/>
      <c r="Z458" s="878"/>
    </row>
    <row r="459" ht="12.0" customHeight="1">
      <c r="A459" s="878"/>
      <c r="B459" s="879"/>
      <c r="C459" s="842"/>
      <c r="D459" s="878"/>
      <c r="E459" s="878"/>
      <c r="F459" s="878"/>
      <c r="G459" s="878"/>
      <c r="H459" s="878"/>
      <c r="I459" s="878"/>
      <c r="J459" s="878"/>
      <c r="K459" s="878"/>
      <c r="L459" s="878"/>
      <c r="M459" s="878"/>
      <c r="N459" s="878"/>
      <c r="O459" s="878"/>
      <c r="P459" s="878"/>
      <c r="Q459" s="878"/>
      <c r="R459" s="878"/>
      <c r="S459" s="878"/>
      <c r="T459" s="878"/>
      <c r="U459" s="878"/>
      <c r="V459" s="878"/>
      <c r="W459" s="878"/>
      <c r="X459" s="878"/>
      <c r="Y459" s="878"/>
      <c r="Z459" s="878"/>
    </row>
    <row r="460" ht="12.0" customHeight="1">
      <c r="A460" s="878"/>
      <c r="B460" s="879"/>
      <c r="C460" s="842"/>
      <c r="D460" s="878"/>
      <c r="E460" s="878"/>
      <c r="F460" s="878"/>
      <c r="G460" s="878"/>
      <c r="H460" s="878"/>
      <c r="I460" s="878"/>
      <c r="J460" s="878"/>
      <c r="K460" s="878"/>
      <c r="L460" s="878"/>
      <c r="M460" s="878"/>
      <c r="N460" s="878"/>
      <c r="O460" s="878"/>
      <c r="P460" s="878"/>
      <c r="Q460" s="878"/>
      <c r="R460" s="878"/>
      <c r="S460" s="878"/>
      <c r="T460" s="878"/>
      <c r="U460" s="878"/>
      <c r="V460" s="878"/>
      <c r="W460" s="878"/>
      <c r="X460" s="878"/>
      <c r="Y460" s="878"/>
      <c r="Z460" s="878"/>
    </row>
    <row r="461" ht="12.0" customHeight="1">
      <c r="A461" s="878"/>
      <c r="B461" s="879"/>
      <c r="C461" s="842"/>
      <c r="D461" s="878"/>
      <c r="E461" s="878"/>
      <c r="F461" s="878"/>
      <c r="G461" s="878"/>
      <c r="H461" s="878"/>
      <c r="I461" s="878"/>
      <c r="J461" s="878"/>
      <c r="K461" s="878"/>
      <c r="L461" s="878"/>
      <c r="M461" s="878"/>
      <c r="N461" s="878"/>
      <c r="O461" s="878"/>
      <c r="P461" s="878"/>
      <c r="Q461" s="878"/>
      <c r="R461" s="878"/>
      <c r="S461" s="878"/>
      <c r="T461" s="878"/>
      <c r="U461" s="878"/>
      <c r="V461" s="878"/>
      <c r="W461" s="878"/>
      <c r="X461" s="878"/>
      <c r="Y461" s="878"/>
      <c r="Z461" s="878"/>
    </row>
    <row r="462" ht="12.0" customHeight="1">
      <c r="A462" s="878"/>
      <c r="B462" s="879"/>
      <c r="C462" s="842"/>
      <c r="D462" s="878"/>
      <c r="E462" s="878"/>
      <c r="F462" s="878"/>
      <c r="G462" s="878"/>
      <c r="H462" s="878"/>
      <c r="I462" s="878"/>
      <c r="J462" s="878"/>
      <c r="K462" s="878"/>
      <c r="L462" s="878"/>
      <c r="M462" s="878"/>
      <c r="N462" s="878"/>
      <c r="O462" s="878"/>
      <c r="P462" s="878"/>
      <c r="Q462" s="878"/>
      <c r="R462" s="878"/>
      <c r="S462" s="878"/>
      <c r="T462" s="878"/>
      <c r="U462" s="878"/>
      <c r="V462" s="878"/>
      <c r="W462" s="878"/>
      <c r="X462" s="878"/>
      <c r="Y462" s="878"/>
      <c r="Z462" s="878"/>
    </row>
    <row r="463" ht="12.0" customHeight="1">
      <c r="A463" s="878"/>
      <c r="B463" s="879"/>
      <c r="C463" s="842"/>
      <c r="D463" s="878"/>
      <c r="E463" s="878"/>
      <c r="F463" s="878"/>
      <c r="G463" s="878"/>
      <c r="H463" s="878"/>
      <c r="I463" s="878"/>
      <c r="J463" s="878"/>
      <c r="K463" s="878"/>
      <c r="L463" s="878"/>
      <c r="M463" s="878"/>
      <c r="N463" s="878"/>
      <c r="O463" s="878"/>
      <c r="P463" s="878"/>
      <c r="Q463" s="878"/>
      <c r="R463" s="878"/>
      <c r="S463" s="878"/>
      <c r="T463" s="878"/>
      <c r="U463" s="878"/>
      <c r="V463" s="878"/>
      <c r="W463" s="878"/>
      <c r="X463" s="878"/>
      <c r="Y463" s="878"/>
      <c r="Z463" s="878"/>
    </row>
    <row r="464" ht="12.0" customHeight="1">
      <c r="A464" s="878"/>
      <c r="B464" s="879"/>
      <c r="C464" s="842"/>
      <c r="D464" s="878"/>
      <c r="E464" s="878"/>
      <c r="F464" s="878"/>
      <c r="G464" s="878"/>
      <c r="H464" s="878"/>
      <c r="I464" s="878"/>
      <c r="J464" s="878"/>
      <c r="K464" s="878"/>
      <c r="L464" s="878"/>
      <c r="M464" s="878"/>
      <c r="N464" s="878"/>
      <c r="O464" s="878"/>
      <c r="P464" s="878"/>
      <c r="Q464" s="878"/>
      <c r="R464" s="878"/>
      <c r="S464" s="878"/>
      <c r="T464" s="878"/>
      <c r="U464" s="878"/>
      <c r="V464" s="878"/>
      <c r="W464" s="878"/>
      <c r="X464" s="878"/>
      <c r="Y464" s="878"/>
      <c r="Z464" s="878"/>
    </row>
    <row r="465" ht="12.0" customHeight="1">
      <c r="A465" s="878"/>
      <c r="B465" s="879"/>
      <c r="C465" s="842"/>
      <c r="D465" s="878"/>
      <c r="E465" s="878"/>
      <c r="F465" s="878"/>
      <c r="G465" s="878"/>
      <c r="H465" s="878"/>
      <c r="I465" s="878"/>
      <c r="J465" s="878"/>
      <c r="K465" s="878"/>
      <c r="L465" s="878"/>
      <c r="M465" s="878"/>
      <c r="N465" s="878"/>
      <c r="O465" s="878"/>
      <c r="P465" s="878"/>
      <c r="Q465" s="878"/>
      <c r="R465" s="878"/>
      <c r="S465" s="878"/>
      <c r="T465" s="878"/>
      <c r="U465" s="878"/>
      <c r="V465" s="878"/>
      <c r="W465" s="878"/>
      <c r="X465" s="878"/>
      <c r="Y465" s="878"/>
      <c r="Z465" s="878"/>
    </row>
    <row r="466" ht="12.0" customHeight="1">
      <c r="A466" s="878"/>
      <c r="B466" s="879"/>
      <c r="C466" s="842"/>
      <c r="D466" s="878"/>
      <c r="E466" s="878"/>
      <c r="F466" s="878"/>
      <c r="G466" s="878"/>
      <c r="H466" s="878"/>
      <c r="I466" s="878"/>
      <c r="J466" s="878"/>
      <c r="K466" s="878"/>
      <c r="L466" s="878"/>
      <c r="M466" s="878"/>
      <c r="N466" s="878"/>
      <c r="O466" s="878"/>
      <c r="P466" s="878"/>
      <c r="Q466" s="878"/>
      <c r="R466" s="878"/>
      <c r="S466" s="878"/>
      <c r="T466" s="878"/>
      <c r="U466" s="878"/>
      <c r="V466" s="878"/>
      <c r="W466" s="878"/>
      <c r="X466" s="878"/>
      <c r="Y466" s="878"/>
      <c r="Z466" s="878"/>
    </row>
    <row r="467" ht="12.0" customHeight="1">
      <c r="A467" s="878"/>
      <c r="B467" s="879"/>
      <c r="C467" s="842"/>
      <c r="D467" s="878"/>
      <c r="E467" s="878"/>
      <c r="F467" s="878"/>
      <c r="G467" s="878"/>
      <c r="H467" s="878"/>
      <c r="I467" s="878"/>
      <c r="J467" s="878"/>
      <c r="K467" s="878"/>
      <c r="L467" s="878"/>
      <c r="M467" s="878"/>
      <c r="N467" s="878"/>
      <c r="O467" s="878"/>
      <c r="P467" s="878"/>
      <c r="Q467" s="878"/>
      <c r="R467" s="878"/>
      <c r="S467" s="878"/>
      <c r="T467" s="878"/>
      <c r="U467" s="878"/>
      <c r="V467" s="878"/>
      <c r="W467" s="878"/>
      <c r="X467" s="878"/>
      <c r="Y467" s="878"/>
      <c r="Z467" s="878"/>
    </row>
    <row r="468" ht="12.0" customHeight="1">
      <c r="A468" s="878"/>
      <c r="B468" s="879"/>
      <c r="C468" s="842"/>
      <c r="D468" s="878"/>
      <c r="E468" s="878"/>
      <c r="F468" s="878"/>
      <c r="G468" s="878"/>
      <c r="H468" s="878"/>
      <c r="I468" s="878"/>
      <c r="J468" s="878"/>
      <c r="K468" s="878"/>
      <c r="L468" s="878"/>
      <c r="M468" s="878"/>
      <c r="N468" s="878"/>
      <c r="O468" s="878"/>
      <c r="P468" s="878"/>
      <c r="Q468" s="878"/>
      <c r="R468" s="878"/>
      <c r="S468" s="878"/>
      <c r="T468" s="878"/>
      <c r="U468" s="878"/>
      <c r="V468" s="878"/>
      <c r="W468" s="878"/>
      <c r="X468" s="878"/>
      <c r="Y468" s="878"/>
      <c r="Z468" s="878"/>
    </row>
    <row r="469" ht="12.0" customHeight="1">
      <c r="A469" s="878"/>
      <c r="B469" s="879"/>
      <c r="C469" s="842"/>
      <c r="D469" s="878"/>
      <c r="E469" s="878"/>
      <c r="F469" s="878"/>
      <c r="G469" s="878"/>
      <c r="H469" s="878"/>
      <c r="I469" s="878"/>
      <c r="J469" s="878"/>
      <c r="K469" s="878"/>
      <c r="L469" s="878"/>
      <c r="M469" s="878"/>
      <c r="N469" s="878"/>
      <c r="O469" s="878"/>
      <c r="P469" s="878"/>
      <c r="Q469" s="878"/>
      <c r="R469" s="878"/>
      <c r="S469" s="878"/>
      <c r="T469" s="878"/>
      <c r="U469" s="878"/>
      <c r="V469" s="878"/>
      <c r="W469" s="878"/>
      <c r="X469" s="878"/>
      <c r="Y469" s="878"/>
      <c r="Z469" s="878"/>
    </row>
    <row r="470" ht="12.0" customHeight="1">
      <c r="A470" s="878"/>
      <c r="B470" s="879"/>
      <c r="C470" s="842"/>
      <c r="D470" s="878"/>
      <c r="E470" s="878"/>
      <c r="F470" s="878"/>
      <c r="G470" s="878"/>
      <c r="H470" s="878"/>
      <c r="I470" s="878"/>
      <c r="J470" s="878"/>
      <c r="K470" s="878"/>
      <c r="L470" s="878"/>
      <c r="M470" s="878"/>
      <c r="N470" s="878"/>
      <c r="O470" s="878"/>
      <c r="P470" s="878"/>
      <c r="Q470" s="878"/>
      <c r="R470" s="878"/>
      <c r="S470" s="878"/>
      <c r="T470" s="878"/>
      <c r="U470" s="878"/>
      <c r="V470" s="878"/>
      <c r="W470" s="878"/>
      <c r="X470" s="878"/>
      <c r="Y470" s="878"/>
      <c r="Z470" s="878"/>
    </row>
    <row r="471" ht="12.0" customHeight="1">
      <c r="A471" s="878"/>
      <c r="B471" s="879"/>
      <c r="C471" s="842"/>
      <c r="D471" s="878"/>
      <c r="E471" s="878"/>
      <c r="F471" s="878"/>
      <c r="G471" s="878"/>
      <c r="H471" s="878"/>
      <c r="I471" s="878"/>
      <c r="J471" s="878"/>
      <c r="K471" s="878"/>
      <c r="L471" s="878"/>
      <c r="M471" s="878"/>
      <c r="N471" s="878"/>
      <c r="O471" s="878"/>
      <c r="P471" s="878"/>
      <c r="Q471" s="878"/>
      <c r="R471" s="878"/>
      <c r="S471" s="878"/>
      <c r="T471" s="878"/>
      <c r="U471" s="878"/>
      <c r="V471" s="878"/>
      <c r="W471" s="878"/>
      <c r="X471" s="878"/>
      <c r="Y471" s="878"/>
      <c r="Z471" s="878"/>
    </row>
    <row r="472" ht="12.0" customHeight="1">
      <c r="A472" s="878"/>
      <c r="B472" s="879"/>
      <c r="C472" s="842"/>
      <c r="D472" s="878"/>
      <c r="E472" s="878"/>
      <c r="F472" s="878"/>
      <c r="G472" s="878"/>
      <c r="H472" s="878"/>
      <c r="I472" s="878"/>
      <c r="J472" s="878"/>
      <c r="K472" s="878"/>
      <c r="L472" s="878"/>
      <c r="M472" s="878"/>
      <c r="N472" s="878"/>
      <c r="O472" s="878"/>
      <c r="P472" s="878"/>
      <c r="Q472" s="878"/>
      <c r="R472" s="878"/>
      <c r="S472" s="878"/>
      <c r="T472" s="878"/>
      <c r="U472" s="878"/>
      <c r="V472" s="878"/>
      <c r="W472" s="878"/>
      <c r="X472" s="878"/>
      <c r="Y472" s="878"/>
      <c r="Z472" s="878"/>
    </row>
    <row r="473" ht="12.0" customHeight="1">
      <c r="A473" s="878"/>
      <c r="B473" s="879"/>
      <c r="C473" s="842"/>
      <c r="D473" s="878"/>
      <c r="E473" s="878"/>
      <c r="F473" s="878"/>
      <c r="G473" s="878"/>
      <c r="H473" s="878"/>
      <c r="I473" s="878"/>
      <c r="J473" s="878"/>
      <c r="K473" s="878"/>
      <c r="L473" s="878"/>
      <c r="M473" s="878"/>
      <c r="N473" s="878"/>
      <c r="O473" s="878"/>
      <c r="P473" s="878"/>
      <c r="Q473" s="878"/>
      <c r="R473" s="878"/>
      <c r="S473" s="878"/>
      <c r="T473" s="878"/>
      <c r="U473" s="878"/>
      <c r="V473" s="878"/>
      <c r="W473" s="878"/>
      <c r="X473" s="878"/>
      <c r="Y473" s="878"/>
      <c r="Z473" s="878"/>
    </row>
    <row r="474" ht="12.0" customHeight="1">
      <c r="A474" s="878"/>
      <c r="B474" s="879"/>
      <c r="C474" s="842"/>
      <c r="D474" s="878"/>
      <c r="E474" s="878"/>
      <c r="F474" s="878"/>
      <c r="G474" s="878"/>
      <c r="H474" s="878"/>
      <c r="I474" s="878"/>
      <c r="J474" s="878"/>
      <c r="K474" s="878"/>
      <c r="L474" s="878"/>
      <c r="M474" s="878"/>
      <c r="N474" s="878"/>
      <c r="O474" s="878"/>
      <c r="P474" s="878"/>
      <c r="Q474" s="878"/>
      <c r="R474" s="878"/>
      <c r="S474" s="878"/>
      <c r="T474" s="878"/>
      <c r="U474" s="878"/>
      <c r="V474" s="878"/>
      <c r="W474" s="878"/>
      <c r="X474" s="878"/>
      <c r="Y474" s="878"/>
      <c r="Z474" s="878"/>
    </row>
    <row r="475" ht="12.0" customHeight="1">
      <c r="A475" s="878"/>
      <c r="B475" s="879"/>
      <c r="C475" s="842"/>
      <c r="D475" s="878"/>
      <c r="E475" s="878"/>
      <c r="F475" s="878"/>
      <c r="G475" s="878"/>
      <c r="H475" s="878"/>
      <c r="I475" s="878"/>
      <c r="J475" s="878"/>
      <c r="K475" s="878"/>
      <c r="L475" s="878"/>
      <c r="M475" s="878"/>
      <c r="N475" s="878"/>
      <c r="O475" s="878"/>
      <c r="P475" s="878"/>
      <c r="Q475" s="878"/>
      <c r="R475" s="878"/>
      <c r="S475" s="878"/>
      <c r="T475" s="878"/>
      <c r="U475" s="878"/>
      <c r="V475" s="878"/>
      <c r="W475" s="878"/>
      <c r="X475" s="878"/>
      <c r="Y475" s="878"/>
      <c r="Z475" s="878"/>
    </row>
    <row r="476" ht="12.0" customHeight="1">
      <c r="A476" s="878"/>
      <c r="B476" s="879"/>
      <c r="C476" s="842"/>
      <c r="D476" s="878"/>
      <c r="E476" s="878"/>
      <c r="F476" s="878"/>
      <c r="G476" s="878"/>
      <c r="H476" s="878"/>
      <c r="I476" s="878"/>
      <c r="J476" s="878"/>
      <c r="K476" s="878"/>
      <c r="L476" s="878"/>
      <c r="M476" s="878"/>
      <c r="N476" s="878"/>
      <c r="O476" s="878"/>
      <c r="P476" s="878"/>
      <c r="Q476" s="878"/>
      <c r="R476" s="878"/>
      <c r="S476" s="878"/>
      <c r="T476" s="878"/>
      <c r="U476" s="878"/>
      <c r="V476" s="878"/>
      <c r="W476" s="878"/>
      <c r="X476" s="878"/>
      <c r="Y476" s="878"/>
      <c r="Z476" s="878"/>
    </row>
    <row r="477" ht="12.0" customHeight="1">
      <c r="A477" s="878"/>
      <c r="B477" s="879"/>
      <c r="C477" s="842"/>
      <c r="D477" s="878"/>
      <c r="E477" s="878"/>
      <c r="F477" s="878"/>
      <c r="G477" s="878"/>
      <c r="H477" s="878"/>
      <c r="I477" s="878"/>
      <c r="J477" s="878"/>
      <c r="K477" s="878"/>
      <c r="L477" s="878"/>
      <c r="M477" s="878"/>
      <c r="N477" s="878"/>
      <c r="O477" s="878"/>
      <c r="P477" s="878"/>
      <c r="Q477" s="878"/>
      <c r="R477" s="878"/>
      <c r="S477" s="878"/>
      <c r="T477" s="878"/>
      <c r="U477" s="878"/>
      <c r="V477" s="878"/>
      <c r="W477" s="878"/>
      <c r="X477" s="878"/>
      <c r="Y477" s="878"/>
      <c r="Z477" s="878"/>
    </row>
    <row r="478" ht="12.0" customHeight="1">
      <c r="A478" s="878"/>
      <c r="B478" s="879"/>
      <c r="C478" s="842"/>
      <c r="D478" s="878"/>
      <c r="E478" s="878"/>
      <c r="F478" s="878"/>
      <c r="G478" s="878"/>
      <c r="H478" s="878"/>
      <c r="I478" s="878"/>
      <c r="J478" s="878"/>
      <c r="K478" s="878"/>
      <c r="L478" s="878"/>
      <c r="M478" s="878"/>
      <c r="N478" s="878"/>
      <c r="O478" s="878"/>
      <c r="P478" s="878"/>
      <c r="Q478" s="878"/>
      <c r="R478" s="878"/>
      <c r="S478" s="878"/>
      <c r="T478" s="878"/>
      <c r="U478" s="878"/>
      <c r="V478" s="878"/>
      <c r="W478" s="878"/>
      <c r="X478" s="878"/>
      <c r="Y478" s="878"/>
      <c r="Z478" s="878"/>
    </row>
    <row r="479" ht="12.0" customHeight="1">
      <c r="A479" s="878"/>
      <c r="B479" s="879"/>
      <c r="C479" s="842"/>
      <c r="D479" s="878"/>
      <c r="E479" s="878"/>
      <c r="F479" s="878"/>
      <c r="G479" s="878"/>
      <c r="H479" s="878"/>
      <c r="I479" s="878"/>
      <c r="J479" s="878"/>
      <c r="K479" s="878"/>
      <c r="L479" s="878"/>
      <c r="M479" s="878"/>
      <c r="N479" s="878"/>
      <c r="O479" s="878"/>
      <c r="P479" s="878"/>
      <c r="Q479" s="878"/>
      <c r="R479" s="878"/>
      <c r="S479" s="878"/>
      <c r="T479" s="878"/>
      <c r="U479" s="878"/>
      <c r="V479" s="878"/>
      <c r="W479" s="878"/>
      <c r="X479" s="878"/>
      <c r="Y479" s="878"/>
      <c r="Z479" s="878"/>
    </row>
    <row r="480" ht="12.0" customHeight="1">
      <c r="A480" s="878"/>
      <c r="B480" s="879"/>
      <c r="C480" s="842"/>
      <c r="D480" s="878"/>
      <c r="E480" s="878"/>
      <c r="F480" s="878"/>
      <c r="G480" s="878"/>
      <c r="H480" s="878"/>
      <c r="I480" s="878"/>
      <c r="J480" s="878"/>
      <c r="K480" s="878"/>
      <c r="L480" s="878"/>
      <c r="M480" s="878"/>
      <c r="N480" s="878"/>
      <c r="O480" s="878"/>
      <c r="P480" s="878"/>
      <c r="Q480" s="878"/>
      <c r="R480" s="878"/>
      <c r="S480" s="878"/>
      <c r="T480" s="878"/>
      <c r="U480" s="878"/>
      <c r="V480" s="878"/>
      <c r="W480" s="878"/>
      <c r="X480" s="878"/>
      <c r="Y480" s="878"/>
      <c r="Z480" s="878"/>
    </row>
    <row r="481" ht="12.0" customHeight="1">
      <c r="A481" s="878"/>
      <c r="B481" s="879"/>
      <c r="C481" s="842"/>
      <c r="D481" s="878"/>
      <c r="E481" s="878"/>
      <c r="F481" s="878"/>
      <c r="G481" s="878"/>
      <c r="H481" s="878"/>
      <c r="I481" s="878"/>
      <c r="J481" s="878"/>
      <c r="K481" s="878"/>
      <c r="L481" s="878"/>
      <c r="M481" s="878"/>
      <c r="N481" s="878"/>
      <c r="O481" s="878"/>
      <c r="P481" s="878"/>
      <c r="Q481" s="878"/>
      <c r="R481" s="878"/>
      <c r="S481" s="878"/>
      <c r="T481" s="878"/>
      <c r="U481" s="878"/>
      <c r="V481" s="878"/>
      <c r="W481" s="878"/>
      <c r="X481" s="878"/>
      <c r="Y481" s="878"/>
      <c r="Z481" s="878"/>
    </row>
    <row r="482" ht="12.0" customHeight="1">
      <c r="A482" s="878"/>
      <c r="B482" s="879"/>
      <c r="C482" s="842"/>
      <c r="D482" s="878"/>
      <c r="E482" s="878"/>
      <c r="F482" s="878"/>
      <c r="G482" s="878"/>
      <c r="H482" s="878"/>
      <c r="I482" s="878"/>
      <c r="J482" s="878"/>
      <c r="K482" s="878"/>
      <c r="L482" s="878"/>
      <c r="M482" s="878"/>
      <c r="N482" s="878"/>
      <c r="O482" s="878"/>
      <c r="P482" s="878"/>
      <c r="Q482" s="878"/>
      <c r="R482" s="878"/>
      <c r="S482" s="878"/>
      <c r="T482" s="878"/>
      <c r="U482" s="878"/>
      <c r="V482" s="878"/>
      <c r="W482" s="878"/>
      <c r="X482" s="878"/>
      <c r="Y482" s="878"/>
      <c r="Z482" s="878"/>
    </row>
    <row r="483" ht="12.0" customHeight="1">
      <c r="A483" s="878"/>
      <c r="B483" s="879"/>
      <c r="C483" s="842"/>
      <c r="D483" s="878"/>
      <c r="E483" s="878"/>
      <c r="F483" s="878"/>
      <c r="G483" s="878"/>
      <c r="H483" s="878"/>
      <c r="I483" s="878"/>
      <c r="J483" s="878"/>
      <c r="K483" s="878"/>
      <c r="L483" s="878"/>
      <c r="M483" s="878"/>
      <c r="N483" s="878"/>
      <c r="O483" s="878"/>
      <c r="P483" s="878"/>
      <c r="Q483" s="878"/>
      <c r="R483" s="878"/>
      <c r="S483" s="878"/>
      <c r="T483" s="878"/>
      <c r="U483" s="878"/>
      <c r="V483" s="878"/>
      <c r="W483" s="878"/>
      <c r="X483" s="878"/>
      <c r="Y483" s="878"/>
      <c r="Z483" s="878"/>
    </row>
    <row r="484" ht="12.0" customHeight="1">
      <c r="A484" s="878"/>
      <c r="B484" s="879"/>
      <c r="C484" s="842"/>
      <c r="D484" s="878"/>
      <c r="E484" s="878"/>
      <c r="F484" s="878"/>
      <c r="G484" s="878"/>
      <c r="H484" s="878"/>
      <c r="I484" s="878"/>
      <c r="J484" s="878"/>
      <c r="K484" s="878"/>
      <c r="L484" s="878"/>
      <c r="M484" s="878"/>
      <c r="N484" s="878"/>
      <c r="O484" s="878"/>
      <c r="P484" s="878"/>
      <c r="Q484" s="878"/>
      <c r="R484" s="878"/>
      <c r="S484" s="878"/>
      <c r="T484" s="878"/>
      <c r="U484" s="878"/>
      <c r="V484" s="878"/>
      <c r="W484" s="878"/>
      <c r="X484" s="878"/>
      <c r="Y484" s="878"/>
      <c r="Z484" s="878"/>
    </row>
    <row r="485" ht="12.0" customHeight="1">
      <c r="A485" s="878"/>
      <c r="B485" s="879"/>
      <c r="C485" s="842"/>
      <c r="D485" s="878"/>
      <c r="E485" s="878"/>
      <c r="F485" s="878"/>
      <c r="G485" s="878"/>
      <c r="H485" s="878"/>
      <c r="I485" s="878"/>
      <c r="J485" s="878"/>
      <c r="K485" s="878"/>
      <c r="L485" s="878"/>
      <c r="M485" s="878"/>
      <c r="N485" s="878"/>
      <c r="O485" s="878"/>
      <c r="P485" s="878"/>
      <c r="Q485" s="878"/>
      <c r="R485" s="878"/>
      <c r="S485" s="878"/>
      <c r="T485" s="878"/>
      <c r="U485" s="878"/>
      <c r="V485" s="878"/>
      <c r="W485" s="878"/>
      <c r="X485" s="878"/>
      <c r="Y485" s="878"/>
      <c r="Z485" s="878"/>
    </row>
    <row r="486" ht="12.0" customHeight="1">
      <c r="A486" s="878"/>
      <c r="B486" s="879"/>
      <c r="C486" s="842"/>
      <c r="D486" s="878"/>
      <c r="E486" s="878"/>
      <c r="F486" s="878"/>
      <c r="G486" s="878"/>
      <c r="H486" s="878"/>
      <c r="I486" s="878"/>
      <c r="J486" s="878"/>
      <c r="K486" s="878"/>
      <c r="L486" s="878"/>
      <c r="M486" s="878"/>
      <c r="N486" s="878"/>
      <c r="O486" s="878"/>
      <c r="P486" s="878"/>
      <c r="Q486" s="878"/>
      <c r="R486" s="878"/>
      <c r="S486" s="878"/>
      <c r="T486" s="878"/>
      <c r="U486" s="878"/>
      <c r="V486" s="878"/>
      <c r="W486" s="878"/>
      <c r="X486" s="878"/>
      <c r="Y486" s="878"/>
      <c r="Z486" s="878"/>
    </row>
    <row r="487" ht="12.0" customHeight="1">
      <c r="A487" s="878"/>
      <c r="B487" s="879"/>
      <c r="C487" s="842"/>
      <c r="D487" s="878"/>
      <c r="E487" s="878"/>
      <c r="F487" s="878"/>
      <c r="G487" s="878"/>
      <c r="H487" s="878"/>
      <c r="I487" s="878"/>
      <c r="J487" s="878"/>
      <c r="K487" s="878"/>
      <c r="L487" s="878"/>
      <c r="M487" s="878"/>
      <c r="N487" s="878"/>
      <c r="O487" s="878"/>
      <c r="P487" s="878"/>
      <c r="Q487" s="878"/>
      <c r="R487" s="878"/>
      <c r="S487" s="878"/>
      <c r="T487" s="878"/>
      <c r="U487" s="878"/>
      <c r="V487" s="878"/>
      <c r="W487" s="878"/>
      <c r="X487" s="878"/>
      <c r="Y487" s="878"/>
      <c r="Z487" s="878"/>
    </row>
    <row r="488" ht="12.0" customHeight="1">
      <c r="A488" s="878"/>
      <c r="B488" s="879"/>
      <c r="C488" s="842"/>
      <c r="D488" s="878"/>
      <c r="E488" s="878"/>
      <c r="F488" s="878"/>
      <c r="G488" s="878"/>
      <c r="H488" s="878"/>
      <c r="I488" s="878"/>
      <c r="J488" s="878"/>
      <c r="K488" s="878"/>
      <c r="L488" s="878"/>
      <c r="M488" s="878"/>
      <c r="N488" s="878"/>
      <c r="O488" s="878"/>
      <c r="P488" s="878"/>
      <c r="Q488" s="878"/>
      <c r="R488" s="878"/>
      <c r="S488" s="878"/>
      <c r="T488" s="878"/>
      <c r="U488" s="878"/>
      <c r="V488" s="878"/>
      <c r="W488" s="878"/>
      <c r="X488" s="878"/>
      <c r="Y488" s="878"/>
      <c r="Z488" s="878"/>
    </row>
    <row r="489" ht="12.0" customHeight="1">
      <c r="A489" s="878"/>
      <c r="B489" s="879"/>
      <c r="C489" s="842"/>
      <c r="D489" s="878"/>
      <c r="E489" s="878"/>
      <c r="F489" s="878"/>
      <c r="G489" s="878"/>
      <c r="H489" s="878"/>
      <c r="I489" s="878"/>
      <c r="J489" s="878"/>
      <c r="K489" s="878"/>
      <c r="L489" s="878"/>
      <c r="M489" s="878"/>
      <c r="N489" s="878"/>
      <c r="O489" s="878"/>
      <c r="P489" s="878"/>
      <c r="Q489" s="878"/>
      <c r="R489" s="878"/>
      <c r="S489" s="878"/>
      <c r="T489" s="878"/>
      <c r="U489" s="878"/>
      <c r="V489" s="878"/>
      <c r="W489" s="878"/>
      <c r="X489" s="878"/>
      <c r="Y489" s="878"/>
      <c r="Z489" s="878"/>
    </row>
    <row r="490" ht="12.0" customHeight="1">
      <c r="A490" s="878"/>
      <c r="B490" s="879"/>
      <c r="C490" s="842"/>
      <c r="D490" s="878"/>
      <c r="E490" s="878"/>
      <c r="F490" s="878"/>
      <c r="G490" s="878"/>
      <c r="H490" s="878"/>
      <c r="I490" s="878"/>
      <c r="J490" s="878"/>
      <c r="K490" s="878"/>
      <c r="L490" s="878"/>
      <c r="M490" s="878"/>
      <c r="N490" s="878"/>
      <c r="O490" s="878"/>
      <c r="P490" s="878"/>
      <c r="Q490" s="878"/>
      <c r="R490" s="878"/>
      <c r="S490" s="878"/>
      <c r="T490" s="878"/>
      <c r="U490" s="878"/>
      <c r="V490" s="878"/>
      <c r="W490" s="878"/>
      <c r="X490" s="878"/>
      <c r="Y490" s="878"/>
      <c r="Z490" s="878"/>
    </row>
    <row r="491" ht="12.0" customHeight="1">
      <c r="A491" s="878"/>
      <c r="B491" s="879"/>
      <c r="C491" s="842"/>
      <c r="D491" s="878"/>
      <c r="E491" s="878"/>
      <c r="F491" s="878"/>
      <c r="G491" s="878"/>
      <c r="H491" s="878"/>
      <c r="I491" s="878"/>
      <c r="J491" s="878"/>
      <c r="K491" s="878"/>
      <c r="L491" s="878"/>
      <c r="M491" s="878"/>
      <c r="N491" s="878"/>
      <c r="O491" s="878"/>
      <c r="P491" s="878"/>
      <c r="Q491" s="878"/>
      <c r="R491" s="878"/>
      <c r="S491" s="878"/>
      <c r="T491" s="878"/>
      <c r="U491" s="878"/>
      <c r="V491" s="878"/>
      <c r="W491" s="878"/>
      <c r="X491" s="878"/>
      <c r="Y491" s="878"/>
      <c r="Z491" s="878"/>
    </row>
    <row r="492" ht="12.0" customHeight="1">
      <c r="A492" s="878"/>
      <c r="B492" s="879"/>
      <c r="C492" s="842"/>
      <c r="D492" s="878"/>
      <c r="E492" s="878"/>
      <c r="F492" s="878"/>
      <c r="G492" s="878"/>
      <c r="H492" s="878"/>
      <c r="I492" s="878"/>
      <c r="J492" s="878"/>
      <c r="K492" s="878"/>
      <c r="L492" s="878"/>
      <c r="M492" s="878"/>
      <c r="N492" s="878"/>
      <c r="O492" s="878"/>
      <c r="P492" s="878"/>
      <c r="Q492" s="878"/>
      <c r="R492" s="878"/>
      <c r="S492" s="878"/>
      <c r="T492" s="878"/>
      <c r="U492" s="878"/>
      <c r="V492" s="878"/>
      <c r="W492" s="878"/>
      <c r="X492" s="878"/>
      <c r="Y492" s="878"/>
      <c r="Z492" s="878"/>
    </row>
    <row r="493" ht="12.0" customHeight="1">
      <c r="A493" s="878"/>
      <c r="B493" s="879"/>
      <c r="C493" s="842"/>
      <c r="D493" s="878"/>
      <c r="E493" s="878"/>
      <c r="F493" s="878"/>
      <c r="G493" s="878"/>
      <c r="H493" s="878"/>
      <c r="I493" s="878"/>
      <c r="J493" s="878"/>
      <c r="K493" s="878"/>
      <c r="L493" s="878"/>
      <c r="M493" s="878"/>
      <c r="N493" s="878"/>
      <c r="O493" s="878"/>
      <c r="P493" s="878"/>
      <c r="Q493" s="878"/>
      <c r="R493" s="878"/>
      <c r="S493" s="878"/>
      <c r="T493" s="878"/>
      <c r="U493" s="878"/>
      <c r="V493" s="878"/>
      <c r="W493" s="878"/>
      <c r="X493" s="878"/>
      <c r="Y493" s="878"/>
      <c r="Z493" s="878"/>
    </row>
    <row r="494" ht="12.0" customHeight="1">
      <c r="A494" s="878"/>
      <c r="B494" s="879"/>
      <c r="C494" s="842"/>
      <c r="D494" s="878"/>
      <c r="E494" s="878"/>
      <c r="F494" s="878"/>
      <c r="G494" s="878"/>
      <c r="H494" s="878"/>
      <c r="I494" s="878"/>
      <c r="J494" s="878"/>
      <c r="K494" s="878"/>
      <c r="L494" s="878"/>
      <c r="M494" s="878"/>
      <c r="N494" s="878"/>
      <c r="O494" s="878"/>
      <c r="P494" s="878"/>
      <c r="Q494" s="878"/>
      <c r="R494" s="878"/>
      <c r="S494" s="878"/>
      <c r="T494" s="878"/>
      <c r="U494" s="878"/>
      <c r="V494" s="878"/>
      <c r="W494" s="878"/>
      <c r="X494" s="878"/>
      <c r="Y494" s="878"/>
      <c r="Z494" s="878"/>
    </row>
    <row r="495" ht="12.0" customHeight="1">
      <c r="A495" s="878"/>
      <c r="B495" s="879"/>
      <c r="C495" s="842"/>
      <c r="D495" s="878"/>
      <c r="E495" s="878"/>
      <c r="F495" s="878"/>
      <c r="G495" s="878"/>
      <c r="H495" s="878"/>
      <c r="I495" s="878"/>
      <c r="J495" s="878"/>
      <c r="K495" s="878"/>
      <c r="L495" s="878"/>
      <c r="M495" s="878"/>
      <c r="N495" s="878"/>
      <c r="O495" s="878"/>
      <c r="P495" s="878"/>
      <c r="Q495" s="878"/>
      <c r="R495" s="878"/>
      <c r="S495" s="878"/>
      <c r="T495" s="878"/>
      <c r="U495" s="878"/>
      <c r="V495" s="878"/>
      <c r="W495" s="878"/>
      <c r="X495" s="878"/>
      <c r="Y495" s="878"/>
      <c r="Z495" s="878"/>
    </row>
    <row r="496" ht="12.0" customHeight="1">
      <c r="A496" s="878"/>
      <c r="B496" s="879"/>
      <c r="C496" s="842"/>
      <c r="D496" s="878"/>
      <c r="E496" s="878"/>
      <c r="F496" s="878"/>
      <c r="G496" s="878"/>
      <c r="H496" s="878"/>
      <c r="I496" s="878"/>
      <c r="J496" s="878"/>
      <c r="K496" s="878"/>
      <c r="L496" s="878"/>
      <c r="M496" s="878"/>
      <c r="N496" s="878"/>
      <c r="O496" s="878"/>
      <c r="P496" s="878"/>
      <c r="Q496" s="878"/>
      <c r="R496" s="878"/>
      <c r="S496" s="878"/>
      <c r="T496" s="878"/>
      <c r="U496" s="878"/>
      <c r="V496" s="878"/>
      <c r="W496" s="878"/>
      <c r="X496" s="878"/>
      <c r="Y496" s="878"/>
      <c r="Z496" s="878"/>
    </row>
    <row r="497" ht="12.0" customHeight="1">
      <c r="A497" s="878"/>
      <c r="B497" s="879"/>
      <c r="C497" s="842"/>
      <c r="D497" s="878"/>
      <c r="E497" s="878"/>
      <c r="F497" s="878"/>
      <c r="G497" s="878"/>
      <c r="H497" s="878"/>
      <c r="I497" s="878"/>
      <c r="J497" s="878"/>
      <c r="K497" s="878"/>
      <c r="L497" s="878"/>
      <c r="M497" s="878"/>
      <c r="N497" s="878"/>
      <c r="O497" s="878"/>
      <c r="P497" s="878"/>
      <c r="Q497" s="878"/>
      <c r="R497" s="878"/>
      <c r="S497" s="878"/>
      <c r="T497" s="878"/>
      <c r="U497" s="878"/>
      <c r="V497" s="878"/>
      <c r="W497" s="878"/>
      <c r="X497" s="878"/>
      <c r="Y497" s="878"/>
      <c r="Z497" s="878"/>
    </row>
    <row r="498" ht="12.0" customHeight="1">
      <c r="A498" s="878"/>
      <c r="B498" s="879"/>
      <c r="C498" s="842"/>
      <c r="D498" s="878"/>
      <c r="E498" s="878"/>
      <c r="F498" s="878"/>
      <c r="G498" s="878"/>
      <c r="H498" s="878"/>
      <c r="I498" s="878"/>
      <c r="J498" s="878"/>
      <c r="K498" s="878"/>
      <c r="L498" s="878"/>
      <c r="M498" s="878"/>
      <c r="N498" s="878"/>
      <c r="O498" s="878"/>
      <c r="P498" s="878"/>
      <c r="Q498" s="878"/>
      <c r="R498" s="878"/>
      <c r="S498" s="878"/>
      <c r="T498" s="878"/>
      <c r="U498" s="878"/>
      <c r="V498" s="878"/>
      <c r="W498" s="878"/>
      <c r="X498" s="878"/>
      <c r="Y498" s="878"/>
      <c r="Z498" s="878"/>
    </row>
    <row r="499" ht="12.0" customHeight="1">
      <c r="A499" s="878"/>
      <c r="B499" s="879"/>
      <c r="C499" s="842"/>
      <c r="D499" s="878"/>
      <c r="E499" s="878"/>
      <c r="F499" s="878"/>
      <c r="G499" s="878"/>
      <c r="H499" s="878"/>
      <c r="I499" s="878"/>
      <c r="J499" s="878"/>
      <c r="K499" s="878"/>
      <c r="L499" s="878"/>
      <c r="M499" s="878"/>
      <c r="N499" s="878"/>
      <c r="O499" s="878"/>
      <c r="P499" s="878"/>
      <c r="Q499" s="878"/>
      <c r="R499" s="878"/>
      <c r="S499" s="878"/>
      <c r="T499" s="878"/>
      <c r="U499" s="878"/>
      <c r="V499" s="878"/>
      <c r="W499" s="878"/>
      <c r="X499" s="878"/>
      <c r="Y499" s="878"/>
      <c r="Z499" s="878"/>
    </row>
    <row r="500" ht="12.0" customHeight="1">
      <c r="A500" s="878"/>
      <c r="B500" s="879"/>
      <c r="C500" s="842"/>
      <c r="D500" s="878"/>
      <c r="E500" s="878"/>
      <c r="F500" s="878"/>
      <c r="G500" s="878"/>
      <c r="H500" s="878"/>
      <c r="I500" s="878"/>
      <c r="J500" s="878"/>
      <c r="K500" s="878"/>
      <c r="L500" s="878"/>
      <c r="M500" s="878"/>
      <c r="N500" s="878"/>
      <c r="O500" s="878"/>
      <c r="P500" s="878"/>
      <c r="Q500" s="878"/>
      <c r="R500" s="878"/>
      <c r="S500" s="878"/>
      <c r="T500" s="878"/>
      <c r="U500" s="878"/>
      <c r="V500" s="878"/>
      <c r="W500" s="878"/>
      <c r="X500" s="878"/>
      <c r="Y500" s="878"/>
      <c r="Z500" s="878"/>
    </row>
    <row r="501" ht="12.0" customHeight="1">
      <c r="A501" s="878"/>
      <c r="B501" s="879"/>
      <c r="C501" s="842"/>
      <c r="D501" s="878"/>
      <c r="E501" s="878"/>
      <c r="F501" s="878"/>
      <c r="G501" s="878"/>
      <c r="H501" s="878"/>
      <c r="I501" s="878"/>
      <c r="J501" s="878"/>
      <c r="K501" s="878"/>
      <c r="L501" s="878"/>
      <c r="M501" s="878"/>
      <c r="N501" s="878"/>
      <c r="O501" s="878"/>
      <c r="P501" s="878"/>
      <c r="Q501" s="878"/>
      <c r="R501" s="878"/>
      <c r="S501" s="878"/>
      <c r="T501" s="878"/>
      <c r="U501" s="878"/>
      <c r="V501" s="878"/>
      <c r="W501" s="878"/>
      <c r="X501" s="878"/>
      <c r="Y501" s="878"/>
      <c r="Z501" s="878"/>
    </row>
    <row r="502" ht="12.0" customHeight="1">
      <c r="A502" s="878"/>
      <c r="B502" s="879"/>
      <c r="C502" s="842"/>
      <c r="D502" s="878"/>
      <c r="E502" s="878"/>
      <c r="F502" s="878"/>
      <c r="G502" s="878"/>
      <c r="H502" s="878"/>
      <c r="I502" s="878"/>
      <c r="J502" s="878"/>
      <c r="K502" s="878"/>
      <c r="L502" s="878"/>
      <c r="M502" s="878"/>
      <c r="N502" s="878"/>
      <c r="O502" s="878"/>
      <c r="P502" s="878"/>
      <c r="Q502" s="878"/>
      <c r="R502" s="878"/>
      <c r="S502" s="878"/>
      <c r="T502" s="878"/>
      <c r="U502" s="878"/>
      <c r="V502" s="878"/>
      <c r="W502" s="878"/>
      <c r="X502" s="878"/>
      <c r="Y502" s="878"/>
      <c r="Z502" s="878"/>
    </row>
    <row r="503" ht="12.0" customHeight="1">
      <c r="A503" s="878"/>
      <c r="B503" s="879"/>
      <c r="C503" s="842"/>
      <c r="D503" s="878"/>
      <c r="E503" s="878"/>
      <c r="F503" s="878"/>
      <c r="G503" s="878"/>
      <c r="H503" s="878"/>
      <c r="I503" s="878"/>
      <c r="J503" s="878"/>
      <c r="K503" s="878"/>
      <c r="L503" s="878"/>
      <c r="M503" s="878"/>
      <c r="N503" s="878"/>
      <c r="O503" s="878"/>
      <c r="P503" s="878"/>
      <c r="Q503" s="878"/>
      <c r="R503" s="878"/>
      <c r="S503" s="878"/>
      <c r="T503" s="878"/>
      <c r="U503" s="878"/>
      <c r="V503" s="878"/>
      <c r="W503" s="878"/>
      <c r="X503" s="878"/>
      <c r="Y503" s="878"/>
      <c r="Z503" s="878"/>
    </row>
    <row r="504" ht="12.0" customHeight="1">
      <c r="A504" s="878"/>
      <c r="B504" s="879"/>
      <c r="C504" s="842"/>
      <c r="D504" s="878"/>
      <c r="E504" s="878"/>
      <c r="F504" s="878"/>
      <c r="G504" s="878"/>
      <c r="H504" s="878"/>
      <c r="I504" s="878"/>
      <c r="J504" s="878"/>
      <c r="K504" s="878"/>
      <c r="L504" s="878"/>
      <c r="M504" s="878"/>
      <c r="N504" s="878"/>
      <c r="O504" s="878"/>
      <c r="P504" s="878"/>
      <c r="Q504" s="878"/>
      <c r="R504" s="878"/>
      <c r="S504" s="878"/>
      <c r="T504" s="878"/>
      <c r="U504" s="878"/>
      <c r="V504" s="878"/>
      <c r="W504" s="878"/>
      <c r="X504" s="878"/>
      <c r="Y504" s="878"/>
      <c r="Z504" s="878"/>
    </row>
    <row r="505" ht="12.0" customHeight="1">
      <c r="A505" s="878"/>
      <c r="B505" s="879"/>
      <c r="C505" s="842"/>
      <c r="D505" s="878"/>
      <c r="E505" s="878"/>
      <c r="F505" s="878"/>
      <c r="G505" s="878"/>
      <c r="H505" s="878"/>
      <c r="I505" s="878"/>
      <c r="J505" s="878"/>
      <c r="K505" s="878"/>
      <c r="L505" s="878"/>
      <c r="M505" s="878"/>
      <c r="N505" s="878"/>
      <c r="O505" s="878"/>
      <c r="P505" s="878"/>
      <c r="Q505" s="878"/>
      <c r="R505" s="878"/>
      <c r="S505" s="878"/>
      <c r="T505" s="878"/>
      <c r="U505" s="878"/>
      <c r="V505" s="878"/>
      <c r="W505" s="878"/>
      <c r="X505" s="878"/>
      <c r="Y505" s="878"/>
      <c r="Z505" s="878"/>
    </row>
    <row r="506" ht="12.0" customHeight="1">
      <c r="A506" s="878"/>
      <c r="B506" s="879"/>
      <c r="C506" s="842"/>
      <c r="D506" s="878"/>
      <c r="E506" s="878"/>
      <c r="F506" s="878"/>
      <c r="G506" s="878"/>
      <c r="H506" s="878"/>
      <c r="I506" s="878"/>
      <c r="J506" s="878"/>
      <c r="K506" s="878"/>
      <c r="L506" s="878"/>
      <c r="M506" s="878"/>
      <c r="N506" s="878"/>
      <c r="O506" s="878"/>
      <c r="P506" s="878"/>
      <c r="Q506" s="878"/>
      <c r="R506" s="878"/>
      <c r="S506" s="878"/>
      <c r="T506" s="878"/>
      <c r="U506" s="878"/>
      <c r="V506" s="878"/>
      <c r="W506" s="878"/>
      <c r="X506" s="878"/>
      <c r="Y506" s="878"/>
      <c r="Z506" s="878"/>
    </row>
    <row r="507" ht="12.0" customHeight="1">
      <c r="A507" s="878"/>
      <c r="B507" s="879"/>
      <c r="C507" s="842"/>
      <c r="D507" s="878"/>
      <c r="E507" s="878"/>
      <c r="F507" s="878"/>
      <c r="G507" s="878"/>
      <c r="H507" s="878"/>
      <c r="I507" s="878"/>
      <c r="J507" s="878"/>
      <c r="K507" s="878"/>
      <c r="L507" s="878"/>
      <c r="M507" s="878"/>
      <c r="N507" s="878"/>
      <c r="O507" s="878"/>
      <c r="P507" s="878"/>
      <c r="Q507" s="878"/>
      <c r="R507" s="878"/>
      <c r="S507" s="878"/>
      <c r="T507" s="878"/>
      <c r="U507" s="878"/>
      <c r="V507" s="878"/>
      <c r="W507" s="878"/>
      <c r="X507" s="878"/>
      <c r="Y507" s="878"/>
      <c r="Z507" s="878"/>
    </row>
    <row r="508" ht="12.0" customHeight="1">
      <c r="A508" s="878"/>
      <c r="B508" s="879"/>
      <c r="C508" s="842"/>
      <c r="D508" s="878"/>
      <c r="E508" s="878"/>
      <c r="F508" s="878"/>
      <c r="G508" s="878"/>
      <c r="H508" s="878"/>
      <c r="I508" s="878"/>
      <c r="J508" s="878"/>
      <c r="K508" s="878"/>
      <c r="L508" s="878"/>
      <c r="M508" s="878"/>
      <c r="N508" s="878"/>
      <c r="O508" s="878"/>
      <c r="P508" s="878"/>
      <c r="Q508" s="878"/>
      <c r="R508" s="878"/>
      <c r="S508" s="878"/>
      <c r="T508" s="878"/>
      <c r="U508" s="878"/>
      <c r="V508" s="878"/>
      <c r="W508" s="878"/>
      <c r="X508" s="878"/>
      <c r="Y508" s="878"/>
      <c r="Z508" s="878"/>
    </row>
    <row r="509" ht="12.0" customHeight="1">
      <c r="A509" s="878"/>
      <c r="B509" s="879"/>
      <c r="C509" s="842"/>
      <c r="D509" s="878"/>
      <c r="E509" s="878"/>
      <c r="F509" s="878"/>
      <c r="G509" s="878"/>
      <c r="H509" s="878"/>
      <c r="I509" s="878"/>
      <c r="J509" s="878"/>
      <c r="K509" s="878"/>
      <c r="L509" s="878"/>
      <c r="M509" s="878"/>
      <c r="N509" s="878"/>
      <c r="O509" s="878"/>
      <c r="P509" s="878"/>
      <c r="Q509" s="878"/>
      <c r="R509" s="878"/>
      <c r="S509" s="878"/>
      <c r="T509" s="878"/>
      <c r="U509" s="878"/>
      <c r="V509" s="878"/>
      <c r="W509" s="878"/>
      <c r="X509" s="878"/>
      <c r="Y509" s="878"/>
      <c r="Z509" s="878"/>
    </row>
    <row r="510" ht="12.0" customHeight="1">
      <c r="A510" s="878"/>
      <c r="B510" s="879"/>
      <c r="C510" s="842"/>
      <c r="D510" s="878"/>
      <c r="E510" s="878"/>
      <c r="F510" s="878"/>
      <c r="G510" s="878"/>
      <c r="H510" s="878"/>
      <c r="I510" s="878"/>
      <c r="J510" s="878"/>
      <c r="K510" s="878"/>
      <c r="L510" s="878"/>
      <c r="M510" s="878"/>
      <c r="N510" s="878"/>
      <c r="O510" s="878"/>
      <c r="P510" s="878"/>
      <c r="Q510" s="878"/>
      <c r="R510" s="878"/>
      <c r="S510" s="878"/>
      <c r="T510" s="878"/>
      <c r="U510" s="878"/>
      <c r="V510" s="878"/>
      <c r="W510" s="878"/>
      <c r="X510" s="878"/>
      <c r="Y510" s="878"/>
      <c r="Z510" s="878"/>
    </row>
    <row r="511" ht="12.0" customHeight="1">
      <c r="A511" s="878"/>
      <c r="B511" s="879"/>
      <c r="C511" s="842"/>
      <c r="D511" s="878"/>
      <c r="E511" s="878"/>
      <c r="F511" s="878"/>
      <c r="G511" s="878"/>
      <c r="H511" s="878"/>
      <c r="I511" s="878"/>
      <c r="J511" s="878"/>
      <c r="K511" s="878"/>
      <c r="L511" s="878"/>
      <c r="M511" s="878"/>
      <c r="N511" s="878"/>
      <c r="O511" s="878"/>
      <c r="P511" s="878"/>
      <c r="Q511" s="878"/>
      <c r="R511" s="878"/>
      <c r="S511" s="878"/>
      <c r="T511" s="878"/>
      <c r="U511" s="878"/>
      <c r="V511" s="878"/>
      <c r="W511" s="878"/>
      <c r="X511" s="878"/>
      <c r="Y511" s="878"/>
      <c r="Z511" s="878"/>
    </row>
    <row r="512" ht="12.0" customHeight="1">
      <c r="A512" s="878"/>
      <c r="B512" s="879"/>
      <c r="C512" s="842"/>
      <c r="D512" s="878"/>
      <c r="E512" s="878"/>
      <c r="F512" s="878"/>
      <c r="G512" s="878"/>
      <c r="H512" s="878"/>
      <c r="I512" s="878"/>
      <c r="J512" s="878"/>
      <c r="K512" s="878"/>
      <c r="L512" s="878"/>
      <c r="M512" s="878"/>
      <c r="N512" s="878"/>
      <c r="O512" s="878"/>
      <c r="P512" s="878"/>
      <c r="Q512" s="878"/>
      <c r="R512" s="878"/>
      <c r="S512" s="878"/>
      <c r="T512" s="878"/>
      <c r="U512" s="878"/>
      <c r="V512" s="878"/>
      <c r="W512" s="878"/>
      <c r="X512" s="878"/>
      <c r="Y512" s="878"/>
      <c r="Z512" s="878"/>
    </row>
    <row r="513" ht="12.0" customHeight="1">
      <c r="A513" s="878"/>
      <c r="B513" s="879"/>
      <c r="C513" s="842"/>
      <c r="D513" s="878"/>
      <c r="E513" s="878"/>
      <c r="F513" s="878"/>
      <c r="G513" s="878"/>
      <c r="H513" s="878"/>
      <c r="I513" s="878"/>
      <c r="J513" s="878"/>
      <c r="K513" s="878"/>
      <c r="L513" s="878"/>
      <c r="M513" s="878"/>
      <c r="N513" s="878"/>
      <c r="O513" s="878"/>
      <c r="P513" s="878"/>
      <c r="Q513" s="878"/>
      <c r="R513" s="878"/>
      <c r="S513" s="878"/>
      <c r="T513" s="878"/>
      <c r="U513" s="878"/>
      <c r="V513" s="878"/>
      <c r="W513" s="878"/>
      <c r="X513" s="878"/>
      <c r="Y513" s="878"/>
      <c r="Z513" s="878"/>
    </row>
    <row r="514" ht="12.0" customHeight="1">
      <c r="A514" s="878"/>
      <c r="B514" s="879"/>
      <c r="C514" s="842"/>
      <c r="D514" s="878"/>
      <c r="E514" s="878"/>
      <c r="F514" s="878"/>
      <c r="G514" s="878"/>
      <c r="H514" s="878"/>
      <c r="I514" s="878"/>
      <c r="J514" s="878"/>
      <c r="K514" s="878"/>
      <c r="L514" s="878"/>
      <c r="M514" s="878"/>
      <c r="N514" s="878"/>
      <c r="O514" s="878"/>
      <c r="P514" s="878"/>
      <c r="Q514" s="878"/>
      <c r="R514" s="878"/>
      <c r="S514" s="878"/>
      <c r="T514" s="878"/>
      <c r="U514" s="878"/>
      <c r="V514" s="878"/>
      <c r="W514" s="878"/>
      <c r="X514" s="878"/>
      <c r="Y514" s="878"/>
      <c r="Z514" s="878"/>
    </row>
    <row r="515" ht="12.0" customHeight="1">
      <c r="A515" s="878"/>
      <c r="B515" s="879"/>
      <c r="C515" s="842"/>
      <c r="D515" s="878"/>
      <c r="E515" s="878"/>
      <c r="F515" s="878"/>
      <c r="G515" s="878"/>
      <c r="H515" s="878"/>
      <c r="I515" s="878"/>
      <c r="J515" s="878"/>
      <c r="K515" s="878"/>
      <c r="L515" s="878"/>
      <c r="M515" s="878"/>
      <c r="N515" s="878"/>
      <c r="O515" s="878"/>
      <c r="P515" s="878"/>
      <c r="Q515" s="878"/>
      <c r="R515" s="878"/>
      <c r="S515" s="878"/>
      <c r="T515" s="878"/>
      <c r="U515" s="878"/>
      <c r="V515" s="878"/>
      <c r="W515" s="878"/>
      <c r="X515" s="878"/>
      <c r="Y515" s="878"/>
      <c r="Z515" s="878"/>
    </row>
    <row r="516" ht="12.0" customHeight="1">
      <c r="A516" s="878"/>
      <c r="B516" s="879"/>
      <c r="C516" s="842"/>
      <c r="D516" s="878"/>
      <c r="E516" s="878"/>
      <c r="F516" s="878"/>
      <c r="G516" s="878"/>
      <c r="H516" s="878"/>
      <c r="I516" s="878"/>
      <c r="J516" s="878"/>
      <c r="K516" s="878"/>
      <c r="L516" s="878"/>
      <c r="M516" s="878"/>
      <c r="N516" s="878"/>
      <c r="O516" s="878"/>
      <c r="P516" s="878"/>
      <c r="Q516" s="878"/>
      <c r="R516" s="878"/>
      <c r="S516" s="878"/>
      <c r="T516" s="878"/>
      <c r="U516" s="878"/>
      <c r="V516" s="878"/>
      <c r="W516" s="878"/>
      <c r="X516" s="878"/>
      <c r="Y516" s="878"/>
      <c r="Z516" s="878"/>
    </row>
    <row r="517" ht="12.0" customHeight="1">
      <c r="A517" s="878"/>
      <c r="B517" s="879"/>
      <c r="C517" s="842"/>
      <c r="D517" s="878"/>
      <c r="E517" s="878"/>
      <c r="F517" s="878"/>
      <c r="G517" s="878"/>
      <c r="H517" s="878"/>
      <c r="I517" s="878"/>
      <c r="J517" s="878"/>
      <c r="K517" s="878"/>
      <c r="L517" s="878"/>
      <c r="M517" s="878"/>
      <c r="N517" s="878"/>
      <c r="O517" s="878"/>
      <c r="P517" s="878"/>
      <c r="Q517" s="878"/>
      <c r="R517" s="878"/>
      <c r="S517" s="878"/>
      <c r="T517" s="878"/>
      <c r="U517" s="878"/>
      <c r="V517" s="878"/>
      <c r="W517" s="878"/>
      <c r="X517" s="878"/>
      <c r="Y517" s="878"/>
      <c r="Z517" s="878"/>
    </row>
    <row r="518" ht="12.0" customHeight="1">
      <c r="A518" s="878"/>
      <c r="B518" s="879"/>
      <c r="C518" s="842"/>
      <c r="D518" s="878"/>
      <c r="E518" s="878"/>
      <c r="F518" s="878"/>
      <c r="G518" s="878"/>
      <c r="H518" s="878"/>
      <c r="I518" s="878"/>
      <c r="J518" s="878"/>
      <c r="K518" s="878"/>
      <c r="L518" s="878"/>
      <c r="M518" s="878"/>
      <c r="N518" s="878"/>
      <c r="O518" s="878"/>
      <c r="P518" s="878"/>
      <c r="Q518" s="878"/>
      <c r="R518" s="878"/>
      <c r="S518" s="878"/>
      <c r="T518" s="878"/>
      <c r="U518" s="878"/>
      <c r="V518" s="878"/>
      <c r="W518" s="878"/>
      <c r="X518" s="878"/>
      <c r="Y518" s="878"/>
      <c r="Z518" s="878"/>
    </row>
    <row r="519" ht="12.0" customHeight="1">
      <c r="A519" s="878"/>
      <c r="B519" s="879"/>
      <c r="C519" s="842"/>
      <c r="D519" s="878"/>
      <c r="E519" s="878"/>
      <c r="F519" s="878"/>
      <c r="G519" s="878"/>
      <c r="H519" s="878"/>
      <c r="I519" s="878"/>
      <c r="J519" s="878"/>
      <c r="K519" s="878"/>
      <c r="L519" s="878"/>
      <c r="M519" s="878"/>
      <c r="N519" s="878"/>
      <c r="O519" s="878"/>
      <c r="P519" s="878"/>
      <c r="Q519" s="878"/>
      <c r="R519" s="878"/>
      <c r="S519" s="878"/>
      <c r="T519" s="878"/>
      <c r="U519" s="878"/>
      <c r="V519" s="878"/>
      <c r="W519" s="878"/>
      <c r="X519" s="878"/>
      <c r="Y519" s="878"/>
      <c r="Z519" s="878"/>
    </row>
    <row r="520" ht="12.0" customHeight="1">
      <c r="A520" s="878"/>
      <c r="B520" s="879"/>
      <c r="C520" s="842"/>
      <c r="D520" s="878"/>
      <c r="E520" s="878"/>
      <c r="F520" s="878"/>
      <c r="G520" s="878"/>
      <c r="H520" s="878"/>
      <c r="I520" s="878"/>
      <c r="J520" s="878"/>
      <c r="K520" s="878"/>
      <c r="L520" s="878"/>
      <c r="M520" s="878"/>
      <c r="N520" s="878"/>
      <c r="O520" s="878"/>
      <c r="P520" s="878"/>
      <c r="Q520" s="878"/>
      <c r="R520" s="878"/>
      <c r="S520" s="878"/>
      <c r="T520" s="878"/>
      <c r="U520" s="878"/>
      <c r="V520" s="878"/>
      <c r="W520" s="878"/>
      <c r="X520" s="878"/>
      <c r="Y520" s="878"/>
      <c r="Z520" s="878"/>
    </row>
    <row r="521" ht="12.0" customHeight="1">
      <c r="A521" s="878"/>
      <c r="B521" s="879"/>
      <c r="C521" s="842"/>
      <c r="D521" s="878"/>
      <c r="E521" s="878"/>
      <c r="F521" s="878"/>
      <c r="G521" s="878"/>
      <c r="H521" s="878"/>
      <c r="I521" s="878"/>
      <c r="J521" s="878"/>
      <c r="K521" s="878"/>
      <c r="L521" s="878"/>
      <c r="M521" s="878"/>
      <c r="N521" s="878"/>
      <c r="O521" s="878"/>
      <c r="P521" s="878"/>
      <c r="Q521" s="878"/>
      <c r="R521" s="878"/>
      <c r="S521" s="878"/>
      <c r="T521" s="878"/>
      <c r="U521" s="878"/>
      <c r="V521" s="878"/>
      <c r="W521" s="878"/>
      <c r="X521" s="878"/>
      <c r="Y521" s="878"/>
      <c r="Z521" s="878"/>
    </row>
    <row r="522" ht="12.0" customHeight="1">
      <c r="A522" s="878"/>
      <c r="B522" s="879"/>
      <c r="C522" s="842"/>
      <c r="D522" s="878"/>
      <c r="E522" s="878"/>
      <c r="F522" s="878"/>
      <c r="G522" s="878"/>
      <c r="H522" s="878"/>
      <c r="I522" s="878"/>
      <c r="J522" s="878"/>
      <c r="K522" s="878"/>
      <c r="L522" s="878"/>
      <c r="M522" s="878"/>
      <c r="N522" s="878"/>
      <c r="O522" s="878"/>
      <c r="P522" s="878"/>
      <c r="Q522" s="878"/>
      <c r="R522" s="878"/>
      <c r="S522" s="878"/>
      <c r="T522" s="878"/>
      <c r="U522" s="878"/>
      <c r="V522" s="878"/>
      <c r="W522" s="878"/>
      <c r="X522" s="878"/>
      <c r="Y522" s="878"/>
      <c r="Z522" s="878"/>
    </row>
    <row r="523" ht="12.0" customHeight="1">
      <c r="A523" s="878"/>
      <c r="B523" s="879"/>
      <c r="C523" s="842"/>
      <c r="D523" s="878"/>
      <c r="E523" s="878"/>
      <c r="F523" s="878"/>
      <c r="G523" s="878"/>
      <c r="H523" s="878"/>
      <c r="I523" s="878"/>
      <c r="J523" s="878"/>
      <c r="K523" s="878"/>
      <c r="L523" s="878"/>
      <c r="M523" s="878"/>
      <c r="N523" s="878"/>
      <c r="O523" s="878"/>
      <c r="P523" s="878"/>
      <c r="Q523" s="878"/>
      <c r="R523" s="878"/>
      <c r="S523" s="878"/>
      <c r="T523" s="878"/>
      <c r="U523" s="878"/>
      <c r="V523" s="878"/>
      <c r="W523" s="878"/>
      <c r="X523" s="878"/>
      <c r="Y523" s="878"/>
      <c r="Z523" s="878"/>
    </row>
    <row r="524" ht="12.0" customHeight="1">
      <c r="A524" s="878"/>
      <c r="B524" s="879"/>
      <c r="C524" s="842"/>
      <c r="D524" s="878"/>
      <c r="E524" s="878"/>
      <c r="F524" s="878"/>
      <c r="G524" s="878"/>
      <c r="H524" s="878"/>
      <c r="I524" s="878"/>
      <c r="J524" s="878"/>
      <c r="K524" s="878"/>
      <c r="L524" s="878"/>
      <c r="M524" s="878"/>
      <c r="N524" s="878"/>
      <c r="O524" s="878"/>
      <c r="P524" s="878"/>
      <c r="Q524" s="878"/>
      <c r="R524" s="878"/>
      <c r="S524" s="878"/>
      <c r="T524" s="878"/>
      <c r="U524" s="878"/>
      <c r="V524" s="878"/>
      <c r="W524" s="878"/>
      <c r="X524" s="878"/>
      <c r="Y524" s="878"/>
      <c r="Z524" s="878"/>
    </row>
    <row r="525" ht="12.0" customHeight="1">
      <c r="A525" s="878"/>
      <c r="B525" s="879"/>
      <c r="C525" s="842"/>
      <c r="D525" s="878"/>
      <c r="E525" s="878"/>
      <c r="F525" s="878"/>
      <c r="G525" s="878"/>
      <c r="H525" s="878"/>
      <c r="I525" s="878"/>
      <c r="J525" s="878"/>
      <c r="K525" s="878"/>
      <c r="L525" s="878"/>
      <c r="M525" s="878"/>
      <c r="N525" s="878"/>
      <c r="O525" s="878"/>
      <c r="P525" s="878"/>
      <c r="Q525" s="878"/>
      <c r="R525" s="878"/>
      <c r="S525" s="878"/>
      <c r="T525" s="878"/>
      <c r="U525" s="878"/>
      <c r="V525" s="878"/>
      <c r="W525" s="878"/>
      <c r="X525" s="878"/>
      <c r="Y525" s="878"/>
      <c r="Z525" s="878"/>
    </row>
    <row r="526" ht="12.0" customHeight="1">
      <c r="A526" s="878"/>
      <c r="B526" s="879"/>
      <c r="C526" s="842"/>
      <c r="D526" s="878"/>
      <c r="E526" s="878"/>
      <c r="F526" s="878"/>
      <c r="G526" s="878"/>
      <c r="H526" s="878"/>
      <c r="I526" s="878"/>
      <c r="J526" s="878"/>
      <c r="K526" s="878"/>
      <c r="L526" s="878"/>
      <c r="M526" s="878"/>
      <c r="N526" s="878"/>
      <c r="O526" s="878"/>
      <c r="P526" s="878"/>
      <c r="Q526" s="878"/>
      <c r="R526" s="878"/>
      <c r="S526" s="878"/>
      <c r="T526" s="878"/>
      <c r="U526" s="878"/>
      <c r="V526" s="878"/>
      <c r="W526" s="878"/>
      <c r="X526" s="878"/>
      <c r="Y526" s="878"/>
      <c r="Z526" s="878"/>
    </row>
    <row r="527" ht="12.0" customHeight="1">
      <c r="A527" s="878"/>
      <c r="B527" s="879"/>
      <c r="C527" s="842"/>
      <c r="D527" s="878"/>
      <c r="E527" s="878"/>
      <c r="F527" s="878"/>
      <c r="G527" s="878"/>
      <c r="H527" s="878"/>
      <c r="I527" s="878"/>
      <c r="J527" s="878"/>
      <c r="K527" s="878"/>
      <c r="L527" s="878"/>
      <c r="M527" s="878"/>
      <c r="N527" s="878"/>
      <c r="O527" s="878"/>
      <c r="P527" s="878"/>
      <c r="Q527" s="878"/>
      <c r="R527" s="878"/>
      <c r="S527" s="878"/>
      <c r="T527" s="878"/>
      <c r="U527" s="878"/>
      <c r="V527" s="878"/>
      <c r="W527" s="878"/>
      <c r="X527" s="878"/>
      <c r="Y527" s="878"/>
      <c r="Z527" s="878"/>
    </row>
    <row r="528" ht="12.0" customHeight="1">
      <c r="A528" s="878"/>
      <c r="B528" s="879"/>
      <c r="C528" s="842"/>
      <c r="D528" s="878"/>
      <c r="E528" s="878"/>
      <c r="F528" s="878"/>
      <c r="G528" s="878"/>
      <c r="H528" s="878"/>
      <c r="I528" s="878"/>
      <c r="J528" s="878"/>
      <c r="K528" s="878"/>
      <c r="L528" s="878"/>
      <c r="M528" s="878"/>
      <c r="N528" s="878"/>
      <c r="O528" s="878"/>
      <c r="P528" s="878"/>
      <c r="Q528" s="878"/>
      <c r="R528" s="878"/>
      <c r="S528" s="878"/>
      <c r="T528" s="878"/>
      <c r="U528" s="878"/>
      <c r="V528" s="878"/>
      <c r="W528" s="878"/>
      <c r="X528" s="878"/>
      <c r="Y528" s="878"/>
      <c r="Z528" s="878"/>
    </row>
    <row r="529" ht="12.0" customHeight="1">
      <c r="A529" s="878"/>
      <c r="B529" s="879"/>
      <c r="C529" s="842"/>
      <c r="D529" s="878"/>
      <c r="E529" s="878"/>
      <c r="F529" s="878"/>
      <c r="G529" s="878"/>
      <c r="H529" s="878"/>
      <c r="I529" s="878"/>
      <c r="J529" s="878"/>
      <c r="K529" s="878"/>
      <c r="L529" s="878"/>
      <c r="M529" s="878"/>
      <c r="N529" s="878"/>
      <c r="O529" s="878"/>
      <c r="P529" s="878"/>
      <c r="Q529" s="878"/>
      <c r="R529" s="878"/>
      <c r="S529" s="878"/>
      <c r="T529" s="878"/>
      <c r="U529" s="878"/>
      <c r="V529" s="878"/>
      <c r="W529" s="878"/>
      <c r="X529" s="878"/>
      <c r="Y529" s="878"/>
      <c r="Z529" s="878"/>
    </row>
    <row r="530" ht="12.0" customHeight="1">
      <c r="A530" s="878"/>
      <c r="B530" s="879"/>
      <c r="C530" s="842"/>
      <c r="D530" s="878"/>
      <c r="E530" s="878"/>
      <c r="F530" s="878"/>
      <c r="G530" s="878"/>
      <c r="H530" s="878"/>
      <c r="I530" s="878"/>
      <c r="J530" s="878"/>
      <c r="K530" s="878"/>
      <c r="L530" s="878"/>
      <c r="M530" s="878"/>
      <c r="N530" s="878"/>
      <c r="O530" s="878"/>
      <c r="P530" s="878"/>
      <c r="Q530" s="878"/>
      <c r="R530" s="878"/>
      <c r="S530" s="878"/>
      <c r="T530" s="878"/>
      <c r="U530" s="878"/>
      <c r="V530" s="878"/>
      <c r="W530" s="878"/>
      <c r="X530" s="878"/>
      <c r="Y530" s="878"/>
      <c r="Z530" s="878"/>
    </row>
    <row r="531" ht="12.0" customHeight="1">
      <c r="A531" s="878"/>
      <c r="B531" s="879"/>
      <c r="C531" s="842"/>
      <c r="D531" s="878"/>
      <c r="E531" s="878"/>
      <c r="F531" s="878"/>
      <c r="G531" s="878"/>
      <c r="H531" s="878"/>
      <c r="I531" s="878"/>
      <c r="J531" s="878"/>
      <c r="K531" s="878"/>
      <c r="L531" s="878"/>
      <c r="M531" s="878"/>
      <c r="N531" s="878"/>
      <c r="O531" s="878"/>
      <c r="P531" s="878"/>
      <c r="Q531" s="878"/>
      <c r="R531" s="878"/>
      <c r="S531" s="878"/>
      <c r="T531" s="878"/>
      <c r="U531" s="878"/>
      <c r="V531" s="878"/>
      <c r="W531" s="878"/>
      <c r="X531" s="878"/>
      <c r="Y531" s="878"/>
      <c r="Z531" s="878"/>
    </row>
    <row r="532" ht="12.0" customHeight="1">
      <c r="A532" s="878"/>
      <c r="B532" s="879"/>
      <c r="C532" s="842"/>
      <c r="D532" s="878"/>
      <c r="E532" s="878"/>
      <c r="F532" s="878"/>
      <c r="G532" s="878"/>
      <c r="H532" s="878"/>
      <c r="I532" s="878"/>
      <c r="J532" s="878"/>
      <c r="K532" s="878"/>
      <c r="L532" s="878"/>
      <c r="M532" s="878"/>
      <c r="N532" s="878"/>
      <c r="O532" s="878"/>
      <c r="P532" s="878"/>
      <c r="Q532" s="878"/>
      <c r="R532" s="878"/>
      <c r="S532" s="878"/>
      <c r="T532" s="878"/>
      <c r="U532" s="878"/>
      <c r="V532" s="878"/>
      <c r="W532" s="878"/>
      <c r="X532" s="878"/>
      <c r="Y532" s="878"/>
      <c r="Z532" s="878"/>
    </row>
    <row r="533" ht="12.0" customHeight="1">
      <c r="A533" s="878"/>
      <c r="B533" s="879"/>
      <c r="C533" s="842"/>
      <c r="D533" s="878"/>
      <c r="E533" s="878"/>
      <c r="F533" s="878"/>
      <c r="G533" s="878"/>
      <c r="H533" s="878"/>
      <c r="I533" s="878"/>
      <c r="J533" s="878"/>
      <c r="K533" s="878"/>
      <c r="L533" s="878"/>
      <c r="M533" s="878"/>
      <c r="N533" s="878"/>
      <c r="O533" s="878"/>
      <c r="P533" s="878"/>
      <c r="Q533" s="878"/>
      <c r="R533" s="878"/>
      <c r="S533" s="878"/>
      <c r="T533" s="878"/>
      <c r="U533" s="878"/>
      <c r="V533" s="878"/>
      <c r="W533" s="878"/>
      <c r="X533" s="878"/>
      <c r="Y533" s="878"/>
      <c r="Z533" s="878"/>
    </row>
    <row r="534" ht="12.0" customHeight="1">
      <c r="A534" s="878"/>
      <c r="B534" s="879"/>
      <c r="C534" s="842"/>
      <c r="D534" s="878"/>
      <c r="E534" s="878"/>
      <c r="F534" s="878"/>
      <c r="G534" s="878"/>
      <c r="H534" s="878"/>
      <c r="I534" s="878"/>
      <c r="J534" s="878"/>
      <c r="K534" s="878"/>
      <c r="L534" s="878"/>
      <c r="M534" s="878"/>
      <c r="N534" s="878"/>
      <c r="O534" s="878"/>
      <c r="P534" s="878"/>
      <c r="Q534" s="878"/>
      <c r="R534" s="878"/>
      <c r="S534" s="878"/>
      <c r="T534" s="878"/>
      <c r="U534" s="878"/>
      <c r="V534" s="878"/>
      <c r="W534" s="878"/>
      <c r="X534" s="878"/>
      <c r="Y534" s="878"/>
      <c r="Z534" s="878"/>
    </row>
    <row r="535" ht="12.0" customHeight="1">
      <c r="A535" s="878"/>
      <c r="B535" s="879"/>
      <c r="C535" s="842"/>
      <c r="D535" s="878"/>
      <c r="E535" s="878"/>
      <c r="F535" s="878"/>
      <c r="G535" s="878"/>
      <c r="H535" s="878"/>
      <c r="I535" s="878"/>
      <c r="J535" s="878"/>
      <c r="K535" s="878"/>
      <c r="L535" s="878"/>
      <c r="M535" s="878"/>
      <c r="N535" s="878"/>
      <c r="O535" s="878"/>
      <c r="P535" s="878"/>
      <c r="Q535" s="878"/>
      <c r="R535" s="878"/>
      <c r="S535" s="878"/>
      <c r="T535" s="878"/>
      <c r="U535" s="878"/>
      <c r="V535" s="878"/>
      <c r="W535" s="878"/>
      <c r="X535" s="878"/>
      <c r="Y535" s="878"/>
      <c r="Z535" s="878"/>
    </row>
    <row r="536" ht="12.0" customHeight="1">
      <c r="A536" s="878"/>
      <c r="B536" s="879"/>
      <c r="C536" s="842"/>
      <c r="D536" s="878"/>
      <c r="E536" s="878"/>
      <c r="F536" s="878"/>
      <c r="G536" s="878"/>
      <c r="H536" s="878"/>
      <c r="I536" s="878"/>
      <c r="J536" s="878"/>
      <c r="K536" s="878"/>
      <c r="L536" s="878"/>
      <c r="M536" s="878"/>
      <c r="N536" s="878"/>
      <c r="O536" s="878"/>
      <c r="P536" s="878"/>
      <c r="Q536" s="878"/>
      <c r="R536" s="878"/>
      <c r="S536" s="878"/>
      <c r="T536" s="878"/>
      <c r="U536" s="878"/>
      <c r="V536" s="878"/>
      <c r="W536" s="878"/>
      <c r="X536" s="878"/>
      <c r="Y536" s="878"/>
      <c r="Z536" s="878"/>
    </row>
    <row r="537" ht="12.0" customHeight="1">
      <c r="A537" s="878"/>
      <c r="B537" s="879"/>
      <c r="C537" s="842"/>
      <c r="D537" s="878"/>
      <c r="E537" s="878"/>
      <c r="F537" s="878"/>
      <c r="G537" s="878"/>
      <c r="H537" s="878"/>
      <c r="I537" s="878"/>
      <c r="J537" s="878"/>
      <c r="K537" s="878"/>
      <c r="L537" s="878"/>
      <c r="M537" s="878"/>
      <c r="N537" s="878"/>
      <c r="O537" s="878"/>
      <c r="P537" s="878"/>
      <c r="Q537" s="878"/>
      <c r="R537" s="878"/>
      <c r="S537" s="878"/>
      <c r="T537" s="878"/>
      <c r="U537" s="878"/>
      <c r="V537" s="878"/>
      <c r="W537" s="878"/>
      <c r="X537" s="878"/>
      <c r="Y537" s="878"/>
      <c r="Z537" s="878"/>
    </row>
    <row r="538" ht="12.0" customHeight="1">
      <c r="A538" s="878"/>
      <c r="B538" s="879"/>
      <c r="C538" s="842"/>
      <c r="D538" s="878"/>
      <c r="E538" s="878"/>
      <c r="F538" s="878"/>
      <c r="G538" s="878"/>
      <c r="H538" s="878"/>
      <c r="I538" s="878"/>
      <c r="J538" s="878"/>
      <c r="K538" s="878"/>
      <c r="L538" s="878"/>
      <c r="M538" s="878"/>
      <c r="N538" s="878"/>
      <c r="O538" s="878"/>
      <c r="P538" s="878"/>
      <c r="Q538" s="878"/>
      <c r="R538" s="878"/>
      <c r="S538" s="878"/>
      <c r="T538" s="878"/>
      <c r="U538" s="878"/>
      <c r="V538" s="878"/>
      <c r="W538" s="878"/>
      <c r="X538" s="878"/>
      <c r="Y538" s="878"/>
      <c r="Z538" s="878"/>
    </row>
    <row r="539" ht="12.0" customHeight="1">
      <c r="A539" s="878"/>
      <c r="B539" s="879"/>
      <c r="C539" s="842"/>
      <c r="D539" s="878"/>
      <c r="E539" s="878"/>
      <c r="F539" s="878"/>
      <c r="G539" s="878"/>
      <c r="H539" s="878"/>
      <c r="I539" s="878"/>
      <c r="J539" s="878"/>
      <c r="K539" s="878"/>
      <c r="L539" s="878"/>
      <c r="M539" s="878"/>
      <c r="N539" s="878"/>
      <c r="O539" s="878"/>
      <c r="P539" s="878"/>
      <c r="Q539" s="878"/>
      <c r="R539" s="878"/>
      <c r="S539" s="878"/>
      <c r="T539" s="878"/>
      <c r="U539" s="878"/>
      <c r="V539" s="878"/>
      <c r="W539" s="878"/>
      <c r="X539" s="878"/>
      <c r="Y539" s="878"/>
      <c r="Z539" s="878"/>
    </row>
    <row r="540" ht="12.0" customHeight="1">
      <c r="A540" s="878"/>
      <c r="B540" s="879"/>
      <c r="C540" s="842"/>
      <c r="D540" s="878"/>
      <c r="E540" s="878"/>
      <c r="F540" s="878"/>
      <c r="G540" s="878"/>
      <c r="H540" s="878"/>
      <c r="I540" s="878"/>
      <c r="J540" s="878"/>
      <c r="K540" s="878"/>
      <c r="L540" s="878"/>
      <c r="M540" s="878"/>
      <c r="N540" s="878"/>
      <c r="O540" s="878"/>
      <c r="P540" s="878"/>
      <c r="Q540" s="878"/>
      <c r="R540" s="878"/>
      <c r="S540" s="878"/>
      <c r="T540" s="878"/>
      <c r="U540" s="878"/>
      <c r="V540" s="878"/>
      <c r="W540" s="878"/>
      <c r="X540" s="878"/>
      <c r="Y540" s="878"/>
      <c r="Z540" s="878"/>
    </row>
    <row r="541" ht="12.0" customHeight="1">
      <c r="A541" s="878"/>
      <c r="B541" s="879"/>
      <c r="C541" s="842"/>
      <c r="D541" s="878"/>
      <c r="E541" s="878"/>
      <c r="F541" s="878"/>
      <c r="G541" s="878"/>
      <c r="H541" s="878"/>
      <c r="I541" s="878"/>
      <c r="J541" s="878"/>
      <c r="K541" s="878"/>
      <c r="L541" s="878"/>
      <c r="M541" s="878"/>
      <c r="N541" s="878"/>
      <c r="O541" s="878"/>
      <c r="P541" s="878"/>
      <c r="Q541" s="878"/>
      <c r="R541" s="878"/>
      <c r="S541" s="878"/>
      <c r="T541" s="878"/>
      <c r="U541" s="878"/>
      <c r="V541" s="878"/>
      <c r="W541" s="878"/>
      <c r="X541" s="878"/>
      <c r="Y541" s="878"/>
      <c r="Z541" s="878"/>
    </row>
    <row r="542" ht="12.0" customHeight="1">
      <c r="A542" s="878"/>
      <c r="B542" s="879"/>
      <c r="C542" s="842"/>
      <c r="D542" s="878"/>
      <c r="E542" s="878"/>
      <c r="F542" s="878"/>
      <c r="G542" s="878"/>
      <c r="H542" s="878"/>
      <c r="I542" s="878"/>
      <c r="J542" s="878"/>
      <c r="K542" s="878"/>
      <c r="L542" s="878"/>
      <c r="M542" s="878"/>
      <c r="N542" s="878"/>
      <c r="O542" s="878"/>
      <c r="P542" s="878"/>
      <c r="Q542" s="878"/>
      <c r="R542" s="878"/>
      <c r="S542" s="878"/>
      <c r="T542" s="878"/>
      <c r="U542" s="878"/>
      <c r="V542" s="878"/>
      <c r="W542" s="878"/>
      <c r="X542" s="878"/>
      <c r="Y542" s="878"/>
      <c r="Z542" s="878"/>
    </row>
    <row r="543" ht="12.0" customHeight="1">
      <c r="A543" s="878"/>
      <c r="B543" s="879"/>
      <c r="C543" s="842"/>
      <c r="D543" s="878"/>
      <c r="E543" s="878"/>
      <c r="F543" s="878"/>
      <c r="G543" s="878"/>
      <c r="H543" s="878"/>
      <c r="I543" s="878"/>
      <c r="J543" s="878"/>
      <c r="K543" s="878"/>
      <c r="L543" s="878"/>
      <c r="M543" s="878"/>
      <c r="N543" s="878"/>
      <c r="O543" s="878"/>
      <c r="P543" s="878"/>
      <c r="Q543" s="878"/>
      <c r="R543" s="878"/>
      <c r="S543" s="878"/>
      <c r="T543" s="878"/>
      <c r="U543" s="878"/>
      <c r="V543" s="878"/>
      <c r="W543" s="878"/>
      <c r="X543" s="878"/>
      <c r="Y543" s="878"/>
      <c r="Z543" s="878"/>
    </row>
    <row r="544" ht="12.0" customHeight="1">
      <c r="A544" s="878"/>
      <c r="B544" s="879"/>
      <c r="C544" s="842"/>
      <c r="D544" s="878"/>
      <c r="E544" s="878"/>
      <c r="F544" s="878"/>
      <c r="G544" s="878"/>
      <c r="H544" s="878"/>
      <c r="I544" s="878"/>
      <c r="J544" s="878"/>
      <c r="K544" s="878"/>
      <c r="L544" s="878"/>
      <c r="M544" s="878"/>
      <c r="N544" s="878"/>
      <c r="O544" s="878"/>
      <c r="P544" s="878"/>
      <c r="Q544" s="878"/>
      <c r="R544" s="878"/>
      <c r="S544" s="878"/>
      <c r="T544" s="878"/>
      <c r="U544" s="878"/>
      <c r="V544" s="878"/>
      <c r="W544" s="878"/>
      <c r="X544" s="878"/>
      <c r="Y544" s="878"/>
      <c r="Z544" s="878"/>
    </row>
    <row r="545" ht="12.0" customHeight="1">
      <c r="A545" s="878"/>
      <c r="B545" s="879"/>
      <c r="C545" s="842"/>
      <c r="D545" s="878"/>
      <c r="E545" s="878"/>
      <c r="F545" s="878"/>
      <c r="G545" s="878"/>
      <c r="H545" s="878"/>
      <c r="I545" s="878"/>
      <c r="J545" s="878"/>
      <c r="K545" s="878"/>
      <c r="L545" s="878"/>
      <c r="M545" s="878"/>
      <c r="N545" s="878"/>
      <c r="O545" s="878"/>
      <c r="P545" s="878"/>
      <c r="Q545" s="878"/>
      <c r="R545" s="878"/>
      <c r="S545" s="878"/>
      <c r="T545" s="878"/>
      <c r="U545" s="878"/>
      <c r="V545" s="878"/>
      <c r="W545" s="878"/>
      <c r="X545" s="878"/>
      <c r="Y545" s="878"/>
      <c r="Z545" s="878"/>
    </row>
    <row r="546" ht="12.0" customHeight="1">
      <c r="A546" s="878"/>
      <c r="B546" s="879"/>
      <c r="C546" s="842"/>
      <c r="D546" s="878"/>
      <c r="E546" s="878"/>
      <c r="F546" s="878"/>
      <c r="G546" s="878"/>
      <c r="H546" s="878"/>
      <c r="I546" s="878"/>
      <c r="J546" s="878"/>
      <c r="K546" s="878"/>
      <c r="L546" s="878"/>
      <c r="M546" s="878"/>
      <c r="N546" s="878"/>
      <c r="O546" s="878"/>
      <c r="P546" s="878"/>
      <c r="Q546" s="878"/>
      <c r="R546" s="878"/>
      <c r="S546" s="878"/>
      <c r="T546" s="878"/>
      <c r="U546" s="878"/>
      <c r="V546" s="878"/>
      <c r="W546" s="878"/>
      <c r="X546" s="878"/>
      <c r="Y546" s="878"/>
      <c r="Z546" s="878"/>
    </row>
    <row r="547" ht="12.0" customHeight="1">
      <c r="A547" s="878"/>
      <c r="B547" s="879"/>
      <c r="C547" s="842"/>
      <c r="D547" s="878"/>
      <c r="E547" s="878"/>
      <c r="F547" s="878"/>
      <c r="G547" s="878"/>
      <c r="H547" s="878"/>
      <c r="I547" s="878"/>
      <c r="J547" s="878"/>
      <c r="K547" s="878"/>
      <c r="L547" s="878"/>
      <c r="M547" s="878"/>
      <c r="N547" s="878"/>
      <c r="O547" s="878"/>
      <c r="P547" s="878"/>
      <c r="Q547" s="878"/>
      <c r="R547" s="878"/>
      <c r="S547" s="878"/>
      <c r="T547" s="878"/>
      <c r="U547" s="878"/>
      <c r="V547" s="878"/>
      <c r="W547" s="878"/>
      <c r="X547" s="878"/>
      <c r="Y547" s="878"/>
      <c r="Z547" s="878"/>
    </row>
    <row r="548" ht="12.0" customHeight="1">
      <c r="A548" s="878"/>
      <c r="B548" s="879"/>
      <c r="C548" s="842"/>
      <c r="D548" s="878"/>
      <c r="E548" s="878"/>
      <c r="F548" s="878"/>
      <c r="G548" s="878"/>
      <c r="H548" s="878"/>
      <c r="I548" s="878"/>
      <c r="J548" s="878"/>
      <c r="K548" s="878"/>
      <c r="L548" s="878"/>
      <c r="M548" s="878"/>
      <c r="N548" s="878"/>
      <c r="O548" s="878"/>
      <c r="P548" s="878"/>
      <c r="Q548" s="878"/>
      <c r="R548" s="878"/>
      <c r="S548" s="878"/>
      <c r="T548" s="878"/>
      <c r="U548" s="878"/>
      <c r="V548" s="878"/>
      <c r="W548" s="878"/>
      <c r="X548" s="878"/>
      <c r="Y548" s="878"/>
      <c r="Z548" s="878"/>
    </row>
    <row r="549" ht="12.0" customHeight="1">
      <c r="A549" s="878"/>
      <c r="B549" s="879"/>
      <c r="C549" s="842"/>
      <c r="D549" s="878"/>
      <c r="E549" s="878"/>
      <c r="F549" s="878"/>
      <c r="G549" s="878"/>
      <c r="H549" s="878"/>
      <c r="I549" s="878"/>
      <c r="J549" s="878"/>
      <c r="K549" s="878"/>
      <c r="L549" s="878"/>
      <c r="M549" s="878"/>
      <c r="N549" s="878"/>
      <c r="O549" s="878"/>
      <c r="P549" s="878"/>
      <c r="Q549" s="878"/>
      <c r="R549" s="878"/>
      <c r="S549" s="878"/>
      <c r="T549" s="878"/>
      <c r="U549" s="878"/>
      <c r="V549" s="878"/>
      <c r="W549" s="878"/>
      <c r="X549" s="878"/>
      <c r="Y549" s="878"/>
      <c r="Z549" s="878"/>
    </row>
    <row r="550" ht="12.0" customHeight="1">
      <c r="A550" s="878"/>
      <c r="B550" s="879"/>
      <c r="C550" s="842"/>
      <c r="D550" s="878"/>
      <c r="E550" s="878"/>
      <c r="F550" s="878"/>
      <c r="G550" s="878"/>
      <c r="H550" s="878"/>
      <c r="I550" s="878"/>
      <c r="J550" s="878"/>
      <c r="K550" s="878"/>
      <c r="L550" s="878"/>
      <c r="M550" s="878"/>
      <c r="N550" s="878"/>
      <c r="O550" s="878"/>
      <c r="P550" s="878"/>
      <c r="Q550" s="878"/>
      <c r="R550" s="878"/>
      <c r="S550" s="878"/>
      <c r="T550" s="878"/>
      <c r="U550" s="878"/>
      <c r="V550" s="878"/>
      <c r="W550" s="878"/>
      <c r="X550" s="878"/>
      <c r="Y550" s="878"/>
      <c r="Z550" s="878"/>
    </row>
    <row r="551" ht="12.0" customHeight="1">
      <c r="A551" s="878"/>
      <c r="B551" s="879"/>
      <c r="C551" s="842"/>
      <c r="D551" s="878"/>
      <c r="E551" s="878"/>
      <c r="F551" s="878"/>
      <c r="G551" s="878"/>
      <c r="H551" s="878"/>
      <c r="I551" s="878"/>
      <c r="J551" s="878"/>
      <c r="K551" s="878"/>
      <c r="L551" s="878"/>
      <c r="M551" s="878"/>
      <c r="N551" s="878"/>
      <c r="O551" s="878"/>
      <c r="P551" s="878"/>
      <c r="Q551" s="878"/>
      <c r="R551" s="878"/>
      <c r="S551" s="878"/>
      <c r="T551" s="878"/>
      <c r="U551" s="878"/>
      <c r="V551" s="878"/>
      <c r="W551" s="878"/>
      <c r="X551" s="878"/>
      <c r="Y551" s="878"/>
      <c r="Z551" s="878"/>
    </row>
    <row r="552" ht="12.0" customHeight="1">
      <c r="A552" s="878"/>
      <c r="B552" s="879"/>
      <c r="C552" s="842"/>
      <c r="D552" s="878"/>
      <c r="E552" s="878"/>
      <c r="F552" s="878"/>
      <c r="G552" s="878"/>
      <c r="H552" s="878"/>
      <c r="I552" s="878"/>
      <c r="J552" s="878"/>
      <c r="K552" s="878"/>
      <c r="L552" s="878"/>
      <c r="M552" s="878"/>
      <c r="N552" s="878"/>
      <c r="O552" s="878"/>
      <c r="P552" s="878"/>
      <c r="Q552" s="878"/>
      <c r="R552" s="878"/>
      <c r="S552" s="878"/>
      <c r="T552" s="878"/>
      <c r="U552" s="878"/>
      <c r="V552" s="878"/>
      <c r="W552" s="878"/>
      <c r="X552" s="878"/>
      <c r="Y552" s="878"/>
      <c r="Z552" s="878"/>
    </row>
    <row r="553" ht="12.0" customHeight="1">
      <c r="A553" s="878"/>
      <c r="B553" s="879"/>
      <c r="C553" s="842"/>
      <c r="D553" s="878"/>
      <c r="E553" s="878"/>
      <c r="F553" s="878"/>
      <c r="G553" s="878"/>
      <c r="H553" s="878"/>
      <c r="I553" s="878"/>
      <c r="J553" s="878"/>
      <c r="K553" s="878"/>
      <c r="L553" s="878"/>
      <c r="M553" s="878"/>
      <c r="N553" s="878"/>
      <c r="O553" s="878"/>
      <c r="P553" s="878"/>
      <c r="Q553" s="878"/>
      <c r="R553" s="878"/>
      <c r="S553" s="878"/>
      <c r="T553" s="878"/>
      <c r="U553" s="878"/>
      <c r="V553" s="878"/>
      <c r="W553" s="878"/>
      <c r="X553" s="878"/>
      <c r="Y553" s="878"/>
      <c r="Z553" s="878"/>
    </row>
    <row r="554" ht="12.0" customHeight="1">
      <c r="A554" s="878"/>
      <c r="B554" s="879"/>
      <c r="C554" s="842"/>
      <c r="D554" s="878"/>
      <c r="E554" s="878"/>
      <c r="F554" s="878"/>
      <c r="G554" s="878"/>
      <c r="H554" s="878"/>
      <c r="I554" s="878"/>
      <c r="J554" s="878"/>
      <c r="K554" s="878"/>
      <c r="L554" s="878"/>
      <c r="M554" s="878"/>
      <c r="N554" s="878"/>
      <c r="O554" s="878"/>
      <c r="P554" s="878"/>
      <c r="Q554" s="878"/>
      <c r="R554" s="878"/>
      <c r="S554" s="878"/>
      <c r="T554" s="878"/>
      <c r="U554" s="878"/>
      <c r="V554" s="878"/>
      <c r="W554" s="878"/>
      <c r="X554" s="878"/>
      <c r="Y554" s="878"/>
      <c r="Z554" s="878"/>
    </row>
    <row r="555" ht="12.0" customHeight="1">
      <c r="A555" s="878"/>
      <c r="B555" s="879"/>
      <c r="C555" s="842"/>
      <c r="D555" s="878"/>
      <c r="E555" s="878"/>
      <c r="F555" s="878"/>
      <c r="G555" s="878"/>
      <c r="H555" s="878"/>
      <c r="I555" s="878"/>
      <c r="J555" s="878"/>
      <c r="K555" s="878"/>
      <c r="L555" s="878"/>
      <c r="M555" s="878"/>
      <c r="N555" s="878"/>
      <c r="O555" s="878"/>
      <c r="P555" s="878"/>
      <c r="Q555" s="878"/>
      <c r="R555" s="878"/>
      <c r="S555" s="878"/>
      <c r="T555" s="878"/>
      <c r="U555" s="878"/>
      <c r="V555" s="878"/>
      <c r="W555" s="878"/>
      <c r="X555" s="878"/>
      <c r="Y555" s="878"/>
      <c r="Z555" s="878"/>
    </row>
    <row r="556" ht="12.0" customHeight="1">
      <c r="A556" s="878"/>
      <c r="B556" s="879"/>
      <c r="C556" s="842"/>
      <c r="D556" s="878"/>
      <c r="E556" s="878"/>
      <c r="F556" s="878"/>
      <c r="G556" s="878"/>
      <c r="H556" s="878"/>
      <c r="I556" s="878"/>
      <c r="J556" s="878"/>
      <c r="K556" s="878"/>
      <c r="L556" s="878"/>
      <c r="M556" s="878"/>
      <c r="N556" s="878"/>
      <c r="O556" s="878"/>
      <c r="P556" s="878"/>
      <c r="Q556" s="878"/>
      <c r="R556" s="878"/>
      <c r="S556" s="878"/>
      <c r="T556" s="878"/>
      <c r="U556" s="878"/>
      <c r="V556" s="878"/>
      <c r="W556" s="878"/>
      <c r="X556" s="878"/>
      <c r="Y556" s="878"/>
      <c r="Z556" s="878"/>
    </row>
    <row r="557" ht="12.0" customHeight="1">
      <c r="A557" s="878"/>
      <c r="B557" s="879"/>
      <c r="C557" s="842"/>
      <c r="D557" s="878"/>
      <c r="E557" s="878"/>
      <c r="F557" s="878"/>
      <c r="G557" s="878"/>
      <c r="H557" s="878"/>
      <c r="I557" s="878"/>
      <c r="J557" s="878"/>
      <c r="K557" s="878"/>
      <c r="L557" s="878"/>
      <c r="M557" s="878"/>
      <c r="N557" s="878"/>
      <c r="O557" s="878"/>
      <c r="P557" s="878"/>
      <c r="Q557" s="878"/>
      <c r="R557" s="878"/>
      <c r="S557" s="878"/>
      <c r="T557" s="878"/>
      <c r="U557" s="878"/>
      <c r="V557" s="878"/>
      <c r="W557" s="878"/>
      <c r="X557" s="878"/>
      <c r="Y557" s="878"/>
      <c r="Z557" s="878"/>
    </row>
    <row r="558" ht="12.0" customHeight="1">
      <c r="A558" s="878"/>
      <c r="B558" s="879"/>
      <c r="C558" s="842"/>
      <c r="D558" s="878"/>
      <c r="E558" s="878"/>
      <c r="F558" s="878"/>
      <c r="G558" s="878"/>
      <c r="H558" s="878"/>
      <c r="I558" s="878"/>
      <c r="J558" s="878"/>
      <c r="K558" s="878"/>
      <c r="L558" s="878"/>
      <c r="M558" s="878"/>
      <c r="N558" s="878"/>
      <c r="O558" s="878"/>
      <c r="P558" s="878"/>
      <c r="Q558" s="878"/>
      <c r="R558" s="878"/>
      <c r="S558" s="878"/>
      <c r="T558" s="878"/>
      <c r="U558" s="878"/>
      <c r="V558" s="878"/>
      <c r="W558" s="878"/>
      <c r="X558" s="878"/>
      <c r="Y558" s="878"/>
      <c r="Z558" s="878"/>
    </row>
    <row r="559" ht="12.0" customHeight="1">
      <c r="A559" s="878"/>
      <c r="B559" s="879"/>
      <c r="C559" s="842"/>
      <c r="D559" s="878"/>
      <c r="E559" s="878"/>
      <c r="F559" s="878"/>
      <c r="G559" s="878"/>
      <c r="H559" s="878"/>
      <c r="I559" s="878"/>
      <c r="J559" s="878"/>
      <c r="K559" s="878"/>
      <c r="L559" s="878"/>
      <c r="M559" s="878"/>
      <c r="N559" s="878"/>
      <c r="O559" s="878"/>
      <c r="P559" s="878"/>
      <c r="Q559" s="878"/>
      <c r="R559" s="878"/>
      <c r="S559" s="878"/>
      <c r="T559" s="878"/>
      <c r="U559" s="878"/>
      <c r="V559" s="878"/>
      <c r="W559" s="878"/>
      <c r="X559" s="878"/>
      <c r="Y559" s="878"/>
      <c r="Z559" s="878"/>
    </row>
    <row r="560" ht="12.0" customHeight="1">
      <c r="A560" s="878"/>
      <c r="B560" s="879"/>
      <c r="C560" s="842"/>
      <c r="D560" s="878"/>
      <c r="E560" s="878"/>
      <c r="F560" s="878"/>
      <c r="G560" s="878"/>
      <c r="H560" s="878"/>
      <c r="I560" s="878"/>
      <c r="J560" s="878"/>
      <c r="K560" s="878"/>
      <c r="L560" s="878"/>
      <c r="M560" s="878"/>
      <c r="N560" s="878"/>
      <c r="O560" s="878"/>
      <c r="P560" s="878"/>
      <c r="Q560" s="878"/>
      <c r="R560" s="878"/>
      <c r="S560" s="878"/>
      <c r="T560" s="878"/>
      <c r="U560" s="878"/>
      <c r="V560" s="878"/>
      <c r="W560" s="878"/>
      <c r="X560" s="878"/>
      <c r="Y560" s="878"/>
      <c r="Z560" s="878"/>
    </row>
    <row r="561" ht="12.0" customHeight="1">
      <c r="A561" s="878"/>
      <c r="B561" s="879"/>
      <c r="C561" s="842"/>
      <c r="D561" s="878"/>
      <c r="E561" s="878"/>
      <c r="F561" s="878"/>
      <c r="G561" s="878"/>
      <c r="H561" s="878"/>
      <c r="I561" s="878"/>
      <c r="J561" s="878"/>
      <c r="K561" s="878"/>
      <c r="L561" s="878"/>
      <c r="M561" s="878"/>
      <c r="N561" s="878"/>
      <c r="O561" s="878"/>
      <c r="P561" s="878"/>
      <c r="Q561" s="878"/>
      <c r="R561" s="878"/>
      <c r="S561" s="878"/>
      <c r="T561" s="878"/>
      <c r="U561" s="878"/>
      <c r="V561" s="878"/>
      <c r="W561" s="878"/>
      <c r="X561" s="878"/>
      <c r="Y561" s="878"/>
      <c r="Z561" s="878"/>
    </row>
    <row r="562" ht="12.0" customHeight="1">
      <c r="A562" s="878"/>
      <c r="B562" s="879"/>
      <c r="C562" s="842"/>
      <c r="D562" s="878"/>
      <c r="E562" s="878"/>
      <c r="F562" s="878"/>
      <c r="G562" s="878"/>
      <c r="H562" s="878"/>
      <c r="I562" s="878"/>
      <c r="J562" s="878"/>
      <c r="K562" s="878"/>
      <c r="L562" s="878"/>
      <c r="M562" s="878"/>
      <c r="N562" s="878"/>
      <c r="O562" s="878"/>
      <c r="P562" s="878"/>
      <c r="Q562" s="878"/>
      <c r="R562" s="878"/>
      <c r="S562" s="878"/>
      <c r="T562" s="878"/>
      <c r="U562" s="878"/>
      <c r="V562" s="878"/>
      <c r="W562" s="878"/>
      <c r="X562" s="878"/>
      <c r="Y562" s="878"/>
      <c r="Z562" s="878"/>
    </row>
    <row r="563" ht="12.0" customHeight="1">
      <c r="A563" s="878"/>
      <c r="B563" s="879"/>
      <c r="C563" s="842"/>
      <c r="D563" s="878"/>
      <c r="E563" s="878"/>
      <c r="F563" s="878"/>
      <c r="G563" s="878"/>
      <c r="H563" s="878"/>
      <c r="I563" s="878"/>
      <c r="J563" s="878"/>
      <c r="K563" s="878"/>
      <c r="L563" s="878"/>
      <c r="M563" s="878"/>
      <c r="N563" s="878"/>
      <c r="O563" s="878"/>
      <c r="P563" s="878"/>
      <c r="Q563" s="878"/>
      <c r="R563" s="878"/>
      <c r="S563" s="878"/>
      <c r="T563" s="878"/>
      <c r="U563" s="878"/>
      <c r="V563" s="878"/>
      <c r="W563" s="878"/>
      <c r="X563" s="878"/>
      <c r="Y563" s="878"/>
      <c r="Z563" s="878"/>
    </row>
    <row r="564" ht="12.0" customHeight="1">
      <c r="A564" s="878"/>
      <c r="B564" s="879"/>
      <c r="C564" s="842"/>
      <c r="D564" s="878"/>
      <c r="E564" s="878"/>
      <c r="F564" s="878"/>
      <c r="G564" s="878"/>
      <c r="H564" s="878"/>
      <c r="I564" s="878"/>
      <c r="J564" s="878"/>
      <c r="K564" s="878"/>
      <c r="L564" s="878"/>
      <c r="M564" s="878"/>
      <c r="N564" s="878"/>
      <c r="O564" s="878"/>
      <c r="P564" s="878"/>
      <c r="Q564" s="878"/>
      <c r="R564" s="878"/>
      <c r="S564" s="878"/>
      <c r="T564" s="878"/>
      <c r="U564" s="878"/>
      <c r="V564" s="878"/>
      <c r="W564" s="878"/>
      <c r="X564" s="878"/>
      <c r="Y564" s="878"/>
      <c r="Z564" s="878"/>
    </row>
    <row r="565" ht="12.0" customHeight="1">
      <c r="A565" s="878"/>
      <c r="B565" s="879"/>
      <c r="C565" s="842"/>
      <c r="D565" s="878"/>
      <c r="E565" s="878"/>
      <c r="F565" s="878"/>
      <c r="G565" s="878"/>
      <c r="H565" s="878"/>
      <c r="I565" s="878"/>
      <c r="J565" s="878"/>
      <c r="K565" s="878"/>
      <c r="L565" s="878"/>
      <c r="M565" s="878"/>
      <c r="N565" s="878"/>
      <c r="O565" s="878"/>
      <c r="P565" s="878"/>
      <c r="Q565" s="878"/>
      <c r="R565" s="878"/>
      <c r="S565" s="878"/>
      <c r="T565" s="878"/>
      <c r="U565" s="878"/>
      <c r="V565" s="878"/>
      <c r="W565" s="878"/>
      <c r="X565" s="878"/>
      <c r="Y565" s="878"/>
      <c r="Z565" s="878"/>
    </row>
    <row r="566" ht="12.0" customHeight="1">
      <c r="A566" s="878"/>
      <c r="B566" s="879"/>
      <c r="C566" s="842"/>
      <c r="D566" s="878"/>
      <c r="E566" s="878"/>
      <c r="F566" s="878"/>
      <c r="G566" s="878"/>
      <c r="H566" s="878"/>
      <c r="I566" s="878"/>
      <c r="J566" s="878"/>
      <c r="K566" s="878"/>
      <c r="L566" s="878"/>
      <c r="M566" s="878"/>
      <c r="N566" s="878"/>
      <c r="O566" s="878"/>
      <c r="P566" s="878"/>
      <c r="Q566" s="878"/>
      <c r="R566" s="878"/>
      <c r="S566" s="878"/>
      <c r="T566" s="878"/>
      <c r="U566" s="878"/>
      <c r="V566" s="878"/>
      <c r="W566" s="878"/>
      <c r="X566" s="878"/>
      <c r="Y566" s="878"/>
      <c r="Z566" s="878"/>
    </row>
    <row r="567" ht="12.0" customHeight="1">
      <c r="A567" s="878"/>
      <c r="B567" s="879"/>
      <c r="C567" s="842"/>
      <c r="D567" s="878"/>
      <c r="E567" s="878"/>
      <c r="F567" s="878"/>
      <c r="G567" s="878"/>
      <c r="H567" s="878"/>
      <c r="I567" s="878"/>
      <c r="J567" s="878"/>
      <c r="K567" s="878"/>
      <c r="L567" s="878"/>
      <c r="M567" s="878"/>
      <c r="N567" s="878"/>
      <c r="O567" s="878"/>
      <c r="P567" s="878"/>
      <c r="Q567" s="878"/>
      <c r="R567" s="878"/>
      <c r="S567" s="878"/>
      <c r="T567" s="878"/>
      <c r="U567" s="878"/>
      <c r="V567" s="878"/>
      <c r="W567" s="878"/>
      <c r="X567" s="878"/>
      <c r="Y567" s="878"/>
      <c r="Z567" s="878"/>
    </row>
    <row r="568" ht="12.0" customHeight="1">
      <c r="A568" s="878"/>
      <c r="B568" s="879"/>
      <c r="C568" s="842"/>
      <c r="D568" s="878"/>
      <c r="E568" s="878"/>
      <c r="F568" s="878"/>
      <c r="G568" s="878"/>
      <c r="H568" s="878"/>
      <c r="I568" s="878"/>
      <c r="J568" s="878"/>
      <c r="K568" s="878"/>
      <c r="L568" s="878"/>
      <c r="M568" s="878"/>
      <c r="N568" s="878"/>
      <c r="O568" s="878"/>
      <c r="P568" s="878"/>
      <c r="Q568" s="878"/>
      <c r="R568" s="878"/>
      <c r="S568" s="878"/>
      <c r="T568" s="878"/>
      <c r="U568" s="878"/>
      <c r="V568" s="878"/>
      <c r="W568" s="878"/>
      <c r="X568" s="878"/>
      <c r="Y568" s="878"/>
      <c r="Z568" s="878"/>
    </row>
    <row r="569" ht="12.0" customHeight="1">
      <c r="A569" s="878"/>
      <c r="B569" s="879"/>
      <c r="C569" s="842"/>
      <c r="D569" s="878"/>
      <c r="E569" s="878"/>
      <c r="F569" s="878"/>
      <c r="G569" s="878"/>
      <c r="H569" s="878"/>
      <c r="I569" s="878"/>
      <c r="J569" s="878"/>
      <c r="K569" s="878"/>
      <c r="L569" s="878"/>
      <c r="M569" s="878"/>
      <c r="N569" s="878"/>
      <c r="O569" s="878"/>
      <c r="P569" s="878"/>
      <c r="Q569" s="878"/>
      <c r="R569" s="878"/>
      <c r="S569" s="878"/>
      <c r="T569" s="878"/>
      <c r="U569" s="878"/>
      <c r="V569" s="878"/>
      <c r="W569" s="878"/>
      <c r="X569" s="878"/>
      <c r="Y569" s="878"/>
      <c r="Z569" s="878"/>
    </row>
    <row r="570" ht="12.0" customHeight="1">
      <c r="A570" s="878"/>
      <c r="B570" s="879"/>
      <c r="C570" s="842"/>
      <c r="D570" s="878"/>
      <c r="E570" s="878"/>
      <c r="F570" s="878"/>
      <c r="G570" s="878"/>
      <c r="H570" s="878"/>
      <c r="I570" s="878"/>
      <c r="J570" s="878"/>
      <c r="K570" s="878"/>
      <c r="L570" s="878"/>
      <c r="M570" s="878"/>
      <c r="N570" s="878"/>
      <c r="O570" s="878"/>
      <c r="P570" s="878"/>
      <c r="Q570" s="878"/>
      <c r="R570" s="878"/>
      <c r="S570" s="878"/>
      <c r="T570" s="878"/>
      <c r="U570" s="878"/>
      <c r="V570" s="878"/>
      <c r="W570" s="878"/>
      <c r="X570" s="878"/>
      <c r="Y570" s="878"/>
      <c r="Z570" s="878"/>
    </row>
    <row r="571" ht="12.0" customHeight="1">
      <c r="A571" s="878"/>
      <c r="B571" s="879"/>
      <c r="C571" s="842"/>
      <c r="D571" s="878"/>
      <c r="E571" s="878"/>
      <c r="F571" s="878"/>
      <c r="G571" s="878"/>
      <c r="H571" s="878"/>
      <c r="I571" s="878"/>
      <c r="J571" s="878"/>
      <c r="K571" s="878"/>
      <c r="L571" s="878"/>
      <c r="M571" s="878"/>
      <c r="N571" s="878"/>
      <c r="O571" s="878"/>
      <c r="P571" s="878"/>
      <c r="Q571" s="878"/>
      <c r="R571" s="878"/>
      <c r="S571" s="878"/>
      <c r="T571" s="878"/>
      <c r="U571" s="878"/>
      <c r="V571" s="878"/>
      <c r="W571" s="878"/>
      <c r="X571" s="878"/>
      <c r="Y571" s="878"/>
      <c r="Z571" s="878"/>
    </row>
    <row r="572" ht="12.0" customHeight="1">
      <c r="A572" s="878"/>
      <c r="B572" s="879"/>
      <c r="C572" s="842"/>
      <c r="D572" s="878"/>
      <c r="E572" s="878"/>
      <c r="F572" s="878"/>
      <c r="G572" s="878"/>
      <c r="H572" s="878"/>
      <c r="I572" s="878"/>
      <c r="J572" s="878"/>
      <c r="K572" s="878"/>
      <c r="L572" s="878"/>
      <c r="M572" s="878"/>
      <c r="N572" s="878"/>
      <c r="O572" s="878"/>
      <c r="P572" s="878"/>
      <c r="Q572" s="878"/>
      <c r="R572" s="878"/>
      <c r="S572" s="878"/>
      <c r="T572" s="878"/>
      <c r="U572" s="878"/>
      <c r="V572" s="878"/>
      <c r="W572" s="878"/>
      <c r="X572" s="878"/>
      <c r="Y572" s="878"/>
      <c r="Z572" s="878"/>
    </row>
    <row r="573" ht="12.0" customHeight="1">
      <c r="A573" s="878"/>
      <c r="B573" s="879"/>
      <c r="C573" s="842"/>
      <c r="D573" s="878"/>
      <c r="E573" s="878"/>
      <c r="F573" s="878"/>
      <c r="G573" s="878"/>
      <c r="H573" s="878"/>
      <c r="I573" s="878"/>
      <c r="J573" s="878"/>
      <c r="K573" s="878"/>
      <c r="L573" s="878"/>
      <c r="M573" s="878"/>
      <c r="N573" s="878"/>
      <c r="O573" s="878"/>
      <c r="P573" s="878"/>
      <c r="Q573" s="878"/>
      <c r="R573" s="878"/>
      <c r="S573" s="878"/>
      <c r="T573" s="878"/>
      <c r="U573" s="878"/>
      <c r="V573" s="878"/>
      <c r="W573" s="878"/>
      <c r="X573" s="878"/>
      <c r="Y573" s="878"/>
      <c r="Z573" s="878"/>
    </row>
    <row r="574" ht="12.0" customHeight="1">
      <c r="A574" s="878"/>
      <c r="B574" s="879"/>
      <c r="C574" s="842"/>
      <c r="D574" s="878"/>
      <c r="E574" s="878"/>
      <c r="F574" s="878"/>
      <c r="G574" s="878"/>
      <c r="H574" s="878"/>
      <c r="I574" s="878"/>
      <c r="J574" s="878"/>
      <c r="K574" s="878"/>
      <c r="L574" s="878"/>
      <c r="M574" s="878"/>
      <c r="N574" s="878"/>
      <c r="O574" s="878"/>
      <c r="P574" s="878"/>
      <c r="Q574" s="878"/>
      <c r="R574" s="878"/>
      <c r="S574" s="878"/>
      <c r="T574" s="878"/>
      <c r="U574" s="878"/>
      <c r="V574" s="878"/>
      <c r="W574" s="878"/>
      <c r="X574" s="878"/>
      <c r="Y574" s="878"/>
      <c r="Z574" s="878"/>
    </row>
    <row r="575" ht="12.0" customHeight="1">
      <c r="A575" s="878"/>
      <c r="B575" s="879"/>
      <c r="C575" s="842"/>
      <c r="D575" s="878"/>
      <c r="E575" s="878"/>
      <c r="F575" s="878"/>
      <c r="G575" s="878"/>
      <c r="H575" s="878"/>
      <c r="I575" s="878"/>
      <c r="J575" s="878"/>
      <c r="K575" s="878"/>
      <c r="L575" s="878"/>
      <c r="M575" s="878"/>
      <c r="N575" s="878"/>
      <c r="O575" s="878"/>
      <c r="P575" s="878"/>
      <c r="Q575" s="878"/>
      <c r="R575" s="878"/>
      <c r="S575" s="878"/>
      <c r="T575" s="878"/>
      <c r="U575" s="878"/>
      <c r="V575" s="878"/>
      <c r="W575" s="878"/>
      <c r="X575" s="878"/>
      <c r="Y575" s="878"/>
      <c r="Z575" s="878"/>
    </row>
    <row r="576" ht="12.0" customHeight="1">
      <c r="A576" s="878"/>
      <c r="B576" s="879"/>
      <c r="C576" s="842"/>
      <c r="D576" s="878"/>
      <c r="E576" s="878"/>
      <c r="F576" s="878"/>
      <c r="G576" s="878"/>
      <c r="H576" s="878"/>
      <c r="I576" s="878"/>
      <c r="J576" s="878"/>
      <c r="K576" s="878"/>
      <c r="L576" s="878"/>
      <c r="M576" s="878"/>
      <c r="N576" s="878"/>
      <c r="O576" s="878"/>
      <c r="P576" s="878"/>
      <c r="Q576" s="878"/>
      <c r="R576" s="878"/>
      <c r="S576" s="878"/>
      <c r="T576" s="878"/>
      <c r="U576" s="878"/>
      <c r="V576" s="878"/>
      <c r="W576" s="878"/>
      <c r="X576" s="878"/>
      <c r="Y576" s="878"/>
      <c r="Z576" s="878"/>
    </row>
    <row r="577" ht="12.0" customHeight="1">
      <c r="A577" s="878"/>
      <c r="B577" s="879"/>
      <c r="C577" s="842"/>
      <c r="D577" s="878"/>
      <c r="E577" s="878"/>
      <c r="F577" s="878"/>
      <c r="G577" s="878"/>
      <c r="H577" s="878"/>
      <c r="I577" s="878"/>
      <c r="J577" s="878"/>
      <c r="K577" s="878"/>
      <c r="L577" s="878"/>
      <c r="M577" s="878"/>
      <c r="N577" s="878"/>
      <c r="O577" s="878"/>
      <c r="P577" s="878"/>
      <c r="Q577" s="878"/>
      <c r="R577" s="878"/>
      <c r="S577" s="878"/>
      <c r="T577" s="878"/>
      <c r="U577" s="878"/>
      <c r="V577" s="878"/>
      <c r="W577" s="878"/>
      <c r="X577" s="878"/>
      <c r="Y577" s="878"/>
      <c r="Z577" s="878"/>
    </row>
    <row r="578" ht="12.0" customHeight="1">
      <c r="A578" s="878"/>
      <c r="B578" s="879"/>
      <c r="C578" s="842"/>
      <c r="D578" s="878"/>
      <c r="E578" s="878"/>
      <c r="F578" s="878"/>
      <c r="G578" s="878"/>
      <c r="H578" s="878"/>
      <c r="I578" s="878"/>
      <c r="J578" s="878"/>
      <c r="K578" s="878"/>
      <c r="L578" s="878"/>
      <c r="M578" s="878"/>
      <c r="N578" s="878"/>
      <c r="O578" s="878"/>
      <c r="P578" s="878"/>
      <c r="Q578" s="878"/>
      <c r="R578" s="878"/>
      <c r="S578" s="878"/>
      <c r="T578" s="878"/>
      <c r="U578" s="878"/>
      <c r="V578" s="878"/>
      <c r="W578" s="878"/>
      <c r="X578" s="878"/>
      <c r="Y578" s="878"/>
      <c r="Z578" s="878"/>
    </row>
    <row r="579" ht="12.0" customHeight="1">
      <c r="A579" s="878"/>
      <c r="B579" s="879"/>
      <c r="C579" s="842"/>
      <c r="D579" s="878"/>
      <c r="E579" s="878"/>
      <c r="F579" s="878"/>
      <c r="G579" s="878"/>
      <c r="H579" s="878"/>
      <c r="I579" s="878"/>
      <c r="J579" s="878"/>
      <c r="K579" s="878"/>
      <c r="L579" s="878"/>
      <c r="M579" s="878"/>
      <c r="N579" s="878"/>
      <c r="O579" s="878"/>
      <c r="P579" s="878"/>
      <c r="Q579" s="878"/>
      <c r="R579" s="878"/>
      <c r="S579" s="878"/>
      <c r="T579" s="878"/>
      <c r="U579" s="878"/>
      <c r="V579" s="878"/>
      <c r="W579" s="878"/>
      <c r="X579" s="878"/>
      <c r="Y579" s="878"/>
      <c r="Z579" s="878"/>
    </row>
    <row r="580" ht="12.0" customHeight="1">
      <c r="A580" s="878"/>
      <c r="B580" s="879"/>
      <c r="C580" s="842"/>
      <c r="D580" s="878"/>
      <c r="E580" s="878"/>
      <c r="F580" s="878"/>
      <c r="G580" s="878"/>
      <c r="H580" s="878"/>
      <c r="I580" s="878"/>
      <c r="J580" s="878"/>
      <c r="K580" s="878"/>
      <c r="L580" s="878"/>
      <c r="M580" s="878"/>
      <c r="N580" s="878"/>
      <c r="O580" s="878"/>
      <c r="P580" s="878"/>
      <c r="Q580" s="878"/>
      <c r="R580" s="878"/>
      <c r="S580" s="878"/>
      <c r="T580" s="878"/>
      <c r="U580" s="878"/>
      <c r="V580" s="878"/>
      <c r="W580" s="878"/>
      <c r="X580" s="878"/>
      <c r="Y580" s="878"/>
      <c r="Z580" s="878"/>
    </row>
    <row r="581" ht="12.0" customHeight="1">
      <c r="A581" s="878"/>
      <c r="B581" s="879"/>
      <c r="C581" s="842"/>
      <c r="D581" s="878"/>
      <c r="E581" s="878"/>
      <c r="F581" s="878"/>
      <c r="G581" s="878"/>
      <c r="H581" s="878"/>
      <c r="I581" s="878"/>
      <c r="J581" s="878"/>
      <c r="K581" s="878"/>
      <c r="L581" s="878"/>
      <c r="M581" s="878"/>
      <c r="N581" s="878"/>
      <c r="O581" s="878"/>
      <c r="P581" s="878"/>
      <c r="Q581" s="878"/>
      <c r="R581" s="878"/>
      <c r="S581" s="878"/>
      <c r="T581" s="878"/>
      <c r="U581" s="878"/>
      <c r="V581" s="878"/>
      <c r="W581" s="878"/>
      <c r="X581" s="878"/>
      <c r="Y581" s="878"/>
      <c r="Z581" s="878"/>
    </row>
    <row r="582" ht="12.0" customHeight="1">
      <c r="A582" s="878"/>
      <c r="B582" s="879"/>
      <c r="C582" s="842"/>
      <c r="D582" s="878"/>
      <c r="E582" s="878"/>
      <c r="F582" s="878"/>
      <c r="G582" s="878"/>
      <c r="H582" s="878"/>
      <c r="I582" s="878"/>
      <c r="J582" s="878"/>
      <c r="K582" s="878"/>
      <c r="L582" s="878"/>
      <c r="M582" s="878"/>
      <c r="N582" s="878"/>
      <c r="O582" s="878"/>
      <c r="P582" s="878"/>
      <c r="Q582" s="878"/>
      <c r="R582" s="878"/>
      <c r="S582" s="878"/>
      <c r="T582" s="878"/>
      <c r="U582" s="878"/>
      <c r="V582" s="878"/>
      <c r="W582" s="878"/>
      <c r="X582" s="878"/>
      <c r="Y582" s="878"/>
      <c r="Z582" s="878"/>
    </row>
    <row r="583" ht="12.0" customHeight="1">
      <c r="A583" s="878"/>
      <c r="B583" s="879"/>
      <c r="C583" s="842"/>
      <c r="D583" s="878"/>
      <c r="E583" s="878"/>
      <c r="F583" s="878"/>
      <c r="G583" s="878"/>
      <c r="H583" s="878"/>
      <c r="I583" s="878"/>
      <c r="J583" s="878"/>
      <c r="K583" s="878"/>
      <c r="L583" s="878"/>
      <c r="M583" s="878"/>
      <c r="N583" s="878"/>
      <c r="O583" s="878"/>
      <c r="P583" s="878"/>
      <c r="Q583" s="878"/>
      <c r="R583" s="878"/>
      <c r="S583" s="878"/>
      <c r="T583" s="878"/>
      <c r="U583" s="878"/>
      <c r="V583" s="878"/>
      <c r="W583" s="878"/>
      <c r="X583" s="878"/>
      <c r="Y583" s="878"/>
      <c r="Z583" s="878"/>
    </row>
    <row r="584" ht="12.0" customHeight="1">
      <c r="A584" s="878"/>
      <c r="B584" s="879"/>
      <c r="C584" s="842"/>
      <c r="D584" s="878"/>
      <c r="E584" s="878"/>
      <c r="F584" s="878"/>
      <c r="G584" s="878"/>
      <c r="H584" s="878"/>
      <c r="I584" s="878"/>
      <c r="J584" s="878"/>
      <c r="K584" s="878"/>
      <c r="L584" s="878"/>
      <c r="M584" s="878"/>
      <c r="N584" s="878"/>
      <c r="O584" s="878"/>
      <c r="P584" s="878"/>
      <c r="Q584" s="878"/>
      <c r="R584" s="878"/>
      <c r="S584" s="878"/>
      <c r="T584" s="878"/>
      <c r="U584" s="878"/>
      <c r="V584" s="878"/>
      <c r="W584" s="878"/>
      <c r="X584" s="878"/>
      <c r="Y584" s="878"/>
      <c r="Z584" s="878"/>
    </row>
    <row r="585" ht="12.0" customHeight="1">
      <c r="A585" s="878"/>
      <c r="B585" s="879"/>
      <c r="C585" s="842"/>
      <c r="D585" s="878"/>
      <c r="E585" s="878"/>
      <c r="F585" s="878"/>
      <c r="G585" s="878"/>
      <c r="H585" s="878"/>
      <c r="I585" s="878"/>
      <c r="J585" s="878"/>
      <c r="K585" s="878"/>
      <c r="L585" s="878"/>
      <c r="M585" s="878"/>
      <c r="N585" s="878"/>
      <c r="O585" s="878"/>
      <c r="P585" s="878"/>
      <c r="Q585" s="878"/>
      <c r="R585" s="878"/>
      <c r="S585" s="878"/>
      <c r="T585" s="878"/>
      <c r="U585" s="878"/>
      <c r="V585" s="878"/>
      <c r="W585" s="878"/>
      <c r="X585" s="878"/>
      <c r="Y585" s="878"/>
      <c r="Z585" s="878"/>
    </row>
    <row r="586" ht="12.0" customHeight="1">
      <c r="A586" s="878"/>
      <c r="B586" s="879"/>
      <c r="C586" s="842"/>
      <c r="D586" s="878"/>
      <c r="E586" s="878"/>
      <c r="F586" s="878"/>
      <c r="G586" s="878"/>
      <c r="H586" s="878"/>
      <c r="I586" s="878"/>
      <c r="J586" s="878"/>
      <c r="K586" s="878"/>
      <c r="L586" s="878"/>
      <c r="M586" s="878"/>
      <c r="N586" s="878"/>
      <c r="O586" s="878"/>
      <c r="P586" s="878"/>
      <c r="Q586" s="878"/>
      <c r="R586" s="878"/>
      <c r="S586" s="878"/>
      <c r="T586" s="878"/>
      <c r="U586" s="878"/>
      <c r="V586" s="878"/>
      <c r="W586" s="878"/>
      <c r="X586" s="878"/>
      <c r="Y586" s="878"/>
      <c r="Z586" s="878"/>
    </row>
    <row r="587" ht="12.0" customHeight="1">
      <c r="A587" s="878"/>
      <c r="B587" s="879"/>
      <c r="C587" s="842"/>
      <c r="D587" s="878"/>
      <c r="E587" s="878"/>
      <c r="F587" s="878"/>
      <c r="G587" s="878"/>
      <c r="H587" s="878"/>
      <c r="I587" s="878"/>
      <c r="J587" s="878"/>
      <c r="K587" s="878"/>
      <c r="L587" s="878"/>
      <c r="M587" s="878"/>
      <c r="N587" s="878"/>
      <c r="O587" s="878"/>
      <c r="P587" s="878"/>
      <c r="Q587" s="878"/>
      <c r="R587" s="878"/>
      <c r="S587" s="878"/>
      <c r="T587" s="878"/>
      <c r="U587" s="878"/>
      <c r="V587" s="878"/>
      <c r="W587" s="878"/>
      <c r="X587" s="878"/>
      <c r="Y587" s="878"/>
      <c r="Z587" s="878"/>
    </row>
    <row r="588" ht="12.0" customHeight="1">
      <c r="A588" s="878"/>
      <c r="B588" s="879"/>
      <c r="C588" s="842"/>
      <c r="D588" s="878"/>
      <c r="E588" s="878"/>
      <c r="F588" s="878"/>
      <c r="G588" s="878"/>
      <c r="H588" s="878"/>
      <c r="I588" s="878"/>
      <c r="J588" s="878"/>
      <c r="K588" s="878"/>
      <c r="L588" s="878"/>
      <c r="M588" s="878"/>
      <c r="N588" s="878"/>
      <c r="O588" s="878"/>
      <c r="P588" s="878"/>
      <c r="Q588" s="878"/>
      <c r="R588" s="878"/>
      <c r="S588" s="878"/>
      <c r="T588" s="878"/>
      <c r="U588" s="878"/>
      <c r="V588" s="878"/>
      <c r="W588" s="878"/>
      <c r="X588" s="878"/>
      <c r="Y588" s="878"/>
      <c r="Z588" s="878"/>
    </row>
    <row r="589" ht="12.0" customHeight="1">
      <c r="A589" s="878"/>
      <c r="B589" s="879"/>
      <c r="C589" s="842"/>
      <c r="D589" s="878"/>
      <c r="E589" s="878"/>
      <c r="F589" s="878"/>
      <c r="G589" s="878"/>
      <c r="H589" s="878"/>
      <c r="I589" s="878"/>
      <c r="J589" s="878"/>
      <c r="K589" s="878"/>
      <c r="L589" s="878"/>
      <c r="M589" s="878"/>
      <c r="N589" s="878"/>
      <c r="O589" s="878"/>
      <c r="P589" s="878"/>
      <c r="Q589" s="878"/>
      <c r="R589" s="878"/>
      <c r="S589" s="878"/>
      <c r="T589" s="878"/>
      <c r="U589" s="878"/>
      <c r="V589" s="878"/>
      <c r="W589" s="878"/>
      <c r="X589" s="878"/>
      <c r="Y589" s="878"/>
      <c r="Z589" s="878"/>
    </row>
    <row r="590" ht="12.0" customHeight="1">
      <c r="A590" s="878"/>
      <c r="B590" s="879"/>
      <c r="C590" s="842"/>
      <c r="D590" s="878"/>
      <c r="E590" s="878"/>
      <c r="F590" s="878"/>
      <c r="G590" s="878"/>
      <c r="H590" s="878"/>
      <c r="I590" s="878"/>
      <c r="J590" s="878"/>
      <c r="K590" s="878"/>
      <c r="L590" s="878"/>
      <c r="M590" s="878"/>
      <c r="N590" s="878"/>
      <c r="O590" s="878"/>
      <c r="P590" s="878"/>
      <c r="Q590" s="878"/>
      <c r="R590" s="878"/>
      <c r="S590" s="878"/>
      <c r="T590" s="878"/>
      <c r="U590" s="878"/>
      <c r="V590" s="878"/>
      <c r="W590" s="878"/>
      <c r="X590" s="878"/>
      <c r="Y590" s="878"/>
      <c r="Z590" s="878"/>
    </row>
    <row r="591" ht="12.0" customHeight="1">
      <c r="A591" s="878"/>
      <c r="B591" s="879"/>
      <c r="C591" s="842"/>
      <c r="D591" s="878"/>
      <c r="E591" s="878"/>
      <c r="F591" s="878"/>
      <c r="G591" s="878"/>
      <c r="H591" s="878"/>
      <c r="I591" s="878"/>
      <c r="J591" s="878"/>
      <c r="K591" s="878"/>
      <c r="L591" s="878"/>
      <c r="M591" s="878"/>
      <c r="N591" s="878"/>
      <c r="O591" s="878"/>
      <c r="P591" s="878"/>
      <c r="Q591" s="878"/>
      <c r="R591" s="878"/>
      <c r="S591" s="878"/>
      <c r="T591" s="878"/>
      <c r="U591" s="878"/>
      <c r="V591" s="878"/>
      <c r="W591" s="878"/>
      <c r="X591" s="878"/>
      <c r="Y591" s="878"/>
      <c r="Z591" s="878"/>
    </row>
    <row r="592" ht="12.0" customHeight="1">
      <c r="A592" s="878"/>
      <c r="B592" s="879"/>
      <c r="C592" s="842"/>
      <c r="D592" s="878"/>
      <c r="E592" s="878"/>
      <c r="F592" s="878"/>
      <c r="G592" s="878"/>
      <c r="H592" s="878"/>
      <c r="I592" s="878"/>
      <c r="J592" s="878"/>
      <c r="K592" s="878"/>
      <c r="L592" s="878"/>
      <c r="M592" s="878"/>
      <c r="N592" s="878"/>
      <c r="O592" s="878"/>
      <c r="P592" s="878"/>
      <c r="Q592" s="878"/>
      <c r="R592" s="878"/>
      <c r="S592" s="878"/>
      <c r="T592" s="878"/>
      <c r="U592" s="878"/>
      <c r="V592" s="878"/>
      <c r="W592" s="878"/>
      <c r="X592" s="878"/>
      <c r="Y592" s="878"/>
      <c r="Z592" s="878"/>
    </row>
    <row r="593" ht="12.0" customHeight="1">
      <c r="A593" s="878"/>
      <c r="B593" s="879"/>
      <c r="C593" s="842"/>
      <c r="D593" s="878"/>
      <c r="E593" s="878"/>
      <c r="F593" s="878"/>
      <c r="G593" s="878"/>
      <c r="H593" s="878"/>
      <c r="I593" s="878"/>
      <c r="J593" s="878"/>
      <c r="K593" s="878"/>
      <c r="L593" s="878"/>
      <c r="M593" s="878"/>
      <c r="N593" s="878"/>
      <c r="O593" s="878"/>
      <c r="P593" s="878"/>
      <c r="Q593" s="878"/>
      <c r="R593" s="878"/>
      <c r="S593" s="878"/>
      <c r="T593" s="878"/>
      <c r="U593" s="878"/>
      <c r="V593" s="878"/>
      <c r="W593" s="878"/>
      <c r="X593" s="878"/>
      <c r="Y593" s="878"/>
      <c r="Z593" s="878"/>
    </row>
    <row r="594" ht="12.0" customHeight="1">
      <c r="A594" s="878"/>
      <c r="B594" s="879"/>
      <c r="C594" s="842"/>
      <c r="D594" s="878"/>
      <c r="E594" s="878"/>
      <c r="F594" s="878"/>
      <c r="G594" s="878"/>
      <c r="H594" s="878"/>
      <c r="I594" s="878"/>
      <c r="J594" s="878"/>
      <c r="K594" s="878"/>
      <c r="L594" s="878"/>
      <c r="M594" s="878"/>
      <c r="N594" s="878"/>
      <c r="O594" s="878"/>
      <c r="P594" s="878"/>
      <c r="Q594" s="878"/>
      <c r="R594" s="878"/>
      <c r="S594" s="878"/>
      <c r="T594" s="878"/>
      <c r="U594" s="878"/>
      <c r="V594" s="878"/>
      <c r="W594" s="878"/>
      <c r="X594" s="878"/>
      <c r="Y594" s="878"/>
      <c r="Z594" s="878"/>
    </row>
    <row r="595" ht="12.0" customHeight="1">
      <c r="A595" s="878"/>
      <c r="B595" s="879"/>
      <c r="C595" s="842"/>
      <c r="D595" s="878"/>
      <c r="E595" s="878"/>
      <c r="F595" s="878"/>
      <c r="G595" s="878"/>
      <c r="H595" s="878"/>
      <c r="I595" s="878"/>
      <c r="J595" s="878"/>
      <c r="K595" s="878"/>
      <c r="L595" s="878"/>
      <c r="M595" s="878"/>
      <c r="N595" s="878"/>
      <c r="O595" s="878"/>
      <c r="P595" s="878"/>
      <c r="Q595" s="878"/>
      <c r="R595" s="878"/>
      <c r="S595" s="878"/>
      <c r="T595" s="878"/>
      <c r="U595" s="878"/>
      <c r="V595" s="878"/>
      <c r="W595" s="878"/>
      <c r="X595" s="878"/>
      <c r="Y595" s="878"/>
      <c r="Z595" s="878"/>
    </row>
    <row r="596" ht="12.0" customHeight="1">
      <c r="A596" s="878"/>
      <c r="B596" s="879"/>
      <c r="C596" s="842"/>
      <c r="D596" s="878"/>
      <c r="E596" s="878"/>
      <c r="F596" s="878"/>
      <c r="G596" s="878"/>
      <c r="H596" s="878"/>
      <c r="I596" s="878"/>
      <c r="J596" s="878"/>
      <c r="K596" s="878"/>
      <c r="L596" s="878"/>
      <c r="M596" s="878"/>
      <c r="N596" s="878"/>
      <c r="O596" s="878"/>
      <c r="P596" s="878"/>
      <c r="Q596" s="878"/>
      <c r="R596" s="878"/>
      <c r="S596" s="878"/>
      <c r="T596" s="878"/>
      <c r="U596" s="878"/>
      <c r="V596" s="878"/>
      <c r="W596" s="878"/>
      <c r="X596" s="878"/>
      <c r="Y596" s="878"/>
      <c r="Z596" s="878"/>
    </row>
    <row r="597" ht="12.0" customHeight="1">
      <c r="A597" s="878"/>
      <c r="B597" s="879"/>
      <c r="C597" s="842"/>
      <c r="D597" s="878"/>
      <c r="E597" s="878"/>
      <c r="F597" s="878"/>
      <c r="G597" s="878"/>
      <c r="H597" s="878"/>
      <c r="I597" s="878"/>
      <c r="J597" s="878"/>
      <c r="K597" s="878"/>
      <c r="L597" s="878"/>
      <c r="M597" s="878"/>
      <c r="N597" s="878"/>
      <c r="O597" s="878"/>
      <c r="P597" s="878"/>
      <c r="Q597" s="878"/>
      <c r="R597" s="878"/>
      <c r="S597" s="878"/>
      <c r="T597" s="878"/>
      <c r="U597" s="878"/>
      <c r="V597" s="878"/>
      <c r="W597" s="878"/>
      <c r="X597" s="878"/>
      <c r="Y597" s="878"/>
      <c r="Z597" s="878"/>
    </row>
    <row r="598" ht="12.0" customHeight="1">
      <c r="A598" s="878"/>
      <c r="B598" s="879"/>
      <c r="C598" s="842"/>
      <c r="D598" s="878"/>
      <c r="E598" s="878"/>
      <c r="F598" s="878"/>
      <c r="G598" s="878"/>
      <c r="H598" s="878"/>
      <c r="I598" s="878"/>
      <c r="J598" s="878"/>
      <c r="K598" s="878"/>
      <c r="L598" s="878"/>
      <c r="M598" s="878"/>
      <c r="N598" s="878"/>
      <c r="O598" s="878"/>
      <c r="P598" s="878"/>
      <c r="Q598" s="878"/>
      <c r="R598" s="878"/>
      <c r="S598" s="878"/>
      <c r="T598" s="878"/>
      <c r="U598" s="878"/>
      <c r="V598" s="878"/>
      <c r="W598" s="878"/>
      <c r="X598" s="878"/>
      <c r="Y598" s="878"/>
      <c r="Z598" s="878"/>
    </row>
    <row r="599" ht="12.0" customHeight="1">
      <c r="A599" s="878"/>
      <c r="B599" s="879"/>
      <c r="C599" s="842"/>
      <c r="D599" s="878"/>
      <c r="E599" s="878"/>
      <c r="F599" s="878"/>
      <c r="G599" s="878"/>
      <c r="H599" s="878"/>
      <c r="I599" s="878"/>
      <c r="J599" s="878"/>
      <c r="K599" s="878"/>
      <c r="L599" s="878"/>
      <c r="M599" s="878"/>
      <c r="N599" s="878"/>
      <c r="O599" s="878"/>
      <c r="P599" s="878"/>
      <c r="Q599" s="878"/>
      <c r="R599" s="878"/>
      <c r="S599" s="878"/>
      <c r="T599" s="878"/>
      <c r="U599" s="878"/>
      <c r="V599" s="878"/>
      <c r="W599" s="878"/>
      <c r="X599" s="878"/>
      <c r="Y599" s="878"/>
      <c r="Z599" s="878"/>
    </row>
    <row r="600" ht="12.0" customHeight="1">
      <c r="A600" s="878"/>
      <c r="B600" s="879"/>
      <c r="C600" s="842"/>
      <c r="D600" s="878"/>
      <c r="E600" s="878"/>
      <c r="F600" s="878"/>
      <c r="G600" s="878"/>
      <c r="H600" s="878"/>
      <c r="I600" s="878"/>
      <c r="J600" s="878"/>
      <c r="K600" s="878"/>
      <c r="L600" s="878"/>
      <c r="M600" s="878"/>
      <c r="N600" s="878"/>
      <c r="O600" s="878"/>
      <c r="P600" s="878"/>
      <c r="Q600" s="878"/>
      <c r="R600" s="878"/>
      <c r="S600" s="878"/>
      <c r="T600" s="878"/>
      <c r="U600" s="878"/>
      <c r="V600" s="878"/>
      <c r="W600" s="878"/>
      <c r="X600" s="878"/>
      <c r="Y600" s="878"/>
      <c r="Z600" s="878"/>
    </row>
    <row r="601" ht="12.0" customHeight="1">
      <c r="A601" s="878"/>
      <c r="B601" s="879"/>
      <c r="C601" s="842"/>
      <c r="D601" s="878"/>
      <c r="E601" s="878"/>
      <c r="F601" s="878"/>
      <c r="G601" s="878"/>
      <c r="H601" s="878"/>
      <c r="I601" s="878"/>
      <c r="J601" s="878"/>
      <c r="K601" s="878"/>
      <c r="L601" s="878"/>
      <c r="M601" s="878"/>
      <c r="N601" s="878"/>
      <c r="O601" s="878"/>
      <c r="P601" s="878"/>
      <c r="Q601" s="878"/>
      <c r="R601" s="878"/>
      <c r="S601" s="878"/>
      <c r="T601" s="878"/>
      <c r="U601" s="878"/>
      <c r="V601" s="878"/>
      <c r="W601" s="878"/>
      <c r="X601" s="878"/>
      <c r="Y601" s="878"/>
      <c r="Z601" s="878"/>
    </row>
    <row r="602" ht="12.0" customHeight="1">
      <c r="A602" s="878"/>
      <c r="B602" s="879"/>
      <c r="C602" s="842"/>
      <c r="D602" s="878"/>
      <c r="E602" s="878"/>
      <c r="F602" s="878"/>
      <c r="G602" s="878"/>
      <c r="H602" s="878"/>
      <c r="I602" s="878"/>
      <c r="J602" s="878"/>
      <c r="K602" s="878"/>
      <c r="L602" s="878"/>
      <c r="M602" s="878"/>
      <c r="N602" s="878"/>
      <c r="O602" s="878"/>
      <c r="P602" s="878"/>
      <c r="Q602" s="878"/>
      <c r="R602" s="878"/>
      <c r="S602" s="878"/>
      <c r="T602" s="878"/>
      <c r="U602" s="878"/>
      <c r="V602" s="878"/>
      <c r="W602" s="878"/>
      <c r="X602" s="878"/>
      <c r="Y602" s="878"/>
      <c r="Z602" s="878"/>
    </row>
    <row r="603" ht="12.0" customHeight="1">
      <c r="A603" s="878"/>
      <c r="B603" s="879"/>
      <c r="C603" s="842"/>
      <c r="D603" s="878"/>
      <c r="E603" s="878"/>
      <c r="F603" s="878"/>
      <c r="G603" s="878"/>
      <c r="H603" s="878"/>
      <c r="I603" s="878"/>
      <c r="J603" s="878"/>
      <c r="K603" s="878"/>
      <c r="L603" s="878"/>
      <c r="M603" s="878"/>
      <c r="N603" s="878"/>
      <c r="O603" s="878"/>
      <c r="P603" s="878"/>
      <c r="Q603" s="878"/>
      <c r="R603" s="878"/>
      <c r="S603" s="878"/>
      <c r="T603" s="878"/>
      <c r="U603" s="878"/>
      <c r="V603" s="878"/>
      <c r="W603" s="878"/>
      <c r="X603" s="878"/>
      <c r="Y603" s="878"/>
      <c r="Z603" s="878"/>
    </row>
    <row r="604" ht="12.0" customHeight="1">
      <c r="A604" s="878"/>
      <c r="B604" s="879"/>
      <c r="C604" s="842"/>
      <c r="D604" s="878"/>
      <c r="E604" s="878"/>
      <c r="F604" s="878"/>
      <c r="G604" s="878"/>
      <c r="H604" s="878"/>
      <c r="I604" s="878"/>
      <c r="J604" s="878"/>
      <c r="K604" s="878"/>
      <c r="L604" s="878"/>
      <c r="M604" s="878"/>
      <c r="N604" s="878"/>
      <c r="O604" s="878"/>
      <c r="P604" s="878"/>
      <c r="Q604" s="878"/>
      <c r="R604" s="878"/>
      <c r="S604" s="878"/>
      <c r="T604" s="878"/>
      <c r="U604" s="878"/>
      <c r="V604" s="878"/>
      <c r="W604" s="878"/>
      <c r="X604" s="878"/>
      <c r="Y604" s="878"/>
      <c r="Z604" s="878"/>
    </row>
    <row r="605" ht="12.0" customHeight="1">
      <c r="A605" s="878"/>
      <c r="B605" s="879"/>
      <c r="C605" s="842"/>
      <c r="D605" s="878"/>
      <c r="E605" s="878"/>
      <c r="F605" s="878"/>
      <c r="G605" s="878"/>
      <c r="H605" s="878"/>
      <c r="I605" s="878"/>
      <c r="J605" s="878"/>
      <c r="K605" s="878"/>
      <c r="L605" s="878"/>
      <c r="M605" s="878"/>
      <c r="N605" s="878"/>
      <c r="O605" s="878"/>
      <c r="P605" s="878"/>
      <c r="Q605" s="878"/>
      <c r="R605" s="878"/>
      <c r="S605" s="878"/>
      <c r="T605" s="878"/>
      <c r="U605" s="878"/>
      <c r="V605" s="878"/>
      <c r="W605" s="878"/>
      <c r="X605" s="878"/>
      <c r="Y605" s="878"/>
      <c r="Z605" s="878"/>
    </row>
    <row r="606" ht="12.0" customHeight="1">
      <c r="A606" s="878"/>
      <c r="B606" s="879"/>
      <c r="C606" s="842"/>
      <c r="D606" s="878"/>
      <c r="E606" s="878"/>
      <c r="F606" s="878"/>
      <c r="G606" s="878"/>
      <c r="H606" s="878"/>
      <c r="I606" s="878"/>
      <c r="J606" s="878"/>
      <c r="K606" s="878"/>
      <c r="L606" s="878"/>
      <c r="M606" s="878"/>
      <c r="N606" s="878"/>
      <c r="O606" s="878"/>
      <c r="P606" s="878"/>
      <c r="Q606" s="878"/>
      <c r="R606" s="878"/>
      <c r="S606" s="878"/>
      <c r="T606" s="878"/>
      <c r="U606" s="878"/>
      <c r="V606" s="878"/>
      <c r="W606" s="878"/>
      <c r="X606" s="878"/>
      <c r="Y606" s="878"/>
      <c r="Z606" s="878"/>
    </row>
    <row r="607" ht="12.0" customHeight="1">
      <c r="A607" s="878"/>
      <c r="B607" s="879"/>
      <c r="C607" s="842"/>
      <c r="D607" s="878"/>
      <c r="E607" s="878"/>
      <c r="F607" s="878"/>
      <c r="G607" s="878"/>
      <c r="H607" s="878"/>
      <c r="I607" s="878"/>
      <c r="J607" s="878"/>
      <c r="K607" s="878"/>
      <c r="L607" s="878"/>
      <c r="M607" s="878"/>
      <c r="N607" s="878"/>
      <c r="O607" s="878"/>
      <c r="P607" s="878"/>
      <c r="Q607" s="878"/>
      <c r="R607" s="878"/>
      <c r="S607" s="878"/>
      <c r="T607" s="878"/>
      <c r="U607" s="878"/>
      <c r="V607" s="878"/>
      <c r="W607" s="878"/>
      <c r="X607" s="878"/>
      <c r="Y607" s="878"/>
      <c r="Z607" s="878"/>
    </row>
    <row r="608" ht="12.0" customHeight="1">
      <c r="A608" s="878"/>
      <c r="B608" s="879"/>
      <c r="C608" s="842"/>
      <c r="D608" s="878"/>
      <c r="E608" s="878"/>
      <c r="F608" s="878"/>
      <c r="G608" s="878"/>
      <c r="H608" s="878"/>
      <c r="I608" s="878"/>
      <c r="J608" s="878"/>
      <c r="K608" s="878"/>
      <c r="L608" s="878"/>
      <c r="M608" s="878"/>
      <c r="N608" s="878"/>
      <c r="O608" s="878"/>
      <c r="P608" s="878"/>
      <c r="Q608" s="878"/>
      <c r="R608" s="878"/>
      <c r="S608" s="878"/>
      <c r="T608" s="878"/>
      <c r="U608" s="878"/>
      <c r="V608" s="878"/>
      <c r="W608" s="878"/>
      <c r="X608" s="878"/>
      <c r="Y608" s="878"/>
      <c r="Z608" s="878"/>
    </row>
    <row r="609" ht="12.0" customHeight="1">
      <c r="A609" s="878"/>
      <c r="B609" s="879"/>
      <c r="C609" s="842"/>
      <c r="D609" s="878"/>
      <c r="E609" s="878"/>
      <c r="F609" s="878"/>
      <c r="G609" s="878"/>
      <c r="H609" s="878"/>
      <c r="I609" s="878"/>
      <c r="J609" s="878"/>
      <c r="K609" s="878"/>
      <c r="L609" s="878"/>
      <c r="M609" s="878"/>
      <c r="N609" s="878"/>
      <c r="O609" s="878"/>
      <c r="P609" s="878"/>
      <c r="Q609" s="878"/>
      <c r="R609" s="878"/>
      <c r="S609" s="878"/>
      <c r="T609" s="878"/>
      <c r="U609" s="878"/>
      <c r="V609" s="878"/>
      <c r="W609" s="878"/>
      <c r="X609" s="878"/>
      <c r="Y609" s="878"/>
      <c r="Z609" s="878"/>
    </row>
    <row r="610" ht="12.0" customHeight="1">
      <c r="A610" s="878"/>
      <c r="B610" s="879"/>
      <c r="C610" s="842"/>
      <c r="D610" s="878"/>
      <c r="E610" s="878"/>
      <c r="F610" s="878"/>
      <c r="G610" s="878"/>
      <c r="H610" s="878"/>
      <c r="I610" s="878"/>
      <c r="J610" s="878"/>
      <c r="K610" s="878"/>
      <c r="L610" s="878"/>
      <c r="M610" s="878"/>
      <c r="N610" s="878"/>
      <c r="O610" s="878"/>
      <c r="P610" s="878"/>
      <c r="Q610" s="878"/>
      <c r="R610" s="878"/>
      <c r="S610" s="878"/>
      <c r="T610" s="878"/>
      <c r="U610" s="878"/>
      <c r="V610" s="878"/>
      <c r="W610" s="878"/>
      <c r="X610" s="878"/>
      <c r="Y610" s="878"/>
      <c r="Z610" s="878"/>
    </row>
    <row r="611" ht="12.0" customHeight="1">
      <c r="A611" s="878"/>
      <c r="B611" s="879"/>
      <c r="C611" s="842"/>
      <c r="D611" s="878"/>
      <c r="E611" s="878"/>
      <c r="F611" s="878"/>
      <c r="G611" s="878"/>
      <c r="H611" s="878"/>
      <c r="I611" s="878"/>
      <c r="J611" s="878"/>
      <c r="K611" s="878"/>
      <c r="L611" s="878"/>
      <c r="M611" s="878"/>
      <c r="N611" s="878"/>
      <c r="O611" s="878"/>
      <c r="P611" s="878"/>
      <c r="Q611" s="878"/>
      <c r="R611" s="878"/>
      <c r="S611" s="878"/>
      <c r="T611" s="878"/>
      <c r="U611" s="878"/>
      <c r="V611" s="878"/>
      <c r="W611" s="878"/>
      <c r="X611" s="878"/>
      <c r="Y611" s="878"/>
      <c r="Z611" s="878"/>
    </row>
    <row r="612" ht="12.0" customHeight="1">
      <c r="A612" s="878"/>
      <c r="B612" s="879"/>
      <c r="C612" s="842"/>
      <c r="D612" s="878"/>
      <c r="E612" s="878"/>
      <c r="F612" s="878"/>
      <c r="G612" s="878"/>
      <c r="H612" s="878"/>
      <c r="I612" s="878"/>
      <c r="J612" s="878"/>
      <c r="K612" s="878"/>
      <c r="L612" s="878"/>
      <c r="M612" s="878"/>
      <c r="N612" s="878"/>
      <c r="O612" s="878"/>
      <c r="P612" s="878"/>
      <c r="Q612" s="878"/>
      <c r="R612" s="878"/>
      <c r="S612" s="878"/>
      <c r="T612" s="878"/>
      <c r="U612" s="878"/>
      <c r="V612" s="878"/>
      <c r="W612" s="878"/>
      <c r="X612" s="878"/>
      <c r="Y612" s="878"/>
      <c r="Z612" s="878"/>
    </row>
    <row r="613" ht="12.0" customHeight="1">
      <c r="A613" s="878"/>
      <c r="B613" s="879"/>
      <c r="C613" s="842"/>
      <c r="D613" s="878"/>
      <c r="E613" s="878"/>
      <c r="F613" s="878"/>
      <c r="G613" s="878"/>
      <c r="H613" s="878"/>
      <c r="I613" s="878"/>
      <c r="J613" s="878"/>
      <c r="K613" s="878"/>
      <c r="L613" s="878"/>
      <c r="M613" s="878"/>
      <c r="N613" s="878"/>
      <c r="O613" s="878"/>
      <c r="P613" s="878"/>
      <c r="Q613" s="878"/>
      <c r="R613" s="878"/>
      <c r="S613" s="878"/>
      <c r="T613" s="878"/>
      <c r="U613" s="878"/>
      <c r="V613" s="878"/>
      <c r="W613" s="878"/>
      <c r="X613" s="878"/>
      <c r="Y613" s="878"/>
      <c r="Z613" s="878"/>
    </row>
    <row r="614" ht="12.0" customHeight="1">
      <c r="A614" s="878"/>
      <c r="B614" s="879"/>
      <c r="C614" s="842"/>
      <c r="D614" s="878"/>
      <c r="E614" s="878"/>
      <c r="F614" s="878"/>
      <c r="G614" s="878"/>
      <c r="H614" s="878"/>
      <c r="I614" s="878"/>
      <c r="J614" s="878"/>
      <c r="K614" s="878"/>
      <c r="L614" s="878"/>
      <c r="M614" s="878"/>
      <c r="N614" s="878"/>
      <c r="O614" s="878"/>
      <c r="P614" s="878"/>
      <c r="Q614" s="878"/>
      <c r="R614" s="878"/>
      <c r="S614" s="878"/>
      <c r="T614" s="878"/>
      <c r="U614" s="878"/>
      <c r="V614" s="878"/>
      <c r="W614" s="878"/>
      <c r="X614" s="878"/>
      <c r="Y614" s="878"/>
      <c r="Z614" s="878"/>
    </row>
    <row r="615" ht="12.0" customHeight="1">
      <c r="A615" s="878"/>
      <c r="B615" s="879"/>
      <c r="C615" s="842"/>
      <c r="D615" s="878"/>
      <c r="E615" s="878"/>
      <c r="F615" s="878"/>
      <c r="G615" s="878"/>
      <c r="H615" s="878"/>
      <c r="I615" s="878"/>
      <c r="J615" s="878"/>
      <c r="K615" s="878"/>
      <c r="L615" s="878"/>
      <c r="M615" s="878"/>
      <c r="N615" s="878"/>
      <c r="O615" s="878"/>
      <c r="P615" s="878"/>
      <c r="Q615" s="878"/>
      <c r="R615" s="878"/>
      <c r="S615" s="878"/>
      <c r="T615" s="878"/>
      <c r="U615" s="878"/>
      <c r="V615" s="878"/>
      <c r="W615" s="878"/>
      <c r="X615" s="878"/>
      <c r="Y615" s="878"/>
      <c r="Z615" s="878"/>
    </row>
    <row r="616" ht="12.0" customHeight="1">
      <c r="A616" s="878"/>
      <c r="B616" s="879"/>
      <c r="C616" s="842"/>
      <c r="D616" s="878"/>
      <c r="E616" s="878"/>
      <c r="F616" s="878"/>
      <c r="G616" s="878"/>
      <c r="H616" s="878"/>
      <c r="I616" s="878"/>
      <c r="J616" s="878"/>
      <c r="K616" s="878"/>
      <c r="L616" s="878"/>
      <c r="M616" s="878"/>
      <c r="N616" s="878"/>
      <c r="O616" s="878"/>
      <c r="P616" s="878"/>
      <c r="Q616" s="878"/>
      <c r="R616" s="878"/>
      <c r="S616" s="878"/>
      <c r="T616" s="878"/>
      <c r="U616" s="878"/>
      <c r="V616" s="878"/>
      <c r="W616" s="878"/>
      <c r="X616" s="878"/>
      <c r="Y616" s="878"/>
      <c r="Z616" s="878"/>
    </row>
    <row r="617" ht="12.0" customHeight="1">
      <c r="A617" s="878"/>
      <c r="B617" s="879"/>
      <c r="C617" s="842"/>
      <c r="D617" s="878"/>
      <c r="E617" s="878"/>
      <c r="F617" s="878"/>
      <c r="G617" s="878"/>
      <c r="H617" s="878"/>
      <c r="I617" s="878"/>
      <c r="J617" s="878"/>
      <c r="K617" s="878"/>
      <c r="L617" s="878"/>
      <c r="M617" s="878"/>
      <c r="N617" s="878"/>
      <c r="O617" s="878"/>
      <c r="P617" s="878"/>
      <c r="Q617" s="878"/>
      <c r="R617" s="878"/>
      <c r="S617" s="878"/>
      <c r="T617" s="878"/>
      <c r="U617" s="878"/>
      <c r="V617" s="878"/>
      <c r="W617" s="878"/>
      <c r="X617" s="878"/>
      <c r="Y617" s="878"/>
      <c r="Z617" s="878"/>
    </row>
    <row r="618" ht="12.0" customHeight="1">
      <c r="A618" s="878"/>
      <c r="B618" s="879"/>
      <c r="C618" s="842"/>
      <c r="D618" s="878"/>
      <c r="E618" s="878"/>
      <c r="F618" s="878"/>
      <c r="G618" s="878"/>
      <c r="H618" s="878"/>
      <c r="I618" s="878"/>
      <c r="J618" s="878"/>
      <c r="K618" s="878"/>
      <c r="L618" s="878"/>
      <c r="M618" s="878"/>
      <c r="N618" s="878"/>
      <c r="O618" s="878"/>
      <c r="P618" s="878"/>
      <c r="Q618" s="878"/>
      <c r="R618" s="878"/>
      <c r="S618" s="878"/>
      <c r="T618" s="878"/>
      <c r="U618" s="878"/>
      <c r="V618" s="878"/>
      <c r="W618" s="878"/>
      <c r="X618" s="878"/>
      <c r="Y618" s="878"/>
      <c r="Z618" s="878"/>
    </row>
    <row r="619" ht="12.0" customHeight="1">
      <c r="A619" s="878"/>
      <c r="B619" s="879"/>
      <c r="C619" s="842"/>
      <c r="D619" s="878"/>
      <c r="E619" s="878"/>
      <c r="F619" s="878"/>
      <c r="G619" s="878"/>
      <c r="H619" s="878"/>
      <c r="I619" s="878"/>
      <c r="J619" s="878"/>
      <c r="K619" s="878"/>
      <c r="L619" s="878"/>
      <c r="M619" s="878"/>
      <c r="N619" s="878"/>
      <c r="O619" s="878"/>
      <c r="P619" s="878"/>
      <c r="Q619" s="878"/>
      <c r="R619" s="878"/>
      <c r="S619" s="878"/>
      <c r="T619" s="878"/>
      <c r="U619" s="878"/>
      <c r="V619" s="878"/>
      <c r="W619" s="878"/>
      <c r="X619" s="878"/>
      <c r="Y619" s="878"/>
      <c r="Z619" s="878"/>
    </row>
    <row r="620" ht="12.0" customHeight="1">
      <c r="A620" s="878"/>
      <c r="B620" s="879"/>
      <c r="C620" s="842"/>
      <c r="D620" s="878"/>
      <c r="E620" s="878"/>
      <c r="F620" s="878"/>
      <c r="G620" s="878"/>
      <c r="H620" s="878"/>
      <c r="I620" s="878"/>
      <c r="J620" s="878"/>
      <c r="K620" s="878"/>
      <c r="L620" s="878"/>
      <c r="M620" s="878"/>
      <c r="N620" s="878"/>
      <c r="O620" s="878"/>
      <c r="P620" s="878"/>
      <c r="Q620" s="878"/>
      <c r="R620" s="878"/>
      <c r="S620" s="878"/>
      <c r="T620" s="878"/>
      <c r="U620" s="878"/>
      <c r="V620" s="878"/>
      <c r="W620" s="878"/>
      <c r="X620" s="878"/>
      <c r="Y620" s="878"/>
      <c r="Z620" s="878"/>
    </row>
    <row r="621" ht="12.0" customHeight="1">
      <c r="A621" s="878"/>
      <c r="B621" s="879"/>
      <c r="C621" s="842"/>
      <c r="D621" s="878"/>
      <c r="E621" s="878"/>
      <c r="F621" s="878"/>
      <c r="G621" s="878"/>
      <c r="H621" s="878"/>
      <c r="I621" s="878"/>
      <c r="J621" s="878"/>
      <c r="K621" s="878"/>
      <c r="L621" s="878"/>
      <c r="M621" s="878"/>
      <c r="N621" s="878"/>
      <c r="O621" s="878"/>
      <c r="P621" s="878"/>
      <c r="Q621" s="878"/>
      <c r="R621" s="878"/>
      <c r="S621" s="878"/>
      <c r="T621" s="878"/>
      <c r="U621" s="878"/>
      <c r="V621" s="878"/>
      <c r="W621" s="878"/>
      <c r="X621" s="878"/>
      <c r="Y621" s="878"/>
      <c r="Z621" s="878"/>
    </row>
    <row r="622" ht="12.0" customHeight="1">
      <c r="A622" s="878"/>
      <c r="B622" s="879"/>
      <c r="C622" s="842"/>
      <c r="D622" s="878"/>
      <c r="E622" s="878"/>
      <c r="F622" s="878"/>
      <c r="G622" s="878"/>
      <c r="H622" s="878"/>
      <c r="I622" s="878"/>
      <c r="J622" s="878"/>
      <c r="K622" s="878"/>
      <c r="L622" s="878"/>
      <c r="M622" s="878"/>
      <c r="N622" s="878"/>
      <c r="O622" s="878"/>
      <c r="P622" s="878"/>
      <c r="Q622" s="878"/>
      <c r="R622" s="878"/>
      <c r="S622" s="878"/>
      <c r="T622" s="878"/>
      <c r="U622" s="878"/>
      <c r="V622" s="878"/>
      <c r="W622" s="878"/>
      <c r="X622" s="878"/>
      <c r="Y622" s="878"/>
      <c r="Z622" s="878"/>
    </row>
    <row r="623" ht="12.0" customHeight="1">
      <c r="A623" s="878"/>
      <c r="B623" s="879"/>
      <c r="C623" s="842"/>
      <c r="D623" s="878"/>
      <c r="E623" s="878"/>
      <c r="F623" s="878"/>
      <c r="G623" s="878"/>
      <c r="H623" s="878"/>
      <c r="I623" s="878"/>
      <c r="J623" s="878"/>
      <c r="K623" s="878"/>
      <c r="L623" s="878"/>
      <c r="M623" s="878"/>
      <c r="N623" s="878"/>
      <c r="O623" s="878"/>
      <c r="P623" s="878"/>
      <c r="Q623" s="878"/>
      <c r="R623" s="878"/>
      <c r="S623" s="878"/>
      <c r="T623" s="878"/>
      <c r="U623" s="878"/>
      <c r="V623" s="878"/>
      <c r="W623" s="878"/>
      <c r="X623" s="878"/>
      <c r="Y623" s="878"/>
      <c r="Z623" s="878"/>
    </row>
    <row r="624" ht="12.0" customHeight="1">
      <c r="A624" s="878"/>
      <c r="B624" s="879"/>
      <c r="C624" s="842"/>
      <c r="D624" s="878"/>
      <c r="E624" s="878"/>
      <c r="F624" s="878"/>
      <c r="G624" s="878"/>
      <c r="H624" s="878"/>
      <c r="I624" s="878"/>
      <c r="J624" s="878"/>
      <c r="K624" s="878"/>
      <c r="L624" s="878"/>
      <c r="M624" s="878"/>
      <c r="N624" s="878"/>
      <c r="O624" s="878"/>
      <c r="P624" s="878"/>
      <c r="Q624" s="878"/>
      <c r="R624" s="878"/>
      <c r="S624" s="878"/>
      <c r="T624" s="878"/>
      <c r="U624" s="878"/>
      <c r="V624" s="878"/>
      <c r="W624" s="878"/>
      <c r="X624" s="878"/>
      <c r="Y624" s="878"/>
      <c r="Z624" s="878"/>
    </row>
    <row r="625" ht="12.0" customHeight="1">
      <c r="A625" s="878"/>
      <c r="B625" s="879"/>
      <c r="C625" s="842"/>
      <c r="D625" s="878"/>
      <c r="E625" s="878"/>
      <c r="F625" s="878"/>
      <c r="G625" s="878"/>
      <c r="H625" s="878"/>
      <c r="I625" s="878"/>
      <c r="J625" s="878"/>
      <c r="K625" s="878"/>
      <c r="L625" s="878"/>
      <c r="M625" s="878"/>
      <c r="N625" s="878"/>
      <c r="O625" s="878"/>
      <c r="P625" s="878"/>
      <c r="Q625" s="878"/>
      <c r="R625" s="878"/>
      <c r="S625" s="878"/>
      <c r="T625" s="878"/>
      <c r="U625" s="878"/>
      <c r="V625" s="878"/>
      <c r="W625" s="878"/>
      <c r="X625" s="878"/>
      <c r="Y625" s="878"/>
      <c r="Z625" s="878"/>
    </row>
    <row r="626" ht="12.0" customHeight="1">
      <c r="A626" s="878"/>
      <c r="B626" s="879"/>
      <c r="C626" s="842"/>
      <c r="D626" s="878"/>
      <c r="E626" s="878"/>
      <c r="F626" s="878"/>
      <c r="G626" s="878"/>
      <c r="H626" s="878"/>
      <c r="I626" s="878"/>
      <c r="J626" s="878"/>
      <c r="K626" s="878"/>
      <c r="L626" s="878"/>
      <c r="M626" s="878"/>
      <c r="N626" s="878"/>
      <c r="O626" s="878"/>
      <c r="P626" s="878"/>
      <c r="Q626" s="878"/>
      <c r="R626" s="878"/>
      <c r="S626" s="878"/>
      <c r="T626" s="878"/>
      <c r="U626" s="878"/>
      <c r="V626" s="878"/>
      <c r="W626" s="878"/>
      <c r="X626" s="878"/>
      <c r="Y626" s="878"/>
      <c r="Z626" s="878"/>
    </row>
    <row r="627" ht="12.0" customHeight="1">
      <c r="A627" s="878"/>
      <c r="B627" s="879"/>
      <c r="C627" s="842"/>
      <c r="D627" s="878"/>
      <c r="E627" s="878"/>
      <c r="F627" s="878"/>
      <c r="G627" s="878"/>
      <c r="H627" s="878"/>
      <c r="I627" s="878"/>
      <c r="J627" s="878"/>
      <c r="K627" s="878"/>
      <c r="L627" s="878"/>
      <c r="M627" s="878"/>
      <c r="N627" s="878"/>
      <c r="O627" s="878"/>
      <c r="P627" s="878"/>
      <c r="Q627" s="878"/>
      <c r="R627" s="878"/>
      <c r="S627" s="878"/>
      <c r="T627" s="878"/>
      <c r="U627" s="878"/>
      <c r="V627" s="878"/>
      <c r="W627" s="878"/>
      <c r="X627" s="878"/>
      <c r="Y627" s="878"/>
      <c r="Z627" s="878"/>
    </row>
    <row r="628" ht="12.0" customHeight="1">
      <c r="A628" s="878"/>
      <c r="B628" s="879"/>
      <c r="C628" s="842"/>
      <c r="D628" s="878"/>
      <c r="E628" s="878"/>
      <c r="F628" s="878"/>
      <c r="G628" s="878"/>
      <c r="H628" s="878"/>
      <c r="I628" s="878"/>
      <c r="J628" s="878"/>
      <c r="K628" s="878"/>
      <c r="L628" s="878"/>
      <c r="M628" s="878"/>
      <c r="N628" s="878"/>
      <c r="O628" s="878"/>
      <c r="P628" s="878"/>
      <c r="Q628" s="878"/>
      <c r="R628" s="878"/>
      <c r="S628" s="878"/>
      <c r="T628" s="878"/>
      <c r="U628" s="878"/>
      <c r="V628" s="878"/>
      <c r="W628" s="878"/>
      <c r="X628" s="878"/>
      <c r="Y628" s="878"/>
      <c r="Z628" s="878"/>
    </row>
    <row r="629" ht="12.0" customHeight="1">
      <c r="A629" s="878"/>
      <c r="B629" s="879"/>
      <c r="C629" s="842"/>
      <c r="D629" s="878"/>
      <c r="E629" s="878"/>
      <c r="F629" s="878"/>
      <c r="G629" s="878"/>
      <c r="H629" s="878"/>
      <c r="I629" s="878"/>
      <c r="J629" s="878"/>
      <c r="K629" s="878"/>
      <c r="L629" s="878"/>
      <c r="M629" s="878"/>
      <c r="N629" s="878"/>
      <c r="O629" s="878"/>
      <c r="P629" s="878"/>
      <c r="Q629" s="878"/>
      <c r="R629" s="878"/>
      <c r="S629" s="878"/>
      <c r="T629" s="878"/>
      <c r="U629" s="878"/>
      <c r="V629" s="878"/>
      <c r="W629" s="878"/>
      <c r="X629" s="878"/>
      <c r="Y629" s="878"/>
      <c r="Z629" s="878"/>
    </row>
    <row r="630" ht="12.0" customHeight="1">
      <c r="A630" s="878"/>
      <c r="B630" s="879"/>
      <c r="C630" s="842"/>
      <c r="D630" s="878"/>
      <c r="E630" s="878"/>
      <c r="F630" s="878"/>
      <c r="G630" s="878"/>
      <c r="H630" s="878"/>
      <c r="I630" s="878"/>
      <c r="J630" s="878"/>
      <c r="K630" s="878"/>
      <c r="L630" s="878"/>
      <c r="M630" s="878"/>
      <c r="N630" s="878"/>
      <c r="O630" s="878"/>
      <c r="P630" s="878"/>
      <c r="Q630" s="878"/>
      <c r="R630" s="878"/>
      <c r="S630" s="878"/>
      <c r="T630" s="878"/>
      <c r="U630" s="878"/>
      <c r="V630" s="878"/>
      <c r="W630" s="878"/>
      <c r="X630" s="878"/>
      <c r="Y630" s="878"/>
      <c r="Z630" s="878"/>
    </row>
    <row r="631" ht="12.0" customHeight="1">
      <c r="A631" s="878"/>
      <c r="B631" s="879"/>
      <c r="C631" s="842"/>
      <c r="D631" s="878"/>
      <c r="E631" s="878"/>
      <c r="F631" s="878"/>
      <c r="G631" s="878"/>
      <c r="H631" s="878"/>
      <c r="I631" s="878"/>
      <c r="J631" s="878"/>
      <c r="K631" s="878"/>
      <c r="L631" s="878"/>
      <c r="M631" s="878"/>
      <c r="N631" s="878"/>
      <c r="O631" s="878"/>
      <c r="P631" s="878"/>
      <c r="Q631" s="878"/>
      <c r="R631" s="878"/>
      <c r="S631" s="878"/>
      <c r="T631" s="878"/>
      <c r="U631" s="878"/>
      <c r="V631" s="878"/>
      <c r="W631" s="878"/>
      <c r="X631" s="878"/>
      <c r="Y631" s="878"/>
      <c r="Z631" s="878"/>
    </row>
    <row r="632" ht="12.0" customHeight="1">
      <c r="A632" s="878"/>
      <c r="B632" s="879"/>
      <c r="C632" s="842"/>
      <c r="D632" s="878"/>
      <c r="E632" s="878"/>
      <c r="F632" s="878"/>
      <c r="G632" s="878"/>
      <c r="H632" s="878"/>
      <c r="I632" s="878"/>
      <c r="J632" s="878"/>
      <c r="K632" s="878"/>
      <c r="L632" s="878"/>
      <c r="M632" s="878"/>
      <c r="N632" s="878"/>
      <c r="O632" s="878"/>
      <c r="P632" s="878"/>
      <c r="Q632" s="878"/>
      <c r="R632" s="878"/>
      <c r="S632" s="878"/>
      <c r="T632" s="878"/>
      <c r="U632" s="878"/>
      <c r="V632" s="878"/>
      <c r="W632" s="878"/>
      <c r="X632" s="878"/>
      <c r="Y632" s="878"/>
      <c r="Z632" s="878"/>
    </row>
    <row r="633" ht="12.0" customHeight="1">
      <c r="A633" s="878"/>
      <c r="B633" s="879"/>
      <c r="C633" s="842"/>
      <c r="D633" s="878"/>
      <c r="E633" s="878"/>
      <c r="F633" s="878"/>
      <c r="G633" s="878"/>
      <c r="H633" s="878"/>
      <c r="I633" s="878"/>
      <c r="J633" s="878"/>
      <c r="K633" s="878"/>
      <c r="L633" s="878"/>
      <c r="M633" s="878"/>
      <c r="N633" s="878"/>
      <c r="O633" s="878"/>
      <c r="P633" s="878"/>
      <c r="Q633" s="878"/>
      <c r="R633" s="878"/>
      <c r="S633" s="878"/>
      <c r="T633" s="878"/>
      <c r="U633" s="878"/>
      <c r="V633" s="878"/>
      <c r="W633" s="878"/>
      <c r="X633" s="878"/>
      <c r="Y633" s="878"/>
      <c r="Z633" s="878"/>
    </row>
    <row r="634" ht="12.0" customHeight="1">
      <c r="A634" s="878"/>
      <c r="B634" s="879"/>
      <c r="C634" s="842"/>
      <c r="D634" s="878"/>
      <c r="E634" s="878"/>
      <c r="F634" s="878"/>
      <c r="G634" s="878"/>
      <c r="H634" s="878"/>
      <c r="I634" s="878"/>
      <c r="J634" s="878"/>
      <c r="K634" s="878"/>
      <c r="L634" s="878"/>
      <c r="M634" s="878"/>
      <c r="N634" s="878"/>
      <c r="O634" s="878"/>
      <c r="P634" s="878"/>
      <c r="Q634" s="878"/>
      <c r="R634" s="878"/>
      <c r="S634" s="878"/>
      <c r="T634" s="878"/>
      <c r="U634" s="878"/>
      <c r="V634" s="878"/>
      <c r="W634" s="878"/>
      <c r="X634" s="878"/>
      <c r="Y634" s="878"/>
      <c r="Z634" s="878"/>
    </row>
    <row r="635" ht="12.0" customHeight="1">
      <c r="A635" s="878"/>
      <c r="B635" s="879"/>
      <c r="C635" s="842"/>
      <c r="D635" s="878"/>
      <c r="E635" s="878"/>
      <c r="F635" s="878"/>
      <c r="G635" s="878"/>
      <c r="H635" s="878"/>
      <c r="I635" s="878"/>
      <c r="J635" s="878"/>
      <c r="K635" s="878"/>
      <c r="L635" s="878"/>
      <c r="M635" s="878"/>
      <c r="N635" s="878"/>
      <c r="O635" s="878"/>
      <c r="P635" s="878"/>
      <c r="Q635" s="878"/>
      <c r="R635" s="878"/>
      <c r="S635" s="878"/>
      <c r="T635" s="878"/>
      <c r="U635" s="878"/>
      <c r="V635" s="878"/>
      <c r="W635" s="878"/>
      <c r="X635" s="878"/>
      <c r="Y635" s="878"/>
      <c r="Z635" s="878"/>
    </row>
    <row r="636" ht="12.0" customHeight="1">
      <c r="A636" s="878"/>
      <c r="B636" s="879"/>
      <c r="C636" s="842"/>
      <c r="D636" s="878"/>
      <c r="E636" s="878"/>
      <c r="F636" s="878"/>
      <c r="G636" s="878"/>
      <c r="H636" s="878"/>
      <c r="I636" s="878"/>
      <c r="J636" s="878"/>
      <c r="K636" s="878"/>
      <c r="L636" s="878"/>
      <c r="M636" s="878"/>
      <c r="N636" s="878"/>
      <c r="O636" s="878"/>
      <c r="P636" s="878"/>
      <c r="Q636" s="878"/>
      <c r="R636" s="878"/>
      <c r="S636" s="878"/>
      <c r="T636" s="878"/>
      <c r="U636" s="878"/>
      <c r="V636" s="878"/>
      <c r="W636" s="878"/>
      <c r="X636" s="878"/>
      <c r="Y636" s="878"/>
      <c r="Z636" s="878"/>
    </row>
    <row r="637" ht="12.0" customHeight="1">
      <c r="A637" s="878"/>
      <c r="B637" s="879"/>
      <c r="C637" s="842"/>
      <c r="D637" s="878"/>
      <c r="E637" s="878"/>
      <c r="F637" s="878"/>
      <c r="G637" s="878"/>
      <c r="H637" s="878"/>
      <c r="I637" s="878"/>
      <c r="J637" s="878"/>
      <c r="K637" s="878"/>
      <c r="L637" s="878"/>
      <c r="M637" s="878"/>
      <c r="N637" s="878"/>
      <c r="O637" s="878"/>
      <c r="P637" s="878"/>
      <c r="Q637" s="878"/>
      <c r="R637" s="878"/>
      <c r="S637" s="878"/>
      <c r="T637" s="878"/>
      <c r="U637" s="878"/>
      <c r="V637" s="878"/>
      <c r="W637" s="878"/>
      <c r="X637" s="878"/>
      <c r="Y637" s="878"/>
      <c r="Z637" s="878"/>
    </row>
    <row r="638" ht="12.0" customHeight="1">
      <c r="A638" s="878"/>
      <c r="B638" s="879"/>
      <c r="C638" s="842"/>
      <c r="D638" s="878"/>
      <c r="E638" s="878"/>
      <c r="F638" s="878"/>
      <c r="G638" s="878"/>
      <c r="H638" s="878"/>
      <c r="I638" s="878"/>
      <c r="J638" s="878"/>
      <c r="K638" s="878"/>
      <c r="L638" s="878"/>
      <c r="M638" s="878"/>
      <c r="N638" s="878"/>
      <c r="O638" s="878"/>
      <c r="P638" s="878"/>
      <c r="Q638" s="878"/>
      <c r="R638" s="878"/>
      <c r="S638" s="878"/>
      <c r="T638" s="878"/>
      <c r="U638" s="878"/>
      <c r="V638" s="878"/>
      <c r="W638" s="878"/>
      <c r="X638" s="878"/>
      <c r="Y638" s="878"/>
      <c r="Z638" s="878"/>
    </row>
    <row r="639" ht="12.0" customHeight="1">
      <c r="A639" s="878"/>
      <c r="B639" s="879"/>
      <c r="C639" s="842"/>
      <c r="D639" s="878"/>
      <c r="E639" s="878"/>
      <c r="F639" s="878"/>
      <c r="G639" s="878"/>
      <c r="H639" s="878"/>
      <c r="I639" s="878"/>
      <c r="J639" s="878"/>
      <c r="K639" s="878"/>
      <c r="L639" s="878"/>
      <c r="M639" s="878"/>
      <c r="N639" s="878"/>
      <c r="O639" s="878"/>
      <c r="P639" s="878"/>
      <c r="Q639" s="878"/>
      <c r="R639" s="878"/>
      <c r="S639" s="878"/>
      <c r="T639" s="878"/>
      <c r="U639" s="878"/>
      <c r="V639" s="878"/>
      <c r="W639" s="878"/>
      <c r="X639" s="878"/>
      <c r="Y639" s="878"/>
      <c r="Z639" s="878"/>
    </row>
    <row r="640" ht="12.0" customHeight="1">
      <c r="A640" s="878"/>
      <c r="B640" s="879"/>
      <c r="C640" s="842"/>
      <c r="D640" s="878"/>
      <c r="E640" s="878"/>
      <c r="F640" s="878"/>
      <c r="G640" s="878"/>
      <c r="H640" s="878"/>
      <c r="I640" s="878"/>
      <c r="J640" s="878"/>
      <c r="K640" s="878"/>
      <c r="L640" s="878"/>
      <c r="M640" s="878"/>
      <c r="N640" s="878"/>
      <c r="O640" s="878"/>
      <c r="P640" s="878"/>
      <c r="Q640" s="878"/>
      <c r="R640" s="878"/>
      <c r="S640" s="878"/>
      <c r="T640" s="878"/>
      <c r="U640" s="878"/>
      <c r="V640" s="878"/>
      <c r="W640" s="878"/>
      <c r="X640" s="878"/>
      <c r="Y640" s="878"/>
      <c r="Z640" s="878"/>
    </row>
    <row r="641" ht="12.0" customHeight="1">
      <c r="A641" s="878"/>
      <c r="B641" s="879"/>
      <c r="C641" s="842"/>
      <c r="D641" s="878"/>
      <c r="E641" s="878"/>
      <c r="F641" s="878"/>
      <c r="G641" s="878"/>
      <c r="H641" s="878"/>
      <c r="I641" s="878"/>
      <c r="J641" s="878"/>
      <c r="K641" s="878"/>
      <c r="L641" s="878"/>
      <c r="M641" s="878"/>
      <c r="N641" s="878"/>
      <c r="O641" s="878"/>
      <c r="P641" s="878"/>
      <c r="Q641" s="878"/>
      <c r="R641" s="878"/>
      <c r="S641" s="878"/>
      <c r="T641" s="878"/>
      <c r="U641" s="878"/>
      <c r="V641" s="878"/>
      <c r="W641" s="878"/>
      <c r="X641" s="878"/>
      <c r="Y641" s="878"/>
      <c r="Z641" s="878"/>
    </row>
    <row r="642" ht="12.0" customHeight="1">
      <c r="A642" s="878"/>
      <c r="B642" s="879"/>
      <c r="C642" s="842"/>
      <c r="D642" s="878"/>
      <c r="E642" s="878"/>
      <c r="F642" s="878"/>
      <c r="G642" s="878"/>
      <c r="H642" s="878"/>
      <c r="I642" s="878"/>
      <c r="J642" s="878"/>
      <c r="K642" s="878"/>
      <c r="L642" s="878"/>
      <c r="M642" s="878"/>
      <c r="N642" s="878"/>
      <c r="O642" s="878"/>
      <c r="P642" s="878"/>
      <c r="Q642" s="878"/>
      <c r="R642" s="878"/>
      <c r="S642" s="878"/>
      <c r="T642" s="878"/>
      <c r="U642" s="878"/>
      <c r="V642" s="878"/>
      <c r="W642" s="878"/>
      <c r="X642" s="878"/>
      <c r="Y642" s="878"/>
      <c r="Z642" s="878"/>
    </row>
    <row r="643" ht="12.0" customHeight="1">
      <c r="A643" s="878"/>
      <c r="B643" s="879"/>
      <c r="C643" s="842"/>
      <c r="D643" s="878"/>
      <c r="E643" s="878"/>
      <c r="F643" s="878"/>
      <c r="G643" s="878"/>
      <c r="H643" s="878"/>
      <c r="I643" s="878"/>
      <c r="J643" s="878"/>
      <c r="K643" s="878"/>
      <c r="L643" s="878"/>
      <c r="M643" s="878"/>
      <c r="N643" s="878"/>
      <c r="O643" s="878"/>
      <c r="P643" s="878"/>
      <c r="Q643" s="878"/>
      <c r="R643" s="878"/>
      <c r="S643" s="878"/>
      <c r="T643" s="878"/>
      <c r="U643" s="878"/>
      <c r="V643" s="878"/>
      <c r="W643" s="878"/>
      <c r="X643" s="878"/>
      <c r="Y643" s="878"/>
      <c r="Z643" s="878"/>
    </row>
    <row r="644" ht="12.0" customHeight="1">
      <c r="A644" s="878"/>
      <c r="B644" s="879"/>
      <c r="C644" s="842"/>
      <c r="D644" s="878"/>
      <c r="E644" s="878"/>
      <c r="F644" s="878"/>
      <c r="G644" s="878"/>
      <c r="H644" s="878"/>
      <c r="I644" s="878"/>
      <c r="J644" s="878"/>
      <c r="K644" s="878"/>
      <c r="L644" s="878"/>
      <c r="M644" s="878"/>
      <c r="N644" s="878"/>
      <c r="O644" s="878"/>
      <c r="P644" s="878"/>
      <c r="Q644" s="878"/>
      <c r="R644" s="878"/>
      <c r="S644" s="878"/>
      <c r="T644" s="878"/>
      <c r="U644" s="878"/>
      <c r="V644" s="878"/>
      <c r="W644" s="878"/>
      <c r="X644" s="878"/>
      <c r="Y644" s="878"/>
      <c r="Z644" s="878"/>
    </row>
    <row r="645" ht="12.0" customHeight="1">
      <c r="A645" s="878"/>
      <c r="B645" s="879"/>
      <c r="C645" s="842"/>
      <c r="D645" s="878"/>
      <c r="E645" s="878"/>
      <c r="F645" s="878"/>
      <c r="G645" s="878"/>
      <c r="H645" s="878"/>
      <c r="I645" s="878"/>
      <c r="J645" s="878"/>
      <c r="K645" s="878"/>
      <c r="L645" s="878"/>
      <c r="M645" s="878"/>
      <c r="N645" s="878"/>
      <c r="O645" s="878"/>
      <c r="P645" s="878"/>
      <c r="Q645" s="878"/>
      <c r="R645" s="878"/>
      <c r="S645" s="878"/>
      <c r="T645" s="878"/>
      <c r="U645" s="878"/>
      <c r="V645" s="878"/>
      <c r="W645" s="878"/>
      <c r="X645" s="878"/>
      <c r="Y645" s="878"/>
      <c r="Z645" s="878"/>
    </row>
    <row r="646" ht="12.0" customHeight="1">
      <c r="A646" s="878"/>
      <c r="B646" s="879"/>
      <c r="C646" s="842"/>
      <c r="D646" s="878"/>
      <c r="E646" s="878"/>
      <c r="F646" s="878"/>
      <c r="G646" s="878"/>
      <c r="H646" s="878"/>
      <c r="I646" s="878"/>
      <c r="J646" s="878"/>
      <c r="K646" s="878"/>
      <c r="L646" s="878"/>
      <c r="M646" s="878"/>
      <c r="N646" s="878"/>
      <c r="O646" s="878"/>
      <c r="P646" s="878"/>
      <c r="Q646" s="878"/>
      <c r="R646" s="878"/>
      <c r="S646" s="878"/>
      <c r="T646" s="878"/>
      <c r="U646" s="878"/>
      <c r="V646" s="878"/>
      <c r="W646" s="878"/>
      <c r="X646" s="878"/>
      <c r="Y646" s="878"/>
      <c r="Z646" s="878"/>
    </row>
    <row r="647" ht="12.0" customHeight="1">
      <c r="A647" s="878"/>
      <c r="B647" s="879"/>
      <c r="C647" s="842"/>
      <c r="D647" s="878"/>
      <c r="E647" s="878"/>
      <c r="F647" s="878"/>
      <c r="G647" s="878"/>
      <c r="H647" s="878"/>
      <c r="I647" s="878"/>
      <c r="J647" s="878"/>
      <c r="K647" s="878"/>
      <c r="L647" s="878"/>
      <c r="M647" s="878"/>
      <c r="N647" s="878"/>
      <c r="O647" s="878"/>
      <c r="P647" s="878"/>
      <c r="Q647" s="878"/>
      <c r="R647" s="878"/>
      <c r="S647" s="878"/>
      <c r="T647" s="878"/>
      <c r="U647" s="878"/>
      <c r="V647" s="878"/>
      <c r="W647" s="878"/>
      <c r="X647" s="878"/>
      <c r="Y647" s="878"/>
      <c r="Z647" s="878"/>
    </row>
    <row r="648" ht="12.0" customHeight="1">
      <c r="A648" s="878"/>
      <c r="B648" s="879"/>
      <c r="C648" s="842"/>
      <c r="D648" s="878"/>
      <c r="E648" s="878"/>
      <c r="F648" s="878"/>
      <c r="G648" s="878"/>
      <c r="H648" s="878"/>
      <c r="I648" s="878"/>
      <c r="J648" s="878"/>
      <c r="K648" s="878"/>
      <c r="L648" s="878"/>
      <c r="M648" s="878"/>
      <c r="N648" s="878"/>
      <c r="O648" s="878"/>
      <c r="P648" s="878"/>
      <c r="Q648" s="878"/>
      <c r="R648" s="878"/>
      <c r="S648" s="878"/>
      <c r="T648" s="878"/>
      <c r="U648" s="878"/>
      <c r="V648" s="878"/>
      <c r="W648" s="878"/>
      <c r="X648" s="878"/>
      <c r="Y648" s="878"/>
      <c r="Z648" s="878"/>
    </row>
    <row r="649" ht="12.0" customHeight="1">
      <c r="A649" s="878"/>
      <c r="B649" s="879"/>
      <c r="C649" s="842"/>
      <c r="D649" s="878"/>
      <c r="E649" s="878"/>
      <c r="F649" s="878"/>
      <c r="G649" s="878"/>
      <c r="H649" s="878"/>
      <c r="I649" s="878"/>
      <c r="J649" s="878"/>
      <c r="K649" s="878"/>
      <c r="L649" s="878"/>
      <c r="M649" s="878"/>
      <c r="N649" s="878"/>
      <c r="O649" s="878"/>
      <c r="P649" s="878"/>
      <c r="Q649" s="878"/>
      <c r="R649" s="878"/>
      <c r="S649" s="878"/>
      <c r="T649" s="878"/>
      <c r="U649" s="878"/>
      <c r="V649" s="878"/>
      <c r="W649" s="878"/>
      <c r="X649" s="878"/>
      <c r="Y649" s="878"/>
      <c r="Z649" s="878"/>
    </row>
    <row r="650" ht="12.0" customHeight="1">
      <c r="A650" s="878"/>
      <c r="B650" s="879"/>
      <c r="C650" s="842"/>
      <c r="D650" s="878"/>
      <c r="E650" s="878"/>
      <c r="F650" s="878"/>
      <c r="G650" s="878"/>
      <c r="H650" s="878"/>
      <c r="I650" s="878"/>
      <c r="J650" s="878"/>
      <c r="K650" s="878"/>
      <c r="L650" s="878"/>
      <c r="M650" s="878"/>
      <c r="N650" s="878"/>
      <c r="O650" s="878"/>
      <c r="P650" s="878"/>
      <c r="Q650" s="878"/>
      <c r="R650" s="878"/>
      <c r="S650" s="878"/>
      <c r="T650" s="878"/>
      <c r="U650" s="878"/>
      <c r="V650" s="878"/>
      <c r="W650" s="878"/>
      <c r="X650" s="878"/>
      <c r="Y650" s="878"/>
      <c r="Z650" s="878"/>
    </row>
    <row r="651" ht="12.0" customHeight="1">
      <c r="A651" s="878"/>
      <c r="B651" s="879"/>
      <c r="C651" s="842"/>
      <c r="D651" s="878"/>
      <c r="E651" s="878"/>
      <c r="F651" s="878"/>
      <c r="G651" s="878"/>
      <c r="H651" s="878"/>
      <c r="I651" s="878"/>
      <c r="J651" s="878"/>
      <c r="K651" s="878"/>
      <c r="L651" s="878"/>
      <c r="M651" s="878"/>
      <c r="N651" s="878"/>
      <c r="O651" s="878"/>
      <c r="P651" s="878"/>
      <c r="Q651" s="878"/>
      <c r="R651" s="878"/>
      <c r="S651" s="878"/>
      <c r="T651" s="878"/>
      <c r="U651" s="878"/>
      <c r="V651" s="878"/>
      <c r="W651" s="878"/>
      <c r="X651" s="878"/>
      <c r="Y651" s="878"/>
      <c r="Z651" s="878"/>
    </row>
    <row r="652" ht="12.0" customHeight="1">
      <c r="A652" s="878"/>
      <c r="B652" s="879"/>
      <c r="C652" s="842"/>
      <c r="D652" s="878"/>
      <c r="E652" s="878"/>
      <c r="F652" s="878"/>
      <c r="G652" s="878"/>
      <c r="H652" s="878"/>
      <c r="I652" s="878"/>
      <c r="J652" s="878"/>
      <c r="K652" s="878"/>
      <c r="L652" s="878"/>
      <c r="M652" s="878"/>
      <c r="N652" s="878"/>
      <c r="O652" s="878"/>
      <c r="P652" s="878"/>
      <c r="Q652" s="878"/>
      <c r="R652" s="878"/>
      <c r="S652" s="878"/>
      <c r="T652" s="878"/>
      <c r="U652" s="878"/>
      <c r="V652" s="878"/>
      <c r="W652" s="878"/>
      <c r="X652" s="878"/>
      <c r="Y652" s="878"/>
      <c r="Z652" s="878"/>
    </row>
    <row r="653" ht="12.0" customHeight="1">
      <c r="A653" s="878"/>
      <c r="B653" s="879"/>
      <c r="C653" s="842"/>
      <c r="D653" s="878"/>
      <c r="E653" s="878"/>
      <c r="F653" s="878"/>
      <c r="G653" s="878"/>
      <c r="H653" s="878"/>
      <c r="I653" s="878"/>
      <c r="J653" s="878"/>
      <c r="K653" s="878"/>
      <c r="L653" s="878"/>
      <c r="M653" s="878"/>
      <c r="N653" s="878"/>
      <c r="O653" s="878"/>
      <c r="P653" s="878"/>
      <c r="Q653" s="878"/>
      <c r="R653" s="878"/>
      <c r="S653" s="878"/>
      <c r="T653" s="878"/>
      <c r="U653" s="878"/>
      <c r="V653" s="878"/>
      <c r="W653" s="878"/>
      <c r="X653" s="878"/>
      <c r="Y653" s="878"/>
      <c r="Z653" s="878"/>
    </row>
    <row r="654" ht="12.0" customHeight="1">
      <c r="A654" s="878"/>
      <c r="B654" s="879"/>
      <c r="C654" s="842"/>
      <c r="D654" s="878"/>
      <c r="E654" s="878"/>
      <c r="F654" s="878"/>
      <c r="G654" s="878"/>
      <c r="H654" s="878"/>
      <c r="I654" s="878"/>
      <c r="J654" s="878"/>
      <c r="K654" s="878"/>
      <c r="L654" s="878"/>
      <c r="M654" s="878"/>
      <c r="N654" s="878"/>
      <c r="O654" s="878"/>
      <c r="P654" s="878"/>
      <c r="Q654" s="878"/>
      <c r="R654" s="878"/>
      <c r="S654" s="878"/>
      <c r="T654" s="878"/>
      <c r="U654" s="878"/>
      <c r="V654" s="878"/>
      <c r="W654" s="878"/>
      <c r="X654" s="878"/>
      <c r="Y654" s="878"/>
      <c r="Z654" s="878"/>
    </row>
    <row r="655" ht="12.0" customHeight="1">
      <c r="A655" s="878"/>
      <c r="B655" s="879"/>
      <c r="C655" s="842"/>
      <c r="D655" s="878"/>
      <c r="E655" s="878"/>
      <c r="F655" s="878"/>
      <c r="G655" s="878"/>
      <c r="H655" s="878"/>
      <c r="I655" s="878"/>
      <c r="J655" s="878"/>
      <c r="K655" s="878"/>
      <c r="L655" s="878"/>
      <c r="M655" s="878"/>
      <c r="N655" s="878"/>
      <c r="O655" s="878"/>
      <c r="P655" s="878"/>
      <c r="Q655" s="878"/>
      <c r="R655" s="878"/>
      <c r="S655" s="878"/>
      <c r="T655" s="878"/>
      <c r="U655" s="878"/>
      <c r="V655" s="878"/>
      <c r="W655" s="878"/>
      <c r="X655" s="878"/>
      <c r="Y655" s="878"/>
      <c r="Z655" s="878"/>
    </row>
    <row r="656" ht="12.0" customHeight="1">
      <c r="A656" s="878"/>
      <c r="B656" s="879"/>
      <c r="C656" s="842"/>
      <c r="D656" s="878"/>
      <c r="E656" s="878"/>
      <c r="F656" s="878"/>
      <c r="G656" s="878"/>
      <c r="H656" s="878"/>
      <c r="I656" s="878"/>
      <c r="J656" s="878"/>
      <c r="K656" s="878"/>
      <c r="L656" s="878"/>
      <c r="M656" s="878"/>
      <c r="N656" s="878"/>
      <c r="O656" s="878"/>
      <c r="P656" s="878"/>
      <c r="Q656" s="878"/>
      <c r="R656" s="878"/>
      <c r="S656" s="878"/>
      <c r="T656" s="878"/>
      <c r="U656" s="878"/>
      <c r="V656" s="878"/>
      <c r="W656" s="878"/>
      <c r="X656" s="878"/>
      <c r="Y656" s="878"/>
      <c r="Z656" s="878"/>
    </row>
    <row r="657" ht="12.0" customHeight="1">
      <c r="A657" s="878"/>
      <c r="B657" s="879"/>
      <c r="C657" s="842"/>
      <c r="D657" s="878"/>
      <c r="E657" s="878"/>
      <c r="F657" s="878"/>
      <c r="G657" s="878"/>
      <c r="H657" s="878"/>
      <c r="I657" s="878"/>
      <c r="J657" s="878"/>
      <c r="K657" s="878"/>
      <c r="L657" s="878"/>
      <c r="M657" s="878"/>
      <c r="N657" s="878"/>
      <c r="O657" s="878"/>
      <c r="P657" s="878"/>
      <c r="Q657" s="878"/>
      <c r="R657" s="878"/>
      <c r="S657" s="878"/>
      <c r="T657" s="878"/>
      <c r="U657" s="878"/>
      <c r="V657" s="878"/>
      <c r="W657" s="878"/>
      <c r="X657" s="878"/>
      <c r="Y657" s="878"/>
      <c r="Z657" s="878"/>
    </row>
    <row r="658" ht="12.0" customHeight="1">
      <c r="A658" s="878"/>
      <c r="B658" s="879"/>
      <c r="C658" s="842"/>
      <c r="D658" s="878"/>
      <c r="E658" s="878"/>
      <c r="F658" s="878"/>
      <c r="G658" s="878"/>
      <c r="H658" s="878"/>
      <c r="I658" s="878"/>
      <c r="J658" s="878"/>
      <c r="K658" s="878"/>
      <c r="L658" s="878"/>
      <c r="M658" s="878"/>
      <c r="N658" s="878"/>
      <c r="O658" s="878"/>
      <c r="P658" s="878"/>
      <c r="Q658" s="878"/>
      <c r="R658" s="878"/>
      <c r="S658" s="878"/>
      <c r="T658" s="878"/>
      <c r="U658" s="878"/>
      <c r="V658" s="878"/>
      <c r="W658" s="878"/>
      <c r="X658" s="878"/>
      <c r="Y658" s="878"/>
      <c r="Z658" s="878"/>
    </row>
    <row r="659" ht="12.0" customHeight="1">
      <c r="A659" s="878"/>
      <c r="B659" s="879"/>
      <c r="C659" s="842"/>
      <c r="D659" s="878"/>
      <c r="E659" s="878"/>
      <c r="F659" s="878"/>
      <c r="G659" s="878"/>
      <c r="H659" s="878"/>
      <c r="I659" s="878"/>
      <c r="J659" s="878"/>
      <c r="K659" s="878"/>
      <c r="L659" s="878"/>
      <c r="M659" s="878"/>
      <c r="N659" s="878"/>
      <c r="O659" s="878"/>
      <c r="P659" s="878"/>
      <c r="Q659" s="878"/>
      <c r="R659" s="878"/>
      <c r="S659" s="878"/>
      <c r="T659" s="878"/>
      <c r="U659" s="878"/>
      <c r="V659" s="878"/>
      <c r="W659" s="878"/>
      <c r="X659" s="878"/>
      <c r="Y659" s="878"/>
      <c r="Z659" s="878"/>
    </row>
    <row r="660" ht="12.0" customHeight="1">
      <c r="A660" s="878"/>
      <c r="B660" s="879"/>
      <c r="C660" s="842"/>
      <c r="D660" s="878"/>
      <c r="E660" s="878"/>
      <c r="F660" s="878"/>
      <c r="G660" s="878"/>
      <c r="H660" s="878"/>
      <c r="I660" s="878"/>
      <c r="J660" s="878"/>
      <c r="K660" s="878"/>
      <c r="L660" s="878"/>
      <c r="M660" s="878"/>
      <c r="N660" s="878"/>
      <c r="O660" s="878"/>
      <c r="P660" s="878"/>
      <c r="Q660" s="878"/>
      <c r="R660" s="878"/>
      <c r="S660" s="878"/>
      <c r="T660" s="878"/>
      <c r="U660" s="878"/>
      <c r="V660" s="878"/>
      <c r="W660" s="878"/>
      <c r="X660" s="878"/>
      <c r="Y660" s="878"/>
      <c r="Z660" s="878"/>
    </row>
    <row r="661" ht="12.0" customHeight="1">
      <c r="A661" s="878"/>
      <c r="B661" s="879"/>
      <c r="C661" s="842"/>
      <c r="D661" s="878"/>
      <c r="E661" s="878"/>
      <c r="F661" s="878"/>
      <c r="G661" s="878"/>
      <c r="H661" s="878"/>
      <c r="I661" s="878"/>
      <c r="J661" s="878"/>
      <c r="K661" s="878"/>
      <c r="L661" s="878"/>
      <c r="M661" s="878"/>
      <c r="N661" s="878"/>
      <c r="O661" s="878"/>
      <c r="P661" s="878"/>
      <c r="Q661" s="878"/>
      <c r="R661" s="878"/>
      <c r="S661" s="878"/>
      <c r="T661" s="878"/>
      <c r="U661" s="878"/>
      <c r="V661" s="878"/>
      <c r="W661" s="878"/>
      <c r="X661" s="878"/>
      <c r="Y661" s="878"/>
      <c r="Z661" s="878"/>
    </row>
    <row r="662" ht="12.0" customHeight="1">
      <c r="A662" s="878"/>
      <c r="B662" s="879"/>
      <c r="C662" s="842"/>
      <c r="D662" s="878"/>
      <c r="E662" s="878"/>
      <c r="F662" s="878"/>
      <c r="G662" s="878"/>
      <c r="H662" s="878"/>
      <c r="I662" s="878"/>
      <c r="J662" s="878"/>
      <c r="K662" s="878"/>
      <c r="L662" s="878"/>
      <c r="M662" s="878"/>
      <c r="N662" s="878"/>
      <c r="O662" s="878"/>
      <c r="P662" s="878"/>
      <c r="Q662" s="878"/>
      <c r="R662" s="878"/>
      <c r="S662" s="878"/>
      <c r="T662" s="878"/>
      <c r="U662" s="878"/>
      <c r="V662" s="878"/>
      <c r="W662" s="878"/>
      <c r="X662" s="878"/>
      <c r="Y662" s="878"/>
      <c r="Z662" s="878"/>
    </row>
    <row r="663" ht="12.0" customHeight="1">
      <c r="A663" s="878"/>
      <c r="B663" s="879"/>
      <c r="C663" s="842"/>
      <c r="D663" s="878"/>
      <c r="E663" s="878"/>
      <c r="F663" s="878"/>
      <c r="G663" s="878"/>
      <c r="H663" s="878"/>
      <c r="I663" s="878"/>
      <c r="J663" s="878"/>
      <c r="K663" s="878"/>
      <c r="L663" s="878"/>
      <c r="M663" s="878"/>
      <c r="N663" s="878"/>
      <c r="O663" s="878"/>
      <c r="P663" s="878"/>
      <c r="Q663" s="878"/>
      <c r="R663" s="878"/>
      <c r="S663" s="878"/>
      <c r="T663" s="878"/>
      <c r="U663" s="878"/>
      <c r="V663" s="878"/>
      <c r="W663" s="878"/>
      <c r="X663" s="878"/>
      <c r="Y663" s="878"/>
      <c r="Z663" s="878"/>
    </row>
    <row r="664" ht="12.0" customHeight="1">
      <c r="A664" s="878"/>
      <c r="B664" s="879"/>
      <c r="C664" s="842"/>
      <c r="D664" s="878"/>
      <c r="E664" s="878"/>
      <c r="F664" s="878"/>
      <c r="G664" s="878"/>
      <c r="H664" s="878"/>
      <c r="I664" s="878"/>
      <c r="J664" s="878"/>
      <c r="K664" s="878"/>
      <c r="L664" s="878"/>
      <c r="M664" s="878"/>
      <c r="N664" s="878"/>
      <c r="O664" s="878"/>
      <c r="P664" s="878"/>
      <c r="Q664" s="878"/>
      <c r="R664" s="878"/>
      <c r="S664" s="878"/>
      <c r="T664" s="878"/>
      <c r="U664" s="878"/>
      <c r="V664" s="878"/>
      <c r="W664" s="878"/>
      <c r="X664" s="878"/>
      <c r="Y664" s="878"/>
      <c r="Z664" s="878"/>
    </row>
    <row r="665" ht="12.0" customHeight="1">
      <c r="A665" s="878"/>
      <c r="B665" s="879"/>
      <c r="C665" s="842"/>
      <c r="D665" s="878"/>
      <c r="E665" s="878"/>
      <c r="F665" s="878"/>
      <c r="G665" s="878"/>
      <c r="H665" s="878"/>
      <c r="I665" s="878"/>
      <c r="J665" s="878"/>
      <c r="K665" s="878"/>
      <c r="L665" s="878"/>
      <c r="M665" s="878"/>
      <c r="N665" s="878"/>
      <c r="O665" s="878"/>
      <c r="P665" s="878"/>
      <c r="Q665" s="878"/>
      <c r="R665" s="878"/>
      <c r="S665" s="878"/>
      <c r="T665" s="878"/>
      <c r="U665" s="878"/>
      <c r="V665" s="878"/>
      <c r="W665" s="878"/>
      <c r="X665" s="878"/>
      <c r="Y665" s="878"/>
      <c r="Z665" s="878"/>
    </row>
    <row r="666" ht="12.0" customHeight="1">
      <c r="A666" s="878"/>
      <c r="B666" s="879"/>
      <c r="C666" s="842"/>
      <c r="D666" s="878"/>
      <c r="E666" s="878"/>
      <c r="F666" s="878"/>
      <c r="G666" s="878"/>
      <c r="H666" s="878"/>
      <c r="I666" s="878"/>
      <c r="J666" s="878"/>
      <c r="K666" s="878"/>
      <c r="L666" s="878"/>
      <c r="M666" s="878"/>
      <c r="N666" s="878"/>
      <c r="O666" s="878"/>
      <c r="P666" s="878"/>
      <c r="Q666" s="878"/>
      <c r="R666" s="878"/>
      <c r="S666" s="878"/>
      <c r="T666" s="878"/>
      <c r="U666" s="878"/>
      <c r="V666" s="878"/>
      <c r="W666" s="878"/>
      <c r="X666" s="878"/>
      <c r="Y666" s="878"/>
      <c r="Z666" s="878"/>
    </row>
    <row r="667" ht="12.0" customHeight="1">
      <c r="A667" s="878"/>
      <c r="B667" s="879"/>
      <c r="C667" s="842"/>
      <c r="D667" s="878"/>
      <c r="E667" s="878"/>
      <c r="F667" s="878"/>
      <c r="G667" s="878"/>
      <c r="H667" s="878"/>
      <c r="I667" s="878"/>
      <c r="J667" s="878"/>
      <c r="K667" s="878"/>
      <c r="L667" s="878"/>
      <c r="M667" s="878"/>
      <c r="N667" s="878"/>
      <c r="O667" s="878"/>
      <c r="P667" s="878"/>
      <c r="Q667" s="878"/>
      <c r="R667" s="878"/>
      <c r="S667" s="878"/>
      <c r="T667" s="878"/>
      <c r="U667" s="878"/>
      <c r="V667" s="878"/>
      <c r="W667" s="878"/>
      <c r="X667" s="878"/>
      <c r="Y667" s="878"/>
      <c r="Z667" s="878"/>
    </row>
    <row r="668" ht="12.0" customHeight="1">
      <c r="A668" s="878"/>
      <c r="B668" s="879"/>
      <c r="C668" s="842"/>
      <c r="D668" s="878"/>
      <c r="E668" s="878"/>
      <c r="F668" s="878"/>
      <c r="G668" s="878"/>
      <c r="H668" s="878"/>
      <c r="I668" s="878"/>
      <c r="J668" s="878"/>
      <c r="K668" s="878"/>
      <c r="L668" s="878"/>
      <c r="M668" s="878"/>
      <c r="N668" s="878"/>
      <c r="O668" s="878"/>
      <c r="P668" s="878"/>
      <c r="Q668" s="878"/>
      <c r="R668" s="878"/>
      <c r="S668" s="878"/>
      <c r="T668" s="878"/>
      <c r="U668" s="878"/>
      <c r="V668" s="878"/>
      <c r="W668" s="878"/>
      <c r="X668" s="878"/>
      <c r="Y668" s="878"/>
      <c r="Z668" s="878"/>
    </row>
    <row r="669" ht="12.0" customHeight="1">
      <c r="A669" s="878"/>
      <c r="B669" s="879"/>
      <c r="C669" s="842"/>
      <c r="D669" s="878"/>
      <c r="E669" s="878"/>
      <c r="F669" s="878"/>
      <c r="G669" s="878"/>
      <c r="H669" s="878"/>
      <c r="I669" s="878"/>
      <c r="J669" s="878"/>
      <c r="K669" s="878"/>
      <c r="L669" s="878"/>
      <c r="M669" s="878"/>
      <c r="N669" s="878"/>
      <c r="O669" s="878"/>
      <c r="P669" s="878"/>
      <c r="Q669" s="878"/>
      <c r="R669" s="878"/>
      <c r="S669" s="878"/>
      <c r="T669" s="878"/>
      <c r="U669" s="878"/>
      <c r="V669" s="878"/>
      <c r="W669" s="878"/>
      <c r="X669" s="878"/>
      <c r="Y669" s="878"/>
      <c r="Z669" s="878"/>
    </row>
    <row r="670" ht="12.0" customHeight="1">
      <c r="A670" s="878"/>
      <c r="B670" s="879"/>
      <c r="C670" s="842"/>
      <c r="D670" s="878"/>
      <c r="E670" s="878"/>
      <c r="F670" s="878"/>
      <c r="G670" s="878"/>
      <c r="H670" s="878"/>
      <c r="I670" s="878"/>
      <c r="J670" s="878"/>
      <c r="K670" s="878"/>
      <c r="L670" s="878"/>
      <c r="M670" s="878"/>
      <c r="N670" s="878"/>
      <c r="O670" s="878"/>
      <c r="P670" s="878"/>
      <c r="Q670" s="878"/>
      <c r="R670" s="878"/>
      <c r="S670" s="878"/>
      <c r="T670" s="878"/>
      <c r="U670" s="878"/>
      <c r="V670" s="878"/>
      <c r="W670" s="878"/>
      <c r="X670" s="878"/>
      <c r="Y670" s="878"/>
      <c r="Z670" s="878"/>
    </row>
    <row r="671" ht="12.0" customHeight="1">
      <c r="A671" s="878"/>
      <c r="B671" s="879"/>
      <c r="C671" s="842"/>
      <c r="D671" s="878"/>
      <c r="E671" s="878"/>
      <c r="F671" s="878"/>
      <c r="G671" s="878"/>
      <c r="H671" s="878"/>
      <c r="I671" s="878"/>
      <c r="J671" s="878"/>
      <c r="K671" s="878"/>
      <c r="L671" s="878"/>
      <c r="M671" s="878"/>
      <c r="N671" s="878"/>
      <c r="O671" s="878"/>
      <c r="P671" s="878"/>
      <c r="Q671" s="878"/>
      <c r="R671" s="878"/>
      <c r="S671" s="878"/>
      <c r="T671" s="878"/>
      <c r="U671" s="878"/>
      <c r="V671" s="878"/>
      <c r="W671" s="878"/>
      <c r="X671" s="878"/>
      <c r="Y671" s="878"/>
      <c r="Z671" s="878"/>
    </row>
    <row r="672" ht="12.0" customHeight="1">
      <c r="A672" s="878"/>
      <c r="B672" s="879"/>
      <c r="C672" s="842"/>
      <c r="D672" s="878"/>
      <c r="E672" s="878"/>
      <c r="F672" s="878"/>
      <c r="G672" s="878"/>
      <c r="H672" s="878"/>
      <c r="I672" s="878"/>
      <c r="J672" s="878"/>
      <c r="K672" s="878"/>
      <c r="L672" s="878"/>
      <c r="M672" s="878"/>
      <c r="N672" s="878"/>
      <c r="O672" s="878"/>
      <c r="P672" s="878"/>
      <c r="Q672" s="878"/>
      <c r="R672" s="878"/>
      <c r="S672" s="878"/>
      <c r="T672" s="878"/>
      <c r="U672" s="878"/>
      <c r="V672" s="878"/>
      <c r="W672" s="878"/>
      <c r="X672" s="878"/>
      <c r="Y672" s="878"/>
      <c r="Z672" s="878"/>
    </row>
    <row r="673" ht="12.0" customHeight="1">
      <c r="A673" s="878"/>
      <c r="B673" s="879"/>
      <c r="C673" s="842"/>
      <c r="D673" s="878"/>
      <c r="E673" s="878"/>
      <c r="F673" s="878"/>
      <c r="G673" s="878"/>
      <c r="H673" s="878"/>
      <c r="I673" s="878"/>
      <c r="J673" s="878"/>
      <c r="K673" s="878"/>
      <c r="L673" s="878"/>
      <c r="M673" s="878"/>
      <c r="N673" s="878"/>
      <c r="O673" s="878"/>
      <c r="P673" s="878"/>
      <c r="Q673" s="878"/>
      <c r="R673" s="878"/>
      <c r="S673" s="878"/>
      <c r="T673" s="878"/>
      <c r="U673" s="878"/>
      <c r="V673" s="878"/>
      <c r="W673" s="878"/>
      <c r="X673" s="878"/>
      <c r="Y673" s="878"/>
      <c r="Z673" s="878"/>
    </row>
    <row r="674" ht="12.0" customHeight="1">
      <c r="A674" s="878"/>
      <c r="B674" s="879"/>
      <c r="C674" s="842"/>
      <c r="D674" s="878"/>
      <c r="E674" s="878"/>
      <c r="F674" s="878"/>
      <c r="G674" s="878"/>
      <c r="H674" s="878"/>
      <c r="I674" s="878"/>
      <c r="J674" s="878"/>
      <c r="K674" s="878"/>
      <c r="L674" s="878"/>
      <c r="M674" s="878"/>
      <c r="N674" s="878"/>
      <c r="O674" s="878"/>
      <c r="P674" s="878"/>
      <c r="Q674" s="878"/>
      <c r="R674" s="878"/>
      <c r="S674" s="878"/>
      <c r="T674" s="878"/>
      <c r="U674" s="878"/>
      <c r="V674" s="878"/>
      <c r="W674" s="878"/>
      <c r="X674" s="878"/>
      <c r="Y674" s="878"/>
      <c r="Z674" s="878"/>
    </row>
    <row r="675" ht="12.0" customHeight="1">
      <c r="A675" s="878"/>
      <c r="B675" s="879"/>
      <c r="C675" s="842"/>
      <c r="D675" s="878"/>
      <c r="E675" s="878"/>
      <c r="F675" s="878"/>
      <c r="G675" s="878"/>
      <c r="H675" s="878"/>
      <c r="I675" s="878"/>
      <c r="J675" s="878"/>
      <c r="K675" s="878"/>
      <c r="L675" s="878"/>
      <c r="M675" s="878"/>
      <c r="N675" s="878"/>
      <c r="O675" s="878"/>
      <c r="P675" s="878"/>
      <c r="Q675" s="878"/>
      <c r="R675" s="878"/>
      <c r="S675" s="878"/>
      <c r="T675" s="878"/>
      <c r="U675" s="878"/>
      <c r="V675" s="878"/>
      <c r="W675" s="878"/>
      <c r="X675" s="878"/>
      <c r="Y675" s="878"/>
      <c r="Z675" s="878"/>
    </row>
    <row r="676" ht="12.0" customHeight="1">
      <c r="A676" s="878"/>
      <c r="B676" s="879"/>
      <c r="C676" s="842"/>
      <c r="D676" s="878"/>
      <c r="E676" s="878"/>
      <c r="F676" s="878"/>
      <c r="G676" s="878"/>
      <c r="H676" s="878"/>
      <c r="I676" s="878"/>
      <c r="J676" s="878"/>
      <c r="K676" s="878"/>
      <c r="L676" s="878"/>
      <c r="M676" s="878"/>
      <c r="N676" s="878"/>
      <c r="O676" s="878"/>
      <c r="P676" s="878"/>
      <c r="Q676" s="878"/>
      <c r="R676" s="878"/>
      <c r="S676" s="878"/>
      <c r="T676" s="878"/>
      <c r="U676" s="878"/>
      <c r="V676" s="878"/>
      <c r="W676" s="878"/>
      <c r="X676" s="878"/>
      <c r="Y676" s="878"/>
      <c r="Z676" s="878"/>
    </row>
    <row r="677" ht="12.0" customHeight="1">
      <c r="A677" s="878"/>
      <c r="B677" s="879"/>
      <c r="C677" s="842"/>
      <c r="D677" s="878"/>
      <c r="E677" s="878"/>
      <c r="F677" s="878"/>
      <c r="G677" s="878"/>
      <c r="H677" s="878"/>
      <c r="I677" s="878"/>
      <c r="J677" s="878"/>
      <c r="K677" s="878"/>
      <c r="L677" s="878"/>
      <c r="M677" s="878"/>
      <c r="N677" s="878"/>
      <c r="O677" s="878"/>
      <c r="P677" s="878"/>
      <c r="Q677" s="878"/>
      <c r="R677" s="878"/>
      <c r="S677" s="878"/>
      <c r="T677" s="878"/>
      <c r="U677" s="878"/>
      <c r="V677" s="878"/>
      <c r="W677" s="878"/>
      <c r="X677" s="878"/>
      <c r="Y677" s="878"/>
      <c r="Z677" s="878"/>
    </row>
    <row r="678" ht="12.0" customHeight="1">
      <c r="A678" s="878"/>
      <c r="B678" s="879"/>
      <c r="C678" s="842"/>
      <c r="D678" s="878"/>
      <c r="E678" s="878"/>
      <c r="F678" s="878"/>
      <c r="G678" s="878"/>
      <c r="H678" s="878"/>
      <c r="I678" s="878"/>
      <c r="J678" s="878"/>
      <c r="K678" s="878"/>
      <c r="L678" s="878"/>
      <c r="M678" s="878"/>
      <c r="N678" s="878"/>
      <c r="O678" s="878"/>
      <c r="P678" s="878"/>
      <c r="Q678" s="878"/>
      <c r="R678" s="878"/>
      <c r="S678" s="878"/>
      <c r="T678" s="878"/>
      <c r="U678" s="878"/>
      <c r="V678" s="878"/>
      <c r="W678" s="878"/>
      <c r="X678" s="878"/>
      <c r="Y678" s="878"/>
      <c r="Z678" s="878"/>
    </row>
    <row r="679" ht="12.0" customHeight="1">
      <c r="A679" s="878"/>
      <c r="B679" s="879"/>
      <c r="C679" s="842"/>
      <c r="D679" s="878"/>
      <c r="E679" s="878"/>
      <c r="F679" s="878"/>
      <c r="G679" s="878"/>
      <c r="H679" s="878"/>
      <c r="I679" s="878"/>
      <c r="J679" s="878"/>
      <c r="K679" s="878"/>
      <c r="L679" s="878"/>
      <c r="M679" s="878"/>
      <c r="N679" s="878"/>
      <c r="O679" s="878"/>
      <c r="P679" s="878"/>
      <c r="Q679" s="878"/>
      <c r="R679" s="878"/>
      <c r="S679" s="878"/>
      <c r="T679" s="878"/>
      <c r="U679" s="878"/>
      <c r="V679" s="878"/>
      <c r="W679" s="878"/>
      <c r="X679" s="878"/>
      <c r="Y679" s="878"/>
      <c r="Z679" s="878"/>
    </row>
    <row r="680" ht="12.0" customHeight="1">
      <c r="A680" s="878"/>
      <c r="B680" s="879"/>
      <c r="C680" s="842"/>
      <c r="D680" s="878"/>
      <c r="E680" s="878"/>
      <c r="F680" s="878"/>
      <c r="G680" s="878"/>
      <c r="H680" s="878"/>
      <c r="I680" s="878"/>
      <c r="J680" s="878"/>
      <c r="K680" s="878"/>
      <c r="L680" s="878"/>
      <c r="M680" s="878"/>
      <c r="N680" s="878"/>
      <c r="O680" s="878"/>
      <c r="P680" s="878"/>
      <c r="Q680" s="878"/>
      <c r="R680" s="878"/>
      <c r="S680" s="878"/>
      <c r="T680" s="878"/>
      <c r="U680" s="878"/>
      <c r="V680" s="878"/>
      <c r="W680" s="878"/>
      <c r="X680" s="878"/>
      <c r="Y680" s="878"/>
      <c r="Z680" s="878"/>
    </row>
    <row r="681" ht="12.0" customHeight="1">
      <c r="A681" s="878"/>
      <c r="B681" s="879"/>
      <c r="C681" s="842"/>
      <c r="D681" s="878"/>
      <c r="E681" s="878"/>
      <c r="F681" s="878"/>
      <c r="G681" s="878"/>
      <c r="H681" s="878"/>
      <c r="I681" s="878"/>
      <c r="J681" s="878"/>
      <c r="K681" s="878"/>
      <c r="L681" s="878"/>
      <c r="M681" s="878"/>
      <c r="N681" s="878"/>
      <c r="O681" s="878"/>
      <c r="P681" s="878"/>
      <c r="Q681" s="878"/>
      <c r="R681" s="878"/>
      <c r="S681" s="878"/>
      <c r="T681" s="878"/>
      <c r="U681" s="878"/>
      <c r="V681" s="878"/>
      <c r="W681" s="878"/>
      <c r="X681" s="878"/>
      <c r="Y681" s="878"/>
      <c r="Z681" s="878"/>
    </row>
    <row r="682" ht="12.0" customHeight="1">
      <c r="A682" s="878"/>
      <c r="B682" s="879"/>
      <c r="C682" s="842"/>
      <c r="D682" s="878"/>
      <c r="E682" s="878"/>
      <c r="F682" s="878"/>
      <c r="G682" s="878"/>
      <c r="H682" s="878"/>
      <c r="I682" s="878"/>
      <c r="J682" s="878"/>
      <c r="K682" s="878"/>
      <c r="L682" s="878"/>
      <c r="M682" s="878"/>
      <c r="N682" s="878"/>
      <c r="O682" s="878"/>
      <c r="P682" s="878"/>
      <c r="Q682" s="878"/>
      <c r="R682" s="878"/>
      <c r="S682" s="878"/>
      <c r="T682" s="878"/>
      <c r="U682" s="878"/>
      <c r="V682" s="878"/>
      <c r="W682" s="878"/>
      <c r="X682" s="878"/>
      <c r="Y682" s="878"/>
      <c r="Z682" s="878"/>
    </row>
    <row r="683" ht="12.0" customHeight="1">
      <c r="A683" s="878"/>
      <c r="B683" s="879"/>
      <c r="C683" s="842"/>
      <c r="D683" s="878"/>
      <c r="E683" s="878"/>
      <c r="F683" s="878"/>
      <c r="G683" s="878"/>
      <c r="H683" s="878"/>
      <c r="I683" s="878"/>
      <c r="J683" s="878"/>
      <c r="K683" s="878"/>
      <c r="L683" s="878"/>
      <c r="M683" s="878"/>
      <c r="N683" s="878"/>
      <c r="O683" s="878"/>
      <c r="P683" s="878"/>
      <c r="Q683" s="878"/>
      <c r="R683" s="878"/>
      <c r="S683" s="878"/>
      <c r="T683" s="878"/>
      <c r="U683" s="878"/>
      <c r="V683" s="878"/>
      <c r="W683" s="878"/>
      <c r="X683" s="878"/>
      <c r="Y683" s="878"/>
      <c r="Z683" s="878"/>
    </row>
    <row r="684" ht="12.0" customHeight="1">
      <c r="A684" s="878"/>
      <c r="B684" s="879"/>
      <c r="C684" s="842"/>
      <c r="D684" s="878"/>
      <c r="E684" s="878"/>
      <c r="F684" s="878"/>
      <c r="G684" s="878"/>
      <c r="H684" s="878"/>
      <c r="I684" s="878"/>
      <c r="J684" s="878"/>
      <c r="K684" s="878"/>
      <c r="L684" s="878"/>
      <c r="M684" s="878"/>
      <c r="N684" s="878"/>
      <c r="O684" s="878"/>
      <c r="P684" s="878"/>
      <c r="Q684" s="878"/>
      <c r="R684" s="878"/>
      <c r="S684" s="878"/>
      <c r="T684" s="878"/>
      <c r="U684" s="878"/>
      <c r="V684" s="878"/>
      <c r="W684" s="878"/>
      <c r="X684" s="878"/>
      <c r="Y684" s="878"/>
      <c r="Z684" s="878"/>
    </row>
    <row r="685" ht="12.0" customHeight="1">
      <c r="A685" s="878"/>
      <c r="B685" s="879"/>
      <c r="C685" s="842"/>
      <c r="D685" s="878"/>
      <c r="E685" s="878"/>
      <c r="F685" s="878"/>
      <c r="G685" s="878"/>
      <c r="H685" s="878"/>
      <c r="I685" s="878"/>
      <c r="J685" s="878"/>
      <c r="K685" s="878"/>
      <c r="L685" s="878"/>
      <c r="M685" s="878"/>
      <c r="N685" s="878"/>
      <c r="O685" s="878"/>
      <c r="P685" s="878"/>
      <c r="Q685" s="878"/>
      <c r="R685" s="878"/>
      <c r="S685" s="878"/>
      <c r="T685" s="878"/>
      <c r="U685" s="878"/>
      <c r="V685" s="878"/>
      <c r="W685" s="878"/>
      <c r="X685" s="878"/>
      <c r="Y685" s="878"/>
      <c r="Z685" s="878"/>
    </row>
    <row r="686" ht="12.0" customHeight="1">
      <c r="A686" s="878"/>
      <c r="B686" s="879"/>
      <c r="C686" s="842"/>
      <c r="D686" s="878"/>
      <c r="E686" s="878"/>
      <c r="F686" s="878"/>
      <c r="G686" s="878"/>
      <c r="H686" s="878"/>
      <c r="I686" s="878"/>
      <c r="J686" s="878"/>
      <c r="K686" s="878"/>
      <c r="L686" s="878"/>
      <c r="M686" s="878"/>
      <c r="N686" s="878"/>
      <c r="O686" s="878"/>
      <c r="P686" s="878"/>
      <c r="Q686" s="878"/>
      <c r="R686" s="878"/>
      <c r="S686" s="878"/>
      <c r="T686" s="878"/>
      <c r="U686" s="878"/>
      <c r="V686" s="878"/>
      <c r="W686" s="878"/>
      <c r="X686" s="878"/>
      <c r="Y686" s="878"/>
      <c r="Z686" s="878"/>
    </row>
    <row r="687" ht="12.0" customHeight="1">
      <c r="A687" s="878"/>
      <c r="B687" s="879"/>
      <c r="C687" s="842"/>
      <c r="D687" s="878"/>
      <c r="E687" s="878"/>
      <c r="F687" s="878"/>
      <c r="G687" s="878"/>
      <c r="H687" s="878"/>
      <c r="I687" s="878"/>
      <c r="J687" s="878"/>
      <c r="K687" s="878"/>
      <c r="L687" s="878"/>
      <c r="M687" s="878"/>
      <c r="N687" s="878"/>
      <c r="O687" s="878"/>
      <c r="P687" s="878"/>
      <c r="Q687" s="878"/>
      <c r="R687" s="878"/>
      <c r="S687" s="878"/>
      <c r="T687" s="878"/>
      <c r="U687" s="878"/>
      <c r="V687" s="878"/>
      <c r="W687" s="878"/>
      <c r="X687" s="878"/>
      <c r="Y687" s="878"/>
      <c r="Z687" s="878"/>
    </row>
    <row r="688" ht="12.0" customHeight="1">
      <c r="A688" s="878"/>
      <c r="B688" s="879"/>
      <c r="C688" s="842"/>
      <c r="D688" s="878"/>
      <c r="E688" s="878"/>
      <c r="F688" s="878"/>
      <c r="G688" s="878"/>
      <c r="H688" s="878"/>
      <c r="I688" s="878"/>
      <c r="J688" s="878"/>
      <c r="K688" s="878"/>
      <c r="L688" s="878"/>
      <c r="M688" s="878"/>
      <c r="N688" s="878"/>
      <c r="O688" s="878"/>
      <c r="P688" s="878"/>
      <c r="Q688" s="878"/>
      <c r="R688" s="878"/>
      <c r="S688" s="878"/>
      <c r="T688" s="878"/>
      <c r="U688" s="878"/>
      <c r="V688" s="878"/>
      <c r="W688" s="878"/>
      <c r="X688" s="878"/>
      <c r="Y688" s="878"/>
      <c r="Z688" s="878"/>
    </row>
    <row r="689" ht="12.0" customHeight="1">
      <c r="A689" s="878"/>
      <c r="B689" s="879"/>
      <c r="C689" s="842"/>
      <c r="D689" s="878"/>
      <c r="E689" s="878"/>
      <c r="F689" s="878"/>
      <c r="G689" s="878"/>
      <c r="H689" s="878"/>
      <c r="I689" s="878"/>
      <c r="J689" s="878"/>
      <c r="K689" s="878"/>
      <c r="L689" s="878"/>
      <c r="M689" s="878"/>
      <c r="N689" s="878"/>
      <c r="O689" s="878"/>
      <c r="P689" s="878"/>
      <c r="Q689" s="878"/>
      <c r="R689" s="878"/>
      <c r="S689" s="878"/>
      <c r="T689" s="878"/>
      <c r="U689" s="878"/>
      <c r="V689" s="878"/>
      <c r="W689" s="878"/>
      <c r="X689" s="878"/>
      <c r="Y689" s="878"/>
      <c r="Z689" s="878"/>
    </row>
    <row r="690" ht="12.0" customHeight="1">
      <c r="A690" s="878"/>
      <c r="B690" s="879"/>
      <c r="C690" s="842"/>
      <c r="D690" s="878"/>
      <c r="E690" s="878"/>
      <c r="F690" s="878"/>
      <c r="G690" s="878"/>
      <c r="H690" s="878"/>
      <c r="I690" s="878"/>
      <c r="J690" s="878"/>
      <c r="K690" s="878"/>
      <c r="L690" s="878"/>
      <c r="M690" s="878"/>
      <c r="N690" s="878"/>
      <c r="O690" s="878"/>
      <c r="P690" s="878"/>
      <c r="Q690" s="878"/>
      <c r="R690" s="878"/>
      <c r="S690" s="878"/>
      <c r="T690" s="878"/>
      <c r="U690" s="878"/>
      <c r="V690" s="878"/>
      <c r="W690" s="878"/>
      <c r="X690" s="878"/>
      <c r="Y690" s="878"/>
      <c r="Z690" s="878"/>
    </row>
    <row r="691" ht="12.0" customHeight="1">
      <c r="A691" s="878"/>
      <c r="B691" s="879"/>
      <c r="C691" s="842"/>
      <c r="D691" s="878"/>
      <c r="E691" s="878"/>
      <c r="F691" s="878"/>
      <c r="G691" s="878"/>
      <c r="H691" s="878"/>
      <c r="I691" s="878"/>
      <c r="J691" s="878"/>
      <c r="K691" s="878"/>
      <c r="L691" s="878"/>
      <c r="M691" s="878"/>
      <c r="N691" s="878"/>
      <c r="O691" s="878"/>
      <c r="P691" s="878"/>
      <c r="Q691" s="878"/>
      <c r="R691" s="878"/>
      <c r="S691" s="878"/>
      <c r="T691" s="878"/>
      <c r="U691" s="878"/>
      <c r="V691" s="878"/>
      <c r="W691" s="878"/>
      <c r="X691" s="878"/>
      <c r="Y691" s="878"/>
      <c r="Z691" s="878"/>
    </row>
    <row r="692" ht="12.0" customHeight="1">
      <c r="A692" s="878"/>
      <c r="B692" s="879"/>
      <c r="C692" s="842"/>
      <c r="D692" s="878"/>
      <c r="E692" s="878"/>
      <c r="F692" s="878"/>
      <c r="G692" s="878"/>
      <c r="H692" s="878"/>
      <c r="I692" s="878"/>
      <c r="J692" s="878"/>
      <c r="K692" s="878"/>
      <c r="L692" s="878"/>
      <c r="M692" s="878"/>
      <c r="N692" s="878"/>
      <c r="O692" s="878"/>
      <c r="P692" s="878"/>
      <c r="Q692" s="878"/>
      <c r="R692" s="878"/>
      <c r="S692" s="878"/>
      <c r="T692" s="878"/>
      <c r="U692" s="878"/>
      <c r="V692" s="878"/>
      <c r="W692" s="878"/>
      <c r="X692" s="878"/>
      <c r="Y692" s="878"/>
      <c r="Z692" s="878"/>
    </row>
    <row r="693" ht="12.0" customHeight="1">
      <c r="A693" s="878"/>
      <c r="B693" s="879"/>
      <c r="C693" s="842"/>
      <c r="D693" s="878"/>
      <c r="E693" s="878"/>
      <c r="F693" s="878"/>
      <c r="G693" s="878"/>
      <c r="H693" s="878"/>
      <c r="I693" s="878"/>
      <c r="J693" s="878"/>
      <c r="K693" s="878"/>
      <c r="L693" s="878"/>
      <c r="M693" s="878"/>
      <c r="N693" s="878"/>
      <c r="O693" s="878"/>
      <c r="P693" s="878"/>
      <c r="Q693" s="878"/>
      <c r="R693" s="878"/>
      <c r="S693" s="878"/>
      <c r="T693" s="878"/>
      <c r="U693" s="878"/>
      <c r="V693" s="878"/>
      <c r="W693" s="878"/>
      <c r="X693" s="878"/>
      <c r="Y693" s="878"/>
      <c r="Z693" s="878"/>
    </row>
    <row r="694" ht="12.0" customHeight="1">
      <c r="A694" s="878"/>
      <c r="B694" s="879"/>
      <c r="C694" s="842"/>
      <c r="D694" s="878"/>
      <c r="E694" s="878"/>
      <c r="F694" s="878"/>
      <c r="G694" s="878"/>
      <c r="H694" s="878"/>
      <c r="I694" s="878"/>
      <c r="J694" s="878"/>
      <c r="K694" s="878"/>
      <c r="L694" s="878"/>
      <c r="M694" s="878"/>
      <c r="N694" s="878"/>
      <c r="O694" s="878"/>
      <c r="P694" s="878"/>
      <c r="Q694" s="878"/>
      <c r="R694" s="878"/>
      <c r="S694" s="878"/>
      <c r="T694" s="878"/>
      <c r="U694" s="878"/>
      <c r="V694" s="878"/>
      <c r="W694" s="878"/>
      <c r="X694" s="878"/>
      <c r="Y694" s="878"/>
      <c r="Z694" s="878"/>
    </row>
    <row r="695" ht="12.0" customHeight="1">
      <c r="A695" s="878"/>
      <c r="B695" s="879"/>
      <c r="C695" s="842"/>
      <c r="D695" s="878"/>
      <c r="E695" s="878"/>
      <c r="F695" s="878"/>
      <c r="G695" s="878"/>
      <c r="H695" s="878"/>
      <c r="I695" s="878"/>
      <c r="J695" s="878"/>
      <c r="K695" s="878"/>
      <c r="L695" s="878"/>
      <c r="M695" s="878"/>
      <c r="N695" s="878"/>
      <c r="O695" s="878"/>
      <c r="P695" s="878"/>
      <c r="Q695" s="878"/>
      <c r="R695" s="878"/>
      <c r="S695" s="878"/>
      <c r="T695" s="878"/>
      <c r="U695" s="878"/>
      <c r="V695" s="878"/>
      <c r="W695" s="878"/>
      <c r="X695" s="878"/>
      <c r="Y695" s="878"/>
      <c r="Z695" s="878"/>
    </row>
    <row r="696" ht="12.0" customHeight="1">
      <c r="A696" s="878"/>
      <c r="B696" s="879"/>
      <c r="C696" s="842"/>
      <c r="D696" s="878"/>
      <c r="E696" s="878"/>
      <c r="F696" s="878"/>
      <c r="G696" s="878"/>
      <c r="H696" s="878"/>
      <c r="I696" s="878"/>
      <c r="J696" s="878"/>
      <c r="K696" s="878"/>
      <c r="L696" s="878"/>
      <c r="M696" s="878"/>
      <c r="N696" s="878"/>
      <c r="O696" s="878"/>
      <c r="P696" s="878"/>
      <c r="Q696" s="878"/>
      <c r="R696" s="878"/>
      <c r="S696" s="878"/>
      <c r="T696" s="878"/>
      <c r="U696" s="878"/>
      <c r="V696" s="878"/>
      <c r="W696" s="878"/>
      <c r="X696" s="878"/>
      <c r="Y696" s="878"/>
      <c r="Z696" s="878"/>
    </row>
    <row r="697" ht="12.0" customHeight="1">
      <c r="A697" s="878"/>
      <c r="B697" s="879"/>
      <c r="C697" s="842"/>
      <c r="D697" s="878"/>
      <c r="E697" s="878"/>
      <c r="F697" s="878"/>
      <c r="G697" s="878"/>
      <c r="H697" s="878"/>
      <c r="I697" s="878"/>
      <c r="J697" s="878"/>
      <c r="K697" s="878"/>
      <c r="L697" s="878"/>
      <c r="M697" s="878"/>
      <c r="N697" s="878"/>
      <c r="O697" s="878"/>
      <c r="P697" s="878"/>
      <c r="Q697" s="878"/>
      <c r="R697" s="878"/>
      <c r="S697" s="878"/>
      <c r="T697" s="878"/>
      <c r="U697" s="878"/>
      <c r="V697" s="878"/>
      <c r="W697" s="878"/>
      <c r="X697" s="878"/>
      <c r="Y697" s="878"/>
      <c r="Z697" s="878"/>
    </row>
    <row r="698" ht="12.0" customHeight="1">
      <c r="A698" s="878"/>
      <c r="B698" s="879"/>
      <c r="C698" s="842"/>
      <c r="D698" s="878"/>
      <c r="E698" s="878"/>
      <c r="F698" s="878"/>
      <c r="G698" s="878"/>
      <c r="H698" s="878"/>
      <c r="I698" s="878"/>
      <c r="J698" s="878"/>
      <c r="K698" s="878"/>
      <c r="L698" s="878"/>
      <c r="M698" s="878"/>
      <c r="N698" s="878"/>
      <c r="O698" s="878"/>
      <c r="P698" s="878"/>
      <c r="Q698" s="878"/>
      <c r="R698" s="878"/>
      <c r="S698" s="878"/>
      <c r="T698" s="878"/>
      <c r="U698" s="878"/>
      <c r="V698" s="878"/>
      <c r="W698" s="878"/>
      <c r="X698" s="878"/>
      <c r="Y698" s="878"/>
      <c r="Z698" s="878"/>
    </row>
    <row r="699" ht="12.0" customHeight="1">
      <c r="A699" s="878"/>
      <c r="B699" s="879"/>
      <c r="C699" s="842"/>
      <c r="D699" s="878"/>
      <c r="E699" s="878"/>
      <c r="F699" s="878"/>
      <c r="G699" s="878"/>
      <c r="H699" s="878"/>
      <c r="I699" s="878"/>
      <c r="J699" s="878"/>
      <c r="K699" s="878"/>
      <c r="L699" s="878"/>
      <c r="M699" s="878"/>
      <c r="N699" s="878"/>
      <c r="O699" s="878"/>
      <c r="P699" s="878"/>
      <c r="Q699" s="878"/>
      <c r="R699" s="878"/>
      <c r="S699" s="878"/>
      <c r="T699" s="878"/>
      <c r="U699" s="878"/>
      <c r="V699" s="878"/>
      <c r="W699" s="878"/>
      <c r="X699" s="878"/>
      <c r="Y699" s="878"/>
      <c r="Z699" s="878"/>
    </row>
    <row r="700" ht="12.0" customHeight="1">
      <c r="A700" s="878"/>
      <c r="B700" s="879"/>
      <c r="C700" s="842"/>
      <c r="D700" s="878"/>
      <c r="E700" s="878"/>
      <c r="F700" s="878"/>
      <c r="G700" s="878"/>
      <c r="H700" s="878"/>
      <c r="I700" s="878"/>
      <c r="J700" s="878"/>
      <c r="K700" s="878"/>
      <c r="L700" s="878"/>
      <c r="M700" s="878"/>
      <c r="N700" s="878"/>
      <c r="O700" s="878"/>
      <c r="P700" s="878"/>
      <c r="Q700" s="878"/>
      <c r="R700" s="878"/>
      <c r="S700" s="878"/>
      <c r="T700" s="878"/>
      <c r="U700" s="878"/>
      <c r="V700" s="878"/>
      <c r="W700" s="878"/>
      <c r="X700" s="878"/>
      <c r="Y700" s="878"/>
      <c r="Z700" s="878"/>
    </row>
    <row r="701" ht="12.0" customHeight="1">
      <c r="A701" s="878"/>
      <c r="B701" s="879"/>
      <c r="C701" s="842"/>
      <c r="D701" s="878"/>
      <c r="E701" s="878"/>
      <c r="F701" s="878"/>
      <c r="G701" s="878"/>
      <c r="H701" s="878"/>
      <c r="I701" s="878"/>
      <c r="J701" s="878"/>
      <c r="K701" s="878"/>
      <c r="L701" s="878"/>
      <c r="M701" s="878"/>
      <c r="N701" s="878"/>
      <c r="O701" s="878"/>
      <c r="P701" s="878"/>
      <c r="Q701" s="878"/>
      <c r="R701" s="878"/>
      <c r="S701" s="878"/>
      <c r="T701" s="878"/>
      <c r="U701" s="878"/>
      <c r="V701" s="878"/>
      <c r="W701" s="878"/>
      <c r="X701" s="878"/>
      <c r="Y701" s="878"/>
      <c r="Z701" s="878"/>
    </row>
    <row r="702" ht="12.0" customHeight="1">
      <c r="A702" s="878"/>
      <c r="B702" s="879"/>
      <c r="C702" s="842"/>
      <c r="D702" s="878"/>
      <c r="E702" s="878"/>
      <c r="F702" s="878"/>
      <c r="G702" s="878"/>
      <c r="H702" s="878"/>
      <c r="I702" s="878"/>
      <c r="J702" s="878"/>
      <c r="K702" s="878"/>
      <c r="L702" s="878"/>
      <c r="M702" s="878"/>
      <c r="N702" s="878"/>
      <c r="O702" s="878"/>
      <c r="P702" s="878"/>
      <c r="Q702" s="878"/>
      <c r="R702" s="878"/>
      <c r="S702" s="878"/>
      <c r="T702" s="878"/>
      <c r="U702" s="878"/>
      <c r="V702" s="878"/>
      <c r="W702" s="878"/>
      <c r="X702" s="878"/>
      <c r="Y702" s="878"/>
      <c r="Z702" s="878"/>
    </row>
    <row r="703" ht="12.0" customHeight="1">
      <c r="A703" s="878"/>
      <c r="B703" s="879"/>
      <c r="C703" s="842"/>
      <c r="D703" s="878"/>
      <c r="E703" s="878"/>
      <c r="F703" s="878"/>
      <c r="G703" s="878"/>
      <c r="H703" s="878"/>
      <c r="I703" s="878"/>
      <c r="J703" s="878"/>
      <c r="K703" s="878"/>
      <c r="L703" s="878"/>
      <c r="M703" s="878"/>
      <c r="N703" s="878"/>
      <c r="O703" s="878"/>
      <c r="P703" s="878"/>
      <c r="Q703" s="878"/>
      <c r="R703" s="878"/>
      <c r="S703" s="878"/>
      <c r="T703" s="878"/>
      <c r="U703" s="878"/>
      <c r="V703" s="878"/>
      <c r="W703" s="878"/>
      <c r="X703" s="878"/>
      <c r="Y703" s="878"/>
      <c r="Z703" s="878"/>
    </row>
    <row r="704" ht="12.0" customHeight="1">
      <c r="A704" s="878"/>
      <c r="B704" s="879"/>
      <c r="C704" s="842"/>
      <c r="D704" s="878"/>
      <c r="E704" s="878"/>
      <c r="F704" s="878"/>
      <c r="G704" s="878"/>
      <c r="H704" s="878"/>
      <c r="I704" s="878"/>
      <c r="J704" s="878"/>
      <c r="K704" s="878"/>
      <c r="L704" s="878"/>
      <c r="M704" s="878"/>
      <c r="N704" s="878"/>
      <c r="O704" s="878"/>
      <c r="P704" s="878"/>
      <c r="Q704" s="878"/>
      <c r="R704" s="878"/>
      <c r="S704" s="878"/>
      <c r="T704" s="878"/>
      <c r="U704" s="878"/>
      <c r="V704" s="878"/>
      <c r="W704" s="878"/>
      <c r="X704" s="878"/>
      <c r="Y704" s="878"/>
      <c r="Z704" s="878"/>
    </row>
    <row r="705" ht="12.0" customHeight="1">
      <c r="A705" s="878"/>
      <c r="B705" s="879"/>
      <c r="C705" s="842"/>
      <c r="D705" s="878"/>
      <c r="E705" s="878"/>
      <c r="F705" s="878"/>
      <c r="G705" s="878"/>
      <c r="H705" s="878"/>
      <c r="I705" s="878"/>
      <c r="J705" s="878"/>
      <c r="K705" s="878"/>
      <c r="L705" s="878"/>
      <c r="M705" s="878"/>
      <c r="N705" s="878"/>
      <c r="O705" s="878"/>
      <c r="P705" s="878"/>
      <c r="Q705" s="878"/>
      <c r="R705" s="878"/>
      <c r="S705" s="878"/>
      <c r="T705" s="878"/>
      <c r="U705" s="878"/>
      <c r="V705" s="878"/>
      <c r="W705" s="878"/>
      <c r="X705" s="878"/>
      <c r="Y705" s="878"/>
      <c r="Z705" s="878"/>
    </row>
    <row r="706" ht="12.0" customHeight="1">
      <c r="A706" s="878"/>
      <c r="B706" s="879"/>
      <c r="C706" s="842"/>
      <c r="D706" s="878"/>
      <c r="E706" s="878"/>
      <c r="F706" s="878"/>
      <c r="G706" s="878"/>
      <c r="H706" s="878"/>
      <c r="I706" s="878"/>
      <c r="J706" s="878"/>
      <c r="K706" s="878"/>
      <c r="L706" s="878"/>
      <c r="M706" s="878"/>
      <c r="N706" s="878"/>
      <c r="O706" s="878"/>
      <c r="P706" s="878"/>
      <c r="Q706" s="878"/>
      <c r="R706" s="878"/>
      <c r="S706" s="878"/>
      <c r="T706" s="878"/>
      <c r="U706" s="878"/>
      <c r="V706" s="878"/>
      <c r="W706" s="878"/>
      <c r="X706" s="878"/>
      <c r="Y706" s="878"/>
      <c r="Z706" s="878"/>
    </row>
    <row r="707" ht="12.0" customHeight="1">
      <c r="A707" s="878"/>
      <c r="B707" s="879"/>
      <c r="C707" s="842"/>
      <c r="D707" s="878"/>
      <c r="E707" s="878"/>
      <c r="F707" s="878"/>
      <c r="G707" s="878"/>
      <c r="H707" s="878"/>
      <c r="I707" s="878"/>
      <c r="J707" s="878"/>
      <c r="K707" s="878"/>
      <c r="L707" s="878"/>
      <c r="M707" s="878"/>
      <c r="N707" s="878"/>
      <c r="O707" s="878"/>
      <c r="P707" s="878"/>
      <c r="Q707" s="878"/>
      <c r="R707" s="878"/>
      <c r="S707" s="878"/>
      <c r="T707" s="878"/>
      <c r="U707" s="878"/>
      <c r="V707" s="878"/>
      <c r="W707" s="878"/>
      <c r="X707" s="878"/>
      <c r="Y707" s="878"/>
      <c r="Z707" s="878"/>
    </row>
    <row r="708" ht="12.0" customHeight="1">
      <c r="A708" s="878"/>
      <c r="B708" s="879"/>
      <c r="C708" s="842"/>
      <c r="D708" s="878"/>
      <c r="E708" s="878"/>
      <c r="F708" s="878"/>
      <c r="G708" s="878"/>
      <c r="H708" s="878"/>
      <c r="I708" s="878"/>
      <c r="J708" s="878"/>
      <c r="K708" s="878"/>
      <c r="L708" s="878"/>
      <c r="M708" s="878"/>
      <c r="N708" s="878"/>
      <c r="O708" s="878"/>
      <c r="P708" s="878"/>
      <c r="Q708" s="878"/>
      <c r="R708" s="878"/>
      <c r="S708" s="878"/>
      <c r="T708" s="878"/>
      <c r="U708" s="878"/>
      <c r="V708" s="878"/>
      <c r="W708" s="878"/>
      <c r="X708" s="878"/>
      <c r="Y708" s="878"/>
      <c r="Z708" s="878"/>
    </row>
    <row r="709" ht="12.0" customHeight="1">
      <c r="A709" s="878"/>
      <c r="B709" s="879"/>
      <c r="C709" s="842"/>
      <c r="D709" s="878"/>
      <c r="E709" s="878"/>
      <c r="F709" s="878"/>
      <c r="G709" s="878"/>
      <c r="H709" s="878"/>
      <c r="I709" s="878"/>
      <c r="J709" s="878"/>
      <c r="K709" s="878"/>
      <c r="L709" s="878"/>
      <c r="M709" s="878"/>
      <c r="N709" s="878"/>
      <c r="O709" s="878"/>
      <c r="P709" s="878"/>
      <c r="Q709" s="878"/>
      <c r="R709" s="878"/>
      <c r="S709" s="878"/>
      <c r="T709" s="878"/>
      <c r="U709" s="878"/>
      <c r="V709" s="878"/>
      <c r="W709" s="878"/>
      <c r="X709" s="878"/>
      <c r="Y709" s="878"/>
      <c r="Z709" s="878"/>
    </row>
    <row r="710" ht="12.0" customHeight="1">
      <c r="A710" s="878"/>
      <c r="B710" s="879"/>
      <c r="C710" s="842"/>
      <c r="D710" s="878"/>
      <c r="E710" s="878"/>
      <c r="F710" s="878"/>
      <c r="G710" s="878"/>
      <c r="H710" s="878"/>
      <c r="I710" s="878"/>
      <c r="J710" s="878"/>
      <c r="K710" s="878"/>
      <c r="L710" s="878"/>
      <c r="M710" s="878"/>
      <c r="N710" s="878"/>
      <c r="O710" s="878"/>
      <c r="P710" s="878"/>
      <c r="Q710" s="878"/>
      <c r="R710" s="878"/>
      <c r="S710" s="878"/>
      <c r="T710" s="878"/>
      <c r="U710" s="878"/>
      <c r="V710" s="878"/>
      <c r="W710" s="878"/>
      <c r="X710" s="878"/>
      <c r="Y710" s="878"/>
      <c r="Z710" s="878"/>
    </row>
    <row r="711" ht="12.0" customHeight="1">
      <c r="A711" s="878"/>
      <c r="B711" s="879"/>
      <c r="C711" s="842"/>
      <c r="D711" s="878"/>
      <c r="E711" s="878"/>
      <c r="F711" s="878"/>
      <c r="G711" s="878"/>
      <c r="H711" s="878"/>
      <c r="I711" s="878"/>
      <c r="J711" s="878"/>
      <c r="K711" s="878"/>
      <c r="L711" s="878"/>
      <c r="M711" s="878"/>
      <c r="N711" s="878"/>
      <c r="O711" s="878"/>
      <c r="P711" s="878"/>
      <c r="Q711" s="878"/>
      <c r="R711" s="878"/>
      <c r="S711" s="878"/>
      <c r="T711" s="878"/>
      <c r="U711" s="878"/>
      <c r="V711" s="878"/>
      <c r="W711" s="878"/>
      <c r="X711" s="878"/>
      <c r="Y711" s="878"/>
      <c r="Z711" s="878"/>
    </row>
    <row r="712" ht="12.0" customHeight="1">
      <c r="A712" s="878"/>
      <c r="B712" s="879"/>
      <c r="C712" s="842"/>
      <c r="D712" s="878"/>
      <c r="E712" s="878"/>
      <c r="F712" s="878"/>
      <c r="G712" s="878"/>
      <c r="H712" s="878"/>
      <c r="I712" s="878"/>
      <c r="J712" s="878"/>
      <c r="K712" s="878"/>
      <c r="L712" s="878"/>
      <c r="M712" s="878"/>
      <c r="N712" s="878"/>
      <c r="O712" s="878"/>
      <c r="P712" s="878"/>
      <c r="Q712" s="878"/>
      <c r="R712" s="878"/>
      <c r="S712" s="878"/>
      <c r="T712" s="878"/>
      <c r="U712" s="878"/>
      <c r="V712" s="878"/>
      <c r="W712" s="878"/>
      <c r="X712" s="878"/>
      <c r="Y712" s="878"/>
      <c r="Z712" s="878"/>
    </row>
    <row r="713" ht="12.0" customHeight="1">
      <c r="A713" s="878"/>
      <c r="B713" s="879"/>
      <c r="C713" s="842"/>
      <c r="D713" s="878"/>
      <c r="E713" s="878"/>
      <c r="F713" s="878"/>
      <c r="G713" s="878"/>
      <c r="H713" s="878"/>
      <c r="I713" s="878"/>
      <c r="J713" s="878"/>
      <c r="K713" s="878"/>
      <c r="L713" s="878"/>
      <c r="M713" s="878"/>
      <c r="N713" s="878"/>
      <c r="O713" s="878"/>
      <c r="P713" s="878"/>
      <c r="Q713" s="878"/>
      <c r="R713" s="878"/>
      <c r="S713" s="878"/>
      <c r="T713" s="878"/>
      <c r="U713" s="878"/>
      <c r="V713" s="878"/>
      <c r="W713" s="878"/>
      <c r="X713" s="878"/>
      <c r="Y713" s="878"/>
      <c r="Z713" s="878"/>
    </row>
    <row r="714" ht="12.0" customHeight="1">
      <c r="A714" s="878"/>
      <c r="B714" s="879"/>
      <c r="C714" s="842"/>
      <c r="D714" s="878"/>
      <c r="E714" s="878"/>
      <c r="F714" s="878"/>
      <c r="G714" s="878"/>
      <c r="H714" s="878"/>
      <c r="I714" s="878"/>
      <c r="J714" s="878"/>
      <c r="K714" s="878"/>
      <c r="L714" s="878"/>
      <c r="M714" s="878"/>
      <c r="N714" s="878"/>
      <c r="O714" s="878"/>
      <c r="P714" s="878"/>
      <c r="Q714" s="878"/>
      <c r="R714" s="878"/>
      <c r="S714" s="878"/>
      <c r="T714" s="878"/>
      <c r="U714" s="878"/>
      <c r="V714" s="878"/>
      <c r="W714" s="878"/>
      <c r="X714" s="878"/>
      <c r="Y714" s="878"/>
      <c r="Z714" s="878"/>
    </row>
    <row r="715" ht="12.0" customHeight="1">
      <c r="A715" s="878"/>
      <c r="B715" s="879"/>
      <c r="C715" s="842"/>
      <c r="D715" s="878"/>
      <c r="E715" s="878"/>
      <c r="F715" s="878"/>
      <c r="G715" s="878"/>
      <c r="H715" s="878"/>
      <c r="I715" s="878"/>
      <c r="J715" s="878"/>
      <c r="K715" s="878"/>
      <c r="L715" s="878"/>
      <c r="M715" s="878"/>
      <c r="N715" s="878"/>
      <c r="O715" s="878"/>
      <c r="P715" s="878"/>
      <c r="Q715" s="878"/>
      <c r="R715" s="878"/>
      <c r="S715" s="878"/>
      <c r="T715" s="878"/>
      <c r="U715" s="878"/>
      <c r="V715" s="878"/>
      <c r="W715" s="878"/>
      <c r="X715" s="878"/>
      <c r="Y715" s="878"/>
      <c r="Z715" s="878"/>
    </row>
    <row r="716" ht="12.0" customHeight="1">
      <c r="A716" s="878"/>
      <c r="B716" s="879"/>
      <c r="C716" s="842"/>
      <c r="D716" s="878"/>
      <c r="E716" s="878"/>
      <c r="F716" s="878"/>
      <c r="G716" s="878"/>
      <c r="H716" s="878"/>
      <c r="I716" s="878"/>
      <c r="J716" s="878"/>
      <c r="K716" s="878"/>
      <c r="L716" s="878"/>
      <c r="M716" s="878"/>
      <c r="N716" s="878"/>
      <c r="O716" s="878"/>
      <c r="P716" s="878"/>
      <c r="Q716" s="878"/>
      <c r="R716" s="878"/>
      <c r="S716" s="878"/>
      <c r="T716" s="878"/>
      <c r="U716" s="878"/>
      <c r="V716" s="878"/>
      <c r="W716" s="878"/>
      <c r="X716" s="878"/>
      <c r="Y716" s="878"/>
      <c r="Z716" s="878"/>
    </row>
    <row r="717" ht="12.0" customHeight="1">
      <c r="A717" s="878"/>
      <c r="B717" s="879"/>
      <c r="C717" s="842"/>
      <c r="D717" s="878"/>
      <c r="E717" s="878"/>
      <c r="F717" s="878"/>
      <c r="G717" s="878"/>
      <c r="H717" s="878"/>
      <c r="I717" s="878"/>
      <c r="J717" s="878"/>
      <c r="K717" s="878"/>
      <c r="L717" s="878"/>
      <c r="M717" s="878"/>
      <c r="N717" s="878"/>
      <c r="O717" s="878"/>
      <c r="P717" s="878"/>
      <c r="Q717" s="878"/>
      <c r="R717" s="878"/>
      <c r="S717" s="878"/>
      <c r="T717" s="878"/>
      <c r="U717" s="878"/>
      <c r="V717" s="878"/>
      <c r="W717" s="878"/>
      <c r="X717" s="878"/>
      <c r="Y717" s="878"/>
      <c r="Z717" s="878"/>
    </row>
    <row r="718" ht="12.0" customHeight="1">
      <c r="A718" s="878"/>
      <c r="B718" s="879"/>
      <c r="C718" s="842"/>
      <c r="D718" s="878"/>
      <c r="E718" s="878"/>
      <c r="F718" s="878"/>
      <c r="G718" s="878"/>
      <c r="H718" s="878"/>
      <c r="I718" s="878"/>
      <c r="J718" s="878"/>
      <c r="K718" s="878"/>
      <c r="L718" s="878"/>
      <c r="M718" s="878"/>
      <c r="N718" s="878"/>
      <c r="O718" s="878"/>
      <c r="P718" s="878"/>
      <c r="Q718" s="878"/>
      <c r="R718" s="878"/>
      <c r="S718" s="878"/>
      <c r="T718" s="878"/>
      <c r="U718" s="878"/>
      <c r="V718" s="878"/>
      <c r="W718" s="878"/>
      <c r="X718" s="878"/>
      <c r="Y718" s="878"/>
      <c r="Z718" s="878"/>
    </row>
    <row r="719" ht="12.0" customHeight="1">
      <c r="A719" s="878"/>
      <c r="B719" s="879"/>
      <c r="C719" s="842"/>
      <c r="D719" s="878"/>
      <c r="E719" s="878"/>
      <c r="F719" s="878"/>
      <c r="G719" s="878"/>
      <c r="H719" s="878"/>
      <c r="I719" s="878"/>
      <c r="J719" s="878"/>
      <c r="K719" s="878"/>
      <c r="L719" s="878"/>
      <c r="M719" s="878"/>
      <c r="N719" s="878"/>
      <c r="O719" s="878"/>
      <c r="P719" s="878"/>
      <c r="Q719" s="878"/>
      <c r="R719" s="878"/>
      <c r="S719" s="878"/>
      <c r="T719" s="878"/>
      <c r="U719" s="878"/>
      <c r="V719" s="878"/>
      <c r="W719" s="878"/>
      <c r="X719" s="878"/>
      <c r="Y719" s="878"/>
      <c r="Z719" s="878"/>
    </row>
    <row r="720" ht="12.0" customHeight="1">
      <c r="A720" s="878"/>
      <c r="B720" s="879"/>
      <c r="C720" s="842"/>
      <c r="D720" s="878"/>
      <c r="E720" s="878"/>
      <c r="F720" s="878"/>
      <c r="G720" s="878"/>
      <c r="H720" s="878"/>
      <c r="I720" s="878"/>
      <c r="J720" s="878"/>
      <c r="K720" s="878"/>
      <c r="L720" s="878"/>
      <c r="M720" s="878"/>
      <c r="N720" s="878"/>
      <c r="O720" s="878"/>
      <c r="P720" s="878"/>
      <c r="Q720" s="878"/>
      <c r="R720" s="878"/>
      <c r="S720" s="878"/>
      <c r="T720" s="878"/>
      <c r="U720" s="878"/>
      <c r="V720" s="878"/>
      <c r="W720" s="878"/>
      <c r="X720" s="878"/>
      <c r="Y720" s="878"/>
      <c r="Z720" s="878"/>
    </row>
    <row r="721" ht="12.0" customHeight="1">
      <c r="A721" s="878"/>
      <c r="B721" s="879"/>
      <c r="C721" s="842"/>
      <c r="D721" s="878"/>
      <c r="E721" s="878"/>
      <c r="F721" s="878"/>
      <c r="G721" s="878"/>
      <c r="H721" s="878"/>
      <c r="I721" s="878"/>
      <c r="J721" s="878"/>
      <c r="K721" s="878"/>
      <c r="L721" s="878"/>
      <c r="M721" s="878"/>
      <c r="N721" s="878"/>
      <c r="O721" s="878"/>
      <c r="P721" s="878"/>
      <c r="Q721" s="878"/>
      <c r="R721" s="878"/>
      <c r="S721" s="878"/>
      <c r="T721" s="878"/>
      <c r="U721" s="878"/>
      <c r="V721" s="878"/>
      <c r="W721" s="878"/>
      <c r="X721" s="878"/>
      <c r="Y721" s="878"/>
      <c r="Z721" s="878"/>
    </row>
    <row r="722" ht="12.0" customHeight="1">
      <c r="A722" s="878"/>
      <c r="B722" s="879"/>
      <c r="C722" s="842"/>
      <c r="D722" s="878"/>
      <c r="E722" s="878"/>
      <c r="F722" s="878"/>
      <c r="G722" s="878"/>
      <c r="H722" s="878"/>
      <c r="I722" s="878"/>
      <c r="J722" s="878"/>
      <c r="K722" s="878"/>
      <c r="L722" s="878"/>
      <c r="M722" s="878"/>
      <c r="N722" s="878"/>
      <c r="O722" s="878"/>
      <c r="P722" s="878"/>
      <c r="Q722" s="878"/>
      <c r="R722" s="878"/>
      <c r="S722" s="878"/>
      <c r="T722" s="878"/>
      <c r="U722" s="878"/>
      <c r="V722" s="878"/>
      <c r="W722" s="878"/>
      <c r="X722" s="878"/>
      <c r="Y722" s="878"/>
      <c r="Z722" s="878"/>
    </row>
    <row r="723" ht="12.0" customHeight="1">
      <c r="A723" s="878"/>
      <c r="B723" s="879"/>
      <c r="C723" s="842"/>
      <c r="D723" s="878"/>
      <c r="E723" s="878"/>
      <c r="F723" s="878"/>
      <c r="G723" s="878"/>
      <c r="H723" s="878"/>
      <c r="I723" s="878"/>
      <c r="J723" s="878"/>
      <c r="K723" s="878"/>
      <c r="L723" s="878"/>
      <c r="M723" s="878"/>
      <c r="N723" s="878"/>
      <c r="O723" s="878"/>
      <c r="P723" s="878"/>
      <c r="Q723" s="878"/>
      <c r="R723" s="878"/>
      <c r="S723" s="878"/>
      <c r="T723" s="878"/>
      <c r="U723" s="878"/>
      <c r="V723" s="878"/>
      <c r="W723" s="878"/>
      <c r="X723" s="878"/>
      <c r="Y723" s="878"/>
      <c r="Z723" s="878"/>
    </row>
    <row r="724" ht="12.0" customHeight="1">
      <c r="A724" s="878"/>
      <c r="B724" s="879"/>
      <c r="C724" s="842"/>
      <c r="D724" s="878"/>
      <c r="E724" s="878"/>
      <c r="F724" s="878"/>
      <c r="G724" s="878"/>
      <c r="H724" s="878"/>
      <c r="I724" s="878"/>
      <c r="J724" s="878"/>
      <c r="K724" s="878"/>
      <c r="L724" s="878"/>
      <c r="M724" s="878"/>
      <c r="N724" s="878"/>
      <c r="O724" s="878"/>
      <c r="P724" s="878"/>
      <c r="Q724" s="878"/>
      <c r="R724" s="878"/>
      <c r="S724" s="878"/>
      <c r="T724" s="878"/>
      <c r="U724" s="878"/>
      <c r="V724" s="878"/>
      <c r="W724" s="878"/>
      <c r="X724" s="878"/>
      <c r="Y724" s="878"/>
      <c r="Z724" s="878"/>
    </row>
    <row r="725" ht="12.0" customHeight="1">
      <c r="A725" s="878"/>
      <c r="B725" s="879"/>
      <c r="C725" s="842"/>
      <c r="D725" s="878"/>
      <c r="E725" s="878"/>
      <c r="F725" s="878"/>
      <c r="G725" s="878"/>
      <c r="H725" s="878"/>
      <c r="I725" s="878"/>
      <c r="J725" s="878"/>
      <c r="K725" s="878"/>
      <c r="L725" s="878"/>
      <c r="M725" s="878"/>
      <c r="N725" s="878"/>
      <c r="O725" s="878"/>
      <c r="P725" s="878"/>
      <c r="Q725" s="878"/>
      <c r="R725" s="878"/>
      <c r="S725" s="878"/>
      <c r="T725" s="878"/>
      <c r="U725" s="878"/>
      <c r="V725" s="878"/>
      <c r="W725" s="878"/>
      <c r="X725" s="878"/>
      <c r="Y725" s="878"/>
      <c r="Z725" s="878"/>
    </row>
    <row r="726" ht="12.0" customHeight="1">
      <c r="A726" s="878"/>
      <c r="B726" s="879"/>
      <c r="C726" s="842"/>
      <c r="D726" s="878"/>
      <c r="E726" s="878"/>
      <c r="F726" s="878"/>
      <c r="G726" s="878"/>
      <c r="H726" s="878"/>
      <c r="I726" s="878"/>
      <c r="J726" s="878"/>
      <c r="K726" s="878"/>
      <c r="L726" s="878"/>
      <c r="M726" s="878"/>
      <c r="N726" s="878"/>
      <c r="O726" s="878"/>
      <c r="P726" s="878"/>
      <c r="Q726" s="878"/>
      <c r="R726" s="878"/>
      <c r="S726" s="878"/>
      <c r="T726" s="878"/>
      <c r="U726" s="878"/>
      <c r="V726" s="878"/>
      <c r="W726" s="878"/>
      <c r="X726" s="878"/>
      <c r="Y726" s="878"/>
      <c r="Z726" s="878"/>
    </row>
    <row r="727" ht="12.0" customHeight="1">
      <c r="A727" s="878"/>
      <c r="B727" s="879"/>
      <c r="C727" s="842"/>
      <c r="D727" s="878"/>
      <c r="E727" s="878"/>
      <c r="F727" s="878"/>
      <c r="G727" s="878"/>
      <c r="H727" s="878"/>
      <c r="I727" s="878"/>
      <c r="J727" s="878"/>
      <c r="K727" s="878"/>
      <c r="L727" s="878"/>
      <c r="M727" s="878"/>
      <c r="N727" s="878"/>
      <c r="O727" s="878"/>
      <c r="P727" s="878"/>
      <c r="Q727" s="878"/>
      <c r="R727" s="878"/>
      <c r="S727" s="878"/>
      <c r="T727" s="878"/>
      <c r="U727" s="878"/>
      <c r="V727" s="878"/>
      <c r="W727" s="878"/>
      <c r="X727" s="878"/>
      <c r="Y727" s="878"/>
      <c r="Z727" s="878"/>
    </row>
    <row r="728" ht="12.0" customHeight="1">
      <c r="A728" s="878"/>
      <c r="B728" s="879"/>
      <c r="C728" s="842"/>
      <c r="D728" s="878"/>
      <c r="E728" s="878"/>
      <c r="F728" s="878"/>
      <c r="G728" s="878"/>
      <c r="H728" s="878"/>
      <c r="I728" s="878"/>
      <c r="J728" s="878"/>
      <c r="K728" s="878"/>
      <c r="L728" s="878"/>
      <c r="M728" s="878"/>
      <c r="N728" s="878"/>
      <c r="O728" s="878"/>
      <c r="P728" s="878"/>
      <c r="Q728" s="878"/>
      <c r="R728" s="878"/>
      <c r="S728" s="878"/>
      <c r="T728" s="878"/>
      <c r="U728" s="878"/>
      <c r="V728" s="878"/>
      <c r="W728" s="878"/>
      <c r="X728" s="878"/>
      <c r="Y728" s="878"/>
      <c r="Z728" s="878"/>
    </row>
    <row r="729" ht="12.0" customHeight="1">
      <c r="A729" s="878"/>
      <c r="B729" s="879"/>
      <c r="C729" s="842"/>
      <c r="D729" s="878"/>
      <c r="E729" s="878"/>
      <c r="F729" s="878"/>
      <c r="G729" s="878"/>
      <c r="H729" s="878"/>
      <c r="I729" s="878"/>
      <c r="J729" s="878"/>
      <c r="K729" s="878"/>
      <c r="L729" s="878"/>
      <c r="M729" s="878"/>
      <c r="N729" s="878"/>
      <c r="O729" s="878"/>
      <c r="P729" s="878"/>
      <c r="Q729" s="878"/>
      <c r="R729" s="878"/>
      <c r="S729" s="878"/>
      <c r="T729" s="878"/>
      <c r="U729" s="878"/>
      <c r="V729" s="878"/>
      <c r="W729" s="878"/>
      <c r="X729" s="878"/>
      <c r="Y729" s="878"/>
      <c r="Z729" s="878"/>
    </row>
    <row r="730" ht="12.0" customHeight="1">
      <c r="A730" s="878"/>
      <c r="B730" s="879"/>
      <c r="C730" s="842"/>
      <c r="D730" s="878"/>
      <c r="E730" s="878"/>
      <c r="F730" s="878"/>
      <c r="G730" s="878"/>
      <c r="H730" s="878"/>
      <c r="I730" s="878"/>
      <c r="J730" s="878"/>
      <c r="K730" s="878"/>
      <c r="L730" s="878"/>
      <c r="M730" s="878"/>
      <c r="N730" s="878"/>
      <c r="O730" s="878"/>
      <c r="P730" s="878"/>
      <c r="Q730" s="878"/>
      <c r="R730" s="878"/>
      <c r="S730" s="878"/>
      <c r="T730" s="878"/>
      <c r="U730" s="878"/>
      <c r="V730" s="878"/>
      <c r="W730" s="878"/>
      <c r="X730" s="878"/>
      <c r="Y730" s="878"/>
      <c r="Z730" s="878"/>
    </row>
    <row r="731" ht="12.0" customHeight="1">
      <c r="A731" s="878"/>
      <c r="B731" s="879"/>
      <c r="C731" s="842"/>
      <c r="D731" s="878"/>
      <c r="E731" s="878"/>
      <c r="F731" s="878"/>
      <c r="G731" s="878"/>
      <c r="H731" s="878"/>
      <c r="I731" s="878"/>
      <c r="J731" s="878"/>
      <c r="K731" s="878"/>
      <c r="L731" s="878"/>
      <c r="M731" s="878"/>
      <c r="N731" s="878"/>
      <c r="O731" s="878"/>
      <c r="P731" s="878"/>
      <c r="Q731" s="878"/>
      <c r="R731" s="878"/>
      <c r="S731" s="878"/>
      <c r="T731" s="878"/>
      <c r="U731" s="878"/>
      <c r="V731" s="878"/>
      <c r="W731" s="878"/>
      <c r="X731" s="878"/>
      <c r="Y731" s="878"/>
      <c r="Z731" s="878"/>
    </row>
    <row r="732" ht="12.0" customHeight="1">
      <c r="A732" s="878"/>
      <c r="B732" s="879"/>
      <c r="C732" s="842"/>
      <c r="D732" s="878"/>
      <c r="E732" s="878"/>
      <c r="F732" s="878"/>
      <c r="G732" s="878"/>
      <c r="H732" s="878"/>
      <c r="I732" s="878"/>
      <c r="J732" s="878"/>
      <c r="K732" s="878"/>
      <c r="L732" s="878"/>
      <c r="M732" s="878"/>
      <c r="N732" s="878"/>
      <c r="O732" s="878"/>
      <c r="P732" s="878"/>
      <c r="Q732" s="878"/>
      <c r="R732" s="878"/>
      <c r="S732" s="878"/>
      <c r="T732" s="878"/>
      <c r="U732" s="878"/>
      <c r="V732" s="878"/>
      <c r="W732" s="878"/>
      <c r="X732" s="878"/>
      <c r="Y732" s="878"/>
      <c r="Z732" s="878"/>
    </row>
    <row r="733" ht="12.0" customHeight="1">
      <c r="A733" s="878"/>
      <c r="B733" s="879"/>
      <c r="C733" s="842"/>
      <c r="D733" s="878"/>
      <c r="E733" s="878"/>
      <c r="F733" s="878"/>
      <c r="G733" s="878"/>
      <c r="H733" s="878"/>
      <c r="I733" s="878"/>
      <c r="J733" s="878"/>
      <c r="K733" s="878"/>
      <c r="L733" s="878"/>
      <c r="M733" s="878"/>
      <c r="N733" s="878"/>
      <c r="O733" s="878"/>
      <c r="P733" s="878"/>
      <c r="Q733" s="878"/>
      <c r="R733" s="878"/>
      <c r="S733" s="878"/>
      <c r="T733" s="878"/>
      <c r="U733" s="878"/>
      <c r="V733" s="878"/>
      <c r="W733" s="878"/>
      <c r="X733" s="878"/>
      <c r="Y733" s="878"/>
      <c r="Z733" s="878"/>
    </row>
    <row r="734" ht="12.0" customHeight="1">
      <c r="A734" s="878"/>
      <c r="B734" s="879"/>
      <c r="C734" s="842"/>
      <c r="D734" s="878"/>
      <c r="E734" s="878"/>
      <c r="F734" s="878"/>
      <c r="G734" s="878"/>
      <c r="H734" s="878"/>
      <c r="I734" s="878"/>
      <c r="J734" s="878"/>
      <c r="K734" s="878"/>
      <c r="L734" s="878"/>
      <c r="M734" s="878"/>
      <c r="N734" s="878"/>
      <c r="O734" s="878"/>
      <c r="P734" s="878"/>
      <c r="Q734" s="878"/>
      <c r="R734" s="878"/>
      <c r="S734" s="878"/>
      <c r="T734" s="878"/>
      <c r="U734" s="878"/>
      <c r="V734" s="878"/>
      <c r="W734" s="878"/>
      <c r="X734" s="878"/>
      <c r="Y734" s="878"/>
      <c r="Z734" s="878"/>
    </row>
    <row r="735" ht="12.0" customHeight="1">
      <c r="A735" s="878"/>
      <c r="B735" s="879"/>
      <c r="C735" s="842"/>
      <c r="D735" s="878"/>
      <c r="E735" s="878"/>
      <c r="F735" s="878"/>
      <c r="G735" s="878"/>
      <c r="H735" s="878"/>
      <c r="I735" s="878"/>
      <c r="J735" s="878"/>
      <c r="K735" s="878"/>
      <c r="L735" s="878"/>
      <c r="M735" s="878"/>
      <c r="N735" s="878"/>
      <c r="O735" s="878"/>
      <c r="P735" s="878"/>
      <c r="Q735" s="878"/>
      <c r="R735" s="878"/>
      <c r="S735" s="878"/>
      <c r="T735" s="878"/>
      <c r="U735" s="878"/>
      <c r="V735" s="878"/>
      <c r="W735" s="878"/>
      <c r="X735" s="878"/>
      <c r="Y735" s="878"/>
      <c r="Z735" s="878"/>
    </row>
    <row r="736" ht="12.0" customHeight="1">
      <c r="A736" s="878"/>
      <c r="B736" s="879"/>
      <c r="C736" s="842"/>
      <c r="D736" s="878"/>
      <c r="E736" s="878"/>
      <c r="F736" s="878"/>
      <c r="G736" s="878"/>
      <c r="H736" s="878"/>
      <c r="I736" s="878"/>
      <c r="J736" s="878"/>
      <c r="K736" s="878"/>
      <c r="L736" s="878"/>
      <c r="M736" s="878"/>
      <c r="N736" s="878"/>
      <c r="O736" s="878"/>
      <c r="P736" s="878"/>
      <c r="Q736" s="878"/>
      <c r="R736" s="878"/>
      <c r="S736" s="878"/>
      <c r="T736" s="878"/>
      <c r="U736" s="878"/>
      <c r="V736" s="878"/>
      <c r="W736" s="878"/>
      <c r="X736" s="878"/>
      <c r="Y736" s="878"/>
      <c r="Z736" s="878"/>
    </row>
    <row r="737" ht="12.0" customHeight="1">
      <c r="A737" s="878"/>
      <c r="B737" s="879"/>
      <c r="C737" s="842"/>
      <c r="D737" s="878"/>
      <c r="E737" s="878"/>
      <c r="F737" s="878"/>
      <c r="G737" s="878"/>
      <c r="H737" s="878"/>
      <c r="I737" s="878"/>
      <c r="J737" s="878"/>
      <c r="K737" s="878"/>
      <c r="L737" s="878"/>
      <c r="M737" s="878"/>
      <c r="N737" s="878"/>
      <c r="O737" s="878"/>
      <c r="P737" s="878"/>
      <c r="Q737" s="878"/>
      <c r="R737" s="878"/>
      <c r="S737" s="878"/>
      <c r="T737" s="878"/>
      <c r="U737" s="878"/>
      <c r="V737" s="878"/>
      <c r="W737" s="878"/>
      <c r="X737" s="878"/>
      <c r="Y737" s="878"/>
      <c r="Z737" s="878"/>
    </row>
    <row r="738" ht="12.0" customHeight="1">
      <c r="A738" s="878"/>
      <c r="B738" s="879"/>
      <c r="C738" s="842"/>
      <c r="D738" s="878"/>
      <c r="E738" s="878"/>
      <c r="F738" s="878"/>
      <c r="G738" s="878"/>
      <c r="H738" s="878"/>
      <c r="I738" s="878"/>
      <c r="J738" s="878"/>
      <c r="K738" s="878"/>
      <c r="L738" s="878"/>
      <c r="M738" s="878"/>
      <c r="N738" s="878"/>
      <c r="O738" s="878"/>
      <c r="P738" s="878"/>
      <c r="Q738" s="878"/>
      <c r="R738" s="878"/>
      <c r="S738" s="878"/>
      <c r="T738" s="878"/>
      <c r="U738" s="878"/>
      <c r="V738" s="878"/>
      <c r="W738" s="878"/>
      <c r="X738" s="878"/>
      <c r="Y738" s="878"/>
      <c r="Z738" s="878"/>
    </row>
    <row r="739" ht="12.0" customHeight="1">
      <c r="A739" s="878"/>
      <c r="B739" s="879"/>
      <c r="C739" s="842"/>
      <c r="D739" s="878"/>
      <c r="E739" s="878"/>
      <c r="F739" s="878"/>
      <c r="G739" s="878"/>
      <c r="H739" s="878"/>
      <c r="I739" s="878"/>
      <c r="J739" s="878"/>
      <c r="K739" s="878"/>
      <c r="L739" s="878"/>
      <c r="M739" s="878"/>
      <c r="N739" s="878"/>
      <c r="O739" s="878"/>
      <c r="P739" s="878"/>
      <c r="Q739" s="878"/>
      <c r="R739" s="878"/>
      <c r="S739" s="878"/>
      <c r="T739" s="878"/>
      <c r="U739" s="878"/>
      <c r="V739" s="878"/>
      <c r="W739" s="878"/>
      <c r="X739" s="878"/>
      <c r="Y739" s="878"/>
      <c r="Z739" s="878"/>
    </row>
    <row r="740" ht="12.0" customHeight="1">
      <c r="A740" s="878"/>
      <c r="B740" s="879"/>
      <c r="C740" s="842"/>
      <c r="D740" s="878"/>
      <c r="E740" s="878"/>
      <c r="F740" s="878"/>
      <c r="G740" s="878"/>
      <c r="H740" s="878"/>
      <c r="I740" s="878"/>
      <c r="J740" s="878"/>
      <c r="K740" s="878"/>
      <c r="L740" s="878"/>
      <c r="M740" s="878"/>
      <c r="N740" s="878"/>
      <c r="O740" s="878"/>
      <c r="P740" s="878"/>
      <c r="Q740" s="878"/>
      <c r="R740" s="878"/>
      <c r="S740" s="878"/>
      <c r="T740" s="878"/>
      <c r="U740" s="878"/>
      <c r="V740" s="878"/>
      <c r="W740" s="878"/>
      <c r="X740" s="878"/>
      <c r="Y740" s="878"/>
      <c r="Z740" s="878"/>
    </row>
    <row r="741" ht="12.0" customHeight="1">
      <c r="A741" s="878"/>
      <c r="B741" s="879"/>
      <c r="C741" s="842"/>
      <c r="D741" s="878"/>
      <c r="E741" s="878"/>
      <c r="F741" s="878"/>
      <c r="G741" s="878"/>
      <c r="H741" s="878"/>
      <c r="I741" s="878"/>
      <c r="J741" s="878"/>
      <c r="K741" s="878"/>
      <c r="L741" s="878"/>
      <c r="M741" s="878"/>
      <c r="N741" s="878"/>
      <c r="O741" s="878"/>
      <c r="P741" s="878"/>
      <c r="Q741" s="878"/>
      <c r="R741" s="878"/>
      <c r="S741" s="878"/>
      <c r="T741" s="878"/>
      <c r="U741" s="878"/>
      <c r="V741" s="878"/>
      <c r="W741" s="878"/>
      <c r="X741" s="878"/>
      <c r="Y741" s="878"/>
      <c r="Z741" s="878"/>
    </row>
    <row r="742" ht="12.0" customHeight="1">
      <c r="A742" s="878"/>
      <c r="B742" s="879"/>
      <c r="C742" s="842"/>
      <c r="D742" s="878"/>
      <c r="E742" s="878"/>
      <c r="F742" s="878"/>
      <c r="G742" s="878"/>
      <c r="H742" s="878"/>
      <c r="I742" s="878"/>
      <c r="J742" s="878"/>
      <c r="K742" s="878"/>
      <c r="L742" s="878"/>
      <c r="M742" s="878"/>
      <c r="N742" s="878"/>
      <c r="O742" s="878"/>
      <c r="P742" s="878"/>
      <c r="Q742" s="878"/>
      <c r="R742" s="878"/>
      <c r="S742" s="878"/>
      <c r="T742" s="878"/>
      <c r="U742" s="878"/>
      <c r="V742" s="878"/>
      <c r="W742" s="878"/>
      <c r="X742" s="878"/>
      <c r="Y742" s="878"/>
      <c r="Z742" s="878"/>
    </row>
    <row r="743" ht="12.0" customHeight="1">
      <c r="A743" s="878"/>
      <c r="B743" s="879"/>
      <c r="C743" s="842"/>
      <c r="D743" s="878"/>
      <c r="E743" s="878"/>
      <c r="F743" s="878"/>
      <c r="G743" s="878"/>
      <c r="H743" s="878"/>
      <c r="I743" s="878"/>
      <c r="J743" s="878"/>
      <c r="K743" s="878"/>
      <c r="L743" s="878"/>
      <c r="M743" s="878"/>
      <c r="N743" s="878"/>
      <c r="O743" s="878"/>
      <c r="P743" s="878"/>
      <c r="Q743" s="878"/>
      <c r="R743" s="878"/>
      <c r="S743" s="878"/>
      <c r="T743" s="878"/>
      <c r="U743" s="878"/>
      <c r="V743" s="878"/>
      <c r="W743" s="878"/>
      <c r="X743" s="878"/>
      <c r="Y743" s="878"/>
      <c r="Z743" s="878"/>
    </row>
    <row r="744" ht="12.0" customHeight="1">
      <c r="A744" s="878"/>
      <c r="B744" s="879"/>
      <c r="C744" s="842"/>
      <c r="D744" s="878"/>
      <c r="E744" s="878"/>
      <c r="F744" s="878"/>
      <c r="G744" s="878"/>
      <c r="H744" s="878"/>
      <c r="I744" s="878"/>
      <c r="J744" s="878"/>
      <c r="K744" s="878"/>
      <c r="L744" s="878"/>
      <c r="M744" s="878"/>
      <c r="N744" s="878"/>
      <c r="O744" s="878"/>
      <c r="P744" s="878"/>
      <c r="Q744" s="878"/>
      <c r="R744" s="878"/>
      <c r="S744" s="878"/>
      <c r="T744" s="878"/>
      <c r="U744" s="878"/>
      <c r="V744" s="878"/>
      <c r="W744" s="878"/>
      <c r="X744" s="878"/>
      <c r="Y744" s="878"/>
      <c r="Z744" s="878"/>
    </row>
    <row r="745" ht="12.0" customHeight="1">
      <c r="A745" s="878"/>
      <c r="B745" s="879"/>
      <c r="C745" s="842"/>
      <c r="D745" s="878"/>
      <c r="E745" s="878"/>
      <c r="F745" s="878"/>
      <c r="G745" s="878"/>
      <c r="H745" s="878"/>
      <c r="I745" s="878"/>
      <c r="J745" s="878"/>
      <c r="K745" s="878"/>
      <c r="L745" s="878"/>
      <c r="M745" s="878"/>
      <c r="N745" s="878"/>
      <c r="O745" s="878"/>
      <c r="P745" s="878"/>
      <c r="Q745" s="878"/>
      <c r="R745" s="878"/>
      <c r="S745" s="878"/>
      <c r="T745" s="878"/>
      <c r="U745" s="878"/>
      <c r="V745" s="878"/>
      <c r="W745" s="878"/>
      <c r="X745" s="878"/>
      <c r="Y745" s="878"/>
      <c r="Z745" s="878"/>
    </row>
    <row r="746" ht="12.0" customHeight="1">
      <c r="A746" s="878"/>
      <c r="B746" s="879"/>
      <c r="C746" s="842"/>
      <c r="D746" s="878"/>
      <c r="E746" s="878"/>
      <c r="F746" s="878"/>
      <c r="G746" s="878"/>
      <c r="H746" s="878"/>
      <c r="I746" s="878"/>
      <c r="J746" s="878"/>
      <c r="K746" s="878"/>
      <c r="L746" s="878"/>
      <c r="M746" s="878"/>
      <c r="N746" s="878"/>
      <c r="O746" s="878"/>
      <c r="P746" s="878"/>
      <c r="Q746" s="878"/>
      <c r="R746" s="878"/>
      <c r="S746" s="878"/>
      <c r="T746" s="878"/>
      <c r="U746" s="878"/>
      <c r="V746" s="878"/>
      <c r="W746" s="878"/>
      <c r="X746" s="878"/>
      <c r="Y746" s="878"/>
      <c r="Z746" s="878"/>
    </row>
    <row r="747" ht="12.0" customHeight="1">
      <c r="A747" s="878"/>
      <c r="B747" s="879"/>
      <c r="C747" s="842"/>
      <c r="D747" s="878"/>
      <c r="E747" s="878"/>
      <c r="F747" s="878"/>
      <c r="G747" s="878"/>
      <c r="H747" s="878"/>
      <c r="I747" s="878"/>
      <c r="J747" s="878"/>
      <c r="K747" s="878"/>
      <c r="L747" s="878"/>
      <c r="M747" s="878"/>
      <c r="N747" s="878"/>
      <c r="O747" s="878"/>
      <c r="P747" s="878"/>
      <c r="Q747" s="878"/>
      <c r="R747" s="878"/>
      <c r="S747" s="878"/>
      <c r="T747" s="878"/>
      <c r="U747" s="878"/>
      <c r="V747" s="878"/>
      <c r="W747" s="878"/>
      <c r="X747" s="878"/>
      <c r="Y747" s="878"/>
      <c r="Z747" s="878"/>
    </row>
    <row r="748" ht="12.0" customHeight="1">
      <c r="A748" s="878"/>
      <c r="B748" s="879"/>
      <c r="C748" s="842"/>
      <c r="D748" s="878"/>
      <c r="E748" s="878"/>
      <c r="F748" s="878"/>
      <c r="G748" s="878"/>
      <c r="H748" s="878"/>
      <c r="I748" s="878"/>
      <c r="J748" s="878"/>
      <c r="K748" s="878"/>
      <c r="L748" s="878"/>
      <c r="M748" s="878"/>
      <c r="N748" s="878"/>
      <c r="O748" s="878"/>
      <c r="P748" s="878"/>
      <c r="Q748" s="878"/>
      <c r="R748" s="878"/>
      <c r="S748" s="878"/>
      <c r="T748" s="878"/>
      <c r="U748" s="878"/>
      <c r="V748" s="878"/>
      <c r="W748" s="878"/>
      <c r="X748" s="878"/>
      <c r="Y748" s="878"/>
      <c r="Z748" s="878"/>
    </row>
    <row r="749" ht="12.0" customHeight="1">
      <c r="A749" s="878"/>
      <c r="B749" s="879"/>
      <c r="C749" s="842"/>
      <c r="D749" s="878"/>
      <c r="E749" s="878"/>
      <c r="F749" s="878"/>
      <c r="G749" s="878"/>
      <c r="H749" s="878"/>
      <c r="I749" s="878"/>
      <c r="J749" s="878"/>
      <c r="K749" s="878"/>
      <c r="L749" s="878"/>
      <c r="M749" s="878"/>
      <c r="N749" s="878"/>
      <c r="O749" s="878"/>
      <c r="P749" s="878"/>
      <c r="Q749" s="878"/>
      <c r="R749" s="878"/>
      <c r="S749" s="878"/>
      <c r="T749" s="878"/>
      <c r="U749" s="878"/>
      <c r="V749" s="878"/>
      <c r="W749" s="878"/>
      <c r="X749" s="878"/>
      <c r="Y749" s="878"/>
      <c r="Z749" s="878"/>
    </row>
    <row r="750" ht="12.0" customHeight="1">
      <c r="A750" s="878"/>
      <c r="B750" s="879"/>
      <c r="C750" s="842"/>
      <c r="D750" s="878"/>
      <c r="E750" s="878"/>
      <c r="F750" s="878"/>
      <c r="G750" s="878"/>
      <c r="H750" s="878"/>
      <c r="I750" s="878"/>
      <c r="J750" s="878"/>
      <c r="K750" s="878"/>
      <c r="L750" s="878"/>
      <c r="M750" s="878"/>
      <c r="N750" s="878"/>
      <c r="O750" s="878"/>
      <c r="P750" s="878"/>
      <c r="Q750" s="878"/>
      <c r="R750" s="878"/>
      <c r="S750" s="878"/>
      <c r="T750" s="878"/>
      <c r="U750" s="878"/>
      <c r="V750" s="878"/>
      <c r="W750" s="878"/>
      <c r="X750" s="878"/>
      <c r="Y750" s="878"/>
      <c r="Z750" s="878"/>
    </row>
    <row r="751" ht="12.0" customHeight="1">
      <c r="A751" s="878"/>
      <c r="B751" s="879"/>
      <c r="C751" s="842"/>
      <c r="D751" s="878"/>
      <c r="E751" s="878"/>
      <c r="F751" s="878"/>
      <c r="G751" s="878"/>
      <c r="H751" s="878"/>
      <c r="I751" s="878"/>
      <c r="J751" s="878"/>
      <c r="K751" s="878"/>
      <c r="L751" s="878"/>
      <c r="M751" s="878"/>
      <c r="N751" s="878"/>
      <c r="O751" s="878"/>
      <c r="P751" s="878"/>
      <c r="Q751" s="878"/>
      <c r="R751" s="878"/>
      <c r="S751" s="878"/>
      <c r="T751" s="878"/>
      <c r="U751" s="878"/>
      <c r="V751" s="878"/>
      <c r="W751" s="878"/>
      <c r="X751" s="878"/>
      <c r="Y751" s="878"/>
      <c r="Z751" s="878"/>
    </row>
    <row r="752" ht="12.0" customHeight="1">
      <c r="A752" s="878"/>
      <c r="B752" s="879"/>
      <c r="C752" s="842"/>
      <c r="D752" s="878"/>
      <c r="E752" s="878"/>
      <c r="F752" s="878"/>
      <c r="G752" s="878"/>
      <c r="H752" s="878"/>
      <c r="I752" s="878"/>
      <c r="J752" s="878"/>
      <c r="K752" s="878"/>
      <c r="L752" s="878"/>
      <c r="M752" s="878"/>
      <c r="N752" s="878"/>
      <c r="O752" s="878"/>
      <c r="P752" s="878"/>
      <c r="Q752" s="878"/>
      <c r="R752" s="878"/>
      <c r="S752" s="878"/>
      <c r="T752" s="878"/>
      <c r="U752" s="878"/>
      <c r="V752" s="878"/>
      <c r="W752" s="878"/>
      <c r="X752" s="878"/>
      <c r="Y752" s="878"/>
      <c r="Z752" s="878"/>
    </row>
    <row r="753" ht="12.0" customHeight="1">
      <c r="A753" s="878"/>
      <c r="B753" s="879"/>
      <c r="C753" s="842"/>
      <c r="D753" s="878"/>
      <c r="E753" s="878"/>
      <c r="F753" s="878"/>
      <c r="G753" s="878"/>
      <c r="H753" s="878"/>
      <c r="I753" s="878"/>
      <c r="J753" s="878"/>
      <c r="K753" s="878"/>
      <c r="L753" s="878"/>
      <c r="M753" s="878"/>
      <c r="N753" s="878"/>
      <c r="O753" s="878"/>
      <c r="P753" s="878"/>
      <c r="Q753" s="878"/>
      <c r="R753" s="878"/>
      <c r="S753" s="878"/>
      <c r="T753" s="878"/>
      <c r="U753" s="878"/>
      <c r="V753" s="878"/>
      <c r="W753" s="878"/>
      <c r="X753" s="878"/>
      <c r="Y753" s="878"/>
      <c r="Z753" s="878"/>
    </row>
    <row r="754" ht="12.0" customHeight="1">
      <c r="A754" s="878"/>
      <c r="B754" s="879"/>
      <c r="C754" s="842"/>
      <c r="D754" s="878"/>
      <c r="E754" s="878"/>
      <c r="F754" s="878"/>
      <c r="G754" s="878"/>
      <c r="H754" s="878"/>
      <c r="I754" s="878"/>
      <c r="J754" s="878"/>
      <c r="K754" s="878"/>
      <c r="L754" s="878"/>
      <c r="M754" s="878"/>
      <c r="N754" s="878"/>
      <c r="O754" s="878"/>
      <c r="P754" s="878"/>
      <c r="Q754" s="878"/>
      <c r="R754" s="878"/>
      <c r="S754" s="878"/>
      <c r="T754" s="878"/>
      <c r="U754" s="878"/>
      <c r="V754" s="878"/>
      <c r="W754" s="878"/>
      <c r="X754" s="878"/>
      <c r="Y754" s="878"/>
      <c r="Z754" s="878"/>
    </row>
    <row r="755" ht="12.0" customHeight="1">
      <c r="A755" s="878"/>
      <c r="B755" s="879"/>
      <c r="C755" s="842"/>
      <c r="D755" s="878"/>
      <c r="E755" s="878"/>
      <c r="F755" s="878"/>
      <c r="G755" s="878"/>
      <c r="H755" s="878"/>
      <c r="I755" s="878"/>
      <c r="J755" s="878"/>
      <c r="K755" s="878"/>
      <c r="L755" s="878"/>
      <c r="M755" s="878"/>
      <c r="N755" s="878"/>
      <c r="O755" s="878"/>
      <c r="P755" s="878"/>
      <c r="Q755" s="878"/>
      <c r="R755" s="878"/>
      <c r="S755" s="878"/>
      <c r="T755" s="878"/>
      <c r="U755" s="878"/>
      <c r="V755" s="878"/>
      <c r="W755" s="878"/>
      <c r="X755" s="878"/>
      <c r="Y755" s="878"/>
      <c r="Z755" s="878"/>
    </row>
    <row r="756" ht="12.0" customHeight="1">
      <c r="A756" s="878"/>
      <c r="B756" s="879"/>
      <c r="C756" s="842"/>
      <c r="D756" s="878"/>
      <c r="E756" s="878"/>
      <c r="F756" s="878"/>
      <c r="G756" s="878"/>
      <c r="H756" s="878"/>
      <c r="I756" s="878"/>
      <c r="J756" s="878"/>
      <c r="K756" s="878"/>
      <c r="L756" s="878"/>
      <c r="M756" s="878"/>
      <c r="N756" s="878"/>
      <c r="O756" s="878"/>
      <c r="P756" s="878"/>
      <c r="Q756" s="878"/>
      <c r="R756" s="878"/>
      <c r="S756" s="878"/>
      <c r="T756" s="878"/>
      <c r="U756" s="878"/>
      <c r="V756" s="878"/>
      <c r="W756" s="878"/>
      <c r="X756" s="878"/>
      <c r="Y756" s="878"/>
      <c r="Z756" s="878"/>
    </row>
    <row r="757" ht="12.0" customHeight="1">
      <c r="A757" s="878"/>
      <c r="B757" s="879"/>
      <c r="C757" s="842"/>
      <c r="D757" s="878"/>
      <c r="E757" s="878"/>
      <c r="F757" s="878"/>
      <c r="G757" s="878"/>
      <c r="H757" s="878"/>
      <c r="I757" s="878"/>
      <c r="J757" s="878"/>
      <c r="K757" s="878"/>
      <c r="L757" s="878"/>
      <c r="M757" s="878"/>
      <c r="N757" s="878"/>
      <c r="O757" s="878"/>
      <c r="P757" s="878"/>
      <c r="Q757" s="878"/>
      <c r="R757" s="878"/>
      <c r="S757" s="878"/>
      <c r="T757" s="878"/>
      <c r="U757" s="878"/>
      <c r="V757" s="878"/>
      <c r="W757" s="878"/>
      <c r="X757" s="878"/>
      <c r="Y757" s="878"/>
      <c r="Z757" s="878"/>
    </row>
    <row r="758" ht="12.0" customHeight="1">
      <c r="A758" s="878"/>
      <c r="B758" s="879"/>
      <c r="C758" s="842"/>
      <c r="D758" s="878"/>
      <c r="E758" s="878"/>
      <c r="F758" s="878"/>
      <c r="G758" s="878"/>
      <c r="H758" s="878"/>
      <c r="I758" s="878"/>
      <c r="J758" s="878"/>
      <c r="K758" s="878"/>
      <c r="L758" s="878"/>
      <c r="M758" s="878"/>
      <c r="N758" s="878"/>
      <c r="O758" s="878"/>
      <c r="P758" s="878"/>
      <c r="Q758" s="878"/>
      <c r="R758" s="878"/>
      <c r="S758" s="878"/>
      <c r="T758" s="878"/>
      <c r="U758" s="878"/>
      <c r="V758" s="878"/>
      <c r="W758" s="878"/>
      <c r="X758" s="878"/>
      <c r="Y758" s="878"/>
      <c r="Z758" s="878"/>
    </row>
    <row r="759" ht="12.0" customHeight="1">
      <c r="A759" s="878"/>
      <c r="B759" s="879"/>
      <c r="C759" s="842"/>
      <c r="D759" s="878"/>
      <c r="E759" s="878"/>
      <c r="F759" s="878"/>
      <c r="G759" s="878"/>
      <c r="H759" s="878"/>
      <c r="I759" s="878"/>
      <c r="J759" s="878"/>
      <c r="K759" s="878"/>
      <c r="L759" s="878"/>
      <c r="M759" s="878"/>
      <c r="N759" s="878"/>
      <c r="O759" s="878"/>
      <c r="P759" s="878"/>
      <c r="Q759" s="878"/>
      <c r="R759" s="878"/>
      <c r="S759" s="878"/>
      <c r="T759" s="878"/>
      <c r="U759" s="878"/>
      <c r="V759" s="878"/>
      <c r="W759" s="878"/>
      <c r="X759" s="878"/>
      <c r="Y759" s="878"/>
      <c r="Z759" s="878"/>
    </row>
    <row r="760" ht="12.0" customHeight="1">
      <c r="A760" s="878"/>
      <c r="B760" s="879"/>
      <c r="C760" s="842"/>
      <c r="D760" s="878"/>
      <c r="E760" s="878"/>
      <c r="F760" s="878"/>
      <c r="G760" s="878"/>
      <c r="H760" s="878"/>
      <c r="I760" s="878"/>
      <c r="J760" s="878"/>
      <c r="K760" s="878"/>
      <c r="L760" s="878"/>
      <c r="M760" s="878"/>
      <c r="N760" s="878"/>
      <c r="O760" s="878"/>
      <c r="P760" s="878"/>
      <c r="Q760" s="878"/>
      <c r="R760" s="878"/>
      <c r="S760" s="878"/>
      <c r="T760" s="878"/>
      <c r="U760" s="878"/>
      <c r="V760" s="878"/>
      <c r="W760" s="878"/>
      <c r="X760" s="878"/>
      <c r="Y760" s="878"/>
      <c r="Z760" s="878"/>
    </row>
    <row r="761" ht="12.0" customHeight="1">
      <c r="A761" s="878"/>
      <c r="B761" s="879"/>
      <c r="C761" s="842"/>
      <c r="D761" s="878"/>
      <c r="E761" s="878"/>
      <c r="F761" s="878"/>
      <c r="G761" s="878"/>
      <c r="H761" s="878"/>
      <c r="I761" s="878"/>
      <c r="J761" s="878"/>
      <c r="K761" s="878"/>
      <c r="L761" s="878"/>
      <c r="M761" s="878"/>
      <c r="N761" s="878"/>
      <c r="O761" s="878"/>
      <c r="P761" s="878"/>
      <c r="Q761" s="878"/>
      <c r="R761" s="878"/>
      <c r="S761" s="878"/>
      <c r="T761" s="878"/>
      <c r="U761" s="878"/>
      <c r="V761" s="878"/>
      <c r="W761" s="878"/>
      <c r="X761" s="878"/>
      <c r="Y761" s="878"/>
      <c r="Z761" s="878"/>
    </row>
    <row r="762" ht="12.0" customHeight="1">
      <c r="A762" s="878"/>
      <c r="B762" s="879"/>
      <c r="C762" s="842"/>
      <c r="D762" s="878"/>
      <c r="E762" s="878"/>
      <c r="F762" s="878"/>
      <c r="G762" s="878"/>
      <c r="H762" s="878"/>
      <c r="I762" s="878"/>
      <c r="J762" s="878"/>
      <c r="K762" s="878"/>
      <c r="L762" s="878"/>
      <c r="M762" s="878"/>
      <c r="N762" s="878"/>
      <c r="O762" s="878"/>
      <c r="P762" s="878"/>
      <c r="Q762" s="878"/>
      <c r="R762" s="878"/>
      <c r="S762" s="878"/>
      <c r="T762" s="878"/>
      <c r="U762" s="878"/>
      <c r="V762" s="878"/>
      <c r="W762" s="878"/>
      <c r="X762" s="878"/>
      <c r="Y762" s="878"/>
      <c r="Z762" s="878"/>
    </row>
    <row r="763" ht="12.0" customHeight="1">
      <c r="A763" s="878"/>
      <c r="B763" s="879"/>
      <c r="C763" s="842"/>
      <c r="D763" s="878"/>
      <c r="E763" s="878"/>
      <c r="F763" s="878"/>
      <c r="G763" s="878"/>
      <c r="H763" s="878"/>
      <c r="I763" s="878"/>
      <c r="J763" s="878"/>
      <c r="K763" s="878"/>
      <c r="L763" s="878"/>
      <c r="M763" s="878"/>
      <c r="N763" s="878"/>
      <c r="O763" s="878"/>
      <c r="P763" s="878"/>
      <c r="Q763" s="878"/>
      <c r="R763" s="878"/>
      <c r="S763" s="878"/>
      <c r="T763" s="878"/>
      <c r="U763" s="878"/>
      <c r="V763" s="878"/>
      <c r="W763" s="878"/>
      <c r="X763" s="878"/>
      <c r="Y763" s="878"/>
      <c r="Z763" s="878"/>
    </row>
    <row r="764" ht="12.0" customHeight="1">
      <c r="A764" s="878"/>
      <c r="B764" s="879"/>
      <c r="C764" s="842"/>
      <c r="D764" s="878"/>
      <c r="E764" s="878"/>
      <c r="F764" s="878"/>
      <c r="G764" s="878"/>
      <c r="H764" s="878"/>
      <c r="I764" s="878"/>
      <c r="J764" s="878"/>
      <c r="K764" s="878"/>
      <c r="L764" s="878"/>
      <c r="M764" s="878"/>
      <c r="N764" s="878"/>
      <c r="O764" s="878"/>
      <c r="P764" s="878"/>
      <c r="Q764" s="878"/>
      <c r="R764" s="878"/>
      <c r="S764" s="878"/>
      <c r="T764" s="878"/>
      <c r="U764" s="878"/>
      <c r="V764" s="878"/>
      <c r="W764" s="878"/>
      <c r="X764" s="878"/>
      <c r="Y764" s="878"/>
      <c r="Z764" s="878"/>
    </row>
    <row r="765" ht="12.0" customHeight="1">
      <c r="A765" s="878"/>
      <c r="B765" s="879"/>
      <c r="C765" s="842"/>
      <c r="D765" s="878"/>
      <c r="E765" s="878"/>
      <c r="F765" s="878"/>
      <c r="G765" s="878"/>
      <c r="H765" s="878"/>
      <c r="I765" s="878"/>
      <c r="J765" s="878"/>
      <c r="K765" s="878"/>
      <c r="L765" s="878"/>
      <c r="M765" s="878"/>
      <c r="N765" s="878"/>
      <c r="O765" s="878"/>
      <c r="P765" s="878"/>
      <c r="Q765" s="878"/>
      <c r="R765" s="878"/>
      <c r="S765" s="878"/>
      <c r="T765" s="878"/>
      <c r="U765" s="878"/>
      <c r="V765" s="878"/>
      <c r="W765" s="878"/>
      <c r="X765" s="878"/>
      <c r="Y765" s="878"/>
      <c r="Z765" s="878"/>
    </row>
    <row r="766" ht="12.0" customHeight="1">
      <c r="A766" s="878"/>
      <c r="B766" s="879"/>
      <c r="C766" s="842"/>
      <c r="D766" s="878"/>
      <c r="E766" s="878"/>
      <c r="F766" s="878"/>
      <c r="G766" s="878"/>
      <c r="H766" s="878"/>
      <c r="I766" s="878"/>
      <c r="J766" s="878"/>
      <c r="K766" s="878"/>
      <c r="L766" s="878"/>
      <c r="M766" s="878"/>
      <c r="N766" s="878"/>
      <c r="O766" s="878"/>
      <c r="P766" s="878"/>
      <c r="Q766" s="878"/>
      <c r="R766" s="878"/>
      <c r="S766" s="878"/>
      <c r="T766" s="878"/>
      <c r="U766" s="878"/>
      <c r="V766" s="878"/>
      <c r="W766" s="878"/>
      <c r="X766" s="878"/>
      <c r="Y766" s="878"/>
      <c r="Z766" s="878"/>
    </row>
    <row r="767" ht="12.0" customHeight="1">
      <c r="A767" s="878"/>
      <c r="B767" s="879"/>
      <c r="C767" s="842"/>
      <c r="D767" s="878"/>
      <c r="E767" s="878"/>
      <c r="F767" s="878"/>
      <c r="G767" s="878"/>
      <c r="H767" s="878"/>
      <c r="I767" s="878"/>
      <c r="J767" s="878"/>
      <c r="K767" s="878"/>
      <c r="L767" s="878"/>
      <c r="M767" s="878"/>
      <c r="N767" s="878"/>
      <c r="O767" s="878"/>
      <c r="P767" s="878"/>
      <c r="Q767" s="878"/>
      <c r="R767" s="878"/>
      <c r="S767" s="878"/>
      <c r="T767" s="878"/>
      <c r="U767" s="878"/>
      <c r="V767" s="878"/>
      <c r="W767" s="878"/>
      <c r="X767" s="878"/>
      <c r="Y767" s="878"/>
      <c r="Z767" s="878"/>
    </row>
    <row r="768" ht="12.0" customHeight="1">
      <c r="A768" s="878"/>
      <c r="B768" s="879"/>
      <c r="C768" s="842"/>
      <c r="D768" s="878"/>
      <c r="E768" s="878"/>
      <c r="F768" s="878"/>
      <c r="G768" s="878"/>
      <c r="H768" s="878"/>
      <c r="I768" s="878"/>
      <c r="J768" s="878"/>
      <c r="K768" s="878"/>
      <c r="L768" s="878"/>
      <c r="M768" s="878"/>
      <c r="N768" s="878"/>
      <c r="O768" s="878"/>
      <c r="P768" s="878"/>
      <c r="Q768" s="878"/>
      <c r="R768" s="878"/>
      <c r="S768" s="878"/>
      <c r="T768" s="878"/>
      <c r="U768" s="878"/>
      <c r="V768" s="878"/>
      <c r="W768" s="878"/>
      <c r="X768" s="878"/>
      <c r="Y768" s="878"/>
      <c r="Z768" s="878"/>
    </row>
    <row r="769" ht="12.0" customHeight="1">
      <c r="A769" s="878"/>
      <c r="B769" s="879"/>
      <c r="C769" s="842"/>
      <c r="D769" s="878"/>
      <c r="E769" s="878"/>
      <c r="F769" s="878"/>
      <c r="G769" s="878"/>
      <c r="H769" s="878"/>
      <c r="I769" s="878"/>
      <c r="J769" s="878"/>
      <c r="K769" s="878"/>
      <c r="L769" s="878"/>
      <c r="M769" s="878"/>
      <c r="N769" s="878"/>
      <c r="O769" s="878"/>
      <c r="P769" s="878"/>
      <c r="Q769" s="878"/>
      <c r="R769" s="878"/>
      <c r="S769" s="878"/>
      <c r="T769" s="878"/>
      <c r="U769" s="878"/>
      <c r="V769" s="878"/>
      <c r="W769" s="878"/>
      <c r="X769" s="878"/>
      <c r="Y769" s="878"/>
      <c r="Z769" s="878"/>
    </row>
    <row r="770" ht="12.0" customHeight="1">
      <c r="A770" s="878"/>
      <c r="B770" s="879"/>
      <c r="C770" s="842"/>
      <c r="D770" s="878"/>
      <c r="E770" s="878"/>
      <c r="F770" s="878"/>
      <c r="G770" s="878"/>
      <c r="H770" s="878"/>
      <c r="I770" s="878"/>
      <c r="J770" s="878"/>
      <c r="K770" s="878"/>
      <c r="L770" s="878"/>
      <c r="M770" s="878"/>
      <c r="N770" s="878"/>
      <c r="O770" s="878"/>
      <c r="P770" s="878"/>
      <c r="Q770" s="878"/>
      <c r="R770" s="878"/>
      <c r="S770" s="878"/>
      <c r="T770" s="878"/>
      <c r="U770" s="878"/>
      <c r="V770" s="878"/>
      <c r="W770" s="878"/>
      <c r="X770" s="878"/>
      <c r="Y770" s="878"/>
      <c r="Z770" s="878"/>
    </row>
    <row r="771" ht="12.0" customHeight="1">
      <c r="A771" s="878"/>
      <c r="B771" s="879"/>
      <c r="C771" s="842"/>
      <c r="D771" s="878"/>
      <c r="E771" s="878"/>
      <c r="F771" s="878"/>
      <c r="G771" s="878"/>
      <c r="H771" s="878"/>
      <c r="I771" s="878"/>
      <c r="J771" s="878"/>
      <c r="K771" s="878"/>
      <c r="L771" s="878"/>
      <c r="M771" s="878"/>
      <c r="N771" s="878"/>
      <c r="O771" s="878"/>
      <c r="P771" s="878"/>
      <c r="Q771" s="878"/>
      <c r="R771" s="878"/>
      <c r="S771" s="878"/>
      <c r="T771" s="878"/>
      <c r="U771" s="878"/>
      <c r="V771" s="878"/>
      <c r="W771" s="878"/>
      <c r="X771" s="878"/>
      <c r="Y771" s="878"/>
      <c r="Z771" s="878"/>
    </row>
    <row r="772" ht="12.0" customHeight="1">
      <c r="A772" s="878"/>
      <c r="B772" s="879"/>
      <c r="C772" s="842"/>
      <c r="D772" s="878"/>
      <c r="E772" s="878"/>
      <c r="F772" s="878"/>
      <c r="G772" s="878"/>
      <c r="H772" s="878"/>
      <c r="I772" s="878"/>
      <c r="J772" s="878"/>
      <c r="K772" s="878"/>
      <c r="L772" s="878"/>
      <c r="M772" s="878"/>
      <c r="N772" s="878"/>
      <c r="O772" s="878"/>
      <c r="P772" s="878"/>
      <c r="Q772" s="878"/>
      <c r="R772" s="878"/>
      <c r="S772" s="878"/>
      <c r="T772" s="878"/>
      <c r="U772" s="878"/>
      <c r="V772" s="878"/>
      <c r="W772" s="878"/>
      <c r="X772" s="878"/>
      <c r="Y772" s="878"/>
      <c r="Z772" s="878"/>
    </row>
    <row r="773" ht="12.0" customHeight="1">
      <c r="A773" s="878"/>
      <c r="B773" s="879"/>
      <c r="C773" s="842"/>
      <c r="D773" s="878"/>
      <c r="E773" s="878"/>
      <c r="F773" s="878"/>
      <c r="G773" s="878"/>
      <c r="H773" s="878"/>
      <c r="I773" s="878"/>
      <c r="J773" s="878"/>
      <c r="K773" s="878"/>
      <c r="L773" s="878"/>
      <c r="M773" s="878"/>
      <c r="N773" s="878"/>
      <c r="O773" s="878"/>
      <c r="P773" s="878"/>
      <c r="Q773" s="878"/>
      <c r="R773" s="878"/>
      <c r="S773" s="878"/>
      <c r="T773" s="878"/>
      <c r="U773" s="878"/>
      <c r="V773" s="878"/>
      <c r="W773" s="878"/>
      <c r="X773" s="878"/>
      <c r="Y773" s="878"/>
      <c r="Z773" s="878"/>
    </row>
    <row r="774" ht="12.0" customHeight="1">
      <c r="A774" s="878"/>
      <c r="B774" s="879"/>
      <c r="C774" s="842"/>
      <c r="D774" s="878"/>
      <c r="E774" s="878"/>
      <c r="F774" s="878"/>
      <c r="G774" s="878"/>
      <c r="H774" s="878"/>
      <c r="I774" s="878"/>
      <c r="J774" s="878"/>
      <c r="K774" s="878"/>
      <c r="L774" s="878"/>
      <c r="M774" s="878"/>
      <c r="N774" s="878"/>
      <c r="O774" s="878"/>
      <c r="P774" s="878"/>
      <c r="Q774" s="878"/>
      <c r="R774" s="878"/>
      <c r="S774" s="878"/>
      <c r="T774" s="878"/>
      <c r="U774" s="878"/>
      <c r="V774" s="878"/>
      <c r="W774" s="878"/>
      <c r="X774" s="878"/>
      <c r="Y774" s="878"/>
      <c r="Z774" s="878"/>
    </row>
    <row r="775" ht="12.0" customHeight="1">
      <c r="A775" s="878"/>
      <c r="B775" s="879"/>
      <c r="C775" s="842"/>
      <c r="D775" s="878"/>
      <c r="E775" s="878"/>
      <c r="F775" s="878"/>
      <c r="G775" s="878"/>
      <c r="H775" s="878"/>
      <c r="I775" s="878"/>
      <c r="J775" s="878"/>
      <c r="K775" s="878"/>
      <c r="L775" s="878"/>
      <c r="M775" s="878"/>
      <c r="N775" s="878"/>
      <c r="O775" s="878"/>
      <c r="P775" s="878"/>
      <c r="Q775" s="878"/>
      <c r="R775" s="878"/>
      <c r="S775" s="878"/>
      <c r="T775" s="878"/>
      <c r="U775" s="878"/>
      <c r="V775" s="878"/>
      <c r="W775" s="878"/>
      <c r="X775" s="878"/>
      <c r="Y775" s="878"/>
      <c r="Z775" s="878"/>
    </row>
    <row r="776" ht="12.0" customHeight="1">
      <c r="A776" s="878"/>
      <c r="B776" s="879"/>
      <c r="C776" s="842"/>
      <c r="D776" s="878"/>
      <c r="E776" s="878"/>
      <c r="F776" s="878"/>
      <c r="G776" s="878"/>
      <c r="H776" s="878"/>
      <c r="I776" s="878"/>
      <c r="J776" s="878"/>
      <c r="K776" s="878"/>
      <c r="L776" s="878"/>
      <c r="M776" s="878"/>
      <c r="N776" s="878"/>
      <c r="O776" s="878"/>
      <c r="P776" s="878"/>
      <c r="Q776" s="878"/>
      <c r="R776" s="878"/>
      <c r="S776" s="878"/>
      <c r="T776" s="878"/>
      <c r="U776" s="878"/>
      <c r="V776" s="878"/>
      <c r="W776" s="878"/>
      <c r="X776" s="878"/>
      <c r="Y776" s="878"/>
      <c r="Z776" s="878"/>
    </row>
    <row r="777" ht="12.0" customHeight="1">
      <c r="A777" s="878"/>
      <c r="B777" s="879"/>
      <c r="C777" s="842"/>
      <c r="D777" s="878"/>
      <c r="E777" s="878"/>
      <c r="F777" s="878"/>
      <c r="G777" s="878"/>
      <c r="H777" s="878"/>
      <c r="I777" s="878"/>
      <c r="J777" s="878"/>
      <c r="K777" s="878"/>
      <c r="L777" s="878"/>
      <c r="M777" s="878"/>
      <c r="N777" s="878"/>
      <c r="O777" s="878"/>
      <c r="P777" s="878"/>
      <c r="Q777" s="878"/>
      <c r="R777" s="878"/>
      <c r="S777" s="878"/>
      <c r="T777" s="878"/>
      <c r="U777" s="878"/>
      <c r="V777" s="878"/>
      <c r="W777" s="878"/>
      <c r="X777" s="878"/>
      <c r="Y777" s="878"/>
      <c r="Z777" s="878"/>
    </row>
    <row r="778" ht="12.0" customHeight="1">
      <c r="A778" s="878"/>
      <c r="B778" s="879"/>
      <c r="C778" s="842"/>
      <c r="D778" s="878"/>
      <c r="E778" s="878"/>
      <c r="F778" s="878"/>
      <c r="G778" s="878"/>
      <c r="H778" s="878"/>
      <c r="I778" s="878"/>
      <c r="J778" s="878"/>
      <c r="K778" s="878"/>
      <c r="L778" s="878"/>
      <c r="M778" s="878"/>
      <c r="N778" s="878"/>
      <c r="O778" s="878"/>
      <c r="P778" s="878"/>
      <c r="Q778" s="878"/>
      <c r="R778" s="878"/>
      <c r="S778" s="878"/>
      <c r="T778" s="878"/>
      <c r="U778" s="878"/>
      <c r="V778" s="878"/>
      <c r="W778" s="878"/>
      <c r="X778" s="878"/>
      <c r="Y778" s="878"/>
      <c r="Z778" s="878"/>
    </row>
    <row r="779" ht="12.0" customHeight="1">
      <c r="A779" s="878"/>
      <c r="B779" s="879"/>
      <c r="C779" s="842"/>
      <c r="D779" s="878"/>
      <c r="E779" s="878"/>
      <c r="F779" s="878"/>
      <c r="G779" s="878"/>
      <c r="H779" s="878"/>
      <c r="I779" s="878"/>
      <c r="J779" s="878"/>
      <c r="K779" s="878"/>
      <c r="L779" s="878"/>
      <c r="M779" s="878"/>
      <c r="N779" s="878"/>
      <c r="O779" s="878"/>
      <c r="P779" s="878"/>
      <c r="Q779" s="878"/>
      <c r="R779" s="878"/>
      <c r="S779" s="878"/>
      <c r="T779" s="878"/>
      <c r="U779" s="878"/>
      <c r="V779" s="878"/>
      <c r="W779" s="878"/>
      <c r="X779" s="878"/>
      <c r="Y779" s="878"/>
      <c r="Z779" s="878"/>
    </row>
    <row r="780" ht="12.0" customHeight="1">
      <c r="A780" s="878"/>
      <c r="B780" s="879"/>
      <c r="C780" s="842"/>
      <c r="D780" s="878"/>
      <c r="E780" s="878"/>
      <c r="F780" s="878"/>
      <c r="G780" s="878"/>
      <c r="H780" s="878"/>
      <c r="I780" s="878"/>
      <c r="J780" s="878"/>
      <c r="K780" s="878"/>
      <c r="L780" s="878"/>
      <c r="M780" s="878"/>
      <c r="N780" s="878"/>
      <c r="O780" s="878"/>
      <c r="P780" s="878"/>
      <c r="Q780" s="878"/>
      <c r="R780" s="878"/>
      <c r="S780" s="878"/>
      <c r="T780" s="878"/>
      <c r="U780" s="878"/>
      <c r="V780" s="878"/>
      <c r="W780" s="878"/>
      <c r="X780" s="878"/>
      <c r="Y780" s="878"/>
      <c r="Z780" s="878"/>
    </row>
    <row r="781" ht="12.0" customHeight="1">
      <c r="A781" s="878"/>
      <c r="B781" s="879"/>
      <c r="C781" s="842"/>
      <c r="D781" s="878"/>
      <c r="E781" s="878"/>
      <c r="F781" s="878"/>
      <c r="G781" s="878"/>
      <c r="H781" s="878"/>
      <c r="I781" s="878"/>
      <c r="J781" s="878"/>
      <c r="K781" s="878"/>
      <c r="L781" s="878"/>
      <c r="M781" s="878"/>
      <c r="N781" s="878"/>
      <c r="O781" s="878"/>
      <c r="P781" s="878"/>
      <c r="Q781" s="878"/>
      <c r="R781" s="878"/>
      <c r="S781" s="878"/>
      <c r="T781" s="878"/>
      <c r="U781" s="878"/>
      <c r="V781" s="878"/>
      <c r="W781" s="878"/>
      <c r="X781" s="878"/>
      <c r="Y781" s="878"/>
      <c r="Z781" s="878"/>
    </row>
    <row r="782" ht="12.0" customHeight="1">
      <c r="A782" s="878"/>
      <c r="B782" s="879"/>
      <c r="C782" s="842"/>
      <c r="D782" s="878"/>
      <c r="E782" s="878"/>
      <c r="F782" s="878"/>
      <c r="G782" s="878"/>
      <c r="H782" s="878"/>
      <c r="I782" s="878"/>
      <c r="J782" s="878"/>
      <c r="K782" s="878"/>
      <c r="L782" s="878"/>
      <c r="M782" s="878"/>
      <c r="N782" s="878"/>
      <c r="O782" s="878"/>
      <c r="P782" s="878"/>
      <c r="Q782" s="878"/>
      <c r="R782" s="878"/>
      <c r="S782" s="878"/>
      <c r="T782" s="878"/>
      <c r="U782" s="878"/>
      <c r="V782" s="878"/>
      <c r="W782" s="878"/>
      <c r="X782" s="878"/>
      <c r="Y782" s="878"/>
      <c r="Z782" s="878"/>
    </row>
    <row r="783" ht="12.0" customHeight="1">
      <c r="A783" s="878"/>
      <c r="B783" s="879"/>
      <c r="C783" s="842"/>
      <c r="D783" s="878"/>
      <c r="E783" s="878"/>
      <c r="F783" s="878"/>
      <c r="G783" s="878"/>
      <c r="H783" s="878"/>
      <c r="I783" s="878"/>
      <c r="J783" s="878"/>
      <c r="K783" s="878"/>
      <c r="L783" s="878"/>
      <c r="M783" s="878"/>
      <c r="N783" s="878"/>
      <c r="O783" s="878"/>
      <c r="P783" s="878"/>
      <c r="Q783" s="878"/>
      <c r="R783" s="878"/>
      <c r="S783" s="878"/>
      <c r="T783" s="878"/>
      <c r="U783" s="878"/>
      <c r="V783" s="878"/>
      <c r="W783" s="878"/>
      <c r="X783" s="878"/>
      <c r="Y783" s="878"/>
      <c r="Z783" s="878"/>
    </row>
    <row r="784" ht="12.0" customHeight="1">
      <c r="A784" s="878"/>
      <c r="B784" s="879"/>
      <c r="C784" s="842"/>
      <c r="D784" s="878"/>
      <c r="E784" s="878"/>
      <c r="F784" s="878"/>
      <c r="G784" s="878"/>
      <c r="H784" s="878"/>
      <c r="I784" s="878"/>
      <c r="J784" s="878"/>
      <c r="K784" s="878"/>
      <c r="L784" s="878"/>
      <c r="M784" s="878"/>
      <c r="N784" s="878"/>
      <c r="O784" s="878"/>
      <c r="P784" s="878"/>
      <c r="Q784" s="878"/>
      <c r="R784" s="878"/>
      <c r="S784" s="878"/>
      <c r="T784" s="878"/>
      <c r="U784" s="878"/>
      <c r="V784" s="878"/>
      <c r="W784" s="878"/>
      <c r="X784" s="878"/>
      <c r="Y784" s="878"/>
      <c r="Z784" s="878"/>
    </row>
    <row r="785" ht="12.0" customHeight="1">
      <c r="A785" s="878"/>
      <c r="B785" s="879"/>
      <c r="C785" s="842"/>
      <c r="D785" s="878"/>
      <c r="E785" s="878"/>
      <c r="F785" s="878"/>
      <c r="G785" s="878"/>
      <c r="H785" s="878"/>
      <c r="I785" s="878"/>
      <c r="J785" s="878"/>
      <c r="K785" s="878"/>
      <c r="L785" s="878"/>
      <c r="M785" s="878"/>
      <c r="N785" s="878"/>
      <c r="O785" s="878"/>
      <c r="P785" s="878"/>
      <c r="Q785" s="878"/>
      <c r="R785" s="878"/>
      <c r="S785" s="878"/>
      <c r="T785" s="878"/>
      <c r="U785" s="878"/>
      <c r="V785" s="878"/>
      <c r="W785" s="878"/>
      <c r="X785" s="878"/>
      <c r="Y785" s="878"/>
      <c r="Z785" s="878"/>
    </row>
    <row r="786" ht="12.0" customHeight="1">
      <c r="A786" s="878"/>
      <c r="B786" s="879"/>
      <c r="C786" s="842"/>
      <c r="D786" s="878"/>
      <c r="E786" s="878"/>
      <c r="F786" s="878"/>
      <c r="G786" s="878"/>
      <c r="H786" s="878"/>
      <c r="I786" s="878"/>
      <c r="J786" s="878"/>
      <c r="K786" s="878"/>
      <c r="L786" s="878"/>
      <c r="M786" s="878"/>
      <c r="N786" s="878"/>
      <c r="O786" s="878"/>
      <c r="P786" s="878"/>
      <c r="Q786" s="878"/>
      <c r="R786" s="878"/>
      <c r="S786" s="878"/>
      <c r="T786" s="878"/>
      <c r="U786" s="878"/>
      <c r="V786" s="878"/>
      <c r="W786" s="878"/>
      <c r="X786" s="878"/>
      <c r="Y786" s="878"/>
      <c r="Z786" s="878"/>
    </row>
    <row r="787" ht="12.0" customHeight="1">
      <c r="A787" s="878"/>
      <c r="B787" s="879"/>
      <c r="C787" s="842"/>
      <c r="D787" s="878"/>
      <c r="E787" s="878"/>
      <c r="F787" s="878"/>
      <c r="G787" s="878"/>
      <c r="H787" s="878"/>
      <c r="I787" s="878"/>
      <c r="J787" s="878"/>
      <c r="K787" s="878"/>
      <c r="L787" s="878"/>
      <c r="M787" s="878"/>
      <c r="N787" s="878"/>
      <c r="O787" s="878"/>
      <c r="P787" s="878"/>
      <c r="Q787" s="878"/>
      <c r="R787" s="878"/>
      <c r="S787" s="878"/>
      <c r="T787" s="878"/>
      <c r="U787" s="878"/>
      <c r="V787" s="878"/>
      <c r="W787" s="878"/>
      <c r="X787" s="878"/>
      <c r="Y787" s="878"/>
      <c r="Z787" s="878"/>
    </row>
    <row r="788" ht="12.0" customHeight="1">
      <c r="A788" s="878"/>
      <c r="B788" s="879"/>
      <c r="C788" s="842"/>
      <c r="D788" s="878"/>
      <c r="E788" s="878"/>
      <c r="F788" s="878"/>
      <c r="G788" s="878"/>
      <c r="H788" s="878"/>
      <c r="I788" s="878"/>
      <c r="J788" s="878"/>
      <c r="K788" s="878"/>
      <c r="L788" s="878"/>
      <c r="M788" s="878"/>
      <c r="N788" s="878"/>
      <c r="O788" s="878"/>
      <c r="P788" s="878"/>
      <c r="Q788" s="878"/>
      <c r="R788" s="878"/>
      <c r="S788" s="878"/>
      <c r="T788" s="878"/>
      <c r="U788" s="878"/>
      <c r="V788" s="878"/>
      <c r="W788" s="878"/>
      <c r="X788" s="878"/>
      <c r="Y788" s="878"/>
      <c r="Z788" s="878"/>
    </row>
    <row r="789" ht="12.0" customHeight="1">
      <c r="A789" s="878"/>
      <c r="B789" s="879"/>
      <c r="C789" s="842"/>
      <c r="D789" s="878"/>
      <c r="E789" s="878"/>
      <c r="F789" s="878"/>
      <c r="G789" s="878"/>
      <c r="H789" s="878"/>
      <c r="I789" s="878"/>
      <c r="J789" s="878"/>
      <c r="K789" s="878"/>
      <c r="L789" s="878"/>
      <c r="M789" s="878"/>
      <c r="N789" s="878"/>
      <c r="O789" s="878"/>
      <c r="P789" s="878"/>
      <c r="Q789" s="878"/>
      <c r="R789" s="878"/>
      <c r="S789" s="878"/>
      <c r="T789" s="878"/>
      <c r="U789" s="878"/>
      <c r="V789" s="878"/>
      <c r="W789" s="878"/>
      <c r="X789" s="878"/>
      <c r="Y789" s="878"/>
      <c r="Z789" s="878"/>
    </row>
    <row r="790" ht="12.0" customHeight="1">
      <c r="A790" s="878"/>
      <c r="B790" s="879"/>
      <c r="C790" s="842"/>
      <c r="D790" s="878"/>
      <c r="E790" s="878"/>
      <c r="F790" s="878"/>
      <c r="G790" s="878"/>
      <c r="H790" s="878"/>
      <c r="I790" s="878"/>
      <c r="J790" s="878"/>
      <c r="K790" s="878"/>
      <c r="L790" s="878"/>
      <c r="M790" s="878"/>
      <c r="N790" s="878"/>
      <c r="O790" s="878"/>
      <c r="P790" s="878"/>
      <c r="Q790" s="878"/>
      <c r="R790" s="878"/>
      <c r="S790" s="878"/>
      <c r="T790" s="878"/>
      <c r="U790" s="878"/>
      <c r="V790" s="878"/>
      <c r="W790" s="878"/>
      <c r="X790" s="878"/>
      <c r="Y790" s="878"/>
      <c r="Z790" s="878"/>
    </row>
    <row r="791" ht="12.0" customHeight="1">
      <c r="A791" s="878"/>
      <c r="B791" s="879"/>
      <c r="C791" s="842"/>
      <c r="D791" s="878"/>
      <c r="E791" s="878"/>
      <c r="F791" s="878"/>
      <c r="G791" s="878"/>
      <c r="H791" s="878"/>
      <c r="I791" s="878"/>
      <c r="J791" s="878"/>
      <c r="K791" s="878"/>
      <c r="L791" s="878"/>
      <c r="M791" s="878"/>
      <c r="N791" s="878"/>
      <c r="O791" s="878"/>
      <c r="P791" s="878"/>
      <c r="Q791" s="878"/>
      <c r="R791" s="878"/>
      <c r="S791" s="878"/>
      <c r="T791" s="878"/>
      <c r="U791" s="878"/>
      <c r="V791" s="878"/>
      <c r="W791" s="878"/>
      <c r="X791" s="878"/>
      <c r="Y791" s="878"/>
      <c r="Z791" s="878"/>
    </row>
    <row r="792" ht="12.0" customHeight="1">
      <c r="A792" s="878"/>
      <c r="B792" s="879"/>
      <c r="C792" s="842"/>
      <c r="D792" s="878"/>
      <c r="E792" s="878"/>
      <c r="F792" s="878"/>
      <c r="G792" s="878"/>
      <c r="H792" s="878"/>
      <c r="I792" s="878"/>
      <c r="J792" s="878"/>
      <c r="K792" s="878"/>
      <c r="L792" s="878"/>
      <c r="M792" s="878"/>
      <c r="N792" s="878"/>
      <c r="O792" s="878"/>
      <c r="P792" s="878"/>
      <c r="Q792" s="878"/>
      <c r="R792" s="878"/>
      <c r="S792" s="878"/>
      <c r="T792" s="878"/>
      <c r="U792" s="878"/>
      <c r="V792" s="878"/>
      <c r="W792" s="878"/>
      <c r="X792" s="878"/>
      <c r="Y792" s="878"/>
      <c r="Z792" s="878"/>
    </row>
    <row r="793" ht="12.0" customHeight="1">
      <c r="A793" s="878"/>
      <c r="B793" s="879"/>
      <c r="C793" s="842"/>
      <c r="D793" s="878"/>
      <c r="E793" s="878"/>
      <c r="F793" s="878"/>
      <c r="G793" s="878"/>
      <c r="H793" s="878"/>
      <c r="I793" s="878"/>
      <c r="J793" s="878"/>
      <c r="K793" s="878"/>
      <c r="L793" s="878"/>
      <c r="M793" s="878"/>
      <c r="N793" s="878"/>
      <c r="O793" s="878"/>
      <c r="P793" s="878"/>
      <c r="Q793" s="878"/>
      <c r="R793" s="878"/>
      <c r="S793" s="878"/>
      <c r="T793" s="878"/>
      <c r="U793" s="878"/>
      <c r="V793" s="878"/>
      <c r="W793" s="878"/>
      <c r="X793" s="878"/>
      <c r="Y793" s="878"/>
      <c r="Z793" s="878"/>
    </row>
    <row r="794" ht="12.0" customHeight="1">
      <c r="A794" s="878"/>
      <c r="B794" s="879"/>
      <c r="C794" s="842"/>
      <c r="D794" s="878"/>
      <c r="E794" s="878"/>
      <c r="F794" s="878"/>
      <c r="G794" s="878"/>
      <c r="H794" s="878"/>
      <c r="I794" s="878"/>
      <c r="J794" s="878"/>
      <c r="K794" s="878"/>
      <c r="L794" s="878"/>
      <c r="M794" s="878"/>
      <c r="N794" s="878"/>
      <c r="O794" s="878"/>
      <c r="P794" s="878"/>
      <c r="Q794" s="878"/>
      <c r="R794" s="878"/>
      <c r="S794" s="878"/>
      <c r="T794" s="878"/>
      <c r="U794" s="878"/>
      <c r="V794" s="878"/>
      <c r="W794" s="878"/>
      <c r="X794" s="878"/>
      <c r="Y794" s="878"/>
      <c r="Z794" s="878"/>
    </row>
    <row r="795" ht="12.0" customHeight="1">
      <c r="A795" s="878"/>
      <c r="B795" s="879"/>
      <c r="C795" s="842"/>
      <c r="D795" s="878"/>
      <c r="E795" s="878"/>
      <c r="F795" s="878"/>
      <c r="G795" s="878"/>
      <c r="H795" s="878"/>
      <c r="I795" s="878"/>
      <c r="J795" s="878"/>
      <c r="K795" s="878"/>
      <c r="L795" s="878"/>
      <c r="M795" s="878"/>
      <c r="N795" s="878"/>
      <c r="O795" s="878"/>
      <c r="P795" s="878"/>
      <c r="Q795" s="878"/>
      <c r="R795" s="878"/>
      <c r="S795" s="878"/>
      <c r="T795" s="878"/>
      <c r="U795" s="878"/>
      <c r="V795" s="878"/>
      <c r="W795" s="878"/>
      <c r="X795" s="878"/>
      <c r="Y795" s="878"/>
      <c r="Z795" s="878"/>
    </row>
    <row r="796" ht="12.0" customHeight="1">
      <c r="A796" s="878"/>
      <c r="B796" s="879"/>
      <c r="C796" s="842"/>
      <c r="D796" s="878"/>
      <c r="E796" s="878"/>
      <c r="F796" s="878"/>
      <c r="G796" s="878"/>
      <c r="H796" s="878"/>
      <c r="I796" s="878"/>
      <c r="J796" s="878"/>
      <c r="K796" s="878"/>
      <c r="L796" s="878"/>
      <c r="M796" s="878"/>
      <c r="N796" s="878"/>
      <c r="O796" s="878"/>
      <c r="P796" s="878"/>
      <c r="Q796" s="878"/>
      <c r="R796" s="878"/>
      <c r="S796" s="878"/>
      <c r="T796" s="878"/>
      <c r="U796" s="878"/>
      <c r="V796" s="878"/>
      <c r="W796" s="878"/>
      <c r="X796" s="878"/>
      <c r="Y796" s="878"/>
      <c r="Z796" s="878"/>
    </row>
    <row r="797" ht="12.0" customHeight="1">
      <c r="A797" s="878"/>
      <c r="B797" s="879"/>
      <c r="C797" s="842"/>
      <c r="D797" s="878"/>
      <c r="E797" s="878"/>
      <c r="F797" s="878"/>
      <c r="G797" s="878"/>
      <c r="H797" s="878"/>
      <c r="I797" s="878"/>
      <c r="J797" s="878"/>
      <c r="K797" s="878"/>
      <c r="L797" s="878"/>
      <c r="M797" s="878"/>
      <c r="N797" s="878"/>
      <c r="O797" s="878"/>
      <c r="P797" s="878"/>
      <c r="Q797" s="878"/>
      <c r="R797" s="878"/>
      <c r="S797" s="878"/>
      <c r="T797" s="878"/>
      <c r="U797" s="878"/>
      <c r="V797" s="878"/>
      <c r="W797" s="878"/>
      <c r="X797" s="878"/>
      <c r="Y797" s="878"/>
      <c r="Z797" s="878"/>
    </row>
    <row r="798" ht="12.0" customHeight="1">
      <c r="A798" s="878"/>
      <c r="B798" s="879"/>
      <c r="C798" s="842"/>
      <c r="D798" s="878"/>
      <c r="E798" s="878"/>
      <c r="F798" s="878"/>
      <c r="G798" s="878"/>
      <c r="H798" s="878"/>
      <c r="I798" s="878"/>
      <c r="J798" s="878"/>
      <c r="K798" s="878"/>
      <c r="L798" s="878"/>
      <c r="M798" s="878"/>
      <c r="N798" s="878"/>
      <c r="O798" s="878"/>
      <c r="P798" s="878"/>
      <c r="Q798" s="878"/>
      <c r="R798" s="878"/>
      <c r="S798" s="878"/>
      <c r="T798" s="878"/>
      <c r="U798" s="878"/>
      <c r="V798" s="878"/>
      <c r="W798" s="878"/>
      <c r="X798" s="878"/>
      <c r="Y798" s="878"/>
      <c r="Z798" s="878"/>
    </row>
    <row r="799" ht="12.0" customHeight="1">
      <c r="A799" s="878"/>
      <c r="B799" s="879"/>
      <c r="C799" s="842"/>
      <c r="D799" s="878"/>
      <c r="E799" s="878"/>
      <c r="F799" s="878"/>
      <c r="G799" s="878"/>
      <c r="H799" s="878"/>
      <c r="I799" s="878"/>
      <c r="J799" s="878"/>
      <c r="K799" s="878"/>
      <c r="L799" s="878"/>
      <c r="M799" s="878"/>
      <c r="N799" s="878"/>
      <c r="O799" s="878"/>
      <c r="P799" s="878"/>
      <c r="Q799" s="878"/>
      <c r="R799" s="878"/>
      <c r="S799" s="878"/>
      <c r="T799" s="878"/>
      <c r="U799" s="878"/>
      <c r="V799" s="878"/>
      <c r="W799" s="878"/>
      <c r="X799" s="878"/>
      <c r="Y799" s="878"/>
      <c r="Z799" s="878"/>
    </row>
    <row r="800" ht="12.0" customHeight="1">
      <c r="A800" s="878"/>
      <c r="B800" s="879"/>
      <c r="C800" s="842"/>
      <c r="D800" s="878"/>
      <c r="E800" s="878"/>
      <c r="F800" s="878"/>
      <c r="G800" s="878"/>
      <c r="H800" s="878"/>
      <c r="I800" s="878"/>
      <c r="J800" s="878"/>
      <c r="K800" s="878"/>
      <c r="L800" s="878"/>
      <c r="M800" s="878"/>
      <c r="N800" s="878"/>
      <c r="O800" s="878"/>
      <c r="P800" s="878"/>
      <c r="Q800" s="878"/>
      <c r="R800" s="878"/>
      <c r="S800" s="878"/>
      <c r="T800" s="878"/>
      <c r="U800" s="878"/>
      <c r="V800" s="878"/>
      <c r="W800" s="878"/>
      <c r="X800" s="878"/>
      <c r="Y800" s="878"/>
      <c r="Z800" s="878"/>
    </row>
    <row r="801" ht="12.0" customHeight="1">
      <c r="A801" s="878"/>
      <c r="B801" s="879"/>
      <c r="C801" s="842"/>
      <c r="D801" s="878"/>
      <c r="E801" s="878"/>
      <c r="F801" s="878"/>
      <c r="G801" s="878"/>
      <c r="H801" s="878"/>
      <c r="I801" s="878"/>
      <c r="J801" s="878"/>
      <c r="K801" s="878"/>
      <c r="L801" s="878"/>
      <c r="M801" s="878"/>
      <c r="N801" s="878"/>
      <c r="O801" s="878"/>
      <c r="P801" s="878"/>
      <c r="Q801" s="878"/>
      <c r="R801" s="878"/>
      <c r="S801" s="878"/>
      <c r="T801" s="878"/>
      <c r="U801" s="878"/>
      <c r="V801" s="878"/>
      <c r="W801" s="878"/>
      <c r="X801" s="878"/>
      <c r="Y801" s="878"/>
      <c r="Z801" s="878"/>
    </row>
    <row r="802" ht="12.0" customHeight="1">
      <c r="A802" s="878"/>
      <c r="B802" s="879"/>
      <c r="C802" s="842"/>
      <c r="D802" s="878"/>
      <c r="E802" s="878"/>
      <c r="F802" s="878"/>
      <c r="G802" s="878"/>
      <c r="H802" s="878"/>
      <c r="I802" s="878"/>
      <c r="J802" s="878"/>
      <c r="K802" s="878"/>
      <c r="L802" s="878"/>
      <c r="M802" s="878"/>
      <c r="N802" s="878"/>
      <c r="O802" s="878"/>
      <c r="P802" s="878"/>
      <c r="Q802" s="878"/>
      <c r="R802" s="878"/>
      <c r="S802" s="878"/>
      <c r="T802" s="878"/>
      <c r="U802" s="878"/>
      <c r="V802" s="878"/>
      <c r="W802" s="878"/>
      <c r="X802" s="878"/>
      <c r="Y802" s="878"/>
      <c r="Z802" s="878"/>
    </row>
    <row r="803" ht="12.0" customHeight="1">
      <c r="A803" s="878"/>
      <c r="B803" s="879"/>
      <c r="C803" s="842"/>
      <c r="D803" s="878"/>
      <c r="E803" s="878"/>
      <c r="F803" s="878"/>
      <c r="G803" s="878"/>
      <c r="H803" s="878"/>
      <c r="I803" s="878"/>
      <c r="J803" s="878"/>
      <c r="K803" s="878"/>
      <c r="L803" s="878"/>
      <c r="M803" s="878"/>
      <c r="N803" s="878"/>
      <c r="O803" s="878"/>
      <c r="P803" s="878"/>
      <c r="Q803" s="878"/>
      <c r="R803" s="878"/>
      <c r="S803" s="878"/>
      <c r="T803" s="878"/>
      <c r="U803" s="878"/>
      <c r="V803" s="878"/>
      <c r="W803" s="878"/>
      <c r="X803" s="878"/>
      <c r="Y803" s="878"/>
      <c r="Z803" s="878"/>
    </row>
    <row r="804" ht="12.0" customHeight="1">
      <c r="A804" s="878"/>
      <c r="B804" s="879"/>
      <c r="C804" s="842"/>
      <c r="D804" s="878"/>
      <c r="E804" s="878"/>
      <c r="F804" s="878"/>
      <c r="G804" s="878"/>
      <c r="H804" s="878"/>
      <c r="I804" s="878"/>
      <c r="J804" s="878"/>
      <c r="K804" s="878"/>
      <c r="L804" s="878"/>
      <c r="M804" s="878"/>
      <c r="N804" s="878"/>
      <c r="O804" s="878"/>
      <c r="P804" s="878"/>
      <c r="Q804" s="878"/>
      <c r="R804" s="878"/>
      <c r="S804" s="878"/>
      <c r="T804" s="878"/>
      <c r="U804" s="878"/>
      <c r="V804" s="878"/>
      <c r="W804" s="878"/>
      <c r="X804" s="878"/>
      <c r="Y804" s="878"/>
      <c r="Z804" s="878"/>
    </row>
    <row r="805" ht="12.0" customHeight="1">
      <c r="A805" s="878"/>
      <c r="B805" s="879"/>
      <c r="C805" s="842"/>
      <c r="D805" s="878"/>
      <c r="E805" s="878"/>
      <c r="F805" s="878"/>
      <c r="G805" s="878"/>
      <c r="H805" s="878"/>
      <c r="I805" s="878"/>
      <c r="J805" s="878"/>
      <c r="K805" s="878"/>
      <c r="L805" s="878"/>
      <c r="M805" s="878"/>
      <c r="N805" s="878"/>
      <c r="O805" s="878"/>
      <c r="P805" s="878"/>
      <c r="Q805" s="878"/>
      <c r="R805" s="878"/>
      <c r="S805" s="878"/>
      <c r="T805" s="878"/>
      <c r="U805" s="878"/>
      <c r="V805" s="878"/>
      <c r="W805" s="878"/>
      <c r="X805" s="878"/>
      <c r="Y805" s="878"/>
      <c r="Z805" s="878"/>
    </row>
    <row r="806" ht="12.0" customHeight="1">
      <c r="A806" s="878"/>
      <c r="B806" s="879"/>
      <c r="C806" s="842"/>
      <c r="D806" s="878"/>
      <c r="E806" s="878"/>
      <c r="F806" s="878"/>
      <c r="G806" s="878"/>
      <c r="H806" s="878"/>
      <c r="I806" s="878"/>
      <c r="J806" s="878"/>
      <c r="K806" s="878"/>
      <c r="L806" s="878"/>
      <c r="M806" s="878"/>
      <c r="N806" s="878"/>
      <c r="O806" s="878"/>
      <c r="P806" s="878"/>
      <c r="Q806" s="878"/>
      <c r="R806" s="878"/>
      <c r="S806" s="878"/>
      <c r="T806" s="878"/>
      <c r="U806" s="878"/>
      <c r="V806" s="878"/>
      <c r="W806" s="878"/>
      <c r="X806" s="878"/>
      <c r="Y806" s="878"/>
      <c r="Z806" s="878"/>
    </row>
    <row r="807" ht="12.0" customHeight="1">
      <c r="A807" s="878"/>
      <c r="B807" s="879"/>
      <c r="C807" s="842"/>
      <c r="D807" s="878"/>
      <c r="E807" s="878"/>
      <c r="F807" s="878"/>
      <c r="G807" s="878"/>
      <c r="H807" s="878"/>
      <c r="I807" s="878"/>
      <c r="J807" s="878"/>
      <c r="K807" s="878"/>
      <c r="L807" s="878"/>
      <c r="M807" s="878"/>
      <c r="N807" s="878"/>
      <c r="O807" s="878"/>
      <c r="P807" s="878"/>
      <c r="Q807" s="878"/>
      <c r="R807" s="878"/>
      <c r="S807" s="878"/>
      <c r="T807" s="878"/>
      <c r="U807" s="878"/>
      <c r="V807" s="878"/>
      <c r="W807" s="878"/>
      <c r="X807" s="878"/>
      <c r="Y807" s="878"/>
      <c r="Z807" s="878"/>
    </row>
    <row r="808" ht="12.0" customHeight="1">
      <c r="A808" s="878"/>
      <c r="B808" s="879"/>
      <c r="C808" s="842"/>
      <c r="D808" s="878"/>
      <c r="E808" s="878"/>
      <c r="F808" s="878"/>
      <c r="G808" s="878"/>
      <c r="H808" s="878"/>
      <c r="I808" s="878"/>
      <c r="J808" s="878"/>
      <c r="K808" s="878"/>
      <c r="L808" s="878"/>
      <c r="M808" s="878"/>
      <c r="N808" s="878"/>
      <c r="O808" s="878"/>
      <c r="P808" s="878"/>
      <c r="Q808" s="878"/>
      <c r="R808" s="878"/>
      <c r="S808" s="878"/>
      <c r="T808" s="878"/>
      <c r="U808" s="878"/>
      <c r="V808" s="878"/>
      <c r="W808" s="878"/>
      <c r="X808" s="878"/>
      <c r="Y808" s="878"/>
      <c r="Z808" s="878"/>
    </row>
    <row r="809" ht="12.0" customHeight="1">
      <c r="A809" s="878"/>
      <c r="B809" s="879"/>
      <c r="C809" s="842"/>
      <c r="D809" s="878"/>
      <c r="E809" s="878"/>
      <c r="F809" s="878"/>
      <c r="G809" s="878"/>
      <c r="H809" s="878"/>
      <c r="I809" s="878"/>
      <c r="J809" s="878"/>
      <c r="K809" s="878"/>
      <c r="L809" s="878"/>
      <c r="M809" s="878"/>
      <c r="N809" s="878"/>
      <c r="O809" s="878"/>
      <c r="P809" s="878"/>
      <c r="Q809" s="878"/>
      <c r="R809" s="878"/>
      <c r="S809" s="878"/>
      <c r="T809" s="878"/>
      <c r="U809" s="878"/>
      <c r="V809" s="878"/>
      <c r="W809" s="878"/>
      <c r="X809" s="878"/>
      <c r="Y809" s="878"/>
      <c r="Z809" s="878"/>
    </row>
    <row r="810" ht="12.0" customHeight="1">
      <c r="A810" s="878"/>
      <c r="B810" s="879"/>
      <c r="C810" s="842"/>
      <c r="D810" s="878"/>
      <c r="E810" s="878"/>
      <c r="F810" s="878"/>
      <c r="G810" s="878"/>
      <c r="H810" s="878"/>
      <c r="I810" s="878"/>
      <c r="J810" s="878"/>
      <c r="K810" s="878"/>
      <c r="L810" s="878"/>
      <c r="M810" s="878"/>
      <c r="N810" s="878"/>
      <c r="O810" s="878"/>
      <c r="P810" s="878"/>
      <c r="Q810" s="878"/>
      <c r="R810" s="878"/>
      <c r="S810" s="878"/>
      <c r="T810" s="878"/>
      <c r="U810" s="878"/>
      <c r="V810" s="878"/>
      <c r="W810" s="878"/>
      <c r="X810" s="878"/>
      <c r="Y810" s="878"/>
      <c r="Z810" s="878"/>
    </row>
    <row r="811" ht="12.0" customHeight="1">
      <c r="A811" s="878"/>
      <c r="B811" s="879"/>
      <c r="C811" s="842"/>
      <c r="D811" s="878"/>
      <c r="E811" s="878"/>
      <c r="F811" s="878"/>
      <c r="G811" s="878"/>
      <c r="H811" s="878"/>
      <c r="I811" s="878"/>
      <c r="J811" s="878"/>
      <c r="K811" s="878"/>
      <c r="L811" s="878"/>
      <c r="M811" s="878"/>
      <c r="N811" s="878"/>
      <c r="O811" s="878"/>
      <c r="P811" s="878"/>
      <c r="Q811" s="878"/>
      <c r="R811" s="878"/>
      <c r="S811" s="878"/>
      <c r="T811" s="878"/>
      <c r="U811" s="878"/>
      <c r="V811" s="878"/>
      <c r="W811" s="878"/>
      <c r="X811" s="878"/>
      <c r="Y811" s="878"/>
      <c r="Z811" s="878"/>
    </row>
    <row r="812" ht="12.0" customHeight="1">
      <c r="A812" s="878"/>
      <c r="B812" s="879"/>
      <c r="C812" s="842"/>
      <c r="D812" s="878"/>
      <c r="E812" s="878"/>
      <c r="F812" s="878"/>
      <c r="G812" s="878"/>
      <c r="H812" s="878"/>
      <c r="I812" s="878"/>
      <c r="J812" s="878"/>
      <c r="K812" s="878"/>
      <c r="L812" s="878"/>
      <c r="M812" s="878"/>
      <c r="N812" s="878"/>
      <c r="O812" s="878"/>
      <c r="P812" s="878"/>
      <c r="Q812" s="878"/>
      <c r="R812" s="878"/>
      <c r="S812" s="878"/>
      <c r="T812" s="878"/>
      <c r="U812" s="878"/>
      <c r="V812" s="878"/>
      <c r="W812" s="878"/>
      <c r="X812" s="878"/>
      <c r="Y812" s="878"/>
      <c r="Z812" s="878"/>
    </row>
    <row r="813" ht="12.0" customHeight="1">
      <c r="A813" s="878"/>
      <c r="B813" s="879"/>
      <c r="C813" s="842"/>
      <c r="D813" s="878"/>
      <c r="E813" s="878"/>
      <c r="F813" s="878"/>
      <c r="G813" s="878"/>
      <c r="H813" s="878"/>
      <c r="I813" s="878"/>
      <c r="J813" s="878"/>
      <c r="K813" s="878"/>
      <c r="L813" s="878"/>
      <c r="M813" s="878"/>
      <c r="N813" s="878"/>
      <c r="O813" s="878"/>
      <c r="P813" s="878"/>
      <c r="Q813" s="878"/>
      <c r="R813" s="878"/>
      <c r="S813" s="878"/>
      <c r="T813" s="878"/>
      <c r="U813" s="878"/>
      <c r="V813" s="878"/>
      <c r="W813" s="878"/>
      <c r="X813" s="878"/>
      <c r="Y813" s="878"/>
      <c r="Z813" s="878"/>
    </row>
    <row r="814" ht="12.0" customHeight="1">
      <c r="A814" s="878"/>
      <c r="B814" s="879"/>
      <c r="C814" s="842"/>
      <c r="D814" s="878"/>
      <c r="E814" s="878"/>
      <c r="F814" s="878"/>
      <c r="G814" s="878"/>
      <c r="H814" s="878"/>
      <c r="I814" s="878"/>
      <c r="J814" s="878"/>
      <c r="K814" s="878"/>
      <c r="L814" s="878"/>
      <c r="M814" s="878"/>
      <c r="N814" s="878"/>
      <c r="O814" s="878"/>
      <c r="P814" s="878"/>
      <c r="Q814" s="878"/>
      <c r="R814" s="878"/>
      <c r="S814" s="878"/>
      <c r="T814" s="878"/>
      <c r="U814" s="878"/>
      <c r="V814" s="878"/>
      <c r="W814" s="878"/>
      <c r="X814" s="878"/>
      <c r="Y814" s="878"/>
      <c r="Z814" s="878"/>
    </row>
    <row r="815" ht="12.0" customHeight="1">
      <c r="A815" s="878"/>
      <c r="B815" s="879"/>
      <c r="C815" s="842"/>
      <c r="D815" s="878"/>
      <c r="E815" s="878"/>
      <c r="F815" s="878"/>
      <c r="G815" s="878"/>
      <c r="H815" s="878"/>
      <c r="I815" s="878"/>
      <c r="J815" s="878"/>
      <c r="K815" s="878"/>
      <c r="L815" s="878"/>
      <c r="M815" s="878"/>
      <c r="N815" s="878"/>
      <c r="O815" s="878"/>
      <c r="P815" s="878"/>
      <c r="Q815" s="878"/>
      <c r="R815" s="878"/>
      <c r="S815" s="878"/>
      <c r="T815" s="878"/>
      <c r="U815" s="878"/>
      <c r="V815" s="878"/>
      <c r="W815" s="878"/>
      <c r="X815" s="878"/>
      <c r="Y815" s="878"/>
      <c r="Z815" s="878"/>
    </row>
    <row r="816" ht="12.0" customHeight="1">
      <c r="A816" s="878"/>
      <c r="B816" s="879"/>
      <c r="C816" s="842"/>
      <c r="D816" s="878"/>
      <c r="E816" s="878"/>
      <c r="F816" s="878"/>
      <c r="G816" s="878"/>
      <c r="H816" s="878"/>
      <c r="I816" s="878"/>
      <c r="J816" s="878"/>
      <c r="K816" s="878"/>
      <c r="L816" s="878"/>
      <c r="M816" s="878"/>
      <c r="N816" s="878"/>
      <c r="O816" s="878"/>
      <c r="P816" s="878"/>
      <c r="Q816" s="878"/>
      <c r="R816" s="878"/>
      <c r="S816" s="878"/>
      <c r="T816" s="878"/>
      <c r="U816" s="878"/>
      <c r="V816" s="878"/>
      <c r="W816" s="878"/>
      <c r="X816" s="878"/>
      <c r="Y816" s="878"/>
      <c r="Z816" s="878"/>
    </row>
    <row r="817" ht="12.0" customHeight="1">
      <c r="A817" s="878"/>
      <c r="B817" s="879"/>
      <c r="C817" s="842"/>
      <c r="D817" s="878"/>
      <c r="E817" s="878"/>
      <c r="F817" s="878"/>
      <c r="G817" s="878"/>
      <c r="H817" s="878"/>
      <c r="I817" s="878"/>
      <c r="J817" s="878"/>
      <c r="K817" s="878"/>
      <c r="L817" s="878"/>
      <c r="M817" s="878"/>
      <c r="N817" s="878"/>
      <c r="O817" s="878"/>
      <c r="P817" s="878"/>
      <c r="Q817" s="878"/>
      <c r="R817" s="878"/>
      <c r="S817" s="878"/>
      <c r="T817" s="878"/>
      <c r="U817" s="878"/>
      <c r="V817" s="878"/>
      <c r="W817" s="878"/>
      <c r="X817" s="878"/>
      <c r="Y817" s="878"/>
      <c r="Z817" s="878"/>
    </row>
    <row r="818" ht="12.0" customHeight="1">
      <c r="A818" s="878"/>
      <c r="B818" s="879"/>
      <c r="C818" s="842"/>
      <c r="D818" s="878"/>
      <c r="E818" s="878"/>
      <c r="F818" s="878"/>
      <c r="G818" s="878"/>
      <c r="H818" s="878"/>
      <c r="I818" s="878"/>
      <c r="J818" s="878"/>
      <c r="K818" s="878"/>
      <c r="L818" s="878"/>
      <c r="M818" s="878"/>
      <c r="N818" s="878"/>
      <c r="O818" s="878"/>
      <c r="P818" s="878"/>
      <c r="Q818" s="878"/>
      <c r="R818" s="878"/>
      <c r="S818" s="878"/>
      <c r="T818" s="878"/>
      <c r="U818" s="878"/>
      <c r="V818" s="878"/>
      <c r="W818" s="878"/>
      <c r="X818" s="878"/>
      <c r="Y818" s="878"/>
      <c r="Z818" s="878"/>
    </row>
    <row r="819" ht="12.0" customHeight="1">
      <c r="A819" s="878"/>
      <c r="B819" s="879"/>
      <c r="C819" s="842"/>
      <c r="D819" s="878"/>
      <c r="E819" s="878"/>
      <c r="F819" s="878"/>
      <c r="G819" s="878"/>
      <c r="H819" s="878"/>
      <c r="I819" s="878"/>
      <c r="J819" s="878"/>
      <c r="K819" s="878"/>
      <c r="L819" s="878"/>
      <c r="M819" s="878"/>
      <c r="N819" s="878"/>
      <c r="O819" s="878"/>
      <c r="P819" s="878"/>
      <c r="Q819" s="878"/>
      <c r="R819" s="878"/>
      <c r="S819" s="878"/>
      <c r="T819" s="878"/>
      <c r="U819" s="878"/>
      <c r="V819" s="878"/>
      <c r="W819" s="878"/>
      <c r="X819" s="878"/>
      <c r="Y819" s="878"/>
      <c r="Z819" s="878"/>
    </row>
    <row r="820" ht="12.0" customHeight="1">
      <c r="A820" s="878"/>
      <c r="B820" s="879"/>
      <c r="C820" s="842"/>
      <c r="D820" s="878"/>
      <c r="E820" s="878"/>
      <c r="F820" s="878"/>
      <c r="G820" s="878"/>
      <c r="H820" s="878"/>
      <c r="I820" s="878"/>
      <c r="J820" s="878"/>
      <c r="K820" s="878"/>
      <c r="L820" s="878"/>
      <c r="M820" s="878"/>
      <c r="N820" s="878"/>
      <c r="O820" s="878"/>
      <c r="P820" s="878"/>
      <c r="Q820" s="878"/>
      <c r="R820" s="878"/>
      <c r="S820" s="878"/>
      <c r="T820" s="878"/>
      <c r="U820" s="878"/>
      <c r="V820" s="878"/>
      <c r="W820" s="878"/>
      <c r="X820" s="878"/>
      <c r="Y820" s="878"/>
      <c r="Z820" s="878"/>
    </row>
    <row r="821" ht="12.0" customHeight="1">
      <c r="A821" s="878"/>
      <c r="B821" s="879"/>
      <c r="C821" s="842"/>
      <c r="D821" s="878"/>
      <c r="E821" s="878"/>
      <c r="F821" s="878"/>
      <c r="G821" s="878"/>
      <c r="H821" s="878"/>
      <c r="I821" s="878"/>
      <c r="J821" s="878"/>
      <c r="K821" s="878"/>
      <c r="L821" s="878"/>
      <c r="M821" s="878"/>
      <c r="N821" s="878"/>
      <c r="O821" s="878"/>
      <c r="P821" s="878"/>
      <c r="Q821" s="878"/>
      <c r="R821" s="878"/>
      <c r="S821" s="878"/>
      <c r="T821" s="878"/>
      <c r="U821" s="878"/>
      <c r="V821" s="878"/>
      <c r="W821" s="878"/>
      <c r="X821" s="878"/>
      <c r="Y821" s="878"/>
      <c r="Z821" s="878"/>
    </row>
    <row r="822" ht="12.0" customHeight="1">
      <c r="A822" s="878"/>
      <c r="B822" s="879"/>
      <c r="C822" s="842"/>
      <c r="D822" s="878"/>
      <c r="E822" s="878"/>
      <c r="F822" s="878"/>
      <c r="G822" s="878"/>
      <c r="H822" s="878"/>
      <c r="I822" s="878"/>
      <c r="J822" s="878"/>
      <c r="K822" s="878"/>
      <c r="L822" s="878"/>
      <c r="M822" s="878"/>
      <c r="N822" s="878"/>
      <c r="O822" s="878"/>
      <c r="P822" s="878"/>
      <c r="Q822" s="878"/>
      <c r="R822" s="878"/>
      <c r="S822" s="878"/>
      <c r="T822" s="878"/>
      <c r="U822" s="878"/>
      <c r="V822" s="878"/>
      <c r="W822" s="878"/>
      <c r="X822" s="878"/>
      <c r="Y822" s="878"/>
      <c r="Z822" s="878"/>
    </row>
    <row r="823" ht="12.0" customHeight="1">
      <c r="A823" s="878"/>
      <c r="B823" s="879"/>
      <c r="C823" s="842"/>
      <c r="D823" s="878"/>
      <c r="E823" s="878"/>
      <c r="F823" s="878"/>
      <c r="G823" s="878"/>
      <c r="H823" s="878"/>
      <c r="I823" s="878"/>
      <c r="J823" s="878"/>
      <c r="K823" s="878"/>
      <c r="L823" s="878"/>
      <c r="M823" s="878"/>
      <c r="N823" s="878"/>
      <c r="O823" s="878"/>
      <c r="P823" s="878"/>
      <c r="Q823" s="878"/>
      <c r="R823" s="878"/>
      <c r="S823" s="878"/>
      <c r="T823" s="878"/>
      <c r="U823" s="878"/>
      <c r="V823" s="878"/>
      <c r="W823" s="878"/>
      <c r="X823" s="878"/>
      <c r="Y823" s="878"/>
      <c r="Z823" s="878"/>
    </row>
    <row r="824" ht="12.0" customHeight="1">
      <c r="A824" s="878"/>
      <c r="B824" s="879"/>
      <c r="C824" s="842"/>
      <c r="D824" s="878"/>
      <c r="E824" s="878"/>
      <c r="F824" s="878"/>
      <c r="G824" s="878"/>
      <c r="H824" s="878"/>
      <c r="I824" s="878"/>
      <c r="J824" s="878"/>
      <c r="K824" s="878"/>
      <c r="L824" s="878"/>
      <c r="M824" s="878"/>
      <c r="N824" s="878"/>
      <c r="O824" s="878"/>
      <c r="P824" s="878"/>
      <c r="Q824" s="878"/>
      <c r="R824" s="878"/>
      <c r="S824" s="878"/>
      <c r="T824" s="878"/>
      <c r="U824" s="878"/>
      <c r="V824" s="878"/>
      <c r="W824" s="878"/>
      <c r="X824" s="878"/>
      <c r="Y824" s="878"/>
      <c r="Z824" s="878"/>
    </row>
    <row r="825" ht="12.0" customHeight="1">
      <c r="A825" s="878"/>
      <c r="B825" s="879"/>
      <c r="C825" s="842"/>
      <c r="D825" s="878"/>
      <c r="E825" s="878"/>
      <c r="F825" s="878"/>
      <c r="G825" s="878"/>
      <c r="H825" s="878"/>
      <c r="I825" s="878"/>
      <c r="J825" s="878"/>
      <c r="K825" s="878"/>
      <c r="L825" s="878"/>
      <c r="M825" s="878"/>
      <c r="N825" s="878"/>
      <c r="O825" s="878"/>
      <c r="P825" s="878"/>
      <c r="Q825" s="878"/>
      <c r="R825" s="878"/>
      <c r="S825" s="878"/>
      <c r="T825" s="878"/>
      <c r="U825" s="878"/>
      <c r="V825" s="878"/>
      <c r="W825" s="878"/>
      <c r="X825" s="878"/>
      <c r="Y825" s="878"/>
      <c r="Z825" s="878"/>
    </row>
    <row r="826" ht="12.0" customHeight="1">
      <c r="A826" s="878"/>
      <c r="B826" s="879"/>
      <c r="C826" s="842"/>
      <c r="D826" s="878"/>
      <c r="E826" s="878"/>
      <c r="F826" s="878"/>
      <c r="G826" s="878"/>
      <c r="H826" s="878"/>
      <c r="I826" s="878"/>
      <c r="J826" s="878"/>
      <c r="K826" s="878"/>
      <c r="L826" s="878"/>
      <c r="M826" s="878"/>
      <c r="N826" s="878"/>
      <c r="O826" s="878"/>
      <c r="P826" s="878"/>
      <c r="Q826" s="878"/>
      <c r="R826" s="878"/>
      <c r="S826" s="878"/>
      <c r="T826" s="878"/>
      <c r="U826" s="878"/>
      <c r="V826" s="878"/>
      <c r="W826" s="878"/>
      <c r="X826" s="878"/>
      <c r="Y826" s="878"/>
      <c r="Z826" s="878"/>
    </row>
    <row r="827" ht="12.0" customHeight="1">
      <c r="A827" s="878"/>
      <c r="B827" s="879"/>
      <c r="C827" s="842"/>
      <c r="D827" s="878"/>
      <c r="E827" s="878"/>
      <c r="F827" s="878"/>
      <c r="G827" s="878"/>
      <c r="H827" s="878"/>
      <c r="I827" s="878"/>
      <c r="J827" s="878"/>
      <c r="K827" s="878"/>
      <c r="L827" s="878"/>
      <c r="M827" s="878"/>
      <c r="N827" s="878"/>
      <c r="O827" s="878"/>
      <c r="P827" s="878"/>
      <c r="Q827" s="878"/>
      <c r="R827" s="878"/>
      <c r="S827" s="878"/>
      <c r="T827" s="878"/>
      <c r="U827" s="878"/>
      <c r="V827" s="878"/>
      <c r="W827" s="878"/>
      <c r="X827" s="878"/>
      <c r="Y827" s="878"/>
      <c r="Z827" s="878"/>
    </row>
    <row r="828" ht="12.0" customHeight="1">
      <c r="A828" s="878"/>
      <c r="B828" s="879"/>
      <c r="C828" s="842"/>
      <c r="D828" s="878"/>
      <c r="E828" s="878"/>
      <c r="F828" s="878"/>
      <c r="G828" s="878"/>
      <c r="H828" s="878"/>
      <c r="I828" s="878"/>
      <c r="J828" s="878"/>
      <c r="K828" s="878"/>
      <c r="L828" s="878"/>
      <c r="M828" s="878"/>
      <c r="N828" s="878"/>
      <c r="O828" s="878"/>
      <c r="P828" s="878"/>
      <c r="Q828" s="878"/>
      <c r="R828" s="878"/>
      <c r="S828" s="878"/>
      <c r="T828" s="878"/>
      <c r="U828" s="878"/>
      <c r="V828" s="878"/>
      <c r="W828" s="878"/>
      <c r="X828" s="878"/>
      <c r="Y828" s="878"/>
      <c r="Z828" s="878"/>
    </row>
    <row r="829" ht="12.0" customHeight="1">
      <c r="A829" s="878"/>
      <c r="B829" s="879"/>
      <c r="C829" s="842"/>
      <c r="D829" s="878"/>
      <c r="E829" s="878"/>
      <c r="F829" s="878"/>
      <c r="G829" s="878"/>
      <c r="H829" s="878"/>
      <c r="I829" s="878"/>
      <c r="J829" s="878"/>
      <c r="K829" s="878"/>
      <c r="L829" s="878"/>
      <c r="M829" s="878"/>
      <c r="N829" s="878"/>
      <c r="O829" s="878"/>
      <c r="P829" s="878"/>
      <c r="Q829" s="878"/>
      <c r="R829" s="878"/>
      <c r="S829" s="878"/>
      <c r="T829" s="878"/>
      <c r="U829" s="878"/>
      <c r="V829" s="878"/>
      <c r="W829" s="878"/>
      <c r="X829" s="878"/>
      <c r="Y829" s="878"/>
      <c r="Z829" s="878"/>
    </row>
    <row r="830" ht="12.0" customHeight="1">
      <c r="A830" s="878"/>
      <c r="B830" s="879"/>
      <c r="C830" s="842"/>
      <c r="D830" s="878"/>
      <c r="E830" s="878"/>
      <c r="F830" s="878"/>
      <c r="G830" s="878"/>
      <c r="H830" s="878"/>
      <c r="I830" s="878"/>
      <c r="J830" s="878"/>
      <c r="K830" s="878"/>
      <c r="L830" s="878"/>
      <c r="M830" s="878"/>
      <c r="N830" s="878"/>
      <c r="O830" s="878"/>
      <c r="P830" s="878"/>
      <c r="Q830" s="878"/>
      <c r="R830" s="878"/>
      <c r="S830" s="878"/>
      <c r="T830" s="878"/>
      <c r="U830" s="878"/>
      <c r="V830" s="878"/>
      <c r="W830" s="878"/>
      <c r="X830" s="878"/>
      <c r="Y830" s="878"/>
      <c r="Z830" s="878"/>
    </row>
    <row r="831" ht="12.0" customHeight="1">
      <c r="A831" s="878"/>
      <c r="B831" s="879"/>
      <c r="C831" s="842"/>
      <c r="D831" s="878"/>
      <c r="E831" s="878"/>
      <c r="F831" s="878"/>
      <c r="G831" s="878"/>
      <c r="H831" s="878"/>
      <c r="I831" s="878"/>
      <c r="J831" s="878"/>
      <c r="K831" s="878"/>
      <c r="L831" s="878"/>
      <c r="M831" s="878"/>
      <c r="N831" s="878"/>
      <c r="O831" s="878"/>
      <c r="P831" s="878"/>
      <c r="Q831" s="878"/>
      <c r="R831" s="878"/>
      <c r="S831" s="878"/>
      <c r="T831" s="878"/>
      <c r="U831" s="878"/>
      <c r="V831" s="878"/>
      <c r="W831" s="878"/>
      <c r="X831" s="878"/>
      <c r="Y831" s="878"/>
      <c r="Z831" s="878"/>
    </row>
    <row r="832" ht="12.0" customHeight="1">
      <c r="A832" s="878"/>
      <c r="B832" s="879"/>
      <c r="C832" s="842"/>
      <c r="D832" s="878"/>
      <c r="E832" s="878"/>
      <c r="F832" s="878"/>
      <c r="G832" s="878"/>
      <c r="H832" s="878"/>
      <c r="I832" s="878"/>
      <c r="J832" s="878"/>
      <c r="K832" s="878"/>
      <c r="L832" s="878"/>
      <c r="M832" s="878"/>
      <c r="N832" s="878"/>
      <c r="O832" s="878"/>
      <c r="P832" s="878"/>
      <c r="Q832" s="878"/>
      <c r="R832" s="878"/>
      <c r="S832" s="878"/>
      <c r="T832" s="878"/>
      <c r="U832" s="878"/>
      <c r="V832" s="878"/>
      <c r="W832" s="878"/>
      <c r="X832" s="878"/>
      <c r="Y832" s="878"/>
      <c r="Z832" s="878"/>
    </row>
    <row r="833" ht="12.0" customHeight="1">
      <c r="A833" s="878"/>
      <c r="B833" s="879"/>
      <c r="C833" s="842"/>
      <c r="D833" s="878"/>
      <c r="E833" s="878"/>
      <c r="F833" s="878"/>
      <c r="G833" s="878"/>
      <c r="H833" s="878"/>
      <c r="I833" s="878"/>
      <c r="J833" s="878"/>
      <c r="K833" s="878"/>
      <c r="L833" s="878"/>
      <c r="M833" s="878"/>
      <c r="N833" s="878"/>
      <c r="O833" s="878"/>
      <c r="P833" s="878"/>
      <c r="Q833" s="878"/>
      <c r="R833" s="878"/>
      <c r="S833" s="878"/>
      <c r="T833" s="878"/>
      <c r="U833" s="878"/>
      <c r="V833" s="878"/>
      <c r="W833" s="878"/>
      <c r="X833" s="878"/>
      <c r="Y833" s="878"/>
      <c r="Z833" s="878"/>
    </row>
    <row r="834" ht="12.0" customHeight="1">
      <c r="A834" s="878"/>
      <c r="B834" s="879"/>
      <c r="C834" s="842"/>
      <c r="D834" s="878"/>
      <c r="E834" s="878"/>
      <c r="F834" s="878"/>
      <c r="G834" s="878"/>
      <c r="H834" s="878"/>
      <c r="I834" s="878"/>
      <c r="J834" s="878"/>
      <c r="K834" s="878"/>
      <c r="L834" s="878"/>
      <c r="M834" s="878"/>
      <c r="N834" s="878"/>
      <c r="O834" s="878"/>
      <c r="P834" s="878"/>
      <c r="Q834" s="878"/>
      <c r="R834" s="878"/>
      <c r="S834" s="878"/>
      <c r="T834" s="878"/>
      <c r="U834" s="878"/>
      <c r="V834" s="878"/>
      <c r="W834" s="878"/>
      <c r="X834" s="878"/>
      <c r="Y834" s="878"/>
      <c r="Z834" s="878"/>
    </row>
    <row r="835" ht="12.0" customHeight="1">
      <c r="A835" s="878"/>
      <c r="B835" s="879"/>
      <c r="C835" s="842"/>
      <c r="D835" s="878"/>
      <c r="E835" s="878"/>
      <c r="F835" s="878"/>
      <c r="G835" s="878"/>
      <c r="H835" s="878"/>
      <c r="I835" s="878"/>
      <c r="J835" s="878"/>
      <c r="K835" s="878"/>
      <c r="L835" s="878"/>
      <c r="M835" s="878"/>
      <c r="N835" s="878"/>
      <c r="O835" s="878"/>
      <c r="P835" s="878"/>
      <c r="Q835" s="878"/>
      <c r="R835" s="878"/>
      <c r="S835" s="878"/>
      <c r="T835" s="878"/>
      <c r="U835" s="878"/>
      <c r="V835" s="878"/>
      <c r="W835" s="878"/>
      <c r="X835" s="878"/>
      <c r="Y835" s="878"/>
      <c r="Z835" s="878"/>
    </row>
    <row r="836" ht="12.0" customHeight="1">
      <c r="A836" s="878"/>
      <c r="B836" s="879"/>
      <c r="C836" s="842"/>
      <c r="D836" s="878"/>
      <c r="E836" s="878"/>
      <c r="F836" s="878"/>
      <c r="G836" s="878"/>
      <c r="H836" s="878"/>
      <c r="I836" s="878"/>
      <c r="J836" s="878"/>
      <c r="K836" s="878"/>
      <c r="L836" s="878"/>
      <c r="M836" s="878"/>
      <c r="N836" s="878"/>
      <c r="O836" s="878"/>
      <c r="P836" s="878"/>
      <c r="Q836" s="878"/>
      <c r="R836" s="878"/>
      <c r="S836" s="878"/>
      <c r="T836" s="878"/>
      <c r="U836" s="878"/>
      <c r="V836" s="878"/>
      <c r="W836" s="878"/>
      <c r="X836" s="878"/>
      <c r="Y836" s="878"/>
      <c r="Z836" s="878"/>
    </row>
    <row r="837" ht="12.0" customHeight="1">
      <c r="A837" s="878"/>
      <c r="B837" s="879"/>
      <c r="C837" s="842"/>
      <c r="D837" s="878"/>
      <c r="E837" s="878"/>
      <c r="F837" s="878"/>
      <c r="G837" s="878"/>
      <c r="H837" s="878"/>
      <c r="I837" s="878"/>
      <c r="J837" s="878"/>
      <c r="K837" s="878"/>
      <c r="L837" s="878"/>
      <c r="M837" s="878"/>
      <c r="N837" s="878"/>
      <c r="O837" s="878"/>
      <c r="P837" s="878"/>
      <c r="Q837" s="878"/>
      <c r="R837" s="878"/>
      <c r="S837" s="878"/>
      <c r="T837" s="878"/>
      <c r="U837" s="878"/>
      <c r="V837" s="878"/>
      <c r="W837" s="878"/>
      <c r="X837" s="878"/>
      <c r="Y837" s="878"/>
      <c r="Z837" s="878"/>
    </row>
    <row r="838" ht="12.0" customHeight="1">
      <c r="A838" s="878"/>
      <c r="B838" s="879"/>
      <c r="C838" s="842"/>
      <c r="D838" s="878"/>
      <c r="E838" s="878"/>
      <c r="F838" s="878"/>
      <c r="G838" s="878"/>
      <c r="H838" s="878"/>
      <c r="I838" s="878"/>
      <c r="J838" s="878"/>
      <c r="K838" s="878"/>
      <c r="L838" s="878"/>
      <c r="M838" s="878"/>
      <c r="N838" s="878"/>
      <c r="O838" s="878"/>
      <c r="P838" s="878"/>
      <c r="Q838" s="878"/>
      <c r="R838" s="878"/>
      <c r="S838" s="878"/>
      <c r="T838" s="878"/>
      <c r="U838" s="878"/>
      <c r="V838" s="878"/>
      <c r="W838" s="878"/>
      <c r="X838" s="878"/>
      <c r="Y838" s="878"/>
      <c r="Z838" s="878"/>
    </row>
    <row r="839" ht="12.0" customHeight="1">
      <c r="A839" s="878"/>
      <c r="B839" s="879"/>
      <c r="C839" s="842"/>
      <c r="D839" s="878"/>
      <c r="E839" s="878"/>
      <c r="F839" s="878"/>
      <c r="G839" s="878"/>
      <c r="H839" s="878"/>
      <c r="I839" s="878"/>
      <c r="J839" s="878"/>
      <c r="K839" s="878"/>
      <c r="L839" s="878"/>
      <c r="M839" s="878"/>
      <c r="N839" s="878"/>
      <c r="O839" s="878"/>
      <c r="P839" s="878"/>
      <c r="Q839" s="878"/>
      <c r="R839" s="878"/>
      <c r="S839" s="878"/>
      <c r="T839" s="878"/>
      <c r="U839" s="878"/>
      <c r="V839" s="878"/>
      <c r="W839" s="878"/>
      <c r="X839" s="878"/>
      <c r="Y839" s="878"/>
      <c r="Z839" s="878"/>
    </row>
    <row r="840" ht="12.0" customHeight="1">
      <c r="A840" s="878"/>
      <c r="B840" s="879"/>
      <c r="C840" s="842"/>
      <c r="D840" s="878"/>
      <c r="E840" s="878"/>
      <c r="F840" s="878"/>
      <c r="G840" s="878"/>
      <c r="H840" s="878"/>
      <c r="I840" s="878"/>
      <c r="J840" s="878"/>
      <c r="K840" s="878"/>
      <c r="L840" s="878"/>
      <c r="M840" s="878"/>
      <c r="N840" s="878"/>
      <c r="O840" s="878"/>
      <c r="P840" s="878"/>
      <c r="Q840" s="878"/>
      <c r="R840" s="878"/>
      <c r="S840" s="878"/>
      <c r="T840" s="878"/>
      <c r="U840" s="878"/>
      <c r="V840" s="878"/>
      <c r="W840" s="878"/>
      <c r="X840" s="878"/>
      <c r="Y840" s="878"/>
      <c r="Z840" s="878"/>
    </row>
    <row r="841" ht="12.0" customHeight="1">
      <c r="A841" s="878"/>
      <c r="B841" s="879"/>
      <c r="C841" s="842"/>
      <c r="D841" s="878"/>
      <c r="E841" s="878"/>
      <c r="F841" s="878"/>
      <c r="G841" s="878"/>
      <c r="H841" s="878"/>
      <c r="I841" s="878"/>
      <c r="J841" s="878"/>
      <c r="K841" s="878"/>
      <c r="L841" s="878"/>
      <c r="M841" s="878"/>
      <c r="N841" s="878"/>
      <c r="O841" s="878"/>
      <c r="P841" s="878"/>
      <c r="Q841" s="878"/>
      <c r="R841" s="878"/>
      <c r="S841" s="878"/>
      <c r="T841" s="878"/>
      <c r="U841" s="878"/>
      <c r="V841" s="878"/>
      <c r="W841" s="878"/>
      <c r="X841" s="878"/>
      <c r="Y841" s="878"/>
      <c r="Z841" s="878"/>
    </row>
    <row r="842" ht="12.0" customHeight="1">
      <c r="A842" s="878"/>
      <c r="B842" s="879"/>
      <c r="C842" s="842"/>
      <c r="D842" s="878"/>
      <c r="E842" s="878"/>
      <c r="F842" s="878"/>
      <c r="G842" s="878"/>
      <c r="H842" s="878"/>
      <c r="I842" s="878"/>
      <c r="J842" s="878"/>
      <c r="K842" s="878"/>
      <c r="L842" s="878"/>
      <c r="M842" s="878"/>
      <c r="N842" s="878"/>
      <c r="O842" s="878"/>
      <c r="P842" s="878"/>
      <c r="Q842" s="878"/>
      <c r="R842" s="878"/>
      <c r="S842" s="878"/>
      <c r="T842" s="878"/>
      <c r="U842" s="878"/>
      <c r="V842" s="878"/>
      <c r="W842" s="878"/>
      <c r="X842" s="878"/>
      <c r="Y842" s="878"/>
      <c r="Z842" s="878"/>
    </row>
    <row r="843" ht="12.0" customHeight="1">
      <c r="A843" s="878"/>
      <c r="B843" s="879"/>
      <c r="C843" s="842"/>
      <c r="D843" s="878"/>
      <c r="E843" s="878"/>
      <c r="F843" s="878"/>
      <c r="G843" s="878"/>
      <c r="H843" s="878"/>
      <c r="I843" s="878"/>
      <c r="J843" s="878"/>
      <c r="K843" s="878"/>
      <c r="L843" s="878"/>
      <c r="M843" s="878"/>
      <c r="N843" s="878"/>
      <c r="O843" s="878"/>
      <c r="P843" s="878"/>
      <c r="Q843" s="878"/>
      <c r="R843" s="878"/>
      <c r="S843" s="878"/>
      <c r="T843" s="878"/>
      <c r="U843" s="878"/>
      <c r="V843" s="878"/>
      <c r="W843" s="878"/>
      <c r="X843" s="878"/>
      <c r="Y843" s="878"/>
      <c r="Z843" s="878"/>
    </row>
    <row r="844" ht="12.0" customHeight="1">
      <c r="A844" s="878"/>
      <c r="B844" s="879"/>
      <c r="C844" s="842"/>
      <c r="D844" s="878"/>
      <c r="E844" s="878"/>
      <c r="F844" s="878"/>
      <c r="G844" s="878"/>
      <c r="H844" s="878"/>
      <c r="I844" s="878"/>
      <c r="J844" s="878"/>
      <c r="K844" s="878"/>
      <c r="L844" s="878"/>
      <c r="M844" s="878"/>
      <c r="N844" s="878"/>
      <c r="O844" s="878"/>
      <c r="P844" s="878"/>
      <c r="Q844" s="878"/>
      <c r="R844" s="878"/>
      <c r="S844" s="878"/>
      <c r="T844" s="878"/>
      <c r="U844" s="878"/>
      <c r="V844" s="878"/>
      <c r="W844" s="878"/>
      <c r="X844" s="878"/>
      <c r="Y844" s="878"/>
      <c r="Z844" s="878"/>
    </row>
    <row r="845" ht="12.0" customHeight="1">
      <c r="A845" s="878"/>
      <c r="B845" s="879"/>
      <c r="C845" s="842"/>
      <c r="D845" s="878"/>
      <c r="E845" s="878"/>
      <c r="F845" s="878"/>
      <c r="G845" s="878"/>
      <c r="H845" s="878"/>
      <c r="I845" s="878"/>
      <c r="J845" s="878"/>
      <c r="K845" s="878"/>
      <c r="L845" s="878"/>
      <c r="M845" s="878"/>
      <c r="N845" s="878"/>
      <c r="O845" s="878"/>
      <c r="P845" s="878"/>
      <c r="Q845" s="878"/>
      <c r="R845" s="878"/>
      <c r="S845" s="878"/>
      <c r="T845" s="878"/>
      <c r="U845" s="878"/>
      <c r="V845" s="878"/>
      <c r="W845" s="878"/>
      <c r="X845" s="878"/>
      <c r="Y845" s="878"/>
      <c r="Z845" s="878"/>
    </row>
    <row r="846" ht="12.0" customHeight="1">
      <c r="A846" s="878"/>
      <c r="B846" s="879"/>
      <c r="C846" s="842"/>
      <c r="D846" s="878"/>
      <c r="E846" s="878"/>
      <c r="F846" s="878"/>
      <c r="G846" s="878"/>
      <c r="H846" s="878"/>
      <c r="I846" s="878"/>
      <c r="J846" s="878"/>
      <c r="K846" s="878"/>
      <c r="L846" s="878"/>
      <c r="M846" s="878"/>
      <c r="N846" s="878"/>
      <c r="O846" s="878"/>
      <c r="P846" s="878"/>
      <c r="Q846" s="878"/>
      <c r="R846" s="878"/>
      <c r="S846" s="878"/>
      <c r="T846" s="878"/>
      <c r="U846" s="878"/>
      <c r="V846" s="878"/>
      <c r="W846" s="878"/>
      <c r="X846" s="878"/>
      <c r="Y846" s="878"/>
      <c r="Z846" s="878"/>
    </row>
    <row r="847" ht="12.0" customHeight="1">
      <c r="A847" s="878"/>
      <c r="B847" s="879"/>
      <c r="C847" s="842"/>
      <c r="D847" s="878"/>
      <c r="E847" s="878"/>
      <c r="F847" s="878"/>
      <c r="G847" s="878"/>
      <c r="H847" s="878"/>
      <c r="I847" s="878"/>
      <c r="J847" s="878"/>
      <c r="K847" s="878"/>
      <c r="L847" s="878"/>
      <c r="M847" s="878"/>
      <c r="N847" s="878"/>
      <c r="O847" s="878"/>
      <c r="P847" s="878"/>
      <c r="Q847" s="878"/>
      <c r="R847" s="878"/>
      <c r="S847" s="878"/>
      <c r="T847" s="878"/>
      <c r="U847" s="878"/>
      <c r="V847" s="878"/>
      <c r="W847" s="878"/>
      <c r="X847" s="878"/>
      <c r="Y847" s="878"/>
      <c r="Z847" s="878"/>
    </row>
    <row r="848" ht="12.0" customHeight="1">
      <c r="A848" s="878"/>
      <c r="B848" s="879"/>
      <c r="C848" s="842"/>
      <c r="D848" s="878"/>
      <c r="E848" s="878"/>
      <c r="F848" s="878"/>
      <c r="G848" s="878"/>
      <c r="H848" s="878"/>
      <c r="I848" s="878"/>
      <c r="J848" s="878"/>
      <c r="K848" s="878"/>
      <c r="L848" s="878"/>
      <c r="M848" s="878"/>
      <c r="N848" s="878"/>
      <c r="O848" s="878"/>
      <c r="P848" s="878"/>
      <c r="Q848" s="878"/>
      <c r="R848" s="878"/>
      <c r="S848" s="878"/>
      <c r="T848" s="878"/>
      <c r="U848" s="878"/>
      <c r="V848" s="878"/>
      <c r="W848" s="878"/>
      <c r="X848" s="878"/>
      <c r="Y848" s="878"/>
      <c r="Z848" s="878"/>
    </row>
    <row r="849" ht="12.0" customHeight="1">
      <c r="A849" s="878"/>
      <c r="B849" s="879"/>
      <c r="C849" s="842"/>
      <c r="D849" s="878"/>
      <c r="E849" s="878"/>
      <c r="F849" s="878"/>
      <c r="G849" s="878"/>
      <c r="H849" s="878"/>
      <c r="I849" s="878"/>
      <c r="J849" s="878"/>
      <c r="K849" s="878"/>
      <c r="L849" s="878"/>
      <c r="M849" s="878"/>
      <c r="N849" s="878"/>
      <c r="O849" s="878"/>
      <c r="P849" s="878"/>
      <c r="Q849" s="878"/>
      <c r="R849" s="878"/>
      <c r="S849" s="878"/>
      <c r="T849" s="878"/>
      <c r="U849" s="878"/>
      <c r="V849" s="878"/>
      <c r="W849" s="878"/>
      <c r="X849" s="878"/>
      <c r="Y849" s="878"/>
      <c r="Z849" s="878"/>
    </row>
    <row r="850" ht="12.0" customHeight="1">
      <c r="A850" s="878"/>
      <c r="B850" s="879"/>
      <c r="C850" s="842"/>
      <c r="D850" s="878"/>
      <c r="E850" s="878"/>
      <c r="F850" s="878"/>
      <c r="G850" s="878"/>
      <c r="H850" s="878"/>
      <c r="I850" s="878"/>
      <c r="J850" s="878"/>
      <c r="K850" s="878"/>
      <c r="L850" s="878"/>
      <c r="M850" s="878"/>
      <c r="N850" s="878"/>
      <c r="O850" s="878"/>
      <c r="P850" s="878"/>
      <c r="Q850" s="878"/>
      <c r="R850" s="878"/>
      <c r="S850" s="878"/>
      <c r="T850" s="878"/>
      <c r="U850" s="878"/>
      <c r="V850" s="878"/>
      <c r="W850" s="878"/>
      <c r="X850" s="878"/>
      <c r="Y850" s="878"/>
      <c r="Z850" s="878"/>
    </row>
    <row r="851" ht="12.0" customHeight="1">
      <c r="A851" s="878"/>
      <c r="B851" s="879"/>
      <c r="C851" s="842"/>
      <c r="D851" s="878"/>
      <c r="E851" s="878"/>
      <c r="F851" s="878"/>
      <c r="G851" s="878"/>
      <c r="H851" s="878"/>
      <c r="I851" s="878"/>
      <c r="J851" s="878"/>
      <c r="K851" s="878"/>
      <c r="L851" s="878"/>
      <c r="M851" s="878"/>
      <c r="N851" s="878"/>
      <c r="O851" s="878"/>
      <c r="P851" s="878"/>
      <c r="Q851" s="878"/>
      <c r="R851" s="878"/>
      <c r="S851" s="878"/>
      <c r="T851" s="878"/>
      <c r="U851" s="878"/>
      <c r="V851" s="878"/>
      <c r="W851" s="878"/>
      <c r="X851" s="878"/>
      <c r="Y851" s="878"/>
      <c r="Z851" s="878"/>
    </row>
    <row r="852" ht="12.0" customHeight="1">
      <c r="A852" s="878"/>
      <c r="B852" s="879"/>
      <c r="C852" s="842"/>
      <c r="D852" s="878"/>
      <c r="E852" s="878"/>
      <c r="F852" s="878"/>
      <c r="G852" s="878"/>
      <c r="H852" s="878"/>
      <c r="I852" s="878"/>
      <c r="J852" s="878"/>
      <c r="K852" s="878"/>
      <c r="L852" s="878"/>
      <c r="M852" s="878"/>
      <c r="N852" s="878"/>
      <c r="O852" s="878"/>
      <c r="P852" s="878"/>
      <c r="Q852" s="878"/>
      <c r="R852" s="878"/>
      <c r="S852" s="878"/>
      <c r="T852" s="878"/>
      <c r="U852" s="878"/>
      <c r="V852" s="878"/>
      <c r="W852" s="878"/>
      <c r="X852" s="878"/>
      <c r="Y852" s="878"/>
      <c r="Z852" s="878"/>
    </row>
    <row r="853" ht="12.0" customHeight="1">
      <c r="A853" s="878"/>
      <c r="B853" s="879"/>
      <c r="C853" s="842"/>
      <c r="D853" s="878"/>
      <c r="E853" s="878"/>
      <c r="F853" s="878"/>
      <c r="G853" s="878"/>
      <c r="H853" s="878"/>
      <c r="I853" s="878"/>
      <c r="J853" s="878"/>
      <c r="K853" s="878"/>
      <c r="L853" s="878"/>
      <c r="M853" s="878"/>
      <c r="N853" s="878"/>
      <c r="O853" s="878"/>
      <c r="P853" s="878"/>
      <c r="Q853" s="878"/>
      <c r="R853" s="878"/>
      <c r="S853" s="878"/>
      <c r="T853" s="878"/>
      <c r="U853" s="878"/>
      <c r="V853" s="878"/>
      <c r="W853" s="878"/>
      <c r="X853" s="878"/>
      <c r="Y853" s="878"/>
      <c r="Z853" s="878"/>
    </row>
    <row r="854" ht="12.0" customHeight="1">
      <c r="A854" s="878"/>
      <c r="B854" s="879"/>
      <c r="C854" s="842"/>
      <c r="D854" s="878"/>
      <c r="E854" s="878"/>
      <c r="F854" s="878"/>
      <c r="G854" s="878"/>
      <c r="H854" s="878"/>
      <c r="I854" s="878"/>
      <c r="J854" s="878"/>
      <c r="K854" s="878"/>
      <c r="L854" s="878"/>
      <c r="M854" s="878"/>
      <c r="N854" s="878"/>
      <c r="O854" s="878"/>
      <c r="P854" s="878"/>
      <c r="Q854" s="878"/>
      <c r="R854" s="878"/>
      <c r="S854" s="878"/>
      <c r="T854" s="878"/>
      <c r="U854" s="878"/>
      <c r="V854" s="878"/>
      <c r="W854" s="878"/>
      <c r="X854" s="878"/>
      <c r="Y854" s="878"/>
      <c r="Z854" s="878"/>
    </row>
    <row r="855" ht="12.0" customHeight="1">
      <c r="A855" s="878"/>
      <c r="B855" s="879"/>
      <c r="C855" s="842"/>
      <c r="D855" s="878"/>
      <c r="E855" s="878"/>
      <c r="F855" s="878"/>
      <c r="G855" s="878"/>
      <c r="H855" s="878"/>
      <c r="I855" s="878"/>
      <c r="J855" s="878"/>
      <c r="K855" s="878"/>
      <c r="L855" s="878"/>
      <c r="M855" s="878"/>
      <c r="N855" s="878"/>
      <c r="O855" s="878"/>
      <c r="P855" s="878"/>
      <c r="Q855" s="878"/>
      <c r="R855" s="878"/>
      <c r="S855" s="878"/>
      <c r="T855" s="878"/>
      <c r="U855" s="878"/>
      <c r="V855" s="878"/>
      <c r="W855" s="878"/>
      <c r="X855" s="878"/>
      <c r="Y855" s="878"/>
      <c r="Z855" s="878"/>
    </row>
    <row r="856" ht="12.0" customHeight="1">
      <c r="A856" s="878"/>
      <c r="B856" s="879"/>
      <c r="C856" s="842"/>
      <c r="D856" s="878"/>
      <c r="E856" s="878"/>
      <c r="F856" s="878"/>
      <c r="G856" s="878"/>
      <c r="H856" s="878"/>
      <c r="I856" s="878"/>
      <c r="J856" s="878"/>
      <c r="K856" s="878"/>
      <c r="L856" s="878"/>
      <c r="M856" s="878"/>
      <c r="N856" s="878"/>
      <c r="O856" s="878"/>
      <c r="P856" s="878"/>
      <c r="Q856" s="878"/>
      <c r="R856" s="878"/>
      <c r="S856" s="878"/>
      <c r="T856" s="878"/>
      <c r="U856" s="878"/>
      <c r="V856" s="878"/>
      <c r="W856" s="878"/>
      <c r="X856" s="878"/>
      <c r="Y856" s="878"/>
      <c r="Z856" s="878"/>
    </row>
    <row r="857" ht="12.0" customHeight="1">
      <c r="A857" s="878"/>
      <c r="B857" s="879"/>
      <c r="C857" s="842"/>
      <c r="D857" s="878"/>
      <c r="E857" s="878"/>
      <c r="F857" s="878"/>
      <c r="G857" s="878"/>
      <c r="H857" s="878"/>
      <c r="I857" s="878"/>
      <c r="J857" s="878"/>
      <c r="K857" s="878"/>
      <c r="L857" s="878"/>
      <c r="M857" s="878"/>
      <c r="N857" s="878"/>
      <c r="O857" s="878"/>
      <c r="P857" s="878"/>
      <c r="Q857" s="878"/>
      <c r="R857" s="878"/>
      <c r="S857" s="878"/>
      <c r="T857" s="878"/>
      <c r="U857" s="878"/>
      <c r="V857" s="878"/>
      <c r="W857" s="878"/>
      <c r="X857" s="878"/>
      <c r="Y857" s="878"/>
      <c r="Z857" s="878"/>
    </row>
    <row r="858" ht="12.0" customHeight="1">
      <c r="A858" s="878"/>
      <c r="B858" s="879"/>
      <c r="C858" s="842"/>
      <c r="D858" s="878"/>
      <c r="E858" s="878"/>
      <c r="F858" s="878"/>
      <c r="G858" s="878"/>
      <c r="H858" s="878"/>
      <c r="I858" s="878"/>
      <c r="J858" s="878"/>
      <c r="K858" s="878"/>
      <c r="L858" s="878"/>
      <c r="M858" s="878"/>
      <c r="N858" s="878"/>
      <c r="O858" s="878"/>
      <c r="P858" s="878"/>
      <c r="Q858" s="878"/>
      <c r="R858" s="878"/>
      <c r="S858" s="878"/>
      <c r="T858" s="878"/>
      <c r="U858" s="878"/>
      <c r="V858" s="878"/>
      <c r="W858" s="878"/>
      <c r="X858" s="878"/>
      <c r="Y858" s="878"/>
      <c r="Z858" s="878"/>
    </row>
    <row r="859" ht="12.0" customHeight="1">
      <c r="A859" s="878"/>
      <c r="B859" s="879"/>
      <c r="C859" s="842"/>
      <c r="D859" s="878"/>
      <c r="E859" s="878"/>
      <c r="F859" s="878"/>
      <c r="G859" s="878"/>
      <c r="H859" s="878"/>
      <c r="I859" s="878"/>
      <c r="J859" s="878"/>
      <c r="K859" s="878"/>
      <c r="L859" s="878"/>
      <c r="M859" s="878"/>
      <c r="N859" s="878"/>
      <c r="O859" s="878"/>
      <c r="P859" s="878"/>
      <c r="Q859" s="878"/>
      <c r="R859" s="878"/>
      <c r="S859" s="878"/>
      <c r="T859" s="878"/>
      <c r="U859" s="878"/>
      <c r="V859" s="878"/>
      <c r="W859" s="878"/>
      <c r="X859" s="878"/>
      <c r="Y859" s="878"/>
      <c r="Z859" s="878"/>
    </row>
    <row r="860" ht="12.0" customHeight="1">
      <c r="A860" s="878"/>
      <c r="B860" s="879"/>
      <c r="C860" s="842"/>
      <c r="D860" s="878"/>
      <c r="E860" s="878"/>
      <c r="F860" s="878"/>
      <c r="G860" s="878"/>
      <c r="H860" s="878"/>
      <c r="I860" s="878"/>
      <c r="J860" s="878"/>
      <c r="K860" s="878"/>
      <c r="L860" s="878"/>
      <c r="M860" s="878"/>
      <c r="N860" s="878"/>
      <c r="O860" s="878"/>
      <c r="P860" s="878"/>
      <c r="Q860" s="878"/>
      <c r="R860" s="878"/>
      <c r="S860" s="878"/>
      <c r="T860" s="878"/>
      <c r="U860" s="878"/>
      <c r="V860" s="878"/>
      <c r="W860" s="878"/>
      <c r="X860" s="878"/>
      <c r="Y860" s="878"/>
      <c r="Z860" s="878"/>
    </row>
    <row r="861" ht="12.0" customHeight="1">
      <c r="A861" s="878"/>
      <c r="B861" s="879"/>
      <c r="C861" s="842"/>
      <c r="D861" s="878"/>
      <c r="E861" s="878"/>
      <c r="F861" s="878"/>
      <c r="G861" s="878"/>
      <c r="H861" s="878"/>
      <c r="I861" s="878"/>
      <c r="J861" s="878"/>
      <c r="K861" s="878"/>
      <c r="L861" s="878"/>
      <c r="M861" s="878"/>
      <c r="N861" s="878"/>
      <c r="O861" s="878"/>
      <c r="P861" s="878"/>
      <c r="Q861" s="878"/>
      <c r="R861" s="878"/>
      <c r="S861" s="878"/>
      <c r="T861" s="878"/>
      <c r="U861" s="878"/>
      <c r="V861" s="878"/>
      <c r="W861" s="878"/>
      <c r="X861" s="878"/>
      <c r="Y861" s="878"/>
      <c r="Z861" s="878"/>
    </row>
    <row r="862" ht="12.0" customHeight="1">
      <c r="A862" s="878"/>
      <c r="B862" s="879"/>
      <c r="C862" s="842"/>
      <c r="D862" s="878"/>
      <c r="E862" s="878"/>
      <c r="F862" s="878"/>
      <c r="G862" s="878"/>
      <c r="H862" s="878"/>
      <c r="I862" s="878"/>
      <c r="J862" s="878"/>
      <c r="K862" s="878"/>
      <c r="L862" s="878"/>
      <c r="M862" s="878"/>
      <c r="N862" s="878"/>
      <c r="O862" s="878"/>
      <c r="P862" s="878"/>
      <c r="Q862" s="878"/>
      <c r="R862" s="878"/>
      <c r="S862" s="878"/>
      <c r="T862" s="878"/>
      <c r="U862" s="878"/>
      <c r="V862" s="878"/>
      <c r="W862" s="878"/>
      <c r="X862" s="878"/>
      <c r="Y862" s="878"/>
      <c r="Z862" s="878"/>
    </row>
    <row r="863" ht="12.0" customHeight="1">
      <c r="A863" s="878"/>
      <c r="B863" s="879"/>
      <c r="C863" s="842"/>
      <c r="D863" s="878"/>
      <c r="E863" s="878"/>
      <c r="F863" s="878"/>
      <c r="G863" s="878"/>
      <c r="H863" s="878"/>
      <c r="I863" s="878"/>
      <c r="J863" s="878"/>
      <c r="K863" s="878"/>
      <c r="L863" s="878"/>
      <c r="M863" s="878"/>
      <c r="N863" s="878"/>
      <c r="O863" s="878"/>
      <c r="P863" s="878"/>
      <c r="Q863" s="878"/>
      <c r="R863" s="878"/>
      <c r="S863" s="878"/>
      <c r="T863" s="878"/>
      <c r="U863" s="878"/>
      <c r="V863" s="878"/>
      <c r="W863" s="878"/>
      <c r="X863" s="878"/>
      <c r="Y863" s="878"/>
      <c r="Z863" s="878"/>
    </row>
    <row r="864" ht="12.0" customHeight="1">
      <c r="A864" s="878"/>
      <c r="B864" s="879"/>
      <c r="C864" s="842"/>
      <c r="D864" s="878"/>
      <c r="E864" s="878"/>
      <c r="F864" s="878"/>
      <c r="G864" s="878"/>
      <c r="H864" s="878"/>
      <c r="I864" s="878"/>
      <c r="J864" s="878"/>
      <c r="K864" s="878"/>
      <c r="L864" s="878"/>
      <c r="M864" s="878"/>
      <c r="N864" s="878"/>
      <c r="O864" s="878"/>
      <c r="P864" s="878"/>
      <c r="Q864" s="878"/>
      <c r="R864" s="878"/>
      <c r="S864" s="878"/>
      <c r="T864" s="878"/>
      <c r="U864" s="878"/>
      <c r="V864" s="878"/>
      <c r="W864" s="878"/>
      <c r="X864" s="878"/>
      <c r="Y864" s="878"/>
      <c r="Z864" s="878"/>
    </row>
    <row r="865" ht="12.0" customHeight="1">
      <c r="A865" s="878"/>
      <c r="B865" s="879"/>
      <c r="C865" s="842"/>
      <c r="D865" s="878"/>
      <c r="E865" s="878"/>
      <c r="F865" s="878"/>
      <c r="G865" s="878"/>
      <c r="H865" s="878"/>
      <c r="I865" s="878"/>
      <c r="J865" s="878"/>
      <c r="K865" s="878"/>
      <c r="L865" s="878"/>
      <c r="M865" s="878"/>
      <c r="N865" s="878"/>
      <c r="O865" s="878"/>
      <c r="P865" s="878"/>
      <c r="Q865" s="878"/>
      <c r="R865" s="878"/>
      <c r="S865" s="878"/>
      <c r="T865" s="878"/>
      <c r="U865" s="878"/>
      <c r="V865" s="878"/>
      <c r="W865" s="878"/>
      <c r="X865" s="878"/>
      <c r="Y865" s="878"/>
      <c r="Z865" s="878"/>
    </row>
    <row r="866" ht="12.0" customHeight="1">
      <c r="A866" s="878"/>
      <c r="B866" s="879"/>
      <c r="C866" s="842"/>
      <c r="D866" s="878"/>
      <c r="E866" s="878"/>
      <c r="F866" s="878"/>
      <c r="G866" s="878"/>
      <c r="H866" s="878"/>
      <c r="I866" s="878"/>
      <c r="J866" s="878"/>
      <c r="K866" s="878"/>
      <c r="L866" s="878"/>
      <c r="M866" s="878"/>
      <c r="N866" s="878"/>
      <c r="O866" s="878"/>
      <c r="P866" s="878"/>
      <c r="Q866" s="878"/>
      <c r="R866" s="878"/>
      <c r="S866" s="878"/>
      <c r="T866" s="878"/>
      <c r="U866" s="878"/>
      <c r="V866" s="878"/>
      <c r="W866" s="878"/>
      <c r="X866" s="878"/>
      <c r="Y866" s="878"/>
      <c r="Z866" s="878"/>
    </row>
    <row r="867" ht="12.0" customHeight="1">
      <c r="A867" s="878"/>
      <c r="B867" s="879"/>
      <c r="C867" s="842"/>
      <c r="D867" s="878"/>
      <c r="E867" s="878"/>
      <c r="F867" s="878"/>
      <c r="G867" s="878"/>
      <c r="H867" s="878"/>
      <c r="I867" s="878"/>
      <c r="J867" s="878"/>
      <c r="K867" s="878"/>
      <c r="L867" s="878"/>
      <c r="M867" s="878"/>
      <c r="N867" s="878"/>
      <c r="O867" s="878"/>
      <c r="P867" s="878"/>
      <c r="Q867" s="878"/>
      <c r="R867" s="878"/>
      <c r="S867" s="878"/>
      <c r="T867" s="878"/>
      <c r="U867" s="878"/>
      <c r="V867" s="878"/>
      <c r="W867" s="878"/>
      <c r="X867" s="878"/>
      <c r="Y867" s="878"/>
      <c r="Z867" s="878"/>
    </row>
    <row r="868" ht="12.0" customHeight="1">
      <c r="A868" s="878"/>
      <c r="B868" s="879"/>
      <c r="C868" s="842"/>
      <c r="D868" s="878"/>
      <c r="E868" s="878"/>
      <c r="F868" s="878"/>
      <c r="G868" s="878"/>
      <c r="H868" s="878"/>
      <c r="I868" s="878"/>
      <c r="J868" s="878"/>
      <c r="K868" s="878"/>
      <c r="L868" s="878"/>
      <c r="M868" s="878"/>
      <c r="N868" s="878"/>
      <c r="O868" s="878"/>
      <c r="P868" s="878"/>
      <c r="Q868" s="878"/>
      <c r="R868" s="878"/>
      <c r="S868" s="878"/>
      <c r="T868" s="878"/>
      <c r="U868" s="878"/>
      <c r="V868" s="878"/>
      <c r="W868" s="878"/>
      <c r="X868" s="878"/>
      <c r="Y868" s="878"/>
      <c r="Z868" s="878"/>
    </row>
    <row r="869" ht="12.0" customHeight="1">
      <c r="A869" s="878"/>
      <c r="B869" s="879"/>
      <c r="C869" s="842"/>
      <c r="D869" s="878"/>
      <c r="E869" s="878"/>
      <c r="F869" s="878"/>
      <c r="G869" s="878"/>
      <c r="H869" s="878"/>
      <c r="I869" s="878"/>
      <c r="J869" s="878"/>
      <c r="K869" s="878"/>
      <c r="L869" s="878"/>
      <c r="M869" s="878"/>
      <c r="N869" s="878"/>
      <c r="O869" s="878"/>
      <c r="P869" s="878"/>
      <c r="Q869" s="878"/>
      <c r="R869" s="878"/>
      <c r="S869" s="878"/>
      <c r="T869" s="878"/>
      <c r="U869" s="878"/>
      <c r="V869" s="878"/>
      <c r="W869" s="878"/>
      <c r="X869" s="878"/>
      <c r="Y869" s="878"/>
      <c r="Z869" s="878"/>
    </row>
    <row r="870" ht="12.0" customHeight="1">
      <c r="A870" s="878"/>
      <c r="B870" s="879"/>
      <c r="C870" s="842"/>
      <c r="D870" s="878"/>
      <c r="E870" s="878"/>
      <c r="F870" s="878"/>
      <c r="G870" s="878"/>
      <c r="H870" s="878"/>
      <c r="I870" s="878"/>
      <c r="J870" s="878"/>
      <c r="K870" s="878"/>
      <c r="L870" s="878"/>
      <c r="M870" s="878"/>
      <c r="N870" s="878"/>
      <c r="O870" s="878"/>
      <c r="P870" s="878"/>
      <c r="Q870" s="878"/>
      <c r="R870" s="878"/>
      <c r="S870" s="878"/>
      <c r="T870" s="878"/>
      <c r="U870" s="878"/>
      <c r="V870" s="878"/>
      <c r="W870" s="878"/>
      <c r="X870" s="878"/>
      <c r="Y870" s="878"/>
      <c r="Z870" s="878"/>
    </row>
    <row r="871" ht="12.0" customHeight="1">
      <c r="A871" s="878"/>
      <c r="B871" s="879"/>
      <c r="C871" s="842"/>
      <c r="D871" s="878"/>
      <c r="E871" s="878"/>
      <c r="F871" s="878"/>
      <c r="G871" s="878"/>
      <c r="H871" s="878"/>
      <c r="I871" s="878"/>
      <c r="J871" s="878"/>
      <c r="K871" s="878"/>
      <c r="L871" s="878"/>
      <c r="M871" s="878"/>
      <c r="N871" s="878"/>
      <c r="O871" s="878"/>
      <c r="P871" s="878"/>
      <c r="Q871" s="878"/>
      <c r="R871" s="878"/>
      <c r="S871" s="878"/>
      <c r="T871" s="878"/>
      <c r="U871" s="878"/>
      <c r="V871" s="878"/>
      <c r="W871" s="878"/>
      <c r="X871" s="878"/>
      <c r="Y871" s="878"/>
      <c r="Z871" s="878"/>
    </row>
    <row r="872" ht="12.0" customHeight="1">
      <c r="A872" s="878"/>
      <c r="B872" s="879"/>
      <c r="C872" s="842"/>
      <c r="D872" s="878"/>
      <c r="E872" s="878"/>
      <c r="F872" s="878"/>
      <c r="G872" s="878"/>
      <c r="H872" s="878"/>
      <c r="I872" s="878"/>
      <c r="J872" s="878"/>
      <c r="K872" s="878"/>
      <c r="L872" s="878"/>
      <c r="M872" s="878"/>
      <c r="N872" s="878"/>
      <c r="O872" s="878"/>
      <c r="P872" s="878"/>
      <c r="Q872" s="878"/>
      <c r="R872" s="878"/>
      <c r="S872" s="878"/>
      <c r="T872" s="878"/>
      <c r="U872" s="878"/>
      <c r="V872" s="878"/>
      <c r="W872" s="878"/>
      <c r="X872" s="878"/>
      <c r="Y872" s="878"/>
      <c r="Z872" s="878"/>
    </row>
    <row r="873" ht="12.0" customHeight="1">
      <c r="A873" s="878"/>
      <c r="B873" s="879"/>
      <c r="C873" s="842"/>
      <c r="D873" s="878"/>
      <c r="E873" s="878"/>
      <c r="F873" s="878"/>
      <c r="G873" s="878"/>
      <c r="H873" s="878"/>
      <c r="I873" s="878"/>
      <c r="J873" s="878"/>
      <c r="K873" s="878"/>
      <c r="L873" s="878"/>
      <c r="M873" s="878"/>
      <c r="N873" s="878"/>
      <c r="O873" s="878"/>
      <c r="P873" s="878"/>
      <c r="Q873" s="878"/>
      <c r="R873" s="878"/>
      <c r="S873" s="878"/>
      <c r="T873" s="878"/>
      <c r="U873" s="878"/>
      <c r="V873" s="878"/>
      <c r="W873" s="878"/>
      <c r="X873" s="878"/>
      <c r="Y873" s="878"/>
      <c r="Z873" s="878"/>
    </row>
    <row r="874" ht="12.0" customHeight="1">
      <c r="A874" s="878"/>
      <c r="B874" s="879"/>
      <c r="C874" s="842"/>
      <c r="D874" s="878"/>
      <c r="E874" s="878"/>
      <c r="F874" s="878"/>
      <c r="G874" s="878"/>
      <c r="H874" s="878"/>
      <c r="I874" s="878"/>
      <c r="J874" s="878"/>
      <c r="K874" s="878"/>
      <c r="L874" s="878"/>
      <c r="M874" s="878"/>
      <c r="N874" s="878"/>
      <c r="O874" s="878"/>
      <c r="P874" s="878"/>
      <c r="Q874" s="878"/>
      <c r="R874" s="878"/>
      <c r="S874" s="878"/>
      <c r="T874" s="878"/>
      <c r="U874" s="878"/>
      <c r="V874" s="878"/>
      <c r="W874" s="878"/>
      <c r="X874" s="878"/>
      <c r="Y874" s="878"/>
      <c r="Z874" s="878"/>
    </row>
    <row r="875" ht="12.0" customHeight="1">
      <c r="A875" s="878"/>
      <c r="B875" s="879"/>
      <c r="C875" s="842"/>
      <c r="D875" s="878"/>
      <c r="E875" s="878"/>
      <c r="F875" s="878"/>
      <c r="G875" s="878"/>
      <c r="H875" s="878"/>
      <c r="I875" s="878"/>
      <c r="J875" s="878"/>
      <c r="K875" s="878"/>
      <c r="L875" s="878"/>
      <c r="M875" s="878"/>
      <c r="N875" s="878"/>
      <c r="O875" s="878"/>
      <c r="P875" s="878"/>
      <c r="Q875" s="878"/>
      <c r="R875" s="878"/>
      <c r="S875" s="878"/>
      <c r="T875" s="878"/>
      <c r="U875" s="878"/>
      <c r="V875" s="878"/>
      <c r="W875" s="878"/>
      <c r="X875" s="878"/>
      <c r="Y875" s="878"/>
      <c r="Z875" s="878"/>
    </row>
    <row r="876" ht="12.0" customHeight="1">
      <c r="A876" s="878"/>
      <c r="B876" s="879"/>
      <c r="C876" s="842"/>
      <c r="D876" s="878"/>
      <c r="E876" s="878"/>
      <c r="F876" s="878"/>
      <c r="G876" s="878"/>
      <c r="H876" s="878"/>
      <c r="I876" s="878"/>
      <c r="J876" s="878"/>
      <c r="K876" s="878"/>
      <c r="L876" s="878"/>
      <c r="M876" s="878"/>
      <c r="N876" s="878"/>
      <c r="O876" s="878"/>
      <c r="P876" s="878"/>
      <c r="Q876" s="878"/>
      <c r="R876" s="878"/>
      <c r="S876" s="878"/>
      <c r="T876" s="878"/>
      <c r="U876" s="878"/>
      <c r="V876" s="878"/>
      <c r="W876" s="878"/>
      <c r="X876" s="878"/>
      <c r="Y876" s="878"/>
      <c r="Z876" s="878"/>
    </row>
    <row r="877" ht="12.0" customHeight="1">
      <c r="A877" s="878"/>
      <c r="B877" s="879"/>
      <c r="C877" s="842"/>
      <c r="D877" s="878"/>
      <c r="E877" s="878"/>
      <c r="F877" s="878"/>
      <c r="G877" s="878"/>
      <c r="H877" s="878"/>
      <c r="I877" s="878"/>
      <c r="J877" s="878"/>
      <c r="K877" s="878"/>
      <c r="L877" s="878"/>
      <c r="M877" s="878"/>
      <c r="N877" s="878"/>
      <c r="O877" s="878"/>
      <c r="P877" s="878"/>
      <c r="Q877" s="878"/>
      <c r="R877" s="878"/>
      <c r="S877" s="878"/>
      <c r="T877" s="878"/>
      <c r="U877" s="878"/>
      <c r="V877" s="878"/>
      <c r="W877" s="878"/>
      <c r="X877" s="878"/>
      <c r="Y877" s="878"/>
      <c r="Z877" s="878"/>
    </row>
    <row r="878" ht="12.0" customHeight="1">
      <c r="A878" s="878"/>
      <c r="B878" s="879"/>
      <c r="C878" s="842"/>
      <c r="D878" s="878"/>
      <c r="E878" s="878"/>
      <c r="F878" s="878"/>
      <c r="G878" s="878"/>
      <c r="H878" s="878"/>
      <c r="I878" s="878"/>
      <c r="J878" s="878"/>
      <c r="K878" s="878"/>
      <c r="L878" s="878"/>
      <c r="M878" s="878"/>
      <c r="N878" s="878"/>
      <c r="O878" s="878"/>
      <c r="P878" s="878"/>
      <c r="Q878" s="878"/>
      <c r="R878" s="878"/>
      <c r="S878" s="878"/>
      <c r="T878" s="878"/>
      <c r="U878" s="878"/>
      <c r="V878" s="878"/>
      <c r="W878" s="878"/>
      <c r="X878" s="878"/>
      <c r="Y878" s="878"/>
      <c r="Z878" s="878"/>
    </row>
    <row r="879" ht="12.0" customHeight="1">
      <c r="A879" s="878"/>
      <c r="B879" s="879"/>
      <c r="C879" s="842"/>
      <c r="D879" s="878"/>
      <c r="E879" s="878"/>
      <c r="F879" s="878"/>
      <c r="G879" s="878"/>
      <c r="H879" s="878"/>
      <c r="I879" s="878"/>
      <c r="J879" s="878"/>
      <c r="K879" s="878"/>
      <c r="L879" s="878"/>
      <c r="M879" s="878"/>
      <c r="N879" s="878"/>
      <c r="O879" s="878"/>
      <c r="P879" s="878"/>
      <c r="Q879" s="878"/>
      <c r="R879" s="878"/>
      <c r="S879" s="878"/>
      <c r="T879" s="878"/>
      <c r="U879" s="878"/>
      <c r="V879" s="878"/>
      <c r="W879" s="878"/>
      <c r="X879" s="878"/>
      <c r="Y879" s="878"/>
      <c r="Z879" s="878"/>
    </row>
    <row r="880" ht="12.0" customHeight="1">
      <c r="A880" s="878"/>
      <c r="B880" s="879"/>
      <c r="C880" s="842"/>
      <c r="D880" s="878"/>
      <c r="E880" s="878"/>
      <c r="F880" s="878"/>
      <c r="G880" s="878"/>
      <c r="H880" s="878"/>
      <c r="I880" s="878"/>
      <c r="J880" s="878"/>
      <c r="K880" s="878"/>
      <c r="L880" s="878"/>
      <c r="M880" s="878"/>
      <c r="N880" s="878"/>
      <c r="O880" s="878"/>
      <c r="P880" s="878"/>
      <c r="Q880" s="878"/>
      <c r="R880" s="878"/>
      <c r="S880" s="878"/>
      <c r="T880" s="878"/>
      <c r="U880" s="878"/>
      <c r="V880" s="878"/>
      <c r="W880" s="878"/>
      <c r="X880" s="878"/>
      <c r="Y880" s="878"/>
      <c r="Z880" s="878"/>
    </row>
    <row r="881" ht="12.0" customHeight="1">
      <c r="A881" s="878"/>
      <c r="B881" s="879"/>
      <c r="C881" s="842"/>
      <c r="D881" s="878"/>
      <c r="E881" s="878"/>
      <c r="F881" s="878"/>
      <c r="G881" s="878"/>
      <c r="H881" s="878"/>
      <c r="I881" s="878"/>
      <c r="J881" s="878"/>
      <c r="K881" s="878"/>
      <c r="L881" s="878"/>
      <c r="M881" s="878"/>
      <c r="N881" s="878"/>
      <c r="O881" s="878"/>
      <c r="P881" s="878"/>
      <c r="Q881" s="878"/>
      <c r="R881" s="878"/>
      <c r="S881" s="878"/>
      <c r="T881" s="878"/>
      <c r="U881" s="878"/>
      <c r="V881" s="878"/>
      <c r="W881" s="878"/>
      <c r="X881" s="878"/>
      <c r="Y881" s="878"/>
      <c r="Z881" s="878"/>
    </row>
    <row r="882" ht="12.0" customHeight="1">
      <c r="A882" s="878"/>
      <c r="B882" s="879"/>
      <c r="C882" s="842"/>
      <c r="D882" s="878"/>
      <c r="E882" s="878"/>
      <c r="F882" s="878"/>
      <c r="G882" s="878"/>
      <c r="H882" s="878"/>
      <c r="I882" s="878"/>
      <c r="J882" s="878"/>
      <c r="K882" s="878"/>
      <c r="L882" s="878"/>
      <c r="M882" s="878"/>
      <c r="N882" s="878"/>
      <c r="O882" s="878"/>
      <c r="P882" s="878"/>
      <c r="Q882" s="878"/>
      <c r="R882" s="878"/>
      <c r="S882" s="878"/>
      <c r="T882" s="878"/>
      <c r="U882" s="878"/>
      <c r="V882" s="878"/>
      <c r="W882" s="878"/>
      <c r="X882" s="878"/>
      <c r="Y882" s="878"/>
      <c r="Z882" s="878"/>
    </row>
    <row r="883" ht="12.0" customHeight="1">
      <c r="A883" s="878"/>
      <c r="B883" s="879"/>
      <c r="C883" s="842"/>
      <c r="D883" s="878"/>
      <c r="E883" s="878"/>
      <c r="F883" s="878"/>
      <c r="G883" s="878"/>
      <c r="H883" s="878"/>
      <c r="I883" s="878"/>
      <c r="J883" s="878"/>
      <c r="K883" s="878"/>
      <c r="L883" s="878"/>
      <c r="M883" s="878"/>
      <c r="N883" s="878"/>
      <c r="O883" s="878"/>
      <c r="P883" s="878"/>
      <c r="Q883" s="878"/>
      <c r="R883" s="878"/>
      <c r="S883" s="878"/>
      <c r="T883" s="878"/>
      <c r="U883" s="878"/>
      <c r="V883" s="878"/>
      <c r="W883" s="878"/>
      <c r="X883" s="878"/>
      <c r="Y883" s="878"/>
      <c r="Z883" s="878"/>
    </row>
    <row r="884" ht="12.0" customHeight="1">
      <c r="A884" s="878"/>
      <c r="B884" s="879"/>
      <c r="C884" s="842"/>
      <c r="D884" s="878"/>
      <c r="E884" s="878"/>
      <c r="F884" s="878"/>
      <c r="G884" s="878"/>
      <c r="H884" s="878"/>
      <c r="I884" s="878"/>
      <c r="J884" s="878"/>
      <c r="K884" s="878"/>
      <c r="L884" s="878"/>
      <c r="M884" s="878"/>
      <c r="N884" s="878"/>
      <c r="O884" s="878"/>
      <c r="P884" s="878"/>
      <c r="Q884" s="878"/>
      <c r="R884" s="878"/>
      <c r="S884" s="878"/>
      <c r="T884" s="878"/>
      <c r="U884" s="878"/>
      <c r="V884" s="878"/>
      <c r="W884" s="878"/>
      <c r="X884" s="878"/>
      <c r="Y884" s="878"/>
      <c r="Z884" s="878"/>
    </row>
    <row r="885" ht="12.0" customHeight="1">
      <c r="A885" s="878"/>
      <c r="B885" s="879"/>
      <c r="C885" s="842"/>
      <c r="D885" s="878"/>
      <c r="E885" s="878"/>
      <c r="F885" s="878"/>
      <c r="G885" s="878"/>
      <c r="H885" s="878"/>
      <c r="I885" s="878"/>
      <c r="J885" s="878"/>
      <c r="K885" s="878"/>
      <c r="L885" s="878"/>
      <c r="M885" s="878"/>
      <c r="N885" s="878"/>
      <c r="O885" s="878"/>
      <c r="P885" s="878"/>
      <c r="Q885" s="878"/>
      <c r="R885" s="878"/>
      <c r="S885" s="878"/>
      <c r="T885" s="878"/>
      <c r="U885" s="878"/>
      <c r="V885" s="878"/>
      <c r="W885" s="878"/>
      <c r="X885" s="878"/>
      <c r="Y885" s="878"/>
      <c r="Z885" s="878"/>
    </row>
    <row r="886" ht="12.0" customHeight="1">
      <c r="A886" s="878"/>
      <c r="B886" s="879"/>
      <c r="C886" s="842"/>
      <c r="D886" s="878"/>
      <c r="E886" s="878"/>
      <c r="F886" s="878"/>
      <c r="G886" s="878"/>
      <c r="H886" s="878"/>
      <c r="I886" s="878"/>
      <c r="J886" s="878"/>
      <c r="K886" s="878"/>
      <c r="L886" s="878"/>
      <c r="M886" s="878"/>
      <c r="N886" s="878"/>
      <c r="O886" s="878"/>
      <c r="P886" s="878"/>
      <c r="Q886" s="878"/>
      <c r="R886" s="878"/>
      <c r="S886" s="878"/>
      <c r="T886" s="878"/>
      <c r="U886" s="878"/>
      <c r="V886" s="878"/>
      <c r="W886" s="878"/>
      <c r="X886" s="878"/>
      <c r="Y886" s="878"/>
      <c r="Z886" s="878"/>
    </row>
    <row r="887" ht="12.0" customHeight="1">
      <c r="A887" s="878"/>
      <c r="B887" s="879"/>
      <c r="C887" s="842"/>
      <c r="D887" s="878"/>
      <c r="E887" s="878"/>
      <c r="F887" s="878"/>
      <c r="G887" s="878"/>
      <c r="H887" s="878"/>
      <c r="I887" s="878"/>
      <c r="J887" s="878"/>
      <c r="K887" s="878"/>
      <c r="L887" s="878"/>
      <c r="M887" s="878"/>
      <c r="N887" s="878"/>
      <c r="O887" s="878"/>
      <c r="P887" s="878"/>
      <c r="Q887" s="878"/>
      <c r="R887" s="878"/>
      <c r="S887" s="878"/>
      <c r="T887" s="878"/>
      <c r="U887" s="878"/>
      <c r="V887" s="878"/>
      <c r="W887" s="878"/>
      <c r="X887" s="878"/>
      <c r="Y887" s="878"/>
      <c r="Z887" s="878"/>
    </row>
    <row r="888" ht="12.0" customHeight="1">
      <c r="A888" s="878"/>
      <c r="B888" s="879"/>
      <c r="C888" s="842"/>
      <c r="D888" s="878"/>
      <c r="E888" s="878"/>
      <c r="F888" s="878"/>
      <c r="G888" s="878"/>
      <c r="H888" s="878"/>
      <c r="I888" s="878"/>
      <c r="J888" s="878"/>
      <c r="K888" s="878"/>
      <c r="L888" s="878"/>
      <c r="M888" s="878"/>
      <c r="N888" s="878"/>
      <c r="O888" s="878"/>
      <c r="P888" s="878"/>
      <c r="Q888" s="878"/>
      <c r="R888" s="878"/>
      <c r="S888" s="878"/>
      <c r="T888" s="878"/>
      <c r="U888" s="878"/>
      <c r="V888" s="878"/>
      <c r="W888" s="878"/>
      <c r="X888" s="878"/>
      <c r="Y888" s="878"/>
      <c r="Z888" s="878"/>
    </row>
    <row r="889" ht="12.0" customHeight="1">
      <c r="A889" s="878"/>
      <c r="B889" s="879"/>
      <c r="C889" s="842"/>
      <c r="D889" s="878"/>
      <c r="E889" s="878"/>
      <c r="F889" s="878"/>
      <c r="G889" s="878"/>
      <c r="H889" s="878"/>
      <c r="I889" s="878"/>
      <c r="J889" s="878"/>
      <c r="K889" s="878"/>
      <c r="L889" s="878"/>
      <c r="M889" s="878"/>
      <c r="N889" s="878"/>
      <c r="O889" s="878"/>
      <c r="P889" s="878"/>
      <c r="Q889" s="878"/>
      <c r="R889" s="878"/>
      <c r="S889" s="878"/>
      <c r="T889" s="878"/>
      <c r="U889" s="878"/>
      <c r="V889" s="878"/>
      <c r="W889" s="878"/>
      <c r="X889" s="878"/>
      <c r="Y889" s="878"/>
      <c r="Z889" s="878"/>
    </row>
    <row r="890" ht="12.0" customHeight="1">
      <c r="A890" s="878"/>
      <c r="B890" s="879"/>
      <c r="C890" s="842"/>
      <c r="D890" s="878"/>
      <c r="E890" s="878"/>
      <c r="F890" s="878"/>
      <c r="G890" s="878"/>
      <c r="H890" s="878"/>
      <c r="I890" s="878"/>
      <c r="J890" s="878"/>
      <c r="K890" s="878"/>
      <c r="L890" s="878"/>
      <c r="M890" s="878"/>
      <c r="N890" s="878"/>
      <c r="O890" s="878"/>
      <c r="P890" s="878"/>
      <c r="Q890" s="878"/>
      <c r="R890" s="878"/>
      <c r="S890" s="878"/>
      <c r="T890" s="878"/>
      <c r="U890" s="878"/>
      <c r="V890" s="878"/>
      <c r="W890" s="878"/>
      <c r="X890" s="878"/>
      <c r="Y890" s="878"/>
      <c r="Z890" s="878"/>
    </row>
    <row r="891" ht="12.0" customHeight="1">
      <c r="A891" s="878"/>
      <c r="B891" s="879"/>
      <c r="C891" s="842"/>
      <c r="D891" s="878"/>
      <c r="E891" s="878"/>
      <c r="F891" s="878"/>
      <c r="G891" s="878"/>
      <c r="H891" s="878"/>
      <c r="I891" s="878"/>
      <c r="J891" s="878"/>
      <c r="K891" s="878"/>
      <c r="L891" s="878"/>
      <c r="M891" s="878"/>
      <c r="N891" s="878"/>
      <c r="O891" s="878"/>
      <c r="P891" s="878"/>
      <c r="Q891" s="878"/>
      <c r="R891" s="878"/>
      <c r="S891" s="878"/>
      <c r="T891" s="878"/>
      <c r="U891" s="878"/>
      <c r="V891" s="878"/>
      <c r="W891" s="878"/>
      <c r="X891" s="878"/>
      <c r="Y891" s="878"/>
      <c r="Z891" s="878"/>
    </row>
    <row r="892" ht="12.0" customHeight="1">
      <c r="A892" s="878"/>
      <c r="B892" s="879"/>
      <c r="C892" s="842"/>
      <c r="D892" s="878"/>
      <c r="E892" s="878"/>
      <c r="F892" s="878"/>
      <c r="G892" s="878"/>
      <c r="H892" s="878"/>
      <c r="I892" s="878"/>
      <c r="J892" s="878"/>
      <c r="K892" s="878"/>
      <c r="L892" s="878"/>
      <c r="M892" s="878"/>
      <c r="N892" s="878"/>
      <c r="O892" s="878"/>
      <c r="P892" s="878"/>
      <c r="Q892" s="878"/>
      <c r="R892" s="878"/>
      <c r="S892" s="878"/>
      <c r="T892" s="878"/>
      <c r="U892" s="878"/>
      <c r="V892" s="878"/>
      <c r="W892" s="878"/>
      <c r="X892" s="878"/>
      <c r="Y892" s="878"/>
      <c r="Z892" s="878"/>
    </row>
    <row r="893" ht="12.0" customHeight="1">
      <c r="A893" s="878"/>
      <c r="B893" s="879"/>
      <c r="C893" s="842"/>
      <c r="D893" s="878"/>
      <c r="E893" s="878"/>
      <c r="F893" s="878"/>
      <c r="G893" s="878"/>
      <c r="H893" s="878"/>
      <c r="I893" s="878"/>
      <c r="J893" s="878"/>
      <c r="K893" s="878"/>
      <c r="L893" s="878"/>
      <c r="M893" s="878"/>
      <c r="N893" s="878"/>
      <c r="O893" s="878"/>
      <c r="P893" s="878"/>
      <c r="Q893" s="878"/>
      <c r="R893" s="878"/>
      <c r="S893" s="878"/>
      <c r="T893" s="878"/>
      <c r="U893" s="878"/>
      <c r="V893" s="878"/>
      <c r="W893" s="878"/>
      <c r="X893" s="878"/>
      <c r="Y893" s="878"/>
      <c r="Z893" s="878"/>
    </row>
    <row r="894" ht="12.0" customHeight="1">
      <c r="A894" s="878"/>
      <c r="B894" s="879"/>
      <c r="C894" s="842"/>
      <c r="D894" s="878"/>
      <c r="E894" s="878"/>
      <c r="F894" s="878"/>
      <c r="G894" s="878"/>
      <c r="H894" s="878"/>
      <c r="I894" s="878"/>
      <c r="J894" s="878"/>
      <c r="K894" s="878"/>
      <c r="L894" s="878"/>
      <c r="M894" s="878"/>
      <c r="N894" s="878"/>
      <c r="O894" s="878"/>
      <c r="P894" s="878"/>
      <c r="Q894" s="878"/>
      <c r="R894" s="878"/>
      <c r="S894" s="878"/>
      <c r="T894" s="878"/>
      <c r="U894" s="878"/>
      <c r="V894" s="878"/>
      <c r="W894" s="878"/>
      <c r="X894" s="878"/>
      <c r="Y894" s="878"/>
      <c r="Z894" s="878"/>
    </row>
    <row r="895" ht="12.0" customHeight="1">
      <c r="A895" s="878"/>
      <c r="B895" s="879"/>
      <c r="C895" s="842"/>
      <c r="D895" s="878"/>
      <c r="E895" s="878"/>
      <c r="F895" s="878"/>
      <c r="G895" s="878"/>
      <c r="H895" s="878"/>
      <c r="I895" s="878"/>
      <c r="J895" s="878"/>
      <c r="K895" s="878"/>
      <c r="L895" s="878"/>
      <c r="M895" s="878"/>
      <c r="N895" s="878"/>
      <c r="O895" s="878"/>
      <c r="P895" s="878"/>
      <c r="Q895" s="878"/>
      <c r="R895" s="878"/>
      <c r="S895" s="878"/>
      <c r="T895" s="878"/>
      <c r="U895" s="878"/>
      <c r="V895" s="878"/>
      <c r="W895" s="878"/>
      <c r="X895" s="878"/>
      <c r="Y895" s="878"/>
      <c r="Z895" s="878"/>
    </row>
    <row r="896" ht="12.0" customHeight="1">
      <c r="A896" s="878"/>
      <c r="B896" s="879"/>
      <c r="C896" s="842"/>
      <c r="D896" s="878"/>
      <c r="E896" s="878"/>
      <c r="F896" s="878"/>
      <c r="G896" s="878"/>
      <c r="H896" s="878"/>
      <c r="I896" s="878"/>
      <c r="J896" s="878"/>
      <c r="K896" s="878"/>
      <c r="L896" s="878"/>
      <c r="M896" s="878"/>
      <c r="N896" s="878"/>
      <c r="O896" s="878"/>
      <c r="P896" s="878"/>
      <c r="Q896" s="878"/>
      <c r="R896" s="878"/>
      <c r="S896" s="878"/>
      <c r="T896" s="878"/>
      <c r="U896" s="878"/>
      <c r="V896" s="878"/>
      <c r="W896" s="878"/>
      <c r="X896" s="878"/>
      <c r="Y896" s="878"/>
      <c r="Z896" s="878"/>
    </row>
    <row r="897" ht="12.0" customHeight="1">
      <c r="A897" s="878"/>
      <c r="B897" s="879"/>
      <c r="C897" s="842"/>
      <c r="D897" s="878"/>
      <c r="E897" s="878"/>
      <c r="F897" s="878"/>
      <c r="G897" s="878"/>
      <c r="H897" s="878"/>
      <c r="I897" s="878"/>
      <c r="J897" s="878"/>
      <c r="K897" s="878"/>
      <c r="L897" s="878"/>
      <c r="M897" s="878"/>
      <c r="N897" s="878"/>
      <c r="O897" s="878"/>
      <c r="P897" s="878"/>
      <c r="Q897" s="878"/>
      <c r="R897" s="878"/>
      <c r="S897" s="878"/>
      <c r="T897" s="878"/>
      <c r="U897" s="878"/>
      <c r="V897" s="878"/>
      <c r="W897" s="878"/>
      <c r="X897" s="878"/>
      <c r="Y897" s="878"/>
      <c r="Z897" s="878"/>
    </row>
    <row r="898" ht="12.0" customHeight="1">
      <c r="A898" s="878"/>
      <c r="B898" s="879"/>
      <c r="C898" s="842"/>
      <c r="D898" s="878"/>
      <c r="E898" s="878"/>
      <c r="F898" s="878"/>
      <c r="G898" s="878"/>
      <c r="H898" s="878"/>
      <c r="I898" s="878"/>
      <c r="J898" s="878"/>
      <c r="K898" s="878"/>
      <c r="L898" s="878"/>
      <c r="M898" s="878"/>
      <c r="N898" s="878"/>
      <c r="O898" s="878"/>
      <c r="P898" s="878"/>
      <c r="Q898" s="878"/>
      <c r="R898" s="878"/>
      <c r="S898" s="878"/>
      <c r="T898" s="878"/>
      <c r="U898" s="878"/>
      <c r="V898" s="878"/>
      <c r="W898" s="878"/>
      <c r="X898" s="878"/>
      <c r="Y898" s="878"/>
      <c r="Z898" s="878"/>
    </row>
    <row r="899" ht="12.0" customHeight="1">
      <c r="A899" s="878"/>
      <c r="B899" s="879"/>
      <c r="C899" s="842"/>
      <c r="D899" s="878"/>
      <c r="E899" s="878"/>
      <c r="F899" s="878"/>
      <c r="G899" s="878"/>
      <c r="H899" s="878"/>
      <c r="I899" s="878"/>
      <c r="J899" s="878"/>
      <c r="K899" s="878"/>
      <c r="L899" s="878"/>
      <c r="M899" s="878"/>
      <c r="N899" s="878"/>
      <c r="O899" s="878"/>
      <c r="P899" s="878"/>
      <c r="Q899" s="878"/>
      <c r="R899" s="878"/>
      <c r="S899" s="878"/>
      <c r="T899" s="878"/>
      <c r="U899" s="878"/>
      <c r="V899" s="878"/>
      <c r="W899" s="878"/>
      <c r="X899" s="878"/>
      <c r="Y899" s="878"/>
      <c r="Z899" s="878"/>
    </row>
    <row r="900" ht="12.0" customHeight="1">
      <c r="A900" s="878"/>
      <c r="B900" s="879"/>
      <c r="C900" s="842"/>
      <c r="D900" s="878"/>
      <c r="E900" s="878"/>
      <c r="F900" s="878"/>
      <c r="G900" s="878"/>
      <c r="H900" s="878"/>
      <c r="I900" s="878"/>
      <c r="J900" s="878"/>
      <c r="K900" s="878"/>
      <c r="L900" s="878"/>
      <c r="M900" s="878"/>
      <c r="N900" s="878"/>
      <c r="O900" s="878"/>
      <c r="P900" s="878"/>
      <c r="Q900" s="878"/>
      <c r="R900" s="878"/>
      <c r="S900" s="878"/>
      <c r="T900" s="878"/>
      <c r="U900" s="878"/>
      <c r="V900" s="878"/>
      <c r="W900" s="878"/>
      <c r="X900" s="878"/>
      <c r="Y900" s="878"/>
      <c r="Z900" s="878"/>
    </row>
    <row r="901" ht="12.0" customHeight="1">
      <c r="A901" s="878"/>
      <c r="B901" s="879"/>
      <c r="C901" s="842"/>
      <c r="D901" s="878"/>
      <c r="E901" s="878"/>
      <c r="F901" s="878"/>
      <c r="G901" s="878"/>
      <c r="H901" s="878"/>
      <c r="I901" s="878"/>
      <c r="J901" s="878"/>
      <c r="K901" s="878"/>
      <c r="L901" s="878"/>
      <c r="M901" s="878"/>
      <c r="N901" s="878"/>
      <c r="O901" s="878"/>
      <c r="P901" s="878"/>
      <c r="Q901" s="878"/>
      <c r="R901" s="878"/>
      <c r="S901" s="878"/>
      <c r="T901" s="878"/>
      <c r="U901" s="878"/>
      <c r="V901" s="878"/>
      <c r="W901" s="878"/>
      <c r="X901" s="878"/>
      <c r="Y901" s="878"/>
      <c r="Z901" s="878"/>
    </row>
    <row r="902" ht="12.0" customHeight="1">
      <c r="A902" s="878"/>
      <c r="B902" s="879"/>
      <c r="C902" s="842"/>
      <c r="D902" s="878"/>
      <c r="E902" s="878"/>
      <c r="F902" s="878"/>
      <c r="G902" s="878"/>
      <c r="H902" s="878"/>
      <c r="I902" s="878"/>
      <c r="J902" s="878"/>
      <c r="K902" s="878"/>
      <c r="L902" s="878"/>
      <c r="M902" s="878"/>
      <c r="N902" s="878"/>
      <c r="O902" s="878"/>
      <c r="P902" s="878"/>
      <c r="Q902" s="878"/>
      <c r="R902" s="878"/>
      <c r="S902" s="878"/>
      <c r="T902" s="878"/>
      <c r="U902" s="878"/>
      <c r="V902" s="878"/>
      <c r="W902" s="878"/>
      <c r="X902" s="878"/>
      <c r="Y902" s="878"/>
      <c r="Z902" s="878"/>
    </row>
    <row r="903" ht="12.0" customHeight="1">
      <c r="A903" s="878"/>
      <c r="B903" s="879"/>
      <c r="C903" s="842"/>
      <c r="D903" s="878"/>
      <c r="E903" s="878"/>
      <c r="F903" s="878"/>
      <c r="G903" s="878"/>
      <c r="H903" s="878"/>
      <c r="I903" s="878"/>
      <c r="J903" s="878"/>
      <c r="K903" s="878"/>
      <c r="L903" s="878"/>
      <c r="M903" s="878"/>
      <c r="N903" s="878"/>
      <c r="O903" s="878"/>
      <c r="P903" s="878"/>
      <c r="Q903" s="878"/>
      <c r="R903" s="878"/>
      <c r="S903" s="878"/>
      <c r="T903" s="878"/>
      <c r="U903" s="878"/>
      <c r="V903" s="878"/>
      <c r="W903" s="878"/>
      <c r="X903" s="878"/>
      <c r="Y903" s="878"/>
      <c r="Z903" s="878"/>
    </row>
    <row r="904" ht="12.0" customHeight="1">
      <c r="A904" s="878"/>
      <c r="B904" s="879"/>
      <c r="C904" s="842"/>
      <c r="D904" s="878"/>
      <c r="E904" s="878"/>
      <c r="F904" s="878"/>
      <c r="G904" s="878"/>
      <c r="H904" s="878"/>
      <c r="I904" s="878"/>
      <c r="J904" s="878"/>
      <c r="K904" s="878"/>
      <c r="L904" s="878"/>
      <c r="M904" s="878"/>
      <c r="N904" s="878"/>
      <c r="O904" s="878"/>
      <c r="P904" s="878"/>
      <c r="Q904" s="878"/>
      <c r="R904" s="878"/>
      <c r="S904" s="878"/>
      <c r="T904" s="878"/>
      <c r="U904" s="878"/>
      <c r="V904" s="878"/>
      <c r="W904" s="878"/>
      <c r="X904" s="878"/>
      <c r="Y904" s="878"/>
      <c r="Z904" s="878"/>
    </row>
    <row r="905" ht="12.0" customHeight="1">
      <c r="A905" s="878"/>
      <c r="B905" s="879"/>
      <c r="C905" s="842"/>
      <c r="D905" s="878"/>
      <c r="E905" s="878"/>
      <c r="F905" s="878"/>
      <c r="G905" s="878"/>
      <c r="H905" s="878"/>
      <c r="I905" s="878"/>
      <c r="J905" s="878"/>
      <c r="K905" s="878"/>
      <c r="L905" s="878"/>
      <c r="M905" s="878"/>
      <c r="N905" s="878"/>
      <c r="O905" s="878"/>
      <c r="P905" s="878"/>
      <c r="Q905" s="878"/>
      <c r="R905" s="878"/>
      <c r="S905" s="878"/>
      <c r="T905" s="878"/>
      <c r="U905" s="878"/>
      <c r="V905" s="878"/>
      <c r="W905" s="878"/>
      <c r="X905" s="878"/>
      <c r="Y905" s="878"/>
      <c r="Z905" s="878"/>
    </row>
    <row r="906" ht="12.0" customHeight="1">
      <c r="A906" s="878"/>
      <c r="B906" s="879"/>
      <c r="C906" s="842"/>
      <c r="D906" s="878"/>
      <c r="E906" s="878"/>
      <c r="F906" s="878"/>
      <c r="G906" s="878"/>
      <c r="H906" s="878"/>
      <c r="I906" s="878"/>
      <c r="J906" s="878"/>
      <c r="K906" s="878"/>
      <c r="L906" s="878"/>
      <c r="M906" s="878"/>
      <c r="N906" s="878"/>
      <c r="O906" s="878"/>
      <c r="P906" s="878"/>
      <c r="Q906" s="878"/>
      <c r="R906" s="878"/>
      <c r="S906" s="878"/>
      <c r="T906" s="878"/>
      <c r="U906" s="878"/>
      <c r="V906" s="878"/>
      <c r="W906" s="878"/>
      <c r="X906" s="878"/>
      <c r="Y906" s="878"/>
      <c r="Z906" s="878"/>
    </row>
    <row r="907" ht="12.0" customHeight="1">
      <c r="A907" s="878"/>
      <c r="B907" s="879"/>
      <c r="C907" s="842"/>
      <c r="D907" s="878"/>
      <c r="E907" s="878"/>
      <c r="F907" s="878"/>
      <c r="G907" s="878"/>
      <c r="H907" s="878"/>
      <c r="I907" s="878"/>
      <c r="J907" s="878"/>
      <c r="K907" s="878"/>
      <c r="L907" s="878"/>
      <c r="M907" s="878"/>
      <c r="N907" s="878"/>
      <c r="O907" s="878"/>
      <c r="P907" s="878"/>
      <c r="Q907" s="878"/>
      <c r="R907" s="878"/>
      <c r="S907" s="878"/>
      <c r="T907" s="878"/>
      <c r="U907" s="878"/>
      <c r="V907" s="878"/>
      <c r="W907" s="878"/>
      <c r="X907" s="878"/>
      <c r="Y907" s="878"/>
      <c r="Z907" s="878"/>
    </row>
    <row r="908" ht="12.0" customHeight="1">
      <c r="A908" s="878"/>
      <c r="B908" s="879"/>
      <c r="C908" s="842"/>
      <c r="D908" s="878"/>
      <c r="E908" s="878"/>
      <c r="F908" s="878"/>
      <c r="G908" s="878"/>
      <c r="H908" s="878"/>
      <c r="I908" s="878"/>
      <c r="J908" s="878"/>
      <c r="K908" s="878"/>
      <c r="L908" s="878"/>
      <c r="M908" s="878"/>
      <c r="N908" s="878"/>
      <c r="O908" s="878"/>
      <c r="P908" s="878"/>
      <c r="Q908" s="878"/>
      <c r="R908" s="878"/>
      <c r="S908" s="878"/>
      <c r="T908" s="878"/>
      <c r="U908" s="878"/>
      <c r="V908" s="878"/>
      <c r="W908" s="878"/>
      <c r="X908" s="878"/>
      <c r="Y908" s="878"/>
      <c r="Z908" s="878"/>
    </row>
    <row r="909" ht="12.0" customHeight="1">
      <c r="A909" s="878"/>
      <c r="B909" s="879"/>
      <c r="C909" s="842"/>
      <c r="D909" s="878"/>
      <c r="E909" s="878"/>
      <c r="F909" s="878"/>
      <c r="G909" s="878"/>
      <c r="H909" s="878"/>
      <c r="I909" s="878"/>
      <c r="J909" s="878"/>
      <c r="K909" s="878"/>
      <c r="L909" s="878"/>
      <c r="M909" s="878"/>
      <c r="N909" s="878"/>
      <c r="O909" s="878"/>
      <c r="P909" s="878"/>
      <c r="Q909" s="878"/>
      <c r="R909" s="878"/>
      <c r="S909" s="878"/>
      <c r="T909" s="878"/>
      <c r="U909" s="878"/>
      <c r="V909" s="878"/>
      <c r="W909" s="878"/>
      <c r="X909" s="878"/>
      <c r="Y909" s="878"/>
      <c r="Z909" s="878"/>
    </row>
    <row r="910" ht="12.0" customHeight="1">
      <c r="A910" s="878"/>
      <c r="B910" s="879"/>
      <c r="C910" s="842"/>
      <c r="D910" s="878"/>
      <c r="E910" s="878"/>
      <c r="F910" s="878"/>
      <c r="G910" s="878"/>
      <c r="H910" s="878"/>
      <c r="I910" s="878"/>
      <c r="J910" s="878"/>
      <c r="K910" s="878"/>
      <c r="L910" s="878"/>
      <c r="M910" s="878"/>
      <c r="N910" s="878"/>
      <c r="O910" s="878"/>
      <c r="P910" s="878"/>
      <c r="Q910" s="878"/>
      <c r="R910" s="878"/>
      <c r="S910" s="878"/>
      <c r="T910" s="878"/>
      <c r="U910" s="878"/>
      <c r="V910" s="878"/>
      <c r="W910" s="878"/>
      <c r="X910" s="878"/>
      <c r="Y910" s="878"/>
      <c r="Z910" s="878"/>
    </row>
    <row r="911" ht="12.0" customHeight="1">
      <c r="A911" s="878"/>
      <c r="B911" s="879"/>
      <c r="C911" s="842"/>
      <c r="D911" s="878"/>
      <c r="E911" s="878"/>
      <c r="F911" s="878"/>
      <c r="G911" s="878"/>
      <c r="H911" s="878"/>
      <c r="I911" s="878"/>
      <c r="J911" s="878"/>
      <c r="K911" s="878"/>
      <c r="L911" s="878"/>
      <c r="M911" s="878"/>
      <c r="N911" s="878"/>
      <c r="O911" s="878"/>
      <c r="P911" s="878"/>
      <c r="Q911" s="878"/>
      <c r="R911" s="878"/>
      <c r="S911" s="878"/>
      <c r="T911" s="878"/>
      <c r="U911" s="878"/>
      <c r="V911" s="878"/>
      <c r="W911" s="878"/>
      <c r="X911" s="878"/>
      <c r="Y911" s="878"/>
      <c r="Z911" s="878"/>
    </row>
    <row r="912" ht="12.0" customHeight="1">
      <c r="A912" s="878"/>
      <c r="B912" s="879"/>
      <c r="C912" s="842"/>
      <c r="D912" s="878"/>
      <c r="E912" s="878"/>
      <c r="F912" s="878"/>
      <c r="G912" s="878"/>
      <c r="H912" s="878"/>
      <c r="I912" s="878"/>
      <c r="J912" s="878"/>
      <c r="K912" s="878"/>
      <c r="L912" s="878"/>
      <c r="M912" s="878"/>
      <c r="N912" s="878"/>
      <c r="O912" s="878"/>
      <c r="P912" s="878"/>
      <c r="Q912" s="878"/>
      <c r="R912" s="878"/>
      <c r="S912" s="878"/>
      <c r="T912" s="878"/>
      <c r="U912" s="878"/>
      <c r="V912" s="878"/>
      <c r="W912" s="878"/>
      <c r="X912" s="878"/>
      <c r="Y912" s="878"/>
      <c r="Z912" s="878"/>
    </row>
    <row r="913" ht="12.0" customHeight="1">
      <c r="A913" s="878"/>
      <c r="B913" s="879"/>
      <c r="C913" s="842"/>
      <c r="D913" s="878"/>
      <c r="E913" s="878"/>
      <c r="F913" s="878"/>
      <c r="G913" s="878"/>
      <c r="H913" s="878"/>
      <c r="I913" s="878"/>
      <c r="J913" s="878"/>
      <c r="K913" s="878"/>
      <c r="L913" s="878"/>
      <c r="M913" s="878"/>
      <c r="N913" s="878"/>
      <c r="O913" s="878"/>
      <c r="P913" s="878"/>
      <c r="Q913" s="878"/>
      <c r="R913" s="878"/>
      <c r="S913" s="878"/>
      <c r="T913" s="878"/>
      <c r="U913" s="878"/>
      <c r="V913" s="878"/>
      <c r="W913" s="878"/>
      <c r="X913" s="878"/>
      <c r="Y913" s="878"/>
      <c r="Z913" s="878"/>
    </row>
    <row r="914" ht="12.0" customHeight="1">
      <c r="A914" s="878"/>
      <c r="B914" s="879"/>
      <c r="C914" s="842"/>
      <c r="D914" s="878"/>
      <c r="E914" s="878"/>
      <c r="F914" s="878"/>
      <c r="G914" s="878"/>
      <c r="H914" s="878"/>
      <c r="I914" s="878"/>
      <c r="J914" s="878"/>
      <c r="K914" s="878"/>
      <c r="L914" s="878"/>
      <c r="M914" s="878"/>
      <c r="N914" s="878"/>
      <c r="O914" s="878"/>
      <c r="P914" s="878"/>
      <c r="Q914" s="878"/>
      <c r="R914" s="878"/>
      <c r="S914" s="878"/>
      <c r="T914" s="878"/>
      <c r="U914" s="878"/>
      <c r="V914" s="878"/>
      <c r="W914" s="878"/>
      <c r="X914" s="878"/>
      <c r="Y914" s="878"/>
      <c r="Z914" s="878"/>
    </row>
    <row r="915" ht="12.0" customHeight="1">
      <c r="A915" s="878"/>
      <c r="B915" s="879"/>
      <c r="C915" s="842"/>
      <c r="D915" s="878"/>
      <c r="E915" s="878"/>
      <c r="F915" s="878"/>
      <c r="G915" s="878"/>
      <c r="H915" s="878"/>
      <c r="I915" s="878"/>
      <c r="J915" s="878"/>
      <c r="K915" s="878"/>
      <c r="L915" s="878"/>
      <c r="M915" s="878"/>
      <c r="N915" s="878"/>
      <c r="O915" s="878"/>
      <c r="P915" s="878"/>
      <c r="Q915" s="878"/>
      <c r="R915" s="878"/>
      <c r="S915" s="878"/>
      <c r="T915" s="878"/>
      <c r="U915" s="878"/>
      <c r="V915" s="878"/>
      <c r="W915" s="878"/>
      <c r="X915" s="878"/>
      <c r="Y915" s="878"/>
      <c r="Z915" s="878"/>
    </row>
    <row r="916" ht="12.0" customHeight="1">
      <c r="A916" s="878"/>
      <c r="B916" s="879"/>
      <c r="C916" s="842"/>
      <c r="D916" s="878"/>
      <c r="E916" s="878"/>
      <c r="F916" s="878"/>
      <c r="G916" s="878"/>
      <c r="H916" s="878"/>
      <c r="I916" s="878"/>
      <c r="J916" s="878"/>
      <c r="K916" s="878"/>
      <c r="L916" s="878"/>
      <c r="M916" s="878"/>
      <c r="N916" s="878"/>
      <c r="O916" s="878"/>
      <c r="P916" s="878"/>
      <c r="Q916" s="878"/>
      <c r="R916" s="878"/>
      <c r="S916" s="878"/>
      <c r="T916" s="878"/>
      <c r="U916" s="878"/>
      <c r="V916" s="878"/>
      <c r="W916" s="878"/>
      <c r="X916" s="878"/>
      <c r="Y916" s="878"/>
      <c r="Z916" s="878"/>
    </row>
    <row r="917" ht="12.0" customHeight="1">
      <c r="A917" s="878"/>
      <c r="B917" s="879"/>
      <c r="C917" s="842"/>
      <c r="D917" s="878"/>
      <c r="E917" s="878"/>
      <c r="F917" s="878"/>
      <c r="G917" s="878"/>
      <c r="H917" s="878"/>
      <c r="I917" s="878"/>
      <c r="J917" s="878"/>
      <c r="K917" s="878"/>
      <c r="L917" s="878"/>
      <c r="M917" s="878"/>
      <c r="N917" s="878"/>
      <c r="O917" s="878"/>
      <c r="P917" s="878"/>
      <c r="Q917" s="878"/>
      <c r="R917" s="878"/>
      <c r="S917" s="878"/>
      <c r="T917" s="878"/>
      <c r="U917" s="878"/>
      <c r="V917" s="878"/>
      <c r="W917" s="878"/>
      <c r="X917" s="878"/>
      <c r="Y917" s="878"/>
      <c r="Z917" s="878"/>
    </row>
    <row r="918" ht="12.0" customHeight="1">
      <c r="A918" s="878"/>
      <c r="B918" s="879"/>
      <c r="C918" s="842"/>
      <c r="D918" s="878"/>
      <c r="E918" s="878"/>
      <c r="F918" s="878"/>
      <c r="G918" s="878"/>
      <c r="H918" s="878"/>
      <c r="I918" s="878"/>
      <c r="J918" s="878"/>
      <c r="K918" s="878"/>
      <c r="L918" s="878"/>
      <c r="M918" s="878"/>
      <c r="N918" s="878"/>
      <c r="O918" s="878"/>
      <c r="P918" s="878"/>
      <c r="Q918" s="878"/>
      <c r="R918" s="878"/>
      <c r="S918" s="878"/>
      <c r="T918" s="878"/>
      <c r="U918" s="878"/>
      <c r="V918" s="878"/>
      <c r="W918" s="878"/>
      <c r="X918" s="878"/>
      <c r="Y918" s="878"/>
      <c r="Z918" s="878"/>
    </row>
    <row r="919" ht="12.0" customHeight="1">
      <c r="A919" s="878"/>
      <c r="B919" s="879"/>
      <c r="C919" s="842"/>
      <c r="D919" s="878"/>
      <c r="E919" s="878"/>
      <c r="F919" s="878"/>
      <c r="G919" s="878"/>
      <c r="H919" s="878"/>
      <c r="I919" s="878"/>
      <c r="J919" s="878"/>
      <c r="K919" s="878"/>
      <c r="L919" s="878"/>
      <c r="M919" s="878"/>
      <c r="N919" s="878"/>
      <c r="O919" s="878"/>
      <c r="P919" s="878"/>
      <c r="Q919" s="878"/>
      <c r="R919" s="878"/>
      <c r="S919" s="878"/>
      <c r="T919" s="878"/>
      <c r="U919" s="878"/>
      <c r="V919" s="878"/>
      <c r="W919" s="878"/>
      <c r="X919" s="878"/>
      <c r="Y919" s="878"/>
      <c r="Z919" s="878"/>
    </row>
    <row r="920" ht="12.0" customHeight="1">
      <c r="A920" s="878"/>
      <c r="B920" s="879"/>
      <c r="C920" s="842"/>
      <c r="D920" s="878"/>
      <c r="E920" s="878"/>
      <c r="F920" s="878"/>
      <c r="G920" s="878"/>
      <c r="H920" s="878"/>
      <c r="I920" s="878"/>
      <c r="J920" s="878"/>
      <c r="K920" s="878"/>
      <c r="L920" s="878"/>
      <c r="M920" s="878"/>
      <c r="N920" s="878"/>
      <c r="O920" s="878"/>
      <c r="P920" s="878"/>
      <c r="Q920" s="878"/>
      <c r="R920" s="878"/>
      <c r="S920" s="878"/>
      <c r="T920" s="878"/>
      <c r="U920" s="878"/>
      <c r="V920" s="878"/>
      <c r="W920" s="878"/>
      <c r="X920" s="878"/>
      <c r="Y920" s="878"/>
      <c r="Z920" s="878"/>
    </row>
    <row r="921" ht="12.0" customHeight="1">
      <c r="A921" s="878"/>
      <c r="B921" s="879"/>
      <c r="C921" s="842"/>
      <c r="D921" s="878"/>
      <c r="E921" s="878"/>
      <c r="F921" s="878"/>
      <c r="G921" s="878"/>
      <c r="H921" s="878"/>
      <c r="I921" s="878"/>
      <c r="J921" s="878"/>
      <c r="K921" s="878"/>
      <c r="L921" s="878"/>
      <c r="M921" s="878"/>
      <c r="N921" s="878"/>
      <c r="O921" s="878"/>
      <c r="P921" s="878"/>
      <c r="Q921" s="878"/>
      <c r="R921" s="878"/>
      <c r="S921" s="878"/>
      <c r="T921" s="878"/>
      <c r="U921" s="878"/>
      <c r="V921" s="878"/>
      <c r="W921" s="878"/>
      <c r="X921" s="878"/>
      <c r="Y921" s="878"/>
      <c r="Z921" s="878"/>
    </row>
    <row r="922" ht="12.0" customHeight="1">
      <c r="A922" s="878"/>
      <c r="B922" s="879"/>
      <c r="C922" s="842"/>
      <c r="D922" s="878"/>
      <c r="E922" s="878"/>
      <c r="F922" s="878"/>
      <c r="G922" s="878"/>
      <c r="H922" s="878"/>
      <c r="I922" s="878"/>
      <c r="J922" s="878"/>
      <c r="K922" s="878"/>
      <c r="L922" s="878"/>
      <c r="M922" s="878"/>
      <c r="N922" s="878"/>
      <c r="O922" s="878"/>
      <c r="P922" s="878"/>
      <c r="Q922" s="878"/>
      <c r="R922" s="878"/>
      <c r="S922" s="878"/>
      <c r="T922" s="878"/>
      <c r="U922" s="878"/>
      <c r="V922" s="878"/>
      <c r="W922" s="878"/>
      <c r="X922" s="878"/>
      <c r="Y922" s="878"/>
      <c r="Z922" s="878"/>
    </row>
    <row r="923" ht="12.0" customHeight="1">
      <c r="A923" s="878"/>
      <c r="B923" s="879"/>
      <c r="C923" s="842"/>
      <c r="D923" s="878"/>
      <c r="E923" s="878"/>
      <c r="F923" s="878"/>
      <c r="G923" s="878"/>
      <c r="H923" s="878"/>
      <c r="I923" s="878"/>
      <c r="J923" s="878"/>
      <c r="K923" s="878"/>
      <c r="L923" s="878"/>
      <c r="M923" s="878"/>
      <c r="N923" s="878"/>
      <c r="O923" s="878"/>
      <c r="P923" s="878"/>
      <c r="Q923" s="878"/>
      <c r="R923" s="878"/>
      <c r="S923" s="878"/>
      <c r="T923" s="878"/>
      <c r="U923" s="878"/>
      <c r="V923" s="878"/>
      <c r="W923" s="878"/>
      <c r="X923" s="878"/>
      <c r="Y923" s="878"/>
      <c r="Z923" s="878"/>
    </row>
    <row r="924" ht="12.0" customHeight="1">
      <c r="A924" s="878"/>
      <c r="B924" s="879"/>
      <c r="C924" s="842"/>
      <c r="D924" s="878"/>
      <c r="E924" s="878"/>
      <c r="F924" s="878"/>
      <c r="G924" s="878"/>
      <c r="H924" s="878"/>
      <c r="I924" s="878"/>
      <c r="J924" s="878"/>
      <c r="K924" s="878"/>
      <c r="L924" s="878"/>
      <c r="M924" s="878"/>
      <c r="N924" s="878"/>
      <c r="O924" s="878"/>
      <c r="P924" s="878"/>
      <c r="Q924" s="878"/>
      <c r="R924" s="878"/>
      <c r="S924" s="878"/>
      <c r="T924" s="878"/>
      <c r="U924" s="878"/>
      <c r="V924" s="878"/>
      <c r="W924" s="878"/>
      <c r="X924" s="878"/>
      <c r="Y924" s="878"/>
      <c r="Z924" s="878"/>
    </row>
    <row r="925" ht="12.0" customHeight="1">
      <c r="A925" s="878"/>
      <c r="B925" s="879"/>
      <c r="C925" s="842"/>
      <c r="D925" s="878"/>
      <c r="E925" s="878"/>
      <c r="F925" s="878"/>
      <c r="G925" s="878"/>
      <c r="H925" s="878"/>
      <c r="I925" s="878"/>
      <c r="J925" s="878"/>
      <c r="K925" s="878"/>
      <c r="L925" s="878"/>
      <c r="M925" s="878"/>
      <c r="N925" s="878"/>
      <c r="O925" s="878"/>
      <c r="P925" s="878"/>
      <c r="Q925" s="878"/>
      <c r="R925" s="878"/>
      <c r="S925" s="878"/>
      <c r="T925" s="878"/>
      <c r="U925" s="878"/>
      <c r="V925" s="878"/>
      <c r="W925" s="878"/>
      <c r="X925" s="878"/>
      <c r="Y925" s="878"/>
      <c r="Z925" s="878"/>
    </row>
    <row r="926" ht="12.0" customHeight="1">
      <c r="A926" s="878"/>
      <c r="B926" s="879"/>
      <c r="C926" s="842"/>
      <c r="D926" s="878"/>
      <c r="E926" s="878"/>
      <c r="F926" s="878"/>
      <c r="G926" s="878"/>
      <c r="H926" s="878"/>
      <c r="I926" s="878"/>
      <c r="J926" s="878"/>
      <c r="K926" s="878"/>
      <c r="L926" s="878"/>
      <c r="M926" s="878"/>
      <c r="N926" s="878"/>
      <c r="O926" s="878"/>
      <c r="P926" s="878"/>
      <c r="Q926" s="878"/>
      <c r="R926" s="878"/>
      <c r="S926" s="878"/>
      <c r="T926" s="878"/>
      <c r="U926" s="878"/>
      <c r="V926" s="878"/>
      <c r="W926" s="878"/>
      <c r="X926" s="878"/>
      <c r="Y926" s="878"/>
      <c r="Z926" s="878"/>
    </row>
    <row r="927" ht="12.0" customHeight="1">
      <c r="A927" s="878"/>
      <c r="B927" s="879"/>
      <c r="C927" s="842"/>
      <c r="D927" s="878"/>
      <c r="E927" s="878"/>
      <c r="F927" s="878"/>
      <c r="G927" s="878"/>
      <c r="H927" s="878"/>
      <c r="I927" s="878"/>
      <c r="J927" s="878"/>
      <c r="K927" s="878"/>
      <c r="L927" s="878"/>
      <c r="M927" s="878"/>
      <c r="N927" s="878"/>
      <c r="O927" s="878"/>
      <c r="P927" s="878"/>
      <c r="Q927" s="878"/>
      <c r="R927" s="878"/>
      <c r="S927" s="878"/>
      <c r="T927" s="878"/>
      <c r="U927" s="878"/>
      <c r="V927" s="878"/>
      <c r="W927" s="878"/>
      <c r="X927" s="878"/>
      <c r="Y927" s="878"/>
      <c r="Z927" s="878"/>
    </row>
    <row r="928" ht="12.0" customHeight="1">
      <c r="A928" s="878"/>
      <c r="B928" s="879"/>
      <c r="C928" s="842"/>
      <c r="D928" s="878"/>
      <c r="E928" s="878"/>
      <c r="F928" s="878"/>
      <c r="G928" s="878"/>
      <c r="H928" s="878"/>
      <c r="I928" s="878"/>
      <c r="J928" s="878"/>
      <c r="K928" s="878"/>
      <c r="L928" s="878"/>
      <c r="M928" s="878"/>
      <c r="N928" s="878"/>
      <c r="O928" s="878"/>
      <c r="P928" s="878"/>
      <c r="Q928" s="878"/>
      <c r="R928" s="878"/>
      <c r="S928" s="878"/>
      <c r="T928" s="878"/>
      <c r="U928" s="878"/>
      <c r="V928" s="878"/>
      <c r="W928" s="878"/>
      <c r="X928" s="878"/>
      <c r="Y928" s="878"/>
      <c r="Z928" s="878"/>
    </row>
    <row r="929" ht="12.0" customHeight="1">
      <c r="A929" s="878"/>
      <c r="B929" s="879"/>
      <c r="C929" s="842"/>
      <c r="D929" s="878"/>
      <c r="E929" s="878"/>
      <c r="F929" s="878"/>
      <c r="G929" s="878"/>
      <c r="H929" s="878"/>
      <c r="I929" s="878"/>
      <c r="J929" s="878"/>
      <c r="K929" s="878"/>
      <c r="L929" s="878"/>
      <c r="M929" s="878"/>
      <c r="N929" s="878"/>
      <c r="O929" s="878"/>
      <c r="P929" s="878"/>
      <c r="Q929" s="878"/>
      <c r="R929" s="878"/>
      <c r="S929" s="878"/>
      <c r="T929" s="878"/>
      <c r="U929" s="878"/>
      <c r="V929" s="878"/>
      <c r="W929" s="878"/>
      <c r="X929" s="878"/>
      <c r="Y929" s="878"/>
      <c r="Z929" s="878"/>
    </row>
    <row r="930" ht="12.0" customHeight="1">
      <c r="A930" s="878"/>
      <c r="B930" s="879"/>
      <c r="C930" s="842"/>
      <c r="D930" s="878"/>
      <c r="E930" s="878"/>
      <c r="F930" s="878"/>
      <c r="G930" s="878"/>
      <c r="H930" s="878"/>
      <c r="I930" s="878"/>
      <c r="J930" s="878"/>
      <c r="K930" s="878"/>
      <c r="L930" s="878"/>
      <c r="M930" s="878"/>
      <c r="N930" s="878"/>
      <c r="O930" s="878"/>
      <c r="P930" s="878"/>
      <c r="Q930" s="878"/>
      <c r="R930" s="878"/>
      <c r="S930" s="878"/>
      <c r="T930" s="878"/>
      <c r="U930" s="878"/>
      <c r="V930" s="878"/>
      <c r="W930" s="878"/>
      <c r="X930" s="878"/>
      <c r="Y930" s="878"/>
      <c r="Z930" s="878"/>
    </row>
    <row r="931" ht="12.0" customHeight="1">
      <c r="A931" s="878"/>
      <c r="B931" s="879"/>
      <c r="C931" s="842"/>
      <c r="D931" s="878"/>
      <c r="E931" s="878"/>
      <c r="F931" s="878"/>
      <c r="G931" s="878"/>
      <c r="H931" s="878"/>
      <c r="I931" s="878"/>
      <c r="J931" s="878"/>
      <c r="K931" s="878"/>
      <c r="L931" s="878"/>
      <c r="M931" s="878"/>
      <c r="N931" s="878"/>
      <c r="O931" s="878"/>
      <c r="P931" s="878"/>
      <c r="Q931" s="878"/>
      <c r="R931" s="878"/>
      <c r="S931" s="878"/>
      <c r="T931" s="878"/>
      <c r="U931" s="878"/>
      <c r="V931" s="878"/>
      <c r="W931" s="878"/>
      <c r="X931" s="878"/>
      <c r="Y931" s="878"/>
      <c r="Z931" s="878"/>
    </row>
    <row r="932" ht="12.0" customHeight="1">
      <c r="A932" s="878"/>
      <c r="B932" s="879"/>
      <c r="C932" s="842"/>
      <c r="D932" s="878"/>
      <c r="E932" s="878"/>
      <c r="F932" s="878"/>
      <c r="G932" s="878"/>
      <c r="H932" s="878"/>
      <c r="I932" s="878"/>
      <c r="J932" s="878"/>
      <c r="K932" s="878"/>
      <c r="L932" s="878"/>
      <c r="M932" s="878"/>
      <c r="N932" s="878"/>
      <c r="O932" s="878"/>
      <c r="P932" s="878"/>
      <c r="Q932" s="878"/>
      <c r="R932" s="878"/>
      <c r="S932" s="878"/>
      <c r="T932" s="878"/>
      <c r="U932" s="878"/>
      <c r="V932" s="878"/>
      <c r="W932" s="878"/>
      <c r="X932" s="878"/>
      <c r="Y932" s="878"/>
      <c r="Z932" s="878"/>
    </row>
    <row r="933" ht="12.0" customHeight="1">
      <c r="A933" s="878"/>
      <c r="B933" s="879"/>
      <c r="C933" s="842"/>
      <c r="D933" s="878"/>
      <c r="E933" s="878"/>
      <c r="F933" s="878"/>
      <c r="G933" s="878"/>
      <c r="H933" s="878"/>
      <c r="I933" s="878"/>
      <c r="J933" s="878"/>
      <c r="K933" s="878"/>
      <c r="L933" s="878"/>
      <c r="M933" s="878"/>
      <c r="N933" s="878"/>
      <c r="O933" s="878"/>
      <c r="P933" s="878"/>
      <c r="Q933" s="878"/>
      <c r="R933" s="878"/>
      <c r="S933" s="878"/>
      <c r="T933" s="878"/>
      <c r="U933" s="878"/>
      <c r="V933" s="878"/>
      <c r="W933" s="878"/>
      <c r="X933" s="878"/>
      <c r="Y933" s="878"/>
      <c r="Z933" s="878"/>
    </row>
    <row r="934" ht="12.0" customHeight="1">
      <c r="A934" s="878"/>
      <c r="B934" s="879"/>
      <c r="C934" s="842"/>
      <c r="D934" s="878"/>
      <c r="E934" s="878"/>
      <c r="F934" s="878"/>
      <c r="G934" s="878"/>
      <c r="H934" s="878"/>
      <c r="I934" s="878"/>
      <c r="J934" s="878"/>
      <c r="K934" s="878"/>
      <c r="L934" s="878"/>
      <c r="M934" s="878"/>
      <c r="N934" s="878"/>
      <c r="O934" s="878"/>
      <c r="P934" s="878"/>
      <c r="Q934" s="878"/>
      <c r="R934" s="878"/>
      <c r="S934" s="878"/>
      <c r="T934" s="878"/>
      <c r="U934" s="878"/>
      <c r="V934" s="878"/>
      <c r="W934" s="878"/>
      <c r="X934" s="878"/>
      <c r="Y934" s="878"/>
      <c r="Z934" s="878"/>
    </row>
    <row r="935" ht="12.0" customHeight="1">
      <c r="A935" s="878"/>
      <c r="B935" s="879"/>
      <c r="C935" s="842"/>
      <c r="D935" s="878"/>
      <c r="E935" s="878"/>
      <c r="F935" s="878"/>
      <c r="G935" s="878"/>
      <c r="H935" s="878"/>
      <c r="I935" s="878"/>
      <c r="J935" s="878"/>
      <c r="K935" s="878"/>
      <c r="L935" s="878"/>
      <c r="M935" s="878"/>
      <c r="N935" s="878"/>
      <c r="O935" s="878"/>
      <c r="P935" s="878"/>
      <c r="Q935" s="878"/>
      <c r="R935" s="878"/>
      <c r="S935" s="878"/>
      <c r="T935" s="878"/>
      <c r="U935" s="878"/>
      <c r="V935" s="878"/>
      <c r="W935" s="878"/>
      <c r="X935" s="878"/>
      <c r="Y935" s="878"/>
      <c r="Z935" s="878"/>
    </row>
    <row r="936" ht="12.0" customHeight="1">
      <c r="A936" s="878"/>
      <c r="B936" s="879"/>
      <c r="C936" s="842"/>
      <c r="D936" s="878"/>
      <c r="E936" s="878"/>
      <c r="F936" s="878"/>
      <c r="G936" s="878"/>
      <c r="H936" s="878"/>
      <c r="I936" s="878"/>
      <c r="J936" s="878"/>
      <c r="K936" s="878"/>
      <c r="L936" s="878"/>
      <c r="M936" s="878"/>
      <c r="N936" s="878"/>
      <c r="O936" s="878"/>
      <c r="P936" s="878"/>
      <c r="Q936" s="878"/>
      <c r="R936" s="878"/>
      <c r="S936" s="878"/>
      <c r="T936" s="878"/>
      <c r="U936" s="878"/>
      <c r="V936" s="878"/>
      <c r="W936" s="878"/>
      <c r="X936" s="878"/>
      <c r="Y936" s="878"/>
      <c r="Z936" s="878"/>
    </row>
    <row r="937" ht="12.0" customHeight="1">
      <c r="A937" s="878"/>
      <c r="B937" s="879"/>
      <c r="C937" s="842"/>
      <c r="D937" s="878"/>
      <c r="E937" s="878"/>
      <c r="F937" s="878"/>
      <c r="G937" s="878"/>
      <c r="H937" s="878"/>
      <c r="I937" s="878"/>
      <c r="J937" s="878"/>
      <c r="K937" s="878"/>
      <c r="L937" s="878"/>
      <c r="M937" s="878"/>
      <c r="N937" s="878"/>
      <c r="O937" s="878"/>
      <c r="P937" s="878"/>
      <c r="Q937" s="878"/>
      <c r="R937" s="878"/>
      <c r="S937" s="878"/>
      <c r="T937" s="878"/>
      <c r="U937" s="878"/>
      <c r="V937" s="878"/>
      <c r="W937" s="878"/>
      <c r="X937" s="878"/>
      <c r="Y937" s="878"/>
      <c r="Z937" s="878"/>
    </row>
    <row r="938" ht="12.0" customHeight="1">
      <c r="A938" s="878"/>
      <c r="B938" s="879"/>
      <c r="C938" s="842"/>
      <c r="D938" s="878"/>
      <c r="E938" s="878"/>
      <c r="F938" s="878"/>
      <c r="G938" s="878"/>
      <c r="H938" s="878"/>
      <c r="I938" s="878"/>
      <c r="J938" s="878"/>
      <c r="K938" s="878"/>
      <c r="L938" s="878"/>
      <c r="M938" s="878"/>
      <c r="N938" s="878"/>
      <c r="O938" s="878"/>
      <c r="P938" s="878"/>
      <c r="Q938" s="878"/>
      <c r="R938" s="878"/>
      <c r="S938" s="878"/>
      <c r="T938" s="878"/>
      <c r="U938" s="878"/>
      <c r="V938" s="878"/>
      <c r="W938" s="878"/>
      <c r="X938" s="878"/>
      <c r="Y938" s="878"/>
      <c r="Z938" s="878"/>
    </row>
    <row r="939" ht="12.0" customHeight="1">
      <c r="A939" s="878"/>
      <c r="B939" s="879"/>
      <c r="C939" s="842"/>
      <c r="D939" s="878"/>
      <c r="E939" s="878"/>
      <c r="F939" s="878"/>
      <c r="G939" s="878"/>
      <c r="H939" s="878"/>
      <c r="I939" s="878"/>
      <c r="J939" s="878"/>
      <c r="K939" s="878"/>
      <c r="L939" s="878"/>
      <c r="M939" s="878"/>
      <c r="N939" s="878"/>
      <c r="O939" s="878"/>
      <c r="P939" s="878"/>
      <c r="Q939" s="878"/>
      <c r="R939" s="878"/>
      <c r="S939" s="878"/>
      <c r="T939" s="878"/>
      <c r="U939" s="878"/>
      <c r="V939" s="878"/>
      <c r="W939" s="878"/>
      <c r="X939" s="878"/>
      <c r="Y939" s="878"/>
      <c r="Z939" s="878"/>
    </row>
    <row r="940" ht="12.0" customHeight="1">
      <c r="A940" s="878"/>
      <c r="B940" s="879"/>
      <c r="C940" s="842"/>
      <c r="D940" s="878"/>
      <c r="E940" s="878"/>
      <c r="F940" s="878"/>
      <c r="G940" s="878"/>
      <c r="H940" s="878"/>
      <c r="I940" s="878"/>
      <c r="J940" s="878"/>
      <c r="K940" s="878"/>
      <c r="L940" s="878"/>
      <c r="M940" s="878"/>
      <c r="N940" s="878"/>
      <c r="O940" s="878"/>
      <c r="P940" s="878"/>
      <c r="Q940" s="878"/>
      <c r="R940" s="878"/>
      <c r="S940" s="878"/>
      <c r="T940" s="878"/>
      <c r="U940" s="878"/>
      <c r="V940" s="878"/>
      <c r="W940" s="878"/>
      <c r="X940" s="878"/>
      <c r="Y940" s="878"/>
      <c r="Z940" s="878"/>
    </row>
    <row r="941" ht="12.0" customHeight="1">
      <c r="A941" s="878"/>
      <c r="B941" s="879"/>
      <c r="C941" s="842"/>
      <c r="D941" s="878"/>
      <c r="E941" s="878"/>
      <c r="F941" s="878"/>
      <c r="G941" s="878"/>
      <c r="H941" s="878"/>
      <c r="I941" s="878"/>
      <c r="J941" s="878"/>
      <c r="K941" s="878"/>
      <c r="L941" s="878"/>
      <c r="M941" s="878"/>
      <c r="N941" s="878"/>
      <c r="O941" s="878"/>
      <c r="P941" s="878"/>
      <c r="Q941" s="878"/>
      <c r="R941" s="878"/>
      <c r="S941" s="878"/>
      <c r="T941" s="878"/>
      <c r="U941" s="878"/>
      <c r="V941" s="878"/>
      <c r="W941" s="878"/>
      <c r="X941" s="878"/>
      <c r="Y941" s="878"/>
      <c r="Z941" s="878"/>
    </row>
    <row r="942" ht="12.0" customHeight="1">
      <c r="A942" s="878"/>
      <c r="B942" s="879"/>
      <c r="C942" s="842"/>
      <c r="D942" s="878"/>
      <c r="E942" s="878"/>
      <c r="F942" s="878"/>
      <c r="G942" s="878"/>
      <c r="H942" s="878"/>
      <c r="I942" s="878"/>
      <c r="J942" s="878"/>
      <c r="K942" s="878"/>
      <c r="L942" s="878"/>
      <c r="M942" s="878"/>
      <c r="N942" s="878"/>
      <c r="O942" s="878"/>
      <c r="P942" s="878"/>
      <c r="Q942" s="878"/>
      <c r="R942" s="878"/>
      <c r="S942" s="878"/>
      <c r="T942" s="878"/>
      <c r="U942" s="878"/>
      <c r="V942" s="878"/>
      <c r="W942" s="878"/>
      <c r="X942" s="878"/>
      <c r="Y942" s="878"/>
      <c r="Z942" s="878"/>
    </row>
    <row r="943" ht="12.0" customHeight="1">
      <c r="A943" s="878"/>
      <c r="B943" s="879"/>
      <c r="C943" s="842"/>
      <c r="D943" s="878"/>
      <c r="E943" s="878"/>
      <c r="F943" s="878"/>
      <c r="G943" s="878"/>
      <c r="H943" s="878"/>
      <c r="I943" s="878"/>
      <c r="J943" s="878"/>
      <c r="K943" s="878"/>
      <c r="L943" s="878"/>
      <c r="M943" s="878"/>
      <c r="N943" s="878"/>
      <c r="O943" s="878"/>
      <c r="P943" s="878"/>
      <c r="Q943" s="878"/>
      <c r="R943" s="878"/>
      <c r="S943" s="878"/>
      <c r="T943" s="878"/>
      <c r="U943" s="878"/>
      <c r="V943" s="878"/>
      <c r="W943" s="878"/>
      <c r="X943" s="878"/>
      <c r="Y943" s="878"/>
      <c r="Z943" s="878"/>
    </row>
    <row r="944" ht="12.0" customHeight="1">
      <c r="A944" s="878"/>
      <c r="B944" s="879"/>
      <c r="C944" s="842"/>
      <c r="D944" s="878"/>
      <c r="E944" s="878"/>
      <c r="F944" s="878"/>
      <c r="G944" s="878"/>
      <c r="H944" s="878"/>
      <c r="I944" s="878"/>
      <c r="J944" s="878"/>
      <c r="K944" s="878"/>
      <c r="L944" s="878"/>
      <c r="M944" s="878"/>
      <c r="N944" s="878"/>
      <c r="O944" s="878"/>
      <c r="P944" s="878"/>
      <c r="Q944" s="878"/>
      <c r="R944" s="878"/>
      <c r="S944" s="878"/>
      <c r="T944" s="878"/>
      <c r="U944" s="878"/>
      <c r="V944" s="878"/>
      <c r="W944" s="878"/>
      <c r="X944" s="878"/>
      <c r="Y944" s="878"/>
      <c r="Z944" s="878"/>
    </row>
    <row r="945" ht="12.0" customHeight="1">
      <c r="A945" s="878"/>
      <c r="B945" s="879"/>
      <c r="C945" s="842"/>
      <c r="D945" s="878"/>
      <c r="E945" s="878"/>
      <c r="F945" s="878"/>
      <c r="G945" s="878"/>
      <c r="H945" s="878"/>
      <c r="I945" s="878"/>
      <c r="J945" s="878"/>
      <c r="K945" s="878"/>
      <c r="L945" s="878"/>
      <c r="M945" s="878"/>
      <c r="N945" s="878"/>
      <c r="O945" s="878"/>
      <c r="P945" s="878"/>
      <c r="Q945" s="878"/>
      <c r="R945" s="878"/>
      <c r="S945" s="878"/>
      <c r="T945" s="878"/>
      <c r="U945" s="878"/>
      <c r="V945" s="878"/>
      <c r="W945" s="878"/>
      <c r="X945" s="878"/>
      <c r="Y945" s="878"/>
      <c r="Z945" s="878"/>
    </row>
    <row r="946" ht="12.0" customHeight="1">
      <c r="A946" s="878"/>
      <c r="B946" s="879"/>
      <c r="C946" s="842"/>
      <c r="D946" s="878"/>
      <c r="E946" s="878"/>
      <c r="F946" s="878"/>
      <c r="G946" s="878"/>
      <c r="H946" s="878"/>
      <c r="I946" s="878"/>
      <c r="J946" s="878"/>
      <c r="K946" s="878"/>
      <c r="L946" s="878"/>
      <c r="M946" s="878"/>
      <c r="N946" s="878"/>
      <c r="O946" s="878"/>
      <c r="P946" s="878"/>
      <c r="Q946" s="878"/>
      <c r="R946" s="878"/>
      <c r="S946" s="878"/>
      <c r="T946" s="878"/>
      <c r="U946" s="878"/>
      <c r="V946" s="878"/>
      <c r="W946" s="878"/>
      <c r="X946" s="878"/>
      <c r="Y946" s="878"/>
      <c r="Z946" s="878"/>
    </row>
    <row r="947" ht="12.0" customHeight="1">
      <c r="A947" s="878"/>
      <c r="B947" s="879"/>
      <c r="C947" s="842"/>
      <c r="D947" s="878"/>
      <c r="E947" s="878"/>
      <c r="F947" s="878"/>
      <c r="G947" s="878"/>
      <c r="H947" s="878"/>
      <c r="I947" s="878"/>
      <c r="J947" s="878"/>
      <c r="K947" s="878"/>
      <c r="L947" s="878"/>
      <c r="M947" s="878"/>
      <c r="N947" s="878"/>
      <c r="O947" s="878"/>
      <c r="P947" s="878"/>
      <c r="Q947" s="878"/>
      <c r="R947" s="878"/>
      <c r="S947" s="878"/>
      <c r="T947" s="878"/>
      <c r="U947" s="878"/>
      <c r="V947" s="878"/>
      <c r="W947" s="878"/>
      <c r="X947" s="878"/>
      <c r="Y947" s="878"/>
      <c r="Z947" s="878"/>
    </row>
    <row r="948" ht="12.0" customHeight="1">
      <c r="A948" s="878"/>
      <c r="B948" s="879"/>
      <c r="C948" s="842"/>
      <c r="D948" s="878"/>
      <c r="E948" s="878"/>
      <c r="F948" s="878"/>
      <c r="G948" s="878"/>
      <c r="H948" s="878"/>
      <c r="I948" s="878"/>
      <c r="J948" s="878"/>
      <c r="K948" s="878"/>
      <c r="L948" s="878"/>
      <c r="M948" s="878"/>
      <c r="N948" s="878"/>
      <c r="O948" s="878"/>
      <c r="P948" s="878"/>
      <c r="Q948" s="878"/>
      <c r="R948" s="878"/>
      <c r="S948" s="878"/>
      <c r="T948" s="878"/>
      <c r="U948" s="878"/>
      <c r="V948" s="878"/>
      <c r="W948" s="878"/>
      <c r="X948" s="878"/>
      <c r="Y948" s="878"/>
      <c r="Z948" s="878"/>
    </row>
    <row r="949" ht="12.0" customHeight="1">
      <c r="A949" s="878"/>
      <c r="B949" s="879"/>
      <c r="C949" s="842"/>
      <c r="D949" s="878"/>
      <c r="E949" s="878"/>
      <c r="F949" s="878"/>
      <c r="G949" s="878"/>
      <c r="H949" s="878"/>
      <c r="I949" s="878"/>
      <c r="J949" s="878"/>
      <c r="K949" s="878"/>
      <c r="L949" s="878"/>
      <c r="M949" s="878"/>
      <c r="N949" s="878"/>
      <c r="O949" s="878"/>
      <c r="P949" s="878"/>
      <c r="Q949" s="878"/>
      <c r="R949" s="878"/>
      <c r="S949" s="878"/>
      <c r="T949" s="878"/>
      <c r="U949" s="878"/>
      <c r="V949" s="878"/>
      <c r="W949" s="878"/>
      <c r="X949" s="878"/>
      <c r="Y949" s="878"/>
      <c r="Z949" s="878"/>
    </row>
    <row r="950" ht="12.0" customHeight="1">
      <c r="A950" s="878"/>
      <c r="B950" s="879"/>
      <c r="C950" s="842"/>
      <c r="D950" s="878"/>
      <c r="E950" s="878"/>
      <c r="F950" s="878"/>
      <c r="G950" s="878"/>
      <c r="H950" s="878"/>
      <c r="I950" s="878"/>
      <c r="J950" s="878"/>
      <c r="K950" s="878"/>
      <c r="L950" s="878"/>
      <c r="M950" s="878"/>
      <c r="N950" s="878"/>
      <c r="O950" s="878"/>
      <c r="P950" s="878"/>
      <c r="Q950" s="878"/>
      <c r="R950" s="878"/>
      <c r="S950" s="878"/>
      <c r="T950" s="878"/>
      <c r="U950" s="878"/>
      <c r="V950" s="878"/>
      <c r="W950" s="878"/>
      <c r="X950" s="878"/>
      <c r="Y950" s="878"/>
      <c r="Z950" s="878"/>
    </row>
    <row r="951" ht="12.0" customHeight="1">
      <c r="A951" s="878"/>
      <c r="B951" s="879"/>
      <c r="C951" s="842"/>
      <c r="D951" s="878"/>
      <c r="E951" s="878"/>
      <c r="F951" s="878"/>
      <c r="G951" s="878"/>
      <c r="H951" s="878"/>
      <c r="I951" s="878"/>
      <c r="J951" s="878"/>
      <c r="K951" s="878"/>
      <c r="L951" s="878"/>
      <c r="M951" s="878"/>
      <c r="N951" s="878"/>
      <c r="O951" s="878"/>
      <c r="P951" s="878"/>
      <c r="Q951" s="878"/>
      <c r="R951" s="878"/>
      <c r="S951" s="878"/>
      <c r="T951" s="878"/>
      <c r="U951" s="878"/>
      <c r="V951" s="878"/>
      <c r="W951" s="878"/>
      <c r="X951" s="878"/>
      <c r="Y951" s="878"/>
      <c r="Z951" s="878"/>
    </row>
    <row r="952" ht="12.0" customHeight="1">
      <c r="A952" s="878"/>
      <c r="B952" s="879"/>
      <c r="C952" s="842"/>
      <c r="D952" s="878"/>
      <c r="E952" s="878"/>
      <c r="F952" s="878"/>
      <c r="G952" s="878"/>
      <c r="H952" s="878"/>
      <c r="I952" s="878"/>
      <c r="J952" s="878"/>
      <c r="K952" s="878"/>
      <c r="L952" s="878"/>
      <c r="M952" s="878"/>
      <c r="N952" s="878"/>
      <c r="O952" s="878"/>
      <c r="P952" s="878"/>
      <c r="Q952" s="878"/>
      <c r="R952" s="878"/>
      <c r="S952" s="878"/>
      <c r="T952" s="878"/>
      <c r="U952" s="878"/>
      <c r="V952" s="878"/>
      <c r="W952" s="878"/>
      <c r="X952" s="878"/>
      <c r="Y952" s="878"/>
      <c r="Z952" s="878"/>
    </row>
    <row r="953" ht="12.0" customHeight="1">
      <c r="A953" s="878"/>
      <c r="B953" s="879"/>
      <c r="C953" s="842"/>
      <c r="D953" s="878"/>
      <c r="E953" s="878"/>
      <c r="F953" s="878"/>
      <c r="G953" s="878"/>
      <c r="H953" s="878"/>
      <c r="I953" s="878"/>
      <c r="J953" s="878"/>
      <c r="K953" s="878"/>
      <c r="L953" s="878"/>
      <c r="M953" s="878"/>
      <c r="N953" s="878"/>
      <c r="O953" s="878"/>
      <c r="P953" s="878"/>
      <c r="Q953" s="878"/>
      <c r="R953" s="878"/>
      <c r="S953" s="878"/>
      <c r="T953" s="878"/>
      <c r="U953" s="878"/>
      <c r="V953" s="878"/>
      <c r="W953" s="878"/>
      <c r="X953" s="878"/>
      <c r="Y953" s="878"/>
      <c r="Z953" s="878"/>
    </row>
    <row r="954" ht="12.0" customHeight="1">
      <c r="A954" s="878"/>
      <c r="B954" s="879"/>
      <c r="C954" s="842"/>
      <c r="D954" s="878"/>
      <c r="E954" s="878"/>
      <c r="F954" s="878"/>
      <c r="G954" s="878"/>
      <c r="H954" s="878"/>
      <c r="I954" s="878"/>
      <c r="J954" s="878"/>
      <c r="K954" s="878"/>
      <c r="L954" s="878"/>
      <c r="M954" s="878"/>
      <c r="N954" s="878"/>
      <c r="O954" s="878"/>
      <c r="P954" s="878"/>
      <c r="Q954" s="878"/>
      <c r="R954" s="878"/>
      <c r="S954" s="878"/>
      <c r="T954" s="878"/>
      <c r="U954" s="878"/>
      <c r="V954" s="878"/>
      <c r="W954" s="878"/>
      <c r="X954" s="878"/>
      <c r="Y954" s="878"/>
      <c r="Z954" s="878"/>
    </row>
    <row r="955" ht="12.0" customHeight="1">
      <c r="A955" s="878"/>
      <c r="B955" s="879"/>
      <c r="C955" s="842"/>
      <c r="D955" s="878"/>
      <c r="E955" s="878"/>
      <c r="F955" s="878"/>
      <c r="G955" s="878"/>
      <c r="H955" s="878"/>
      <c r="I955" s="878"/>
      <c r="J955" s="878"/>
      <c r="K955" s="878"/>
      <c r="L955" s="878"/>
      <c r="M955" s="878"/>
      <c r="N955" s="878"/>
      <c r="O955" s="878"/>
      <c r="P955" s="878"/>
      <c r="Q955" s="878"/>
      <c r="R955" s="878"/>
      <c r="S955" s="878"/>
      <c r="T955" s="878"/>
      <c r="U955" s="878"/>
      <c r="V955" s="878"/>
      <c r="W955" s="878"/>
      <c r="X955" s="878"/>
      <c r="Y955" s="878"/>
      <c r="Z955" s="878"/>
    </row>
    <row r="956" ht="12.0" customHeight="1">
      <c r="A956" s="878"/>
      <c r="B956" s="879"/>
      <c r="C956" s="842"/>
      <c r="D956" s="878"/>
      <c r="E956" s="878"/>
      <c r="F956" s="878"/>
      <c r="G956" s="878"/>
      <c r="H956" s="878"/>
      <c r="I956" s="878"/>
      <c r="J956" s="878"/>
      <c r="K956" s="878"/>
      <c r="L956" s="878"/>
      <c r="M956" s="878"/>
      <c r="N956" s="878"/>
      <c r="O956" s="878"/>
      <c r="P956" s="878"/>
      <c r="Q956" s="878"/>
      <c r="R956" s="878"/>
      <c r="S956" s="878"/>
      <c r="T956" s="878"/>
      <c r="U956" s="878"/>
      <c r="V956" s="878"/>
      <c r="W956" s="878"/>
      <c r="X956" s="878"/>
      <c r="Y956" s="878"/>
      <c r="Z956" s="878"/>
    </row>
    <row r="957" ht="12.0" customHeight="1">
      <c r="A957" s="878"/>
      <c r="B957" s="879"/>
      <c r="C957" s="842"/>
      <c r="D957" s="878"/>
      <c r="E957" s="878"/>
      <c r="F957" s="878"/>
      <c r="G957" s="878"/>
      <c r="H957" s="878"/>
      <c r="I957" s="878"/>
      <c r="J957" s="878"/>
      <c r="K957" s="878"/>
      <c r="L957" s="878"/>
      <c r="M957" s="878"/>
      <c r="N957" s="878"/>
      <c r="O957" s="878"/>
      <c r="P957" s="878"/>
      <c r="Q957" s="878"/>
      <c r="R957" s="878"/>
      <c r="S957" s="878"/>
      <c r="T957" s="878"/>
      <c r="U957" s="878"/>
      <c r="V957" s="878"/>
      <c r="W957" s="878"/>
      <c r="X957" s="878"/>
      <c r="Y957" s="878"/>
      <c r="Z957" s="878"/>
    </row>
    <row r="958" ht="12.0" customHeight="1">
      <c r="A958" s="878"/>
      <c r="B958" s="879"/>
      <c r="C958" s="842"/>
      <c r="D958" s="878"/>
      <c r="E958" s="878"/>
      <c r="F958" s="878"/>
      <c r="G958" s="878"/>
      <c r="H958" s="878"/>
      <c r="I958" s="878"/>
      <c r="J958" s="878"/>
      <c r="K958" s="878"/>
      <c r="L958" s="878"/>
      <c r="M958" s="878"/>
      <c r="N958" s="878"/>
      <c r="O958" s="878"/>
      <c r="P958" s="878"/>
      <c r="Q958" s="878"/>
      <c r="R958" s="878"/>
      <c r="S958" s="878"/>
      <c r="T958" s="878"/>
      <c r="U958" s="878"/>
      <c r="V958" s="878"/>
      <c r="W958" s="878"/>
      <c r="X958" s="878"/>
      <c r="Y958" s="878"/>
      <c r="Z958" s="878"/>
    </row>
    <row r="959" ht="12.0" customHeight="1">
      <c r="A959" s="878"/>
      <c r="B959" s="879"/>
      <c r="C959" s="842"/>
      <c r="D959" s="878"/>
      <c r="E959" s="878"/>
      <c r="F959" s="878"/>
      <c r="G959" s="878"/>
      <c r="H959" s="878"/>
      <c r="I959" s="878"/>
      <c r="J959" s="878"/>
      <c r="K959" s="878"/>
      <c r="L959" s="878"/>
      <c r="M959" s="878"/>
      <c r="N959" s="878"/>
      <c r="O959" s="878"/>
      <c r="P959" s="878"/>
      <c r="Q959" s="878"/>
      <c r="R959" s="878"/>
      <c r="S959" s="878"/>
      <c r="T959" s="878"/>
      <c r="U959" s="878"/>
      <c r="V959" s="878"/>
      <c r="W959" s="878"/>
      <c r="X959" s="878"/>
      <c r="Y959" s="878"/>
      <c r="Z959" s="878"/>
    </row>
    <row r="960" ht="12.0" customHeight="1">
      <c r="A960" s="878"/>
      <c r="B960" s="879"/>
      <c r="C960" s="842"/>
      <c r="D960" s="878"/>
      <c r="E960" s="878"/>
      <c r="F960" s="878"/>
      <c r="G960" s="878"/>
      <c r="H960" s="878"/>
      <c r="I960" s="878"/>
      <c r="J960" s="878"/>
      <c r="K960" s="878"/>
      <c r="L960" s="878"/>
      <c r="M960" s="878"/>
      <c r="N960" s="878"/>
      <c r="O960" s="878"/>
      <c r="P960" s="878"/>
      <c r="Q960" s="878"/>
      <c r="R960" s="878"/>
      <c r="S960" s="878"/>
      <c r="T960" s="878"/>
      <c r="U960" s="878"/>
      <c r="V960" s="878"/>
      <c r="W960" s="878"/>
      <c r="X960" s="878"/>
      <c r="Y960" s="878"/>
      <c r="Z960" s="878"/>
    </row>
    <row r="961" ht="12.0" customHeight="1">
      <c r="A961" s="878"/>
      <c r="B961" s="879"/>
      <c r="C961" s="842"/>
      <c r="D961" s="878"/>
      <c r="E961" s="878"/>
      <c r="F961" s="878"/>
      <c r="G961" s="878"/>
      <c r="H961" s="878"/>
      <c r="I961" s="878"/>
      <c r="J961" s="878"/>
      <c r="K961" s="878"/>
      <c r="L961" s="878"/>
      <c r="M961" s="878"/>
      <c r="N961" s="878"/>
      <c r="O961" s="878"/>
      <c r="P961" s="878"/>
      <c r="Q961" s="878"/>
      <c r="R961" s="878"/>
      <c r="S961" s="878"/>
      <c r="T961" s="878"/>
      <c r="U961" s="878"/>
      <c r="V961" s="878"/>
      <c r="W961" s="878"/>
      <c r="X961" s="878"/>
      <c r="Y961" s="878"/>
      <c r="Z961" s="878"/>
    </row>
    <row r="962" ht="12.0" customHeight="1">
      <c r="A962" s="878"/>
      <c r="B962" s="879"/>
      <c r="C962" s="842"/>
      <c r="D962" s="878"/>
      <c r="E962" s="878"/>
      <c r="F962" s="878"/>
      <c r="G962" s="878"/>
      <c r="H962" s="878"/>
      <c r="I962" s="878"/>
      <c r="J962" s="878"/>
      <c r="K962" s="878"/>
      <c r="L962" s="878"/>
      <c r="M962" s="878"/>
      <c r="N962" s="878"/>
      <c r="O962" s="878"/>
      <c r="P962" s="878"/>
      <c r="Q962" s="878"/>
      <c r="R962" s="878"/>
      <c r="S962" s="878"/>
      <c r="T962" s="878"/>
      <c r="U962" s="878"/>
      <c r="V962" s="878"/>
      <c r="W962" s="878"/>
      <c r="X962" s="878"/>
      <c r="Y962" s="878"/>
      <c r="Z962" s="878"/>
    </row>
    <row r="963" ht="12.0" customHeight="1">
      <c r="A963" s="878"/>
      <c r="B963" s="879"/>
      <c r="C963" s="842"/>
      <c r="D963" s="878"/>
      <c r="E963" s="878"/>
      <c r="F963" s="878"/>
      <c r="G963" s="878"/>
      <c r="H963" s="878"/>
      <c r="I963" s="878"/>
      <c r="J963" s="878"/>
      <c r="K963" s="878"/>
      <c r="L963" s="878"/>
      <c r="M963" s="878"/>
      <c r="N963" s="878"/>
      <c r="O963" s="878"/>
      <c r="P963" s="878"/>
      <c r="Q963" s="878"/>
      <c r="R963" s="878"/>
      <c r="S963" s="878"/>
      <c r="T963" s="878"/>
      <c r="U963" s="878"/>
      <c r="V963" s="878"/>
      <c r="W963" s="878"/>
      <c r="X963" s="878"/>
      <c r="Y963" s="878"/>
      <c r="Z963" s="878"/>
    </row>
    <row r="964" ht="12.0" customHeight="1">
      <c r="A964" s="878"/>
      <c r="B964" s="879"/>
      <c r="C964" s="842"/>
      <c r="D964" s="878"/>
      <c r="E964" s="878"/>
      <c r="F964" s="878"/>
      <c r="G964" s="878"/>
      <c r="H964" s="878"/>
      <c r="I964" s="878"/>
      <c r="J964" s="878"/>
      <c r="K964" s="878"/>
      <c r="L964" s="878"/>
      <c r="M964" s="878"/>
      <c r="N964" s="878"/>
      <c r="O964" s="878"/>
      <c r="P964" s="878"/>
      <c r="Q964" s="878"/>
      <c r="R964" s="878"/>
      <c r="S964" s="878"/>
      <c r="T964" s="878"/>
      <c r="U964" s="878"/>
      <c r="V964" s="878"/>
      <c r="W964" s="878"/>
      <c r="X964" s="878"/>
      <c r="Y964" s="878"/>
      <c r="Z964" s="878"/>
    </row>
    <row r="965" ht="12.0" customHeight="1">
      <c r="A965" s="878"/>
      <c r="B965" s="879"/>
      <c r="C965" s="842"/>
      <c r="D965" s="878"/>
      <c r="E965" s="878"/>
      <c r="F965" s="878"/>
      <c r="G965" s="878"/>
      <c r="H965" s="878"/>
      <c r="I965" s="878"/>
      <c r="J965" s="878"/>
      <c r="K965" s="878"/>
      <c r="L965" s="878"/>
      <c r="M965" s="878"/>
      <c r="N965" s="878"/>
      <c r="O965" s="878"/>
      <c r="P965" s="878"/>
      <c r="Q965" s="878"/>
      <c r="R965" s="878"/>
      <c r="S965" s="878"/>
      <c r="T965" s="878"/>
      <c r="U965" s="878"/>
      <c r="V965" s="878"/>
      <c r="W965" s="878"/>
      <c r="X965" s="878"/>
      <c r="Y965" s="878"/>
      <c r="Z965" s="878"/>
    </row>
    <row r="966" ht="12.0" customHeight="1">
      <c r="A966" s="878"/>
      <c r="B966" s="879"/>
      <c r="C966" s="842"/>
      <c r="D966" s="878"/>
      <c r="E966" s="878"/>
      <c r="F966" s="878"/>
      <c r="G966" s="878"/>
      <c r="H966" s="878"/>
      <c r="I966" s="878"/>
      <c r="J966" s="878"/>
      <c r="K966" s="878"/>
      <c r="L966" s="878"/>
      <c r="M966" s="878"/>
      <c r="N966" s="878"/>
      <c r="O966" s="878"/>
      <c r="P966" s="878"/>
      <c r="Q966" s="878"/>
      <c r="R966" s="878"/>
      <c r="S966" s="878"/>
      <c r="T966" s="878"/>
      <c r="U966" s="878"/>
      <c r="V966" s="878"/>
      <c r="W966" s="878"/>
      <c r="X966" s="878"/>
      <c r="Y966" s="878"/>
      <c r="Z966" s="878"/>
    </row>
    <row r="967" ht="12.0" customHeight="1">
      <c r="A967" s="878"/>
      <c r="B967" s="879"/>
      <c r="C967" s="842"/>
      <c r="D967" s="878"/>
      <c r="E967" s="878"/>
      <c r="F967" s="878"/>
      <c r="G967" s="878"/>
      <c r="H967" s="878"/>
      <c r="I967" s="878"/>
      <c r="J967" s="878"/>
      <c r="K967" s="878"/>
      <c r="L967" s="878"/>
      <c r="M967" s="878"/>
      <c r="N967" s="878"/>
      <c r="O967" s="878"/>
      <c r="P967" s="878"/>
      <c r="Q967" s="878"/>
      <c r="R967" s="878"/>
      <c r="S967" s="878"/>
      <c r="T967" s="878"/>
      <c r="U967" s="878"/>
      <c r="V967" s="878"/>
      <c r="W967" s="878"/>
      <c r="X967" s="878"/>
      <c r="Y967" s="878"/>
      <c r="Z967" s="878"/>
    </row>
    <row r="968" ht="12.0" customHeight="1">
      <c r="A968" s="878"/>
      <c r="B968" s="879"/>
      <c r="C968" s="842"/>
      <c r="D968" s="878"/>
      <c r="E968" s="878"/>
      <c r="F968" s="878"/>
      <c r="G968" s="878"/>
      <c r="H968" s="878"/>
      <c r="I968" s="878"/>
      <c r="J968" s="878"/>
      <c r="K968" s="878"/>
      <c r="L968" s="878"/>
      <c r="M968" s="878"/>
      <c r="N968" s="878"/>
      <c r="O968" s="878"/>
      <c r="P968" s="878"/>
      <c r="Q968" s="878"/>
      <c r="R968" s="878"/>
      <c r="S968" s="878"/>
      <c r="T968" s="878"/>
      <c r="U968" s="878"/>
      <c r="V968" s="878"/>
      <c r="W968" s="878"/>
      <c r="X968" s="878"/>
      <c r="Y968" s="878"/>
      <c r="Z968" s="878"/>
    </row>
    <row r="969" ht="12.0" customHeight="1">
      <c r="A969" s="878"/>
      <c r="B969" s="879"/>
      <c r="C969" s="842"/>
      <c r="D969" s="878"/>
      <c r="E969" s="878"/>
      <c r="F969" s="878"/>
      <c r="G969" s="878"/>
      <c r="H969" s="878"/>
      <c r="I969" s="878"/>
      <c r="J969" s="878"/>
      <c r="K969" s="878"/>
      <c r="L969" s="878"/>
      <c r="M969" s="878"/>
      <c r="N969" s="878"/>
      <c r="O969" s="878"/>
      <c r="P969" s="878"/>
      <c r="Q969" s="878"/>
      <c r="R969" s="878"/>
      <c r="S969" s="878"/>
      <c r="T969" s="878"/>
      <c r="U969" s="878"/>
      <c r="V969" s="878"/>
      <c r="W969" s="878"/>
      <c r="X969" s="878"/>
      <c r="Y969" s="878"/>
      <c r="Z969" s="878"/>
    </row>
    <row r="970" ht="12.0" customHeight="1">
      <c r="A970" s="878"/>
      <c r="B970" s="879"/>
      <c r="C970" s="842"/>
      <c r="D970" s="878"/>
      <c r="E970" s="878"/>
      <c r="F970" s="878"/>
      <c r="G970" s="878"/>
      <c r="H970" s="878"/>
      <c r="I970" s="878"/>
      <c r="J970" s="878"/>
      <c r="K970" s="878"/>
      <c r="L970" s="878"/>
      <c r="M970" s="878"/>
      <c r="N970" s="878"/>
      <c r="O970" s="878"/>
      <c r="P970" s="878"/>
      <c r="Q970" s="878"/>
      <c r="R970" s="878"/>
      <c r="S970" s="878"/>
      <c r="T970" s="878"/>
      <c r="U970" s="878"/>
      <c r="V970" s="878"/>
      <c r="W970" s="878"/>
      <c r="X970" s="878"/>
      <c r="Y970" s="878"/>
      <c r="Z970" s="878"/>
    </row>
    <row r="971" ht="12.0" customHeight="1">
      <c r="A971" s="878"/>
      <c r="B971" s="879"/>
      <c r="C971" s="842"/>
      <c r="D971" s="878"/>
      <c r="E971" s="878"/>
      <c r="F971" s="878"/>
      <c r="G971" s="878"/>
      <c r="H971" s="878"/>
      <c r="I971" s="878"/>
      <c r="J971" s="878"/>
      <c r="K971" s="878"/>
      <c r="L971" s="878"/>
      <c r="M971" s="878"/>
      <c r="N971" s="878"/>
      <c r="O971" s="878"/>
      <c r="P971" s="878"/>
      <c r="Q971" s="878"/>
      <c r="R971" s="878"/>
      <c r="S971" s="878"/>
      <c r="T971" s="878"/>
      <c r="U971" s="878"/>
      <c r="V971" s="878"/>
      <c r="W971" s="878"/>
      <c r="X971" s="878"/>
      <c r="Y971" s="878"/>
      <c r="Z971" s="878"/>
    </row>
    <row r="972" ht="12.0" customHeight="1">
      <c r="A972" s="878"/>
      <c r="B972" s="879"/>
      <c r="C972" s="842"/>
      <c r="D972" s="878"/>
      <c r="E972" s="878"/>
      <c r="F972" s="878"/>
      <c r="G972" s="878"/>
      <c r="H972" s="878"/>
      <c r="I972" s="878"/>
      <c r="J972" s="878"/>
      <c r="K972" s="878"/>
      <c r="L972" s="878"/>
      <c r="M972" s="878"/>
      <c r="N972" s="878"/>
      <c r="O972" s="878"/>
      <c r="P972" s="878"/>
      <c r="Q972" s="878"/>
      <c r="R972" s="878"/>
      <c r="S972" s="878"/>
      <c r="T972" s="878"/>
      <c r="U972" s="878"/>
      <c r="V972" s="878"/>
      <c r="W972" s="878"/>
      <c r="X972" s="878"/>
      <c r="Y972" s="878"/>
      <c r="Z972" s="878"/>
    </row>
    <row r="973" ht="12.0" customHeight="1">
      <c r="A973" s="878"/>
      <c r="B973" s="879"/>
      <c r="C973" s="842"/>
      <c r="D973" s="878"/>
      <c r="E973" s="878"/>
      <c r="F973" s="878"/>
      <c r="G973" s="878"/>
      <c r="H973" s="878"/>
      <c r="I973" s="878"/>
      <c r="J973" s="878"/>
      <c r="K973" s="878"/>
      <c r="L973" s="878"/>
      <c r="M973" s="878"/>
      <c r="N973" s="878"/>
      <c r="O973" s="878"/>
      <c r="P973" s="878"/>
      <c r="Q973" s="878"/>
      <c r="R973" s="878"/>
      <c r="S973" s="878"/>
      <c r="T973" s="878"/>
      <c r="U973" s="878"/>
      <c r="V973" s="878"/>
      <c r="W973" s="878"/>
      <c r="X973" s="878"/>
      <c r="Y973" s="878"/>
      <c r="Z973" s="878"/>
    </row>
    <row r="974" ht="12.0" customHeight="1">
      <c r="A974" s="878"/>
      <c r="B974" s="879"/>
      <c r="C974" s="842"/>
      <c r="D974" s="878"/>
      <c r="E974" s="878"/>
      <c r="F974" s="878"/>
      <c r="G974" s="878"/>
      <c r="H974" s="878"/>
      <c r="I974" s="878"/>
      <c r="J974" s="878"/>
      <c r="K974" s="878"/>
      <c r="L974" s="878"/>
      <c r="M974" s="878"/>
      <c r="N974" s="878"/>
      <c r="O974" s="878"/>
      <c r="P974" s="878"/>
      <c r="Q974" s="878"/>
      <c r="R974" s="878"/>
      <c r="S974" s="878"/>
      <c r="T974" s="878"/>
      <c r="U974" s="878"/>
      <c r="V974" s="878"/>
      <c r="W974" s="878"/>
      <c r="X974" s="878"/>
      <c r="Y974" s="878"/>
      <c r="Z974" s="878"/>
    </row>
    <row r="975" ht="12.0" customHeight="1">
      <c r="A975" s="878"/>
      <c r="B975" s="879"/>
      <c r="C975" s="842"/>
      <c r="D975" s="878"/>
      <c r="E975" s="878"/>
      <c r="F975" s="878"/>
      <c r="G975" s="878"/>
      <c r="H975" s="878"/>
      <c r="I975" s="878"/>
      <c r="J975" s="878"/>
      <c r="K975" s="878"/>
      <c r="L975" s="878"/>
      <c r="M975" s="878"/>
      <c r="N975" s="878"/>
      <c r="O975" s="878"/>
      <c r="P975" s="878"/>
      <c r="Q975" s="878"/>
      <c r="R975" s="878"/>
      <c r="S975" s="878"/>
      <c r="T975" s="878"/>
      <c r="U975" s="878"/>
      <c r="V975" s="878"/>
      <c r="W975" s="878"/>
      <c r="X975" s="878"/>
      <c r="Y975" s="878"/>
      <c r="Z975" s="878"/>
    </row>
    <row r="976" ht="12.0" customHeight="1">
      <c r="A976" s="878"/>
      <c r="B976" s="879"/>
      <c r="C976" s="842"/>
      <c r="D976" s="878"/>
      <c r="E976" s="878"/>
      <c r="F976" s="878"/>
      <c r="G976" s="878"/>
      <c r="H976" s="878"/>
      <c r="I976" s="878"/>
      <c r="J976" s="878"/>
      <c r="K976" s="878"/>
      <c r="L976" s="878"/>
      <c r="M976" s="878"/>
      <c r="N976" s="878"/>
      <c r="O976" s="878"/>
      <c r="P976" s="878"/>
      <c r="Q976" s="878"/>
      <c r="R976" s="878"/>
      <c r="S976" s="878"/>
      <c r="T976" s="878"/>
      <c r="U976" s="878"/>
      <c r="V976" s="878"/>
      <c r="W976" s="878"/>
      <c r="X976" s="878"/>
      <c r="Y976" s="878"/>
      <c r="Z976" s="878"/>
    </row>
    <row r="977" ht="12.0" customHeight="1">
      <c r="A977" s="878"/>
      <c r="B977" s="879"/>
      <c r="C977" s="842"/>
      <c r="D977" s="878"/>
      <c r="E977" s="878"/>
      <c r="F977" s="878"/>
      <c r="G977" s="878"/>
      <c r="H977" s="878"/>
      <c r="I977" s="878"/>
      <c r="J977" s="878"/>
      <c r="K977" s="878"/>
      <c r="L977" s="878"/>
      <c r="M977" s="878"/>
      <c r="N977" s="878"/>
      <c r="O977" s="878"/>
      <c r="P977" s="878"/>
      <c r="Q977" s="878"/>
      <c r="R977" s="878"/>
      <c r="S977" s="878"/>
      <c r="T977" s="878"/>
      <c r="U977" s="878"/>
      <c r="V977" s="878"/>
      <c r="W977" s="878"/>
      <c r="X977" s="878"/>
      <c r="Y977" s="878"/>
      <c r="Z977" s="878"/>
    </row>
    <row r="978" ht="12.0" customHeight="1">
      <c r="A978" s="878"/>
      <c r="B978" s="879"/>
      <c r="C978" s="842"/>
      <c r="D978" s="878"/>
      <c r="E978" s="878"/>
      <c r="F978" s="878"/>
      <c r="G978" s="878"/>
      <c r="H978" s="878"/>
      <c r="I978" s="878"/>
      <c r="J978" s="878"/>
      <c r="K978" s="878"/>
      <c r="L978" s="878"/>
      <c r="M978" s="878"/>
      <c r="N978" s="878"/>
      <c r="O978" s="878"/>
      <c r="P978" s="878"/>
      <c r="Q978" s="878"/>
      <c r="R978" s="878"/>
      <c r="S978" s="878"/>
      <c r="T978" s="878"/>
      <c r="U978" s="878"/>
      <c r="V978" s="878"/>
      <c r="W978" s="878"/>
      <c r="X978" s="878"/>
      <c r="Y978" s="878"/>
      <c r="Z978" s="878"/>
    </row>
    <row r="979" ht="12.0" customHeight="1">
      <c r="A979" s="878"/>
      <c r="B979" s="879"/>
      <c r="C979" s="842"/>
      <c r="D979" s="878"/>
      <c r="E979" s="878"/>
      <c r="F979" s="878"/>
      <c r="G979" s="878"/>
      <c r="H979" s="878"/>
      <c r="I979" s="878"/>
      <c r="J979" s="878"/>
      <c r="K979" s="878"/>
      <c r="L979" s="878"/>
      <c r="M979" s="878"/>
      <c r="N979" s="878"/>
      <c r="O979" s="878"/>
      <c r="P979" s="878"/>
      <c r="Q979" s="878"/>
      <c r="R979" s="878"/>
      <c r="S979" s="878"/>
      <c r="T979" s="878"/>
      <c r="U979" s="878"/>
      <c r="V979" s="878"/>
      <c r="W979" s="878"/>
      <c r="X979" s="878"/>
      <c r="Y979" s="878"/>
      <c r="Z979" s="878"/>
    </row>
    <row r="980" ht="12.0" customHeight="1">
      <c r="A980" s="878"/>
      <c r="B980" s="879"/>
      <c r="C980" s="842"/>
      <c r="D980" s="878"/>
      <c r="E980" s="878"/>
      <c r="F980" s="878"/>
      <c r="G980" s="878"/>
      <c r="H980" s="878"/>
      <c r="I980" s="878"/>
      <c r="J980" s="878"/>
      <c r="K980" s="878"/>
      <c r="L980" s="878"/>
      <c r="M980" s="878"/>
      <c r="N980" s="878"/>
      <c r="O980" s="878"/>
      <c r="P980" s="878"/>
      <c r="Q980" s="878"/>
      <c r="R980" s="878"/>
      <c r="S980" s="878"/>
      <c r="T980" s="878"/>
      <c r="U980" s="878"/>
      <c r="V980" s="878"/>
      <c r="W980" s="878"/>
      <c r="X980" s="878"/>
      <c r="Y980" s="878"/>
      <c r="Z980" s="878"/>
    </row>
    <row r="981" ht="12.0" customHeight="1">
      <c r="A981" s="878"/>
      <c r="B981" s="879"/>
      <c r="C981" s="842"/>
      <c r="D981" s="878"/>
      <c r="E981" s="878"/>
      <c r="F981" s="878"/>
      <c r="G981" s="878"/>
      <c r="H981" s="878"/>
      <c r="I981" s="878"/>
      <c r="J981" s="878"/>
      <c r="K981" s="878"/>
      <c r="L981" s="878"/>
      <c r="M981" s="878"/>
      <c r="N981" s="878"/>
      <c r="O981" s="878"/>
      <c r="P981" s="878"/>
      <c r="Q981" s="878"/>
      <c r="R981" s="878"/>
      <c r="S981" s="878"/>
      <c r="T981" s="878"/>
      <c r="U981" s="878"/>
      <c r="V981" s="878"/>
      <c r="W981" s="878"/>
      <c r="X981" s="878"/>
      <c r="Y981" s="878"/>
      <c r="Z981" s="878"/>
    </row>
    <row r="982" ht="12.0" customHeight="1">
      <c r="A982" s="878"/>
      <c r="B982" s="879"/>
      <c r="C982" s="842"/>
      <c r="D982" s="878"/>
      <c r="E982" s="878"/>
      <c r="F982" s="878"/>
      <c r="G982" s="878"/>
      <c r="H982" s="878"/>
      <c r="I982" s="878"/>
      <c r="J982" s="878"/>
      <c r="K982" s="878"/>
      <c r="L982" s="878"/>
      <c r="M982" s="878"/>
      <c r="N982" s="878"/>
      <c r="O982" s="878"/>
      <c r="P982" s="878"/>
      <c r="Q982" s="878"/>
      <c r="R982" s="878"/>
      <c r="S982" s="878"/>
      <c r="T982" s="878"/>
      <c r="U982" s="878"/>
      <c r="V982" s="878"/>
      <c r="W982" s="878"/>
      <c r="X982" s="878"/>
      <c r="Y982" s="878"/>
      <c r="Z982" s="878"/>
    </row>
    <row r="983" ht="12.0" customHeight="1">
      <c r="A983" s="878"/>
      <c r="B983" s="879"/>
      <c r="C983" s="842"/>
      <c r="D983" s="878"/>
      <c r="E983" s="878"/>
      <c r="F983" s="878"/>
      <c r="G983" s="878"/>
      <c r="H983" s="878"/>
      <c r="I983" s="878"/>
      <c r="J983" s="878"/>
      <c r="K983" s="878"/>
      <c r="L983" s="878"/>
      <c r="M983" s="878"/>
      <c r="N983" s="878"/>
      <c r="O983" s="878"/>
      <c r="P983" s="878"/>
      <c r="Q983" s="878"/>
      <c r="R983" s="878"/>
      <c r="S983" s="878"/>
      <c r="T983" s="878"/>
      <c r="U983" s="878"/>
      <c r="V983" s="878"/>
      <c r="W983" s="878"/>
      <c r="X983" s="878"/>
      <c r="Y983" s="878"/>
      <c r="Z983" s="878"/>
    </row>
    <row r="984" ht="12.0" customHeight="1">
      <c r="A984" s="878"/>
      <c r="B984" s="879"/>
      <c r="C984" s="842"/>
      <c r="D984" s="878"/>
      <c r="E984" s="878"/>
      <c r="F984" s="878"/>
      <c r="G984" s="878"/>
      <c r="H984" s="878"/>
      <c r="I984" s="878"/>
      <c r="J984" s="878"/>
      <c r="K984" s="878"/>
      <c r="L984" s="878"/>
      <c r="M984" s="878"/>
      <c r="N984" s="878"/>
      <c r="O984" s="878"/>
      <c r="P984" s="878"/>
      <c r="Q984" s="878"/>
      <c r="R984" s="878"/>
      <c r="S984" s="878"/>
      <c r="T984" s="878"/>
      <c r="U984" s="878"/>
      <c r="V984" s="878"/>
      <c r="W984" s="878"/>
      <c r="X984" s="878"/>
      <c r="Y984" s="878"/>
      <c r="Z984" s="878"/>
    </row>
    <row r="985" ht="12.0" customHeight="1">
      <c r="A985" s="878"/>
      <c r="B985" s="879"/>
      <c r="C985" s="842"/>
      <c r="D985" s="878"/>
      <c r="E985" s="878"/>
      <c r="F985" s="878"/>
      <c r="G985" s="878"/>
      <c r="H985" s="878"/>
      <c r="I985" s="878"/>
      <c r="J985" s="878"/>
      <c r="K985" s="878"/>
      <c r="L985" s="878"/>
      <c r="M985" s="878"/>
      <c r="N985" s="878"/>
      <c r="O985" s="878"/>
      <c r="P985" s="878"/>
      <c r="Q985" s="878"/>
      <c r="R985" s="878"/>
      <c r="S985" s="878"/>
      <c r="T985" s="878"/>
      <c r="U985" s="878"/>
      <c r="V985" s="878"/>
      <c r="W985" s="878"/>
      <c r="X985" s="878"/>
      <c r="Y985" s="878"/>
      <c r="Z985" s="878"/>
    </row>
    <row r="986" ht="12.0" customHeight="1">
      <c r="A986" s="878"/>
      <c r="B986" s="879"/>
      <c r="C986" s="842"/>
      <c r="D986" s="878"/>
      <c r="E986" s="878"/>
      <c r="F986" s="878"/>
      <c r="G986" s="878"/>
      <c r="H986" s="878"/>
      <c r="I986" s="878"/>
      <c r="J986" s="878"/>
      <c r="K986" s="878"/>
      <c r="L986" s="878"/>
      <c r="M986" s="878"/>
      <c r="N986" s="878"/>
      <c r="O986" s="878"/>
      <c r="P986" s="878"/>
      <c r="Q986" s="878"/>
      <c r="R986" s="878"/>
      <c r="S986" s="878"/>
      <c r="T986" s="878"/>
      <c r="U986" s="878"/>
      <c r="V986" s="878"/>
      <c r="W986" s="878"/>
      <c r="X986" s="878"/>
      <c r="Y986" s="878"/>
      <c r="Z986" s="878"/>
    </row>
    <row r="987" ht="12.0" customHeight="1">
      <c r="A987" s="878"/>
      <c r="B987" s="879"/>
      <c r="C987" s="842"/>
      <c r="D987" s="878"/>
      <c r="E987" s="878"/>
      <c r="F987" s="878"/>
      <c r="G987" s="878"/>
      <c r="H987" s="878"/>
      <c r="I987" s="878"/>
      <c r="J987" s="878"/>
      <c r="K987" s="878"/>
      <c r="L987" s="878"/>
      <c r="M987" s="878"/>
      <c r="N987" s="878"/>
      <c r="O987" s="878"/>
      <c r="P987" s="878"/>
      <c r="Q987" s="878"/>
      <c r="R987" s="878"/>
      <c r="S987" s="878"/>
      <c r="T987" s="878"/>
      <c r="U987" s="878"/>
      <c r="V987" s="878"/>
      <c r="W987" s="878"/>
      <c r="X987" s="878"/>
      <c r="Y987" s="878"/>
      <c r="Z987" s="878"/>
    </row>
    <row r="988" ht="12.0" customHeight="1">
      <c r="A988" s="878"/>
      <c r="B988" s="879"/>
      <c r="C988" s="842"/>
      <c r="D988" s="878"/>
      <c r="E988" s="878"/>
      <c r="F988" s="878"/>
      <c r="G988" s="878"/>
      <c r="H988" s="878"/>
      <c r="I988" s="878"/>
      <c r="J988" s="878"/>
      <c r="K988" s="878"/>
      <c r="L988" s="878"/>
      <c r="M988" s="878"/>
      <c r="N988" s="878"/>
      <c r="O988" s="878"/>
      <c r="P988" s="878"/>
      <c r="Q988" s="878"/>
      <c r="R988" s="878"/>
      <c r="S988" s="878"/>
      <c r="T988" s="878"/>
      <c r="U988" s="878"/>
      <c r="V988" s="878"/>
      <c r="W988" s="878"/>
      <c r="X988" s="878"/>
      <c r="Y988" s="878"/>
      <c r="Z988" s="878"/>
    </row>
    <row r="989" ht="12.0" customHeight="1">
      <c r="A989" s="878"/>
      <c r="B989" s="879"/>
      <c r="C989" s="842"/>
      <c r="D989" s="878"/>
      <c r="E989" s="878"/>
      <c r="F989" s="878"/>
      <c r="G989" s="878"/>
      <c r="H989" s="878"/>
      <c r="I989" s="878"/>
      <c r="J989" s="878"/>
      <c r="K989" s="878"/>
      <c r="L989" s="878"/>
      <c r="M989" s="878"/>
      <c r="N989" s="878"/>
      <c r="O989" s="878"/>
      <c r="P989" s="878"/>
      <c r="Q989" s="878"/>
      <c r="R989" s="878"/>
      <c r="S989" s="878"/>
      <c r="T989" s="878"/>
      <c r="U989" s="878"/>
      <c r="V989" s="878"/>
      <c r="W989" s="878"/>
      <c r="X989" s="878"/>
      <c r="Y989" s="878"/>
      <c r="Z989" s="878"/>
    </row>
    <row r="990" ht="12.0" customHeight="1">
      <c r="A990" s="878"/>
      <c r="B990" s="879"/>
      <c r="C990" s="842"/>
      <c r="D990" s="878"/>
      <c r="E990" s="878"/>
      <c r="F990" s="878"/>
      <c r="G990" s="878"/>
      <c r="H990" s="878"/>
      <c r="I990" s="878"/>
      <c r="J990" s="878"/>
      <c r="K990" s="878"/>
      <c r="L990" s="878"/>
      <c r="M990" s="878"/>
      <c r="N990" s="878"/>
      <c r="O990" s="878"/>
      <c r="P990" s="878"/>
      <c r="Q990" s="878"/>
      <c r="R990" s="878"/>
      <c r="S990" s="878"/>
      <c r="T990" s="878"/>
      <c r="U990" s="878"/>
      <c r="V990" s="878"/>
      <c r="W990" s="878"/>
      <c r="X990" s="878"/>
      <c r="Y990" s="878"/>
      <c r="Z990" s="878"/>
    </row>
    <row r="991" ht="12.0" customHeight="1">
      <c r="A991" s="878"/>
      <c r="B991" s="879"/>
      <c r="C991" s="842"/>
      <c r="D991" s="878"/>
      <c r="E991" s="878"/>
      <c r="F991" s="878"/>
      <c r="G991" s="878"/>
      <c r="H991" s="878"/>
      <c r="I991" s="878"/>
      <c r="J991" s="878"/>
      <c r="K991" s="878"/>
      <c r="L991" s="878"/>
      <c r="M991" s="878"/>
      <c r="N991" s="878"/>
      <c r="O991" s="878"/>
      <c r="P991" s="878"/>
      <c r="Q991" s="878"/>
      <c r="R991" s="878"/>
      <c r="S991" s="878"/>
      <c r="T991" s="878"/>
      <c r="U991" s="878"/>
      <c r="V991" s="878"/>
      <c r="W991" s="878"/>
      <c r="X991" s="878"/>
      <c r="Y991" s="878"/>
      <c r="Z991" s="878"/>
    </row>
    <row r="992" ht="12.0" customHeight="1">
      <c r="A992" s="878"/>
      <c r="B992" s="879"/>
      <c r="C992" s="842"/>
      <c r="D992" s="878"/>
      <c r="E992" s="878"/>
      <c r="F992" s="878"/>
      <c r="G992" s="878"/>
      <c r="H992" s="878"/>
      <c r="I992" s="878"/>
      <c r="J992" s="878"/>
      <c r="K992" s="878"/>
      <c r="L992" s="878"/>
      <c r="M992" s="878"/>
      <c r="N992" s="878"/>
      <c r="O992" s="878"/>
      <c r="P992" s="878"/>
      <c r="Q992" s="878"/>
      <c r="R992" s="878"/>
      <c r="S992" s="878"/>
      <c r="T992" s="878"/>
      <c r="U992" s="878"/>
      <c r="V992" s="878"/>
      <c r="W992" s="878"/>
      <c r="X992" s="878"/>
      <c r="Y992" s="878"/>
      <c r="Z992" s="878"/>
    </row>
    <row r="993" ht="12.0" customHeight="1">
      <c r="A993" s="878"/>
      <c r="B993" s="879"/>
      <c r="C993" s="842"/>
      <c r="D993" s="878"/>
      <c r="E993" s="878"/>
      <c r="F993" s="878"/>
      <c r="G993" s="878"/>
      <c r="H993" s="878"/>
      <c r="I993" s="878"/>
      <c r="J993" s="878"/>
      <c r="K993" s="878"/>
      <c r="L993" s="878"/>
      <c r="M993" s="878"/>
      <c r="N993" s="878"/>
      <c r="O993" s="878"/>
      <c r="P993" s="878"/>
      <c r="Q993" s="878"/>
      <c r="R993" s="878"/>
      <c r="S993" s="878"/>
      <c r="T993" s="878"/>
      <c r="U993" s="878"/>
      <c r="V993" s="878"/>
      <c r="W993" s="878"/>
      <c r="X993" s="878"/>
      <c r="Y993" s="878"/>
      <c r="Z993" s="878"/>
    </row>
    <row r="994" ht="12.0" customHeight="1">
      <c r="A994" s="878"/>
      <c r="B994" s="879"/>
      <c r="C994" s="842"/>
      <c r="D994" s="878"/>
      <c r="E994" s="878"/>
      <c r="F994" s="878"/>
      <c r="G994" s="878"/>
      <c r="H994" s="878"/>
      <c r="I994" s="878"/>
      <c r="J994" s="878"/>
      <c r="K994" s="878"/>
      <c r="L994" s="878"/>
      <c r="M994" s="878"/>
      <c r="N994" s="878"/>
      <c r="O994" s="878"/>
      <c r="P994" s="878"/>
      <c r="Q994" s="878"/>
      <c r="R994" s="878"/>
      <c r="S994" s="878"/>
      <c r="T994" s="878"/>
      <c r="U994" s="878"/>
      <c r="V994" s="878"/>
      <c r="W994" s="878"/>
      <c r="X994" s="878"/>
      <c r="Y994" s="878"/>
      <c r="Z994" s="878"/>
    </row>
    <row r="995" ht="12.0" customHeight="1">
      <c r="A995" s="878"/>
      <c r="B995" s="879"/>
      <c r="C995" s="842"/>
      <c r="D995" s="878"/>
      <c r="E995" s="878"/>
      <c r="F995" s="878"/>
      <c r="G995" s="878"/>
      <c r="H995" s="878"/>
      <c r="I995" s="878"/>
      <c r="J995" s="878"/>
      <c r="K995" s="878"/>
      <c r="L995" s="878"/>
      <c r="M995" s="878"/>
      <c r="N995" s="878"/>
      <c r="O995" s="878"/>
      <c r="P995" s="878"/>
      <c r="Q995" s="878"/>
      <c r="R995" s="878"/>
      <c r="S995" s="878"/>
      <c r="T995" s="878"/>
      <c r="U995" s="878"/>
      <c r="V995" s="878"/>
      <c r="W995" s="878"/>
      <c r="X995" s="878"/>
      <c r="Y995" s="878"/>
      <c r="Z995" s="878"/>
    </row>
    <row r="996" ht="12.0" customHeight="1">
      <c r="A996" s="878"/>
      <c r="B996" s="879"/>
      <c r="C996" s="842"/>
      <c r="D996" s="878"/>
      <c r="E996" s="878"/>
      <c r="F996" s="878"/>
      <c r="G996" s="878"/>
      <c r="H996" s="878"/>
      <c r="I996" s="878"/>
      <c r="J996" s="878"/>
      <c r="K996" s="878"/>
      <c r="L996" s="878"/>
      <c r="M996" s="878"/>
      <c r="N996" s="878"/>
      <c r="O996" s="878"/>
      <c r="P996" s="878"/>
      <c r="Q996" s="878"/>
      <c r="R996" s="878"/>
      <c r="S996" s="878"/>
      <c r="T996" s="878"/>
      <c r="U996" s="878"/>
      <c r="V996" s="878"/>
      <c r="W996" s="878"/>
      <c r="X996" s="878"/>
      <c r="Y996" s="878"/>
      <c r="Z996" s="878"/>
    </row>
    <row r="997" ht="12.0" customHeight="1">
      <c r="A997" s="878"/>
      <c r="B997" s="879"/>
      <c r="C997" s="842"/>
      <c r="D997" s="878"/>
      <c r="E997" s="878"/>
      <c r="F997" s="878"/>
      <c r="G997" s="878"/>
      <c r="H997" s="878"/>
      <c r="I997" s="878"/>
      <c r="J997" s="878"/>
      <c r="K997" s="878"/>
      <c r="L997" s="878"/>
      <c r="M997" s="878"/>
      <c r="N997" s="878"/>
      <c r="O997" s="878"/>
      <c r="P997" s="878"/>
      <c r="Q997" s="878"/>
      <c r="R997" s="878"/>
      <c r="S997" s="878"/>
      <c r="T997" s="878"/>
      <c r="U997" s="878"/>
      <c r="V997" s="878"/>
      <c r="W997" s="878"/>
      <c r="X997" s="878"/>
      <c r="Y997" s="878"/>
      <c r="Z997" s="878"/>
    </row>
    <row r="998" ht="12.0" customHeight="1">
      <c r="A998" s="878"/>
      <c r="B998" s="879"/>
      <c r="C998" s="842"/>
      <c r="D998" s="878"/>
      <c r="E998" s="878"/>
      <c r="F998" s="878"/>
      <c r="G998" s="878"/>
      <c r="H998" s="878"/>
      <c r="I998" s="878"/>
      <c r="J998" s="878"/>
      <c r="K998" s="878"/>
      <c r="L998" s="878"/>
      <c r="M998" s="878"/>
      <c r="N998" s="878"/>
      <c r="O998" s="878"/>
      <c r="P998" s="878"/>
      <c r="Q998" s="878"/>
      <c r="R998" s="878"/>
      <c r="S998" s="878"/>
      <c r="T998" s="878"/>
      <c r="U998" s="878"/>
      <c r="V998" s="878"/>
      <c r="W998" s="878"/>
      <c r="X998" s="878"/>
      <c r="Y998" s="878"/>
      <c r="Z998" s="878"/>
    </row>
    <row r="999" ht="12.0" customHeight="1">
      <c r="A999" s="878"/>
      <c r="B999" s="879"/>
      <c r="C999" s="842"/>
      <c r="D999" s="878"/>
      <c r="E999" s="878"/>
      <c r="F999" s="878"/>
      <c r="G999" s="878"/>
      <c r="H999" s="878"/>
      <c r="I999" s="878"/>
      <c r="J999" s="878"/>
      <c r="K999" s="878"/>
      <c r="L999" s="878"/>
      <c r="M999" s="878"/>
      <c r="N999" s="878"/>
      <c r="O999" s="878"/>
      <c r="P999" s="878"/>
      <c r="Q999" s="878"/>
      <c r="R999" s="878"/>
      <c r="S999" s="878"/>
      <c r="T999" s="878"/>
      <c r="U999" s="878"/>
      <c r="V999" s="878"/>
      <c r="W999" s="878"/>
      <c r="X999" s="878"/>
      <c r="Y999" s="878"/>
      <c r="Z999" s="878"/>
    </row>
    <row r="1000" ht="12.0" customHeight="1">
      <c r="A1000" s="878"/>
      <c r="B1000" s="879"/>
      <c r="C1000" s="842"/>
      <c r="D1000" s="878"/>
      <c r="E1000" s="878"/>
      <c r="F1000" s="878"/>
      <c r="G1000" s="878"/>
      <c r="H1000" s="878"/>
      <c r="I1000" s="878"/>
      <c r="J1000" s="878"/>
      <c r="K1000" s="878"/>
      <c r="L1000" s="878"/>
      <c r="M1000" s="878"/>
      <c r="N1000" s="878"/>
      <c r="O1000" s="878"/>
      <c r="P1000" s="878"/>
      <c r="Q1000" s="878"/>
      <c r="R1000" s="878"/>
      <c r="S1000" s="878"/>
      <c r="T1000" s="878"/>
      <c r="U1000" s="878"/>
      <c r="V1000" s="878"/>
      <c r="W1000" s="878"/>
      <c r="X1000" s="878"/>
      <c r="Y1000" s="878"/>
      <c r="Z1000" s="878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4.43" defaultRowHeight="15.0"/>
  <cols>
    <col customWidth="1" min="1" max="2" width="3.43"/>
    <col customWidth="1" min="3" max="3" width="7.43"/>
    <col customWidth="1" min="4" max="4" width="34.86"/>
    <col customWidth="1" hidden="1" min="5" max="5" width="13.43"/>
    <col customWidth="1" hidden="1" min="6" max="6" width="8.43"/>
    <col customWidth="1" min="7" max="7" width="16.0"/>
    <col customWidth="1" min="8" max="8" width="12.14"/>
    <col customWidth="1" hidden="1" min="9" max="9" width="16.0"/>
    <col customWidth="1" hidden="1" min="10" max="10" width="13.14"/>
    <col customWidth="1" hidden="1" min="11" max="11" width="15.43"/>
    <col customWidth="1" hidden="1" min="12" max="12" width="14.0"/>
    <col customWidth="1" min="13" max="13" width="16.0"/>
    <col customWidth="1" min="14" max="14" width="11.14"/>
    <col customWidth="1" hidden="1" min="15" max="15" width="15.14"/>
    <col customWidth="1" hidden="1" min="16" max="16" width="13.14"/>
    <col customWidth="1" hidden="1" min="17" max="17" width="14.57"/>
    <col customWidth="1" hidden="1" min="18" max="18" width="12.0"/>
    <col customWidth="1" min="19" max="19" width="15.71"/>
    <col customWidth="1" min="20" max="20" width="12.14"/>
    <col customWidth="1" hidden="1" min="21" max="22" width="15.14"/>
    <col customWidth="1" hidden="1" min="23" max="23" width="14.86"/>
    <col customWidth="1" hidden="1" min="24" max="24" width="12.0"/>
    <col customWidth="1" hidden="1" min="25" max="25" width="14.14"/>
    <col customWidth="1" hidden="1" min="26" max="27" width="12.0"/>
    <col customWidth="1" hidden="1" min="28" max="28" width="15.14"/>
    <col customWidth="1" hidden="1" min="29" max="29" width="14.29"/>
    <col customWidth="1" hidden="1" min="30" max="30" width="9.86"/>
    <col customWidth="1" hidden="1" min="31" max="31" width="12.0"/>
    <col customWidth="1" hidden="1" min="32" max="32" width="9.86"/>
    <col customWidth="1" hidden="1" min="33" max="33" width="14.29"/>
    <col customWidth="1" hidden="1" min="34" max="34" width="9.86"/>
    <col customWidth="1" hidden="1" min="35" max="35" width="14.29"/>
    <col customWidth="1" hidden="1" min="36" max="36" width="9.86"/>
    <col customWidth="1" hidden="1" min="37" max="37" width="14.29"/>
    <col customWidth="1" min="38" max="38" width="14.86"/>
    <col customWidth="1" min="39" max="39" width="15.14"/>
    <col customWidth="1" min="40" max="40" width="11.14"/>
    <col customWidth="1" min="41" max="41" width="15.14"/>
  </cols>
  <sheetData>
    <row r="1" ht="12.0" customHeight="1">
      <c r="A1" s="68"/>
      <c r="B1" s="68"/>
      <c r="C1" s="68"/>
      <c r="D1" s="68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8"/>
      <c r="W1" s="70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70"/>
      <c r="AO1" s="68"/>
    </row>
    <row r="2" ht="12.0" customHeight="1">
      <c r="A2" s="68"/>
      <c r="B2" s="68"/>
      <c r="C2" s="224"/>
      <c r="D2" s="68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8"/>
      <c r="W2" s="70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70"/>
      <c r="AO2" s="68"/>
    </row>
    <row r="3" ht="12.0" customHeight="1">
      <c r="A3" s="68"/>
      <c r="B3" s="68"/>
      <c r="C3" s="224"/>
      <c r="D3" s="68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8"/>
      <c r="W3" s="70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70"/>
      <c r="AO3" s="68"/>
    </row>
    <row r="4" ht="12.0" customHeight="1">
      <c r="A4" s="68"/>
      <c r="B4" s="68"/>
      <c r="C4" s="224"/>
      <c r="D4" s="68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8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70"/>
      <c r="AK4" s="68"/>
      <c r="AL4" s="68"/>
      <c r="AM4" s="68"/>
      <c r="AN4" s="68"/>
      <c r="AO4" s="68"/>
    </row>
    <row r="5" ht="12.0" customHeight="1">
      <c r="A5" s="68"/>
      <c r="B5" s="68"/>
      <c r="C5" s="69" t="s">
        <v>173</v>
      </c>
      <c r="D5" s="224"/>
      <c r="E5" s="66"/>
      <c r="F5" s="136">
        <v>1995.98</v>
      </c>
      <c r="G5" s="136"/>
      <c r="H5" s="136">
        <v>2489.53</v>
      </c>
      <c r="I5" s="136"/>
      <c r="J5" s="136">
        <v>2463.23</v>
      </c>
      <c r="K5" s="136"/>
      <c r="L5" s="136">
        <v>2470.83</v>
      </c>
      <c r="M5" s="136"/>
      <c r="N5" s="136">
        <v>2452.44</v>
      </c>
      <c r="O5" s="136"/>
      <c r="P5" s="136">
        <v>2419.42</v>
      </c>
      <c r="Q5" s="136"/>
      <c r="R5" s="136">
        <v>2402.35</v>
      </c>
      <c r="S5" s="136"/>
      <c r="T5" s="136">
        <v>2349.21</v>
      </c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ht="15.0" customHeight="1">
      <c r="A6" s="224"/>
      <c r="B6" s="224"/>
      <c r="C6" s="225" t="s">
        <v>174</v>
      </c>
      <c r="D6" s="225" t="s">
        <v>175</v>
      </c>
      <c r="E6" s="226" t="s">
        <v>4</v>
      </c>
      <c r="F6" s="227"/>
      <c r="G6" s="226" t="s">
        <v>12</v>
      </c>
      <c r="H6" s="227"/>
      <c r="I6" s="228" t="s">
        <v>13</v>
      </c>
      <c r="J6" s="227"/>
      <c r="K6" s="226" t="s">
        <v>14</v>
      </c>
      <c r="L6" s="227"/>
      <c r="M6" s="226" t="s">
        <v>15</v>
      </c>
      <c r="N6" s="227"/>
      <c r="O6" s="229" t="s">
        <v>16</v>
      </c>
      <c r="P6" s="227"/>
      <c r="Q6" s="229" t="s">
        <v>17</v>
      </c>
      <c r="R6" s="227"/>
      <c r="S6" s="229" t="s">
        <v>18</v>
      </c>
      <c r="T6" s="227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</row>
    <row r="7" ht="12.0" customHeight="1">
      <c r="A7" s="224"/>
      <c r="B7" s="224"/>
      <c r="C7" s="150"/>
      <c r="D7" s="150"/>
      <c r="E7" s="230" t="s">
        <v>176</v>
      </c>
      <c r="F7" s="231" t="s">
        <v>177</v>
      </c>
      <c r="G7" s="232" t="s">
        <v>176</v>
      </c>
      <c r="H7" s="233" t="s">
        <v>177</v>
      </c>
      <c r="I7" s="234" t="s">
        <v>176</v>
      </c>
      <c r="J7" s="233" t="s">
        <v>177</v>
      </c>
      <c r="K7" s="235" t="s">
        <v>176</v>
      </c>
      <c r="L7" s="235" t="s">
        <v>177</v>
      </c>
      <c r="M7" s="235" t="s">
        <v>176</v>
      </c>
      <c r="N7" s="235" t="s">
        <v>177</v>
      </c>
      <c r="O7" s="235" t="s">
        <v>176</v>
      </c>
      <c r="P7" s="233" t="s">
        <v>177</v>
      </c>
      <c r="Q7" s="235" t="s">
        <v>176</v>
      </c>
      <c r="R7" s="233" t="s">
        <v>177</v>
      </c>
      <c r="S7" s="235" t="s">
        <v>176</v>
      </c>
      <c r="T7" s="233" t="s">
        <v>177</v>
      </c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</row>
    <row r="8" ht="12.0" customHeight="1">
      <c r="A8" s="68"/>
      <c r="B8" s="68"/>
      <c r="C8" s="236" t="s">
        <v>175</v>
      </c>
      <c r="D8" s="237" t="s">
        <v>178</v>
      </c>
      <c r="E8" s="238">
        <v>3.3003981E7</v>
      </c>
      <c r="F8" s="239"/>
      <c r="G8" s="66">
        <v>3.3003981E7</v>
      </c>
      <c r="H8" s="239"/>
      <c r="I8" s="240">
        <f>+E8</f>
        <v>33003981</v>
      </c>
      <c r="J8" s="241"/>
      <c r="K8" s="70">
        <v>3.3003981E7</v>
      </c>
      <c r="L8" s="242"/>
      <c r="M8" s="66">
        <v>3.3003981E7</v>
      </c>
      <c r="N8" s="242"/>
      <c r="O8" s="66">
        <v>3.3003981E7</v>
      </c>
      <c r="P8" s="242"/>
      <c r="Q8" s="70">
        <v>3.3003981E7</v>
      </c>
      <c r="R8" s="242"/>
      <c r="S8" s="66">
        <v>3.3003981E7</v>
      </c>
      <c r="T8" s="239"/>
      <c r="U8" s="70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</row>
    <row r="9" ht="12.0" customHeight="1">
      <c r="A9" s="68"/>
      <c r="B9" s="68"/>
      <c r="C9" s="150"/>
      <c r="D9" s="243" t="s">
        <v>179</v>
      </c>
      <c r="E9" s="238">
        <f>+E91</f>
        <v>67737341.17</v>
      </c>
      <c r="F9" s="239"/>
      <c r="G9" s="66">
        <v>3.5557756410000004E7</v>
      </c>
      <c r="H9" s="239"/>
      <c r="I9" s="70">
        <v>6.22453943099999E7</v>
      </c>
      <c r="J9" s="241"/>
      <c r="K9" s="70">
        <v>7.716994711E7</v>
      </c>
      <c r="L9" s="242"/>
      <c r="M9" s="66">
        <v>7.66175975E7</v>
      </c>
      <c r="N9" s="242"/>
      <c r="O9" s="66">
        <v>7.003833442E7</v>
      </c>
      <c r="P9" s="242"/>
      <c r="Q9" s="70">
        <v>1.3061906884E8</v>
      </c>
      <c r="R9" s="242"/>
      <c r="S9" s="244">
        <f>+R91</f>
        <v>22952773.31</v>
      </c>
      <c r="T9" s="239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</row>
    <row r="10" ht="12.0" customHeight="1">
      <c r="A10" s="68"/>
      <c r="B10" s="68"/>
      <c r="C10" s="150"/>
      <c r="D10" s="243" t="s">
        <v>180</v>
      </c>
      <c r="E10" s="238">
        <v>20000.0</v>
      </c>
      <c r="F10" s="239"/>
      <c r="G10" s="66"/>
      <c r="H10" s="239"/>
      <c r="I10" s="70"/>
      <c r="J10" s="241"/>
      <c r="K10" s="70"/>
      <c r="L10" s="242"/>
      <c r="M10" s="66"/>
      <c r="N10" s="242"/>
      <c r="O10" s="66"/>
      <c r="P10" s="242"/>
      <c r="Q10" s="70">
        <v>1854604.1</v>
      </c>
      <c r="R10" s="242"/>
      <c r="S10" s="66">
        <v>2000000.0</v>
      </c>
      <c r="T10" s="239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</row>
    <row r="11" ht="12.0" customHeight="1">
      <c r="A11" s="68"/>
      <c r="B11" s="68"/>
      <c r="C11" s="150"/>
      <c r="D11" s="245" t="s">
        <v>181</v>
      </c>
      <c r="E11" s="238">
        <v>1.1276424E7</v>
      </c>
      <c r="F11" s="239"/>
      <c r="G11" s="66">
        <v>3.651036265E7</v>
      </c>
      <c r="H11" s="239"/>
      <c r="I11" s="70">
        <v>3.801036265E7</v>
      </c>
      <c r="J11" s="241"/>
      <c r="K11" s="70">
        <v>3.801036265E7</v>
      </c>
      <c r="L11" s="242"/>
      <c r="M11" s="66">
        <v>0.0</v>
      </c>
      <c r="N11" s="242"/>
      <c r="O11" s="66">
        <v>0.0</v>
      </c>
      <c r="P11" s="242"/>
      <c r="Q11" s="70">
        <v>1064545.0</v>
      </c>
      <c r="R11" s="242"/>
      <c r="S11" s="66">
        <v>-1135455.0</v>
      </c>
      <c r="T11" s="239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</row>
    <row r="12" ht="11.25" customHeight="1">
      <c r="A12" s="68"/>
      <c r="B12" s="68"/>
      <c r="C12" s="150"/>
      <c r="D12" s="245" t="s">
        <v>182</v>
      </c>
      <c r="E12" s="238"/>
      <c r="F12" s="239"/>
      <c r="G12" s="66">
        <v>1.0E7</v>
      </c>
      <c r="H12" s="239"/>
      <c r="I12" s="70">
        <v>1.0E7</v>
      </c>
      <c r="J12" s="241"/>
      <c r="K12" s="70">
        <v>1.0E7</v>
      </c>
      <c r="L12" s="242"/>
      <c r="M12" s="66">
        <v>1.0E7</v>
      </c>
      <c r="N12" s="242"/>
      <c r="O12" s="66">
        <v>1.0E7</v>
      </c>
      <c r="P12" s="242"/>
      <c r="Q12" s="70">
        <v>1.0E7</v>
      </c>
      <c r="R12" s="242"/>
      <c r="S12" s="66">
        <v>1.0E7</v>
      </c>
      <c r="T12" s="239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</row>
    <row r="13" ht="12.0" hidden="1" customHeight="1">
      <c r="A13" s="68"/>
      <c r="B13" s="68"/>
      <c r="C13" s="150"/>
      <c r="D13" s="245" t="s">
        <v>183</v>
      </c>
      <c r="E13" s="238">
        <f>901655.01+54016785.08</f>
        <v>54918440.09</v>
      </c>
      <c r="F13" s="239"/>
      <c r="G13" s="66"/>
      <c r="H13" s="239"/>
      <c r="I13" s="70"/>
      <c r="J13" s="241"/>
      <c r="K13" s="70"/>
      <c r="L13" s="242"/>
      <c r="M13" s="66"/>
      <c r="N13" s="242"/>
      <c r="O13" s="66"/>
      <c r="P13" s="242"/>
      <c r="Q13" s="70"/>
      <c r="R13" s="242"/>
      <c r="S13" s="66"/>
      <c r="T13" s="239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</row>
    <row r="14" ht="12.0" customHeight="1">
      <c r="A14" s="68"/>
      <c r="B14" s="68"/>
      <c r="C14" s="150"/>
      <c r="D14" s="245" t="s">
        <v>184</v>
      </c>
      <c r="E14" s="238">
        <f>50132580.84794-E9-E10-E11-E13</f>
        <v>-83819624.41</v>
      </c>
      <c r="F14" s="239"/>
      <c r="G14" s="66">
        <v>2.4152817520000003E7</v>
      </c>
      <c r="H14" s="239"/>
      <c r="I14" s="70" t="str">
        <f>+balance!E32+balance!E33</f>
        <v>#REF!</v>
      </c>
      <c r="J14" s="241"/>
      <c r="K14" s="70">
        <v>7.413015941E7</v>
      </c>
      <c r="L14" s="242"/>
      <c r="M14" s="66">
        <v>9.270710115E7</v>
      </c>
      <c r="N14" s="242"/>
      <c r="O14" s="66">
        <v>1.042213317332E8</v>
      </c>
      <c r="P14" s="242"/>
      <c r="Q14" s="70">
        <v>1.20654421426E8</v>
      </c>
      <c r="R14" s="242"/>
      <c r="S14" s="66" t="str">
        <f>+balance!E37+balance!E39-95298988.88</f>
        <v>#REF!</v>
      </c>
      <c r="T14" s="239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70"/>
      <c r="AM14" s="68"/>
      <c r="AN14" s="68"/>
      <c r="AO14" s="68"/>
    </row>
    <row r="15" ht="12.0" hidden="1" customHeight="1">
      <c r="A15" s="68"/>
      <c r="B15" s="68"/>
      <c r="C15" s="150"/>
      <c r="D15" s="243" t="s">
        <v>185</v>
      </c>
      <c r="E15" s="238">
        <v>4073192.28</v>
      </c>
      <c r="F15" s="239"/>
      <c r="G15" s="66"/>
      <c r="H15" s="239"/>
      <c r="I15" s="70"/>
      <c r="J15" s="246"/>
      <c r="K15" s="70"/>
      <c r="L15" s="70"/>
      <c r="M15" s="66"/>
      <c r="N15" s="70"/>
      <c r="O15" s="66"/>
      <c r="P15" s="70"/>
      <c r="Q15" s="70"/>
      <c r="R15" s="70"/>
      <c r="S15" s="66"/>
      <c r="T15" s="239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</row>
    <row r="16" ht="12.0" customHeight="1">
      <c r="A16" s="68"/>
      <c r="B16" s="68"/>
      <c r="C16" s="150"/>
      <c r="D16" s="243" t="s">
        <v>186</v>
      </c>
      <c r="E16" s="238"/>
      <c r="F16" s="239"/>
      <c r="G16" s="66">
        <v>95152.46</v>
      </c>
      <c r="H16" s="239"/>
      <c r="I16" s="70">
        <v>95152.46</v>
      </c>
      <c r="J16" s="246"/>
      <c r="K16" s="70">
        <v>95152.46</v>
      </c>
      <c r="L16" s="70"/>
      <c r="M16" s="66">
        <v>95152.46</v>
      </c>
      <c r="N16" s="70"/>
      <c r="O16" s="66"/>
      <c r="P16" s="70"/>
      <c r="Q16" s="70"/>
      <c r="R16" s="70"/>
      <c r="S16" s="66"/>
      <c r="T16" s="239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</row>
    <row r="17" ht="12.0" hidden="1" customHeight="1">
      <c r="A17" s="68"/>
      <c r="B17" s="68"/>
      <c r="C17" s="150"/>
      <c r="D17" s="243" t="s">
        <v>187</v>
      </c>
      <c r="E17" s="238"/>
      <c r="F17" s="239"/>
      <c r="G17" s="66">
        <v>366966.6</v>
      </c>
      <c r="H17" s="239"/>
      <c r="I17" s="70"/>
      <c r="J17" s="246"/>
      <c r="K17" s="70"/>
      <c r="L17" s="70"/>
      <c r="M17" s="66"/>
      <c r="N17" s="70"/>
      <c r="O17" s="66"/>
      <c r="P17" s="70"/>
      <c r="Q17" s="70"/>
      <c r="R17" s="70"/>
      <c r="S17" s="66"/>
      <c r="T17" s="239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</row>
    <row r="18" ht="12.0" customHeight="1">
      <c r="A18" s="68"/>
      <c r="B18" s="68"/>
      <c r="C18" s="150"/>
      <c r="D18" s="243" t="s">
        <v>188</v>
      </c>
      <c r="E18" s="238">
        <v>4950000.0</v>
      </c>
      <c r="F18" s="239"/>
      <c r="G18" s="66"/>
      <c r="H18" s="239"/>
      <c r="I18" s="70"/>
      <c r="J18" s="241"/>
      <c r="K18" s="70"/>
      <c r="L18" s="242"/>
      <c r="M18" s="66">
        <v>1.242E7</v>
      </c>
      <c r="N18" s="242"/>
      <c r="O18" s="66">
        <v>2.6352E7</v>
      </c>
      <c r="P18" s="242"/>
      <c r="Q18" s="70">
        <v>2.6352E7</v>
      </c>
      <c r="R18" s="242"/>
      <c r="S18" s="66" t="str">
        <f t="shared" ref="S18:S19" si="1">+balance!E41</f>
        <v>#REF!</v>
      </c>
      <c r="T18" s="239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</row>
    <row r="19" ht="12.0" customHeight="1">
      <c r="A19" s="68"/>
      <c r="B19" s="68"/>
      <c r="C19" s="150"/>
      <c r="D19" s="243" t="s">
        <v>189</v>
      </c>
      <c r="E19" s="238">
        <v>1.132288201E7</v>
      </c>
      <c r="F19" s="239"/>
      <c r="G19" s="66"/>
      <c r="H19" s="239"/>
      <c r="I19" s="70"/>
      <c r="J19" s="241"/>
      <c r="K19" s="70"/>
      <c r="L19" s="242"/>
      <c r="M19" s="66">
        <v>5940000.0</v>
      </c>
      <c r="N19" s="242"/>
      <c r="O19" s="66">
        <v>5940000.0</v>
      </c>
      <c r="P19" s="242"/>
      <c r="Q19" s="70">
        <v>5940000.0</v>
      </c>
      <c r="R19" s="242"/>
      <c r="S19" s="66" t="str">
        <f t="shared" si="1"/>
        <v>#REF!</v>
      </c>
      <c r="T19" s="239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</row>
    <row r="20" ht="12.0" customHeight="1">
      <c r="A20" s="68"/>
      <c r="B20" s="68"/>
      <c r="C20" s="150"/>
      <c r="D20" s="243" t="s">
        <v>190</v>
      </c>
      <c r="E20" s="238">
        <v>7.503687212E8</v>
      </c>
      <c r="F20" s="239"/>
      <c r="G20" s="66">
        <v>2.2152162760000005E7</v>
      </c>
      <c r="H20" s="239"/>
      <c r="I20" s="70">
        <v>2.529046212E7</v>
      </c>
      <c r="J20" s="241"/>
      <c r="K20" s="70">
        <v>2.529046212E7</v>
      </c>
      <c r="L20" s="242"/>
      <c r="M20" s="66">
        <v>3.869046212E7</v>
      </c>
      <c r="N20" s="242"/>
      <c r="O20" s="66">
        <v>2.173998343E7</v>
      </c>
      <c r="P20" s="242"/>
      <c r="Q20" s="70">
        <v>-9562358.93</v>
      </c>
      <c r="R20" s="242"/>
      <c r="S20" s="118">
        <v>0.0</v>
      </c>
      <c r="T20" s="239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</row>
    <row r="21" ht="12.0" customHeight="1">
      <c r="A21" s="68"/>
      <c r="B21" s="68"/>
      <c r="C21" s="150"/>
      <c r="D21" s="243" t="s">
        <v>191</v>
      </c>
      <c r="E21" s="238"/>
      <c r="F21" s="239"/>
      <c r="G21" s="66">
        <v>1.865184293E7</v>
      </c>
      <c r="H21" s="239"/>
      <c r="I21" s="70" t="str">
        <f>+balance!E41</f>
        <v>#REF!</v>
      </c>
      <c r="J21" s="241"/>
      <c r="K21" s="70">
        <v>2.284184293E7</v>
      </c>
      <c r="L21" s="242"/>
      <c r="M21" s="66">
        <v>0.0</v>
      </c>
      <c r="N21" s="242"/>
      <c r="O21" s="66">
        <v>0.0</v>
      </c>
      <c r="P21" s="242"/>
      <c r="Q21" s="70">
        <v>-1.850915402E7</v>
      </c>
      <c r="R21" s="242"/>
      <c r="S21" s="118">
        <v>0.0</v>
      </c>
      <c r="T21" s="239"/>
      <c r="U21" s="70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</row>
    <row r="22" ht="12.0" customHeight="1">
      <c r="A22" s="68"/>
      <c r="B22" s="68"/>
      <c r="C22" s="150"/>
      <c r="D22" s="243" t="s">
        <v>192</v>
      </c>
      <c r="E22" s="238"/>
      <c r="F22" s="239"/>
      <c r="G22" s="66">
        <v>2798704.33</v>
      </c>
      <c r="H22" s="239"/>
      <c r="I22" s="70">
        <v>1428442.93</v>
      </c>
      <c r="J22" s="241"/>
      <c r="K22" s="70">
        <v>1428442.93</v>
      </c>
      <c r="L22" s="242"/>
      <c r="M22" s="66">
        <v>3188442.93</v>
      </c>
      <c r="N22" s="242"/>
      <c r="O22" s="66">
        <v>4948442.93</v>
      </c>
      <c r="P22" s="242"/>
      <c r="Q22" s="70">
        <v>2.712517193E7</v>
      </c>
      <c r="R22" s="242"/>
      <c r="S22" s="66">
        <f>27577546.02-348000</f>
        <v>27229546.02</v>
      </c>
      <c r="T22" s="239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ht="12.0" customHeight="1">
      <c r="A23" s="68"/>
      <c r="B23" s="68"/>
      <c r="C23" s="150"/>
      <c r="D23" s="243" t="s">
        <v>193</v>
      </c>
      <c r="E23" s="238"/>
      <c r="F23" s="239"/>
      <c r="G23" s="66">
        <v>6461300.0</v>
      </c>
      <c r="H23" s="239"/>
      <c r="I23" s="70">
        <v>1858703.5</v>
      </c>
      <c r="J23" s="241"/>
      <c r="K23" s="70">
        <v>1858703.5</v>
      </c>
      <c r="L23" s="242"/>
      <c r="M23" s="66">
        <v>1858703.5</v>
      </c>
      <c r="N23" s="242"/>
      <c r="O23" s="66">
        <v>1858703.5</v>
      </c>
      <c r="P23" s="242"/>
      <c r="Q23" s="70">
        <v>1858703.5</v>
      </c>
      <c r="R23" s="242"/>
      <c r="S23" s="66">
        <f>1858703.5+95298988.88</f>
        <v>97157692.38</v>
      </c>
      <c r="T23" s="239"/>
      <c r="U23" s="70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</row>
    <row r="24" ht="12.75" customHeight="1">
      <c r="A24" s="68"/>
      <c r="B24" s="68"/>
      <c r="C24" s="150"/>
      <c r="D24" s="243" t="s">
        <v>194</v>
      </c>
      <c r="E24" s="238"/>
      <c r="F24" s="239"/>
      <c r="G24" s="66"/>
      <c r="H24" s="239"/>
      <c r="I24" s="70">
        <v>4.4357E8</v>
      </c>
      <c r="J24" s="241"/>
      <c r="K24" s="70">
        <v>1.85742285E8</v>
      </c>
      <c r="L24" s="242"/>
      <c r="M24" s="66">
        <v>8.5742285E7</v>
      </c>
      <c r="N24" s="242"/>
      <c r="O24" s="66">
        <v>8.5742285E7</v>
      </c>
      <c r="P24" s="242"/>
      <c r="Q24" s="70">
        <v>1.538491472E7</v>
      </c>
      <c r="R24" s="242"/>
      <c r="S24" s="244">
        <f>12596960.5+2787954.22</f>
        <v>15384914.72</v>
      </c>
      <c r="T24" s="239"/>
      <c r="U24" s="70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</row>
    <row r="25" ht="12.0" customHeight="1">
      <c r="A25" s="68"/>
      <c r="B25" s="68"/>
      <c r="C25" s="150"/>
      <c r="D25" s="243" t="s">
        <v>195</v>
      </c>
      <c r="E25" s="238"/>
      <c r="F25" s="239"/>
      <c r="G25" s="66">
        <v>3.583315433E7</v>
      </c>
      <c r="H25" s="239"/>
      <c r="I25" s="70">
        <v>3.583315433E7</v>
      </c>
      <c r="J25" s="241"/>
      <c r="K25" s="70">
        <v>3.583315433E7</v>
      </c>
      <c r="L25" s="242"/>
      <c r="M25" s="66">
        <v>3.583315433E7</v>
      </c>
      <c r="N25" s="242"/>
      <c r="O25" s="66">
        <v>3.583315433E7</v>
      </c>
      <c r="P25" s="242"/>
      <c r="Q25" s="70">
        <v>3.583315433E7</v>
      </c>
      <c r="R25" s="242"/>
      <c r="S25" s="66">
        <v>3.583315433E7</v>
      </c>
      <c r="T25" s="239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</row>
    <row r="26" ht="12.0" customHeight="1">
      <c r="A26" s="68"/>
      <c r="B26" s="68"/>
      <c r="C26" s="150"/>
      <c r="D26" s="243" t="s">
        <v>196</v>
      </c>
      <c r="E26" s="238"/>
      <c r="F26" s="239"/>
      <c r="G26" s="66">
        <v>1.25E7</v>
      </c>
      <c r="H26" s="239"/>
      <c r="I26" s="70">
        <v>1.5801642E7</v>
      </c>
      <c r="J26" s="241"/>
      <c r="K26" s="70">
        <v>1.5801642E7</v>
      </c>
      <c r="L26" s="242"/>
      <c r="M26" s="66">
        <v>1.7967376E7</v>
      </c>
      <c r="N26" s="242"/>
      <c r="O26" s="66">
        <v>2.00481522E7</v>
      </c>
      <c r="P26" s="242"/>
      <c r="Q26" s="70">
        <v>2.45195092E7</v>
      </c>
      <c r="R26" s="242"/>
      <c r="S26" s="66">
        <v>3.2123344053E8</v>
      </c>
      <c r="T26" s="239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</row>
    <row r="27" ht="12.0" customHeight="1">
      <c r="A27" s="68"/>
      <c r="B27" s="68"/>
      <c r="C27" s="150"/>
      <c r="D27" s="243" t="s">
        <v>197</v>
      </c>
      <c r="E27" s="238"/>
      <c r="F27" s="239"/>
      <c r="G27" s="66">
        <v>1.044E7</v>
      </c>
      <c r="H27" s="239"/>
      <c r="I27" s="70">
        <v>1.094E7</v>
      </c>
      <c r="J27" s="241"/>
      <c r="K27" s="70">
        <v>1.094E7</v>
      </c>
      <c r="L27" s="242"/>
      <c r="M27" s="66">
        <v>1.094E7</v>
      </c>
      <c r="N27" s="242"/>
      <c r="O27" s="66">
        <v>1.094E7</v>
      </c>
      <c r="P27" s="242"/>
      <c r="Q27" s="70">
        <v>1.094E7</v>
      </c>
      <c r="R27" s="242"/>
      <c r="S27" s="66">
        <v>1.094E7</v>
      </c>
      <c r="T27" s="239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</row>
    <row r="28" ht="12.0" customHeight="1">
      <c r="A28" s="68"/>
      <c r="B28" s="68"/>
      <c r="C28" s="150"/>
      <c r="D28" s="243" t="s">
        <v>198</v>
      </c>
      <c r="E28" s="238"/>
      <c r="F28" s="239"/>
      <c r="G28" s="66">
        <v>2180000.0</v>
      </c>
      <c r="H28" s="239"/>
      <c r="I28" s="70"/>
      <c r="J28" s="241"/>
      <c r="K28" s="70"/>
      <c r="L28" s="242"/>
      <c r="M28" s="66"/>
      <c r="N28" s="242"/>
      <c r="O28" s="66"/>
      <c r="P28" s="242"/>
      <c r="Q28" s="70"/>
      <c r="R28" s="242"/>
      <c r="S28" s="66"/>
      <c r="T28" s="239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</row>
    <row r="29" ht="14.25" customHeight="1">
      <c r="A29" s="68"/>
      <c r="B29" s="68"/>
      <c r="C29" s="150"/>
      <c r="D29" s="243" t="s">
        <v>199</v>
      </c>
      <c r="E29" s="238"/>
      <c r="F29" s="239"/>
      <c r="G29" s="66"/>
      <c r="H29" s="239"/>
      <c r="I29" s="70">
        <v>2569924.0</v>
      </c>
      <c r="J29" s="241"/>
      <c r="K29" s="70">
        <v>2569924.0</v>
      </c>
      <c r="L29" s="242"/>
      <c r="M29" s="66">
        <v>2569924.0</v>
      </c>
      <c r="N29" s="242"/>
      <c r="O29" s="66">
        <v>2569924.0</v>
      </c>
      <c r="P29" s="242"/>
      <c r="Q29" s="70">
        <v>2569924.0</v>
      </c>
      <c r="R29" s="242"/>
      <c r="S29" s="66">
        <v>2569924.0</v>
      </c>
      <c r="T29" s="239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</row>
    <row r="30" ht="17.25" hidden="1" customHeight="1">
      <c r="A30" s="68"/>
      <c r="B30" s="68"/>
      <c r="C30" s="150"/>
      <c r="D30" s="243" t="s">
        <v>200</v>
      </c>
      <c r="E30" s="238">
        <v>6.5156578376E9</v>
      </c>
      <c r="F30" s="239"/>
      <c r="G30" s="66"/>
      <c r="H30" s="239"/>
      <c r="I30" s="70"/>
      <c r="J30" s="241"/>
      <c r="K30" s="70"/>
      <c r="L30" s="242"/>
      <c r="M30" s="242"/>
      <c r="N30" s="242"/>
      <c r="O30" s="242"/>
      <c r="P30" s="242"/>
      <c r="Q30" s="242"/>
      <c r="R30" s="242"/>
      <c r="S30" s="66"/>
      <c r="T30" s="239"/>
      <c r="U30" s="70">
        <v>6.7859964367E8</v>
      </c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</row>
    <row r="31" ht="12.0" customHeight="1">
      <c r="A31" s="224"/>
      <c r="B31" s="224"/>
      <c r="C31" s="247"/>
      <c r="D31" s="248" t="s">
        <v>201</v>
      </c>
      <c r="E31" s="249">
        <f>SUM(E8:E30)</f>
        <v>7369509195</v>
      </c>
      <c r="F31" s="250">
        <v>146764.0</v>
      </c>
      <c r="G31" s="251">
        <f t="shared" ref="G31:T31" si="2">SUM(G8:G30)</f>
        <v>250704201</v>
      </c>
      <c r="H31" s="252">
        <f t="shared" si="2"/>
        <v>0</v>
      </c>
      <c r="I31" s="252" t="str">
        <f t="shared" si="2"/>
        <v>#REF!</v>
      </c>
      <c r="J31" s="252">
        <f t="shared" si="2"/>
        <v>0</v>
      </c>
      <c r="K31" s="252">
        <f t="shared" si="2"/>
        <v>534716059.4</v>
      </c>
      <c r="L31" s="252">
        <f t="shared" si="2"/>
        <v>0</v>
      </c>
      <c r="M31" s="252">
        <f t="shared" si="2"/>
        <v>427574180</v>
      </c>
      <c r="N31" s="252">
        <f t="shared" si="2"/>
        <v>0</v>
      </c>
      <c r="O31" s="252">
        <f t="shared" si="2"/>
        <v>433236292.5</v>
      </c>
      <c r="P31" s="252">
        <f t="shared" si="2"/>
        <v>0</v>
      </c>
      <c r="Q31" s="251">
        <f t="shared" si="2"/>
        <v>419648485.1</v>
      </c>
      <c r="R31" s="251">
        <f t="shared" si="2"/>
        <v>0</v>
      </c>
      <c r="S31" s="251" t="str">
        <f t="shared" si="2"/>
        <v>#REF!</v>
      </c>
      <c r="T31" s="252">
        <f t="shared" si="2"/>
        <v>0</v>
      </c>
      <c r="U31" s="136"/>
      <c r="V31" s="136"/>
      <c r="W31" s="136" t="str">
        <f>S31-S38</f>
        <v>#REF!</v>
      </c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</row>
    <row r="32" ht="12.0" customHeight="1">
      <c r="A32" s="68"/>
      <c r="B32" s="68"/>
      <c r="C32" s="253" t="s">
        <v>202</v>
      </c>
      <c r="D32" s="243" t="s">
        <v>117</v>
      </c>
      <c r="E32" s="238">
        <f>+F32*F5</f>
        <v>1496985000</v>
      </c>
      <c r="F32" s="239">
        <v>750000.0</v>
      </c>
      <c r="G32" s="66">
        <v>1.8671475000000002E9</v>
      </c>
      <c r="H32" s="239">
        <v>750000.0</v>
      </c>
      <c r="I32" s="70">
        <f>+J32*J5</f>
        <v>1847422500</v>
      </c>
      <c r="J32" s="241">
        <v>750000.0</v>
      </c>
      <c r="K32" s="242">
        <v>1.871653725E9</v>
      </c>
      <c r="L32" s="242">
        <v>757500.0</v>
      </c>
      <c r="M32" s="66">
        <v>1.83933E9</v>
      </c>
      <c r="N32" s="242">
        <v>750000.0</v>
      </c>
      <c r="O32" s="66">
        <v>1.814565E9</v>
      </c>
      <c r="P32" s="66">
        <v>750000.0</v>
      </c>
      <c r="Q32" s="66">
        <v>1.8017625E9</v>
      </c>
      <c r="R32" s="66">
        <v>750000.0</v>
      </c>
      <c r="S32" s="66">
        <f>+T32*T5</f>
        <v>1761907500</v>
      </c>
      <c r="T32" s="239">
        <v>750000.0</v>
      </c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</row>
    <row r="33" ht="15.0" customHeight="1">
      <c r="A33" s="68"/>
      <c r="B33" s="68"/>
      <c r="C33" s="150"/>
      <c r="D33" s="237" t="s">
        <v>120</v>
      </c>
      <c r="E33" s="238">
        <f>+F33*F5</f>
        <v>9979900</v>
      </c>
      <c r="F33" s="254">
        <v>5000.0</v>
      </c>
      <c r="G33" s="154">
        <v>1.2447650000000002E7</v>
      </c>
      <c r="H33" s="254">
        <v>5000.0</v>
      </c>
      <c r="I33" s="70">
        <f>+J33*J5</f>
        <v>12316150</v>
      </c>
      <c r="J33" s="255">
        <v>5000.0</v>
      </c>
      <c r="K33" s="167">
        <v>1.235415E7</v>
      </c>
      <c r="L33" s="167">
        <v>5000.0</v>
      </c>
      <c r="M33" s="154">
        <v>1.22622E7</v>
      </c>
      <c r="N33" s="165">
        <v>5000.0</v>
      </c>
      <c r="O33" s="154">
        <v>1.20971E7</v>
      </c>
      <c r="P33" s="154">
        <v>5000.0</v>
      </c>
      <c r="Q33" s="154">
        <v>1.201175E7</v>
      </c>
      <c r="R33" s="154">
        <v>5000.0</v>
      </c>
      <c r="S33" s="154">
        <f>+T33*T5</f>
        <v>11746050</v>
      </c>
      <c r="T33" s="254">
        <v>5000.0</v>
      </c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</row>
    <row r="34" ht="15.0" customHeight="1">
      <c r="A34" s="68"/>
      <c r="B34" s="68"/>
      <c r="C34" s="150"/>
      <c r="D34" s="237" t="s">
        <v>121</v>
      </c>
      <c r="E34" s="238"/>
      <c r="F34" s="254"/>
      <c r="G34" s="154">
        <v>1.066178959E8</v>
      </c>
      <c r="H34" s="254"/>
      <c r="I34" s="70">
        <f>142810282.9-I35</f>
        <v>104717153.8</v>
      </c>
      <c r="J34" s="256"/>
      <c r="K34" s="257">
        <v>1.0159317376E8</v>
      </c>
      <c r="L34" s="257"/>
      <c r="M34" s="154">
        <v>9.73015259E7</v>
      </c>
      <c r="N34" s="257"/>
      <c r="O34" s="154">
        <v>9.41789289E7</v>
      </c>
      <c r="P34" s="154"/>
      <c r="Q34" s="154">
        <v>9.09141649E7</v>
      </c>
      <c r="R34" s="154"/>
      <c r="S34" s="154">
        <v>1.6101446962E8</v>
      </c>
      <c r="T34" s="254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</row>
    <row r="35" ht="15.0" customHeight="1">
      <c r="A35" s="258"/>
      <c r="B35" s="258"/>
      <c r="C35" s="150"/>
      <c r="D35" s="237" t="s">
        <v>122</v>
      </c>
      <c r="E35" s="238">
        <v>9.15E8</v>
      </c>
      <c r="F35" s="254"/>
      <c r="G35" s="154">
        <v>4.0232934E7</v>
      </c>
      <c r="H35" s="254"/>
      <c r="I35" s="70">
        <v>3.809312914E7</v>
      </c>
      <c r="J35" s="256"/>
      <c r="K35" s="257">
        <v>3.809312914E7</v>
      </c>
      <c r="L35" s="257"/>
      <c r="M35" s="154">
        <v>2.8566995979999995E8</v>
      </c>
      <c r="N35" s="257"/>
      <c r="O35" s="154">
        <v>2.843742128E8</v>
      </c>
      <c r="P35" s="154"/>
      <c r="Q35" s="154">
        <v>1.3775876779999998E8</v>
      </c>
      <c r="R35" s="154"/>
      <c r="S35" s="154" t="str">
        <f>+balance!E51-S34</f>
        <v>#REF!</v>
      </c>
      <c r="T35" s="254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</row>
    <row r="36" ht="15.0" customHeight="1">
      <c r="A36" s="258"/>
      <c r="B36" s="258"/>
      <c r="C36" s="150"/>
      <c r="D36" s="237" t="s">
        <v>123</v>
      </c>
      <c r="E36" s="238"/>
      <c r="F36" s="254"/>
      <c r="G36" s="154">
        <v>1.1278657929E8</v>
      </c>
      <c r="H36" s="254"/>
      <c r="I36" s="70" t="str">
        <f>balance!E43-'Avlaga uglug'!I20</f>
        <v>#REF!</v>
      </c>
      <c r="J36" s="256"/>
      <c r="K36" s="257"/>
      <c r="L36" s="257"/>
      <c r="M36" s="154"/>
      <c r="N36" s="257"/>
      <c r="O36" s="154"/>
      <c r="P36" s="154"/>
      <c r="Q36" s="154"/>
      <c r="R36" s="154"/>
      <c r="S36" s="154"/>
      <c r="T36" s="254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</row>
    <row r="37" ht="15.0" customHeight="1">
      <c r="A37" s="258"/>
      <c r="B37" s="258"/>
      <c r="C37" s="150"/>
      <c r="D37" s="237" t="s">
        <v>203</v>
      </c>
      <c r="E37" s="238"/>
      <c r="F37" s="254"/>
      <c r="G37" s="154">
        <v>6.4788714882E8</v>
      </c>
      <c r="H37" s="254"/>
      <c r="I37" s="70" t="str">
        <f>balance!E42</f>
        <v>#REF!</v>
      </c>
      <c r="J37" s="256"/>
      <c r="K37" s="257">
        <v>4.456258882E7</v>
      </c>
      <c r="L37" s="257"/>
      <c r="M37" s="154">
        <v>1.107056377E8</v>
      </c>
      <c r="N37" s="257"/>
      <c r="O37" s="154">
        <v>1.77794537E7</v>
      </c>
      <c r="P37" s="154"/>
      <c r="Q37" s="154">
        <v>2164994.26</v>
      </c>
      <c r="R37" s="154"/>
      <c r="S37" s="66" t="str">
        <f>+balance!E46+balance!E61</f>
        <v>#REF!</v>
      </c>
      <c r="T37" s="254"/>
      <c r="U37" s="70"/>
      <c r="V37" s="70"/>
      <c r="W37" s="70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</row>
    <row r="38" ht="15.0" customHeight="1">
      <c r="A38" s="258"/>
      <c r="B38" s="258"/>
      <c r="C38" s="150"/>
      <c r="D38" s="243" t="s">
        <v>204</v>
      </c>
      <c r="E38" s="238"/>
      <c r="F38" s="239"/>
      <c r="G38" s="66">
        <v>3.49987606184E9</v>
      </c>
      <c r="H38" s="239"/>
      <c r="I38" s="70" t="str">
        <f>balance!E63</f>
        <v>#REF!</v>
      </c>
      <c r="J38" s="241"/>
      <c r="K38" s="70">
        <v>3.1173706501E9</v>
      </c>
      <c r="L38" s="242"/>
      <c r="M38" s="66">
        <v>3.49116243132E9</v>
      </c>
      <c r="N38" s="242"/>
      <c r="O38" s="66">
        <v>3.48987755142E9</v>
      </c>
      <c r="P38" s="66"/>
      <c r="Q38" s="66">
        <v>2.5617017876E9</v>
      </c>
      <c r="R38" s="66"/>
      <c r="S38" s="66" t="str">
        <f>+balance!E47</f>
        <v>#REF!</v>
      </c>
      <c r="T38" s="254"/>
      <c r="U38" s="70"/>
      <c r="V38" s="70"/>
      <c r="W38" s="70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</row>
    <row r="39" ht="15.0" customHeight="1">
      <c r="A39" s="258"/>
      <c r="B39" s="258"/>
      <c r="C39" s="150"/>
      <c r="D39" s="243" t="s">
        <v>205</v>
      </c>
      <c r="E39" s="238"/>
      <c r="F39" s="254"/>
      <c r="G39" s="154"/>
      <c r="H39" s="254"/>
      <c r="I39" s="68"/>
      <c r="J39" s="256"/>
      <c r="K39" s="257"/>
      <c r="L39" s="257"/>
      <c r="M39" s="154">
        <v>1.5E7</v>
      </c>
      <c r="N39" s="257"/>
      <c r="O39" s="154">
        <v>1.5E7</v>
      </c>
      <c r="P39" s="154"/>
      <c r="Q39" s="154">
        <v>1.5E7</v>
      </c>
      <c r="R39" s="154"/>
      <c r="S39" s="154" t="str">
        <f>+balance!E56</f>
        <v>#REF!</v>
      </c>
      <c r="T39" s="254"/>
      <c r="U39" s="70"/>
      <c r="V39" s="70"/>
      <c r="W39" s="70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</row>
    <row r="40" ht="15.0" customHeight="1">
      <c r="A40" s="258"/>
      <c r="B40" s="258"/>
      <c r="C40" s="150"/>
      <c r="D40" s="237" t="s">
        <v>206</v>
      </c>
      <c r="E40" s="238"/>
      <c r="F40" s="254"/>
      <c r="G40" s="154">
        <v>1.5795412501E9</v>
      </c>
      <c r="H40" s="254"/>
      <c r="I40" s="70">
        <v>1.5795412501E9</v>
      </c>
      <c r="J40" s="256"/>
      <c r="K40" s="257">
        <v>1.5795412501E9</v>
      </c>
      <c r="L40" s="257"/>
      <c r="M40" s="154">
        <v>1.5795412501E9</v>
      </c>
      <c r="N40" s="257"/>
      <c r="O40" s="154">
        <v>1.5795412501E9</v>
      </c>
      <c r="P40" s="154"/>
      <c r="Q40" s="154">
        <v>1.5795412501E9</v>
      </c>
      <c r="R40" s="154"/>
      <c r="S40" s="154">
        <v>1.5795412501E9</v>
      </c>
      <c r="T40" s="254"/>
      <c r="U40" s="68"/>
      <c r="V40" s="70"/>
      <c r="W40" s="70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</row>
    <row r="41" ht="15.0" customHeight="1">
      <c r="A41" s="258"/>
      <c r="B41" s="258"/>
      <c r="C41" s="150"/>
      <c r="D41" s="237" t="s">
        <v>207</v>
      </c>
      <c r="E41" s="238"/>
      <c r="F41" s="254"/>
      <c r="G41" s="154">
        <v>1.59200962346E9</v>
      </c>
      <c r="H41" s="254">
        <v>639482.0</v>
      </c>
      <c r="I41" s="70">
        <f>+J5*J41</f>
        <v>1473311192</v>
      </c>
      <c r="J41" s="255">
        <v>598121.65</v>
      </c>
      <c r="K41" s="167">
        <v>1.4778569164695E9</v>
      </c>
      <c r="L41" s="167">
        <v>598121.65</v>
      </c>
      <c r="M41" s="154">
        <v>1.466857459326E9</v>
      </c>
      <c r="N41" s="167">
        <v>598121.65</v>
      </c>
      <c r="O41" s="154">
        <v>4.3400146298480004E8</v>
      </c>
      <c r="P41" s="154">
        <v>179382.44</v>
      </c>
      <c r="Q41" s="154">
        <v>4.3093940473399997E8</v>
      </c>
      <c r="R41" s="154">
        <v>179382.44</v>
      </c>
      <c r="S41" s="154">
        <f>+T41*T5</f>
        <v>421407021.9</v>
      </c>
      <c r="T41" s="254">
        <v>179382.44</v>
      </c>
      <c r="U41" s="68"/>
      <c r="V41" s="70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</row>
    <row r="42" ht="15.0" customHeight="1">
      <c r="A42" s="258"/>
      <c r="B42" s="258"/>
      <c r="C42" s="259"/>
      <c r="D42" s="243" t="s">
        <v>208</v>
      </c>
      <c r="E42" s="66"/>
      <c r="F42" s="239"/>
      <c r="G42" s="238"/>
      <c r="H42" s="239"/>
      <c r="I42" s="70"/>
      <c r="J42" s="241"/>
      <c r="K42" s="70"/>
      <c r="L42" s="242"/>
      <c r="M42" s="66"/>
      <c r="N42" s="242"/>
      <c r="O42" s="66">
        <v>8.0E8</v>
      </c>
      <c r="P42" s="66"/>
      <c r="Q42" s="66">
        <v>8.0E8</v>
      </c>
      <c r="R42" s="66"/>
      <c r="S42" s="66" t="str">
        <f>+balance!E48</f>
        <v>#REF!</v>
      </c>
      <c r="T42" s="254"/>
      <c r="U42" s="68"/>
      <c r="V42" s="70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</row>
    <row r="43" ht="15.0" customHeight="1">
      <c r="A43" s="258"/>
      <c r="B43" s="258"/>
      <c r="C43" s="259"/>
      <c r="D43" s="260" t="s">
        <v>132</v>
      </c>
      <c r="E43" s="66"/>
      <c r="F43" s="239"/>
      <c r="G43" s="66"/>
      <c r="H43" s="239"/>
      <c r="I43" s="70"/>
      <c r="J43" s="241"/>
      <c r="K43" s="70"/>
      <c r="L43" s="242"/>
      <c r="M43" s="66"/>
      <c r="N43" s="242"/>
      <c r="O43" s="66"/>
      <c r="P43" s="66"/>
      <c r="Q43" s="66"/>
      <c r="R43" s="66"/>
      <c r="S43" s="66" t="str">
        <f t="shared" ref="S43:S45" si="3">+balance!E57</f>
        <v>#REF!</v>
      </c>
      <c r="T43" s="254"/>
      <c r="U43" s="68"/>
      <c r="V43" s="70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</row>
    <row r="44" ht="15.0" customHeight="1">
      <c r="A44" s="258"/>
      <c r="B44" s="258"/>
      <c r="C44" s="259"/>
      <c r="D44" s="260" t="s">
        <v>133</v>
      </c>
      <c r="E44" s="66"/>
      <c r="F44" s="239"/>
      <c r="G44" s="66"/>
      <c r="H44" s="239"/>
      <c r="I44" s="70"/>
      <c r="J44" s="241"/>
      <c r="K44" s="70"/>
      <c r="L44" s="242"/>
      <c r="M44" s="66"/>
      <c r="N44" s="242"/>
      <c r="O44" s="66"/>
      <c r="P44" s="66"/>
      <c r="Q44" s="66"/>
      <c r="R44" s="66"/>
      <c r="S44" s="66" t="str">
        <f t="shared" si="3"/>
        <v>#REF!</v>
      </c>
      <c r="T44" s="254"/>
      <c r="U44" s="68"/>
      <c r="V44" s="70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</row>
    <row r="45" ht="15.0" customHeight="1">
      <c r="A45" s="258"/>
      <c r="B45" s="258"/>
      <c r="C45" s="259"/>
      <c r="D45" s="260" t="s">
        <v>134</v>
      </c>
      <c r="E45" s="66"/>
      <c r="F45" s="239"/>
      <c r="G45" s="66"/>
      <c r="H45" s="239"/>
      <c r="I45" s="70"/>
      <c r="J45" s="241"/>
      <c r="K45" s="70"/>
      <c r="L45" s="242"/>
      <c r="M45" s="66"/>
      <c r="N45" s="242"/>
      <c r="O45" s="66"/>
      <c r="P45" s="66"/>
      <c r="Q45" s="66"/>
      <c r="R45" s="66"/>
      <c r="S45" s="66" t="str">
        <f t="shared" si="3"/>
        <v>#REF!</v>
      </c>
      <c r="T45" s="254"/>
      <c r="U45" s="68"/>
      <c r="V45" s="70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</row>
    <row r="46" ht="15.0" customHeight="1">
      <c r="A46" s="258"/>
      <c r="B46" s="258"/>
      <c r="C46" s="253" t="s">
        <v>209</v>
      </c>
      <c r="D46" s="260" t="s">
        <v>210</v>
      </c>
      <c r="E46" s="66"/>
      <c r="F46" s="239"/>
      <c r="G46" s="66"/>
      <c r="H46" s="239"/>
      <c r="I46" s="70"/>
      <c r="J46" s="241"/>
      <c r="K46" s="70"/>
      <c r="L46" s="242"/>
      <c r="M46" s="66"/>
      <c r="N46" s="242"/>
      <c r="O46" s="66"/>
      <c r="P46" s="66"/>
      <c r="Q46" s="66"/>
      <c r="R46" s="66"/>
      <c r="S46" s="66" t="str">
        <f>+balance!E50</f>
        <v>#REF!</v>
      </c>
      <c r="T46" s="255">
        <v>12240.97</v>
      </c>
      <c r="U46" s="68"/>
      <c r="V46" s="70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</row>
    <row r="47" ht="12.0" customHeight="1">
      <c r="A47" s="258"/>
      <c r="B47" s="258"/>
      <c r="C47" s="150"/>
      <c r="D47" s="237" t="s">
        <v>211</v>
      </c>
      <c r="E47" s="238"/>
      <c r="F47" s="254"/>
      <c r="G47" s="154">
        <v>4.979060000000001E7</v>
      </c>
      <c r="H47" s="254">
        <v>20000.0</v>
      </c>
      <c r="I47" s="70">
        <f>+J47*J5</f>
        <v>144098955</v>
      </c>
      <c r="J47" s="255">
        <v>58500.0</v>
      </c>
      <c r="K47" s="167">
        <v>1.4083731E8</v>
      </c>
      <c r="L47" s="167">
        <v>57000.0</v>
      </c>
      <c r="M47" s="154">
        <v>3.4027605E8</v>
      </c>
      <c r="N47" s="167">
        <v>138750.0</v>
      </c>
      <c r="O47" s="154">
        <v>4.354956E7</v>
      </c>
      <c r="P47" s="154">
        <v>18000.0</v>
      </c>
      <c r="Q47" s="154">
        <v>4.2041125E7</v>
      </c>
      <c r="R47" s="154">
        <v>17500.0</v>
      </c>
      <c r="S47" s="154" t="str">
        <f>+T47*T5</f>
        <v>#REF!</v>
      </c>
      <c r="T47" s="254" t="str">
        <f>+balance!F55</f>
        <v>#REF!</v>
      </c>
      <c r="U47" s="68"/>
      <c r="V47" s="70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</row>
    <row r="48" ht="12.0" customHeight="1">
      <c r="A48" s="258"/>
      <c r="B48" s="258"/>
      <c r="C48" s="259"/>
      <c r="D48" s="237" t="s">
        <v>142</v>
      </c>
      <c r="E48" s="238"/>
      <c r="F48" s="254"/>
      <c r="G48" s="154"/>
      <c r="H48" s="254"/>
      <c r="I48" s="70"/>
      <c r="J48" s="255"/>
      <c r="K48" s="167">
        <v>1.0847403793E8</v>
      </c>
      <c r="L48" s="167"/>
      <c r="M48" s="154">
        <v>1.0847403793E8</v>
      </c>
      <c r="N48" s="167"/>
      <c r="O48" s="154"/>
      <c r="P48" s="154"/>
      <c r="Q48" s="154"/>
      <c r="R48" s="154"/>
      <c r="S48" s="154"/>
      <c r="T48" s="254"/>
      <c r="U48" s="68"/>
      <c r="V48" s="70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</row>
    <row r="49" ht="12.0" customHeight="1">
      <c r="A49" s="68"/>
      <c r="B49" s="68"/>
      <c r="C49" s="261" t="s">
        <v>212</v>
      </c>
      <c r="D49" s="227"/>
      <c r="E49" s="262">
        <f t="shared" ref="E49:F49" si="4">SUM(E32:E47)</f>
        <v>2421964900</v>
      </c>
      <c r="F49" s="263">
        <f t="shared" si="4"/>
        <v>755000</v>
      </c>
      <c r="G49" s="264">
        <f t="shared" ref="G49:T49" si="5">SUM(G32:G48)</f>
        <v>9508337243</v>
      </c>
      <c r="H49" s="264">
        <f t="shared" si="5"/>
        <v>1414482</v>
      </c>
      <c r="I49" s="264" t="str">
        <f t="shared" si="5"/>
        <v>#REF!</v>
      </c>
      <c r="J49" s="264">
        <f t="shared" si="5"/>
        <v>1411621.65</v>
      </c>
      <c r="K49" s="264">
        <f t="shared" si="5"/>
        <v>8492336931</v>
      </c>
      <c r="L49" s="264">
        <f t="shared" si="5"/>
        <v>1417621.65</v>
      </c>
      <c r="M49" s="264">
        <f t="shared" si="5"/>
        <v>9346580552</v>
      </c>
      <c r="N49" s="264">
        <f t="shared" si="5"/>
        <v>1491871.65</v>
      </c>
      <c r="O49" s="264">
        <f t="shared" si="5"/>
        <v>8584964520</v>
      </c>
      <c r="P49" s="264">
        <f t="shared" si="5"/>
        <v>952382.44</v>
      </c>
      <c r="Q49" s="264">
        <f t="shared" si="5"/>
        <v>7473835744</v>
      </c>
      <c r="R49" s="264">
        <f t="shared" si="5"/>
        <v>951882.44</v>
      </c>
      <c r="S49" s="264" t="str">
        <f t="shared" si="5"/>
        <v>#REF!</v>
      </c>
      <c r="T49" s="265" t="str">
        <f t="shared" si="5"/>
        <v>#REF!</v>
      </c>
      <c r="U49" s="70" t="str">
        <f>+S49+S31-S47-S41-S33-S32</f>
        <v>#REF!</v>
      </c>
      <c r="V49" s="70">
        <f>+T32+T33+T41</f>
        <v>934382.44</v>
      </c>
      <c r="W49" s="70" t="str">
        <f>+U49-V49</f>
        <v>#REF!</v>
      </c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70" t="str">
        <f>+S49-S38</f>
        <v>#REF!</v>
      </c>
      <c r="AM49" s="68"/>
      <c r="AN49" s="68"/>
      <c r="AO49" s="68"/>
    </row>
    <row r="50" ht="12.0" customHeight="1">
      <c r="A50" s="224"/>
      <c r="B50" s="224"/>
      <c r="C50" s="266" t="s">
        <v>213</v>
      </c>
      <c r="D50" s="267" t="s">
        <v>214</v>
      </c>
      <c r="E50" s="268">
        <v>2.014979334E7</v>
      </c>
      <c r="F50" s="269"/>
      <c r="G50" s="118">
        <v>3.171847019E7</v>
      </c>
      <c r="H50" s="269"/>
      <c r="I50" s="136" t="str">
        <f>+balance!E59</f>
        <v>#REF!</v>
      </c>
      <c r="J50" s="270"/>
      <c r="K50" s="136">
        <v>3.206147019E7</v>
      </c>
      <c r="L50" s="271"/>
      <c r="M50" s="118">
        <v>3.0679406410000004E7</v>
      </c>
      <c r="N50" s="271"/>
      <c r="O50" s="118">
        <v>3.0679406410000004E7</v>
      </c>
      <c r="P50" s="271"/>
      <c r="Q50" s="136">
        <v>3.0679406410000004E7</v>
      </c>
      <c r="R50" s="271"/>
      <c r="S50" s="118" t="str">
        <f>+balance!E65</f>
        <v>#REF!</v>
      </c>
      <c r="T50" s="269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</row>
    <row r="51" ht="12.0" customHeight="1">
      <c r="A51" s="224"/>
      <c r="B51" s="224"/>
      <c r="C51" s="272"/>
      <c r="D51" s="267" t="s">
        <v>215</v>
      </c>
      <c r="E51" s="268"/>
      <c r="F51" s="269"/>
      <c r="G51" s="118">
        <v>1.756075236E7</v>
      </c>
      <c r="H51" s="269"/>
      <c r="I51" s="136" t="str">
        <f>+balance!E86+balance!E73</f>
        <v>#REF!</v>
      </c>
      <c r="J51" s="270"/>
      <c r="K51" s="136">
        <v>1.756075236E7</v>
      </c>
      <c r="L51" s="271"/>
      <c r="M51" s="118">
        <v>1.901475236E7</v>
      </c>
      <c r="N51" s="271"/>
      <c r="O51" s="118">
        <v>1.901475236E7</v>
      </c>
      <c r="P51" s="271"/>
      <c r="Q51" s="136">
        <v>1.901475236E7</v>
      </c>
      <c r="R51" s="271"/>
      <c r="S51" s="118" t="str">
        <f>+balance!E91+balance!E79</f>
        <v>#REF!</v>
      </c>
      <c r="T51" s="269"/>
      <c r="U51" s="136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</row>
    <row r="52" ht="12.0" customHeight="1">
      <c r="A52" s="224"/>
      <c r="B52" s="224"/>
      <c r="C52" s="273" t="s">
        <v>216</v>
      </c>
      <c r="D52" s="237" t="s">
        <v>217</v>
      </c>
      <c r="E52" s="274">
        <v>9.7736E7</v>
      </c>
      <c r="F52" s="269"/>
      <c r="G52" s="66">
        <v>1.3921690419E8</v>
      </c>
      <c r="H52" s="269"/>
      <c r="I52" s="257" t="str">
        <f>+balance!E65</f>
        <v>#REF!</v>
      </c>
      <c r="J52" s="270"/>
      <c r="K52" s="70">
        <v>1.1740807819E8</v>
      </c>
      <c r="L52" s="271"/>
      <c r="M52" s="66">
        <v>1.2231828019E8</v>
      </c>
      <c r="N52" s="271"/>
      <c r="O52" s="66">
        <v>1.1475577519E8</v>
      </c>
      <c r="P52" s="271"/>
      <c r="Q52" s="70">
        <v>1.0689017419E8</v>
      </c>
      <c r="R52" s="271"/>
      <c r="S52" s="66" t="str">
        <f>+balance!E71</f>
        <v>#REF!</v>
      </c>
      <c r="T52" s="269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</row>
    <row r="53" ht="12.0" customHeight="1">
      <c r="A53" s="224"/>
      <c r="B53" s="224"/>
      <c r="C53" s="275"/>
      <c r="D53" s="237" t="s">
        <v>218</v>
      </c>
      <c r="E53" s="274">
        <v>1.439903828E7</v>
      </c>
      <c r="F53" s="269"/>
      <c r="G53" s="66">
        <v>2.022795523E7</v>
      </c>
      <c r="H53" s="269"/>
      <c r="I53" s="257" t="str">
        <f>+balance!E63</f>
        <v>#REF!</v>
      </c>
      <c r="J53" s="270"/>
      <c r="K53" s="70">
        <v>2.06000581E7</v>
      </c>
      <c r="L53" s="271"/>
      <c r="M53" s="66">
        <v>2.13386591E7</v>
      </c>
      <c r="N53" s="271"/>
      <c r="O53" s="66">
        <v>2.31729651E7</v>
      </c>
      <c r="P53" s="271"/>
      <c r="Q53" s="70">
        <v>2.20537971E7</v>
      </c>
      <c r="R53" s="271"/>
      <c r="S53" s="66" t="str">
        <f t="shared" ref="S53:S54" si="6">+balance!E67</f>
        <v>#REF!</v>
      </c>
      <c r="T53" s="269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</row>
    <row r="54" ht="12.0" customHeight="1">
      <c r="A54" s="224"/>
      <c r="B54" s="224"/>
      <c r="C54" s="275"/>
      <c r="D54" s="237" t="s">
        <v>219</v>
      </c>
      <c r="E54" s="274"/>
      <c r="F54" s="269"/>
      <c r="G54" s="66"/>
      <c r="H54" s="269"/>
      <c r="I54" s="257"/>
      <c r="J54" s="270"/>
      <c r="K54" s="70"/>
      <c r="L54" s="271"/>
      <c r="M54" s="66"/>
      <c r="N54" s="271"/>
      <c r="O54" s="66"/>
      <c r="P54" s="271"/>
      <c r="Q54" s="70"/>
      <c r="R54" s="271"/>
      <c r="S54" s="66" t="str">
        <f t="shared" si="6"/>
        <v>#REF!</v>
      </c>
      <c r="T54" s="269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</row>
    <row r="55" ht="12.0" customHeight="1">
      <c r="A55" s="224"/>
      <c r="B55" s="224"/>
      <c r="C55" s="275"/>
      <c r="D55" s="237" t="s">
        <v>220</v>
      </c>
      <c r="E55" s="274">
        <f>4920913.64+4350000+6120075</f>
        <v>15390988.64</v>
      </c>
      <c r="F55" s="269"/>
      <c r="G55" s="66">
        <v>1.999400822E7</v>
      </c>
      <c r="H55" s="269"/>
      <c r="I55" s="257" t="str">
        <f>+balance!E67-'Avlaga uglug'!I52-'Avlaga uglug'!I53</f>
        <v>#REF!</v>
      </c>
      <c r="J55" s="270"/>
      <c r="K55" s="70">
        <v>2.5053719339999996E7</v>
      </c>
      <c r="L55" s="271"/>
      <c r="M55" s="66">
        <v>2.2244312509999998E7</v>
      </c>
      <c r="N55" s="271"/>
      <c r="O55" s="66">
        <v>1.26816168295E8</v>
      </c>
      <c r="P55" s="271"/>
      <c r="Q55" s="70">
        <v>1.5283647037250003E8</v>
      </c>
      <c r="R55" s="271"/>
      <c r="S55" s="66" t="str">
        <f>+balance!E73-balance!E67-balance!E71-balance!E68</f>
        <v>#REF!</v>
      </c>
      <c r="T55" s="269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</row>
    <row r="56" ht="12.0" customHeight="1">
      <c r="A56" s="68"/>
      <c r="B56" s="68"/>
      <c r="C56" s="275"/>
      <c r="D56" s="267" t="s">
        <v>221</v>
      </c>
      <c r="E56" s="268">
        <f>SUM(E52:E55)</f>
        <v>127526026.9</v>
      </c>
      <c r="F56" s="239"/>
      <c r="G56" s="276">
        <f t="shared" ref="G56:K56" si="7">SUM(G52:G55)</f>
        <v>179438867.6</v>
      </c>
      <c r="H56" s="277">
        <f t="shared" si="7"/>
        <v>0</v>
      </c>
      <c r="I56" s="136" t="str">
        <f t="shared" si="7"/>
        <v>#REF!</v>
      </c>
      <c r="J56" s="276">
        <f t="shared" si="7"/>
        <v>0</v>
      </c>
      <c r="K56" s="276">
        <f t="shared" si="7"/>
        <v>163061855.6</v>
      </c>
      <c r="L56" s="242"/>
      <c r="M56" s="276">
        <f t="shared" ref="M56:T56" si="8">SUM(M52:M55)</f>
        <v>165901251.8</v>
      </c>
      <c r="N56" s="276">
        <f t="shared" si="8"/>
        <v>0</v>
      </c>
      <c r="O56" s="276">
        <f t="shared" si="8"/>
        <v>264744908.6</v>
      </c>
      <c r="P56" s="276">
        <f t="shared" si="8"/>
        <v>0</v>
      </c>
      <c r="Q56" s="276">
        <f t="shared" si="8"/>
        <v>281780441.7</v>
      </c>
      <c r="R56" s="276">
        <f t="shared" si="8"/>
        <v>0</v>
      </c>
      <c r="S56" s="276" t="str">
        <f t="shared" si="8"/>
        <v>#REF!</v>
      </c>
      <c r="T56" s="277">
        <f t="shared" si="8"/>
        <v>0</v>
      </c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</row>
    <row r="57" ht="12.0" customHeight="1">
      <c r="A57" s="68"/>
      <c r="B57" s="68"/>
      <c r="C57" s="278" t="s">
        <v>222</v>
      </c>
      <c r="D57" s="227"/>
      <c r="E57" s="279">
        <f>+E31+E49+E56+E50</f>
        <v>9939149915</v>
      </c>
      <c r="F57" s="280"/>
      <c r="G57" s="281">
        <f t="shared" ref="G57:T57" si="9">+G31+G49+G56+G50+G51</f>
        <v>9987759535</v>
      </c>
      <c r="H57" s="282">
        <f t="shared" si="9"/>
        <v>1414482</v>
      </c>
      <c r="I57" s="281" t="str">
        <f t="shared" si="9"/>
        <v>#REF!</v>
      </c>
      <c r="J57" s="281">
        <f t="shared" si="9"/>
        <v>1411621.65</v>
      </c>
      <c r="K57" s="281">
        <f t="shared" si="9"/>
        <v>9239737069</v>
      </c>
      <c r="L57" s="281">
        <f t="shared" si="9"/>
        <v>1417621.65</v>
      </c>
      <c r="M57" s="281">
        <f t="shared" si="9"/>
        <v>9989750143</v>
      </c>
      <c r="N57" s="281">
        <f t="shared" si="9"/>
        <v>1491871.65</v>
      </c>
      <c r="O57" s="281">
        <f t="shared" si="9"/>
        <v>9332639880</v>
      </c>
      <c r="P57" s="281">
        <f t="shared" si="9"/>
        <v>952382.44</v>
      </c>
      <c r="Q57" s="281">
        <f t="shared" si="9"/>
        <v>8224958830</v>
      </c>
      <c r="R57" s="281">
        <f t="shared" si="9"/>
        <v>951882.44</v>
      </c>
      <c r="S57" s="281" t="str">
        <f t="shared" si="9"/>
        <v>#REF!</v>
      </c>
      <c r="T57" s="282" t="str">
        <f t="shared" si="9"/>
        <v>#REF!</v>
      </c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</row>
    <row r="58" ht="12.0" customHeight="1">
      <c r="A58" s="68"/>
      <c r="B58" s="68"/>
      <c r="C58" s="68"/>
      <c r="D58" s="68"/>
      <c r="E58" s="66"/>
      <c r="F58" s="66"/>
      <c r="G58" s="66"/>
      <c r="H58" s="239"/>
      <c r="I58" s="70"/>
      <c r="J58" s="66"/>
      <c r="K58" s="66"/>
      <c r="L58" s="66"/>
      <c r="M58" s="66"/>
      <c r="N58" s="66"/>
      <c r="O58" s="66"/>
      <c r="P58" s="66"/>
      <c r="Q58" s="66"/>
      <c r="R58" s="66"/>
      <c r="S58" s="66" t="str">
        <f>S31+S56-S87</f>
        <v>#REF!</v>
      </c>
      <c r="T58" s="239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</row>
    <row r="59" ht="18.75" customHeight="1">
      <c r="A59" s="68"/>
      <c r="B59" s="68"/>
      <c r="C59" s="224" t="s">
        <v>223</v>
      </c>
      <c r="D59" s="283"/>
      <c r="E59" s="66"/>
      <c r="F59" s="66"/>
      <c r="G59" s="66"/>
      <c r="H59" s="239"/>
      <c r="I59" s="66"/>
      <c r="J59" s="70"/>
      <c r="K59" s="70"/>
      <c r="L59" s="70"/>
      <c r="M59" s="70"/>
      <c r="N59" s="70"/>
      <c r="O59" s="70"/>
      <c r="P59" s="70"/>
      <c r="Q59" s="70"/>
      <c r="R59" s="70"/>
      <c r="S59" s="66"/>
      <c r="T59" s="239"/>
      <c r="U59" s="66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</row>
    <row r="60" ht="15.0" customHeight="1">
      <c r="A60" s="284"/>
      <c r="B60" s="284"/>
      <c r="C60" s="285" t="s">
        <v>224</v>
      </c>
      <c r="D60" s="286" t="s">
        <v>225</v>
      </c>
      <c r="E60" s="287" t="s">
        <v>4</v>
      </c>
      <c r="F60" s="227"/>
      <c r="G60" s="229" t="s">
        <v>12</v>
      </c>
      <c r="H60" s="227"/>
      <c r="I60" s="228" t="s">
        <v>13</v>
      </c>
      <c r="J60" s="227"/>
      <c r="K60" s="288" t="s">
        <v>14</v>
      </c>
      <c r="L60" s="158"/>
      <c r="M60" s="226" t="s">
        <v>15</v>
      </c>
      <c r="N60" s="227"/>
      <c r="O60" s="229" t="s">
        <v>16</v>
      </c>
      <c r="P60" s="227"/>
      <c r="Q60" s="289" t="s">
        <v>17</v>
      </c>
      <c r="R60" s="227"/>
      <c r="S60" s="229" t="s">
        <v>226</v>
      </c>
      <c r="T60" s="227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</row>
    <row r="61" ht="12.0" customHeight="1">
      <c r="A61" s="284"/>
      <c r="B61" s="284"/>
      <c r="C61" s="150"/>
      <c r="D61" s="150"/>
      <c r="E61" s="94" t="s">
        <v>176</v>
      </c>
      <c r="F61" s="290" t="s">
        <v>177</v>
      </c>
      <c r="G61" s="291" t="s">
        <v>176</v>
      </c>
      <c r="H61" s="290" t="s">
        <v>177</v>
      </c>
      <c r="I61" s="292" t="s">
        <v>176</v>
      </c>
      <c r="J61" s="290" t="s">
        <v>177</v>
      </c>
      <c r="K61" s="94" t="s">
        <v>176</v>
      </c>
      <c r="L61" s="94" t="s">
        <v>177</v>
      </c>
      <c r="M61" s="235" t="s">
        <v>176</v>
      </c>
      <c r="N61" s="235" t="s">
        <v>177</v>
      </c>
      <c r="O61" s="235" t="s">
        <v>176</v>
      </c>
      <c r="P61" s="233" t="s">
        <v>177</v>
      </c>
      <c r="Q61" s="235" t="s">
        <v>176</v>
      </c>
      <c r="R61" s="235" t="s">
        <v>177</v>
      </c>
      <c r="S61" s="235" t="s">
        <v>176</v>
      </c>
      <c r="T61" s="233" t="s">
        <v>177</v>
      </c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</row>
    <row r="62" ht="12.0" customHeight="1">
      <c r="A62" s="68"/>
      <c r="B62" s="68"/>
      <c r="C62" s="150"/>
      <c r="D62" s="293" t="s">
        <v>227</v>
      </c>
      <c r="E62" s="66"/>
      <c r="F62" s="239"/>
      <c r="G62" s="66">
        <v>1.218896E7</v>
      </c>
      <c r="H62" s="239"/>
      <c r="I62" s="70" t="str">
        <f>balance!G160</f>
        <v>#REF!</v>
      </c>
      <c r="J62" s="239"/>
      <c r="K62" s="66">
        <v>1.218896E7</v>
      </c>
      <c r="L62" s="66"/>
      <c r="M62" s="66">
        <v>2.0580101E7</v>
      </c>
      <c r="N62" s="66"/>
      <c r="O62" s="66">
        <v>2.0580101E7</v>
      </c>
      <c r="P62" s="66"/>
      <c r="Q62" s="66">
        <v>2.1680101E7</v>
      </c>
      <c r="R62" s="66"/>
      <c r="S62" s="66" t="str">
        <f>+balance!G170</f>
        <v>#REF!</v>
      </c>
      <c r="T62" s="239"/>
      <c r="U62" s="68"/>
      <c r="V62" s="70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</row>
    <row r="63" ht="12.0" customHeight="1">
      <c r="A63" s="68"/>
      <c r="B63" s="68"/>
      <c r="C63" s="150"/>
      <c r="D63" s="293" t="s">
        <v>228</v>
      </c>
      <c r="E63" s="66">
        <v>6.895953E7</v>
      </c>
      <c r="F63" s="239"/>
      <c r="G63" s="66">
        <v>5.6287298165E8</v>
      </c>
      <c r="H63" s="239"/>
      <c r="I63" s="70" t="str">
        <f>+balance!G151</f>
        <v>#REF!</v>
      </c>
      <c r="J63" s="239"/>
      <c r="K63" s="66">
        <v>2.3346026065E8</v>
      </c>
      <c r="L63" s="66"/>
      <c r="M63" s="66">
        <v>1.3971151065E8</v>
      </c>
      <c r="N63" s="66"/>
      <c r="O63" s="66">
        <v>8.971151065E7</v>
      </c>
      <c r="P63" s="66"/>
      <c r="Q63" s="66">
        <v>8.971151065E7</v>
      </c>
      <c r="R63" s="66"/>
      <c r="S63" s="66" t="str">
        <f>+balance!G162</f>
        <v>#REF!</v>
      </c>
      <c r="T63" s="239"/>
      <c r="U63" s="68"/>
      <c r="V63" s="294">
        <v>1.47325752E8</v>
      </c>
      <c r="W63" s="294">
        <v>4.22861471E8</v>
      </c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</row>
    <row r="64" ht="12.0" customHeight="1">
      <c r="A64" s="70"/>
      <c r="B64" s="70"/>
      <c r="C64" s="150"/>
      <c r="D64" s="293" t="s">
        <v>229</v>
      </c>
      <c r="E64" s="66">
        <v>5000000.0</v>
      </c>
      <c r="F64" s="239"/>
      <c r="G64" s="66">
        <v>5000000.0</v>
      </c>
      <c r="H64" s="239"/>
      <c r="I64" s="70">
        <v>5000000.0</v>
      </c>
      <c r="J64" s="239"/>
      <c r="K64" s="66">
        <v>5000000.0</v>
      </c>
      <c r="L64" s="66"/>
      <c r="M64" s="66">
        <v>5000000.0</v>
      </c>
      <c r="N64" s="66"/>
      <c r="O64" s="66">
        <v>5000000.0</v>
      </c>
      <c r="P64" s="66"/>
      <c r="Q64" s="66">
        <v>5000000.0</v>
      </c>
      <c r="R64" s="66"/>
      <c r="S64" s="66">
        <v>5000000.0</v>
      </c>
      <c r="T64" s="239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</row>
    <row r="65" ht="12.0" customHeight="1">
      <c r="A65" s="70"/>
      <c r="B65" s="70"/>
      <c r="C65" s="150"/>
      <c r="D65" s="293" t="s">
        <v>230</v>
      </c>
      <c r="E65" s="66">
        <v>9811783.87</v>
      </c>
      <c r="F65" s="239"/>
      <c r="G65" s="66">
        <v>1.446249876E7</v>
      </c>
      <c r="H65" s="239"/>
      <c r="I65" s="70" t="str">
        <f t="shared" ref="I65:I66" si="10">+balance!G154</f>
        <v>#REF!</v>
      </c>
      <c r="J65" s="239"/>
      <c r="K65" s="66">
        <v>1.79290241E7</v>
      </c>
      <c r="L65" s="66"/>
      <c r="M65" s="66">
        <v>5129091.94</v>
      </c>
      <c r="N65" s="66"/>
      <c r="O65" s="66">
        <v>7021775.44</v>
      </c>
      <c r="P65" s="66"/>
      <c r="Q65" s="66">
        <v>3359750.1</v>
      </c>
      <c r="R65" s="66"/>
      <c r="S65" s="66" t="str">
        <f>+balance!G164</f>
        <v>#REF!</v>
      </c>
      <c r="T65" s="239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</row>
    <row r="66" ht="12.0" customHeight="1">
      <c r="A66" s="70"/>
      <c r="B66" s="70"/>
      <c r="C66" s="150"/>
      <c r="D66" s="293" t="s">
        <v>231</v>
      </c>
      <c r="E66" s="66">
        <v>4.531728813E7</v>
      </c>
      <c r="F66" s="239"/>
      <c r="G66" s="66">
        <v>3.385202525E7</v>
      </c>
      <c r="H66" s="239"/>
      <c r="I66" s="70" t="str">
        <f t="shared" si="10"/>
        <v>#REF!</v>
      </c>
      <c r="J66" s="239"/>
      <c r="K66" s="66">
        <f>33852025.25+4950000</f>
        <v>38802025.25</v>
      </c>
      <c r="L66" s="66"/>
      <c r="M66" s="66">
        <v>1.6911290866000004E7</v>
      </c>
      <c r="N66" s="66"/>
      <c r="O66" s="66">
        <v>2.227922179257089E7</v>
      </c>
      <c r="P66" s="66"/>
      <c r="Q66" s="66">
        <v>2.6745235065E7</v>
      </c>
      <c r="R66" s="66"/>
      <c r="S66" s="66" t="str">
        <f>+balance!G166</f>
        <v>#REF!</v>
      </c>
      <c r="T66" s="239"/>
      <c r="U66" s="68"/>
      <c r="V66" s="68">
        <v>46338.692227564665</v>
      </c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</row>
    <row r="67" ht="12.0" customHeight="1">
      <c r="A67" s="70"/>
      <c r="B67" s="70"/>
      <c r="C67" s="150"/>
      <c r="D67" s="293" t="s">
        <v>232</v>
      </c>
      <c r="E67" s="66">
        <v>1651130.1</v>
      </c>
      <c r="F67" s="239"/>
      <c r="G67" s="66">
        <v>3.454369269E7</v>
      </c>
      <c r="H67" s="239"/>
      <c r="I67" s="70" t="str">
        <f>+balance!G169</f>
        <v>#REF!</v>
      </c>
      <c r="J67" s="239"/>
      <c r="K67" s="66">
        <v>3.6555321322E7</v>
      </c>
      <c r="L67" s="66"/>
      <c r="M67" s="66">
        <v>2.539405895E7</v>
      </c>
      <c r="N67" s="66"/>
      <c r="O67" s="66">
        <v>1.465203028E7</v>
      </c>
      <c r="P67" s="66"/>
      <c r="Q67" s="66">
        <v>7402700.52</v>
      </c>
      <c r="R67" s="66"/>
      <c r="S67" s="66" t="str">
        <f>+balance!G185</f>
        <v>#REF!</v>
      </c>
      <c r="T67" s="239"/>
      <c r="U67" s="68"/>
      <c r="V67" s="295" t="str">
        <f>I78-(I64+I65+I66+I67+I68)-I63</f>
        <v>#REF!</v>
      </c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</row>
    <row r="68" ht="12.0" customHeight="1">
      <c r="A68" s="70"/>
      <c r="B68" s="70"/>
      <c r="C68" s="150"/>
      <c r="D68" s="293" t="s">
        <v>233</v>
      </c>
      <c r="E68" s="66">
        <v>300000.0</v>
      </c>
      <c r="F68" s="239"/>
      <c r="G68" s="66">
        <v>1715541.55</v>
      </c>
      <c r="H68" s="239"/>
      <c r="I68" s="70" t="str">
        <f>+balance!G156</f>
        <v>#REF!</v>
      </c>
      <c r="J68" s="239"/>
      <c r="K68" s="66">
        <v>1775541.55</v>
      </c>
      <c r="L68" s="66"/>
      <c r="M68" s="66">
        <v>60000.0</v>
      </c>
      <c r="N68" s="66"/>
      <c r="O68" s="66">
        <v>110000.0</v>
      </c>
      <c r="P68" s="66"/>
      <c r="Q68" s="66">
        <v>220000.0</v>
      </c>
      <c r="R68" s="66"/>
      <c r="S68" s="66" t="str">
        <f>+balance!G167</f>
        <v>#REF!</v>
      </c>
      <c r="T68" s="239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</row>
    <row r="69" ht="12.0" customHeight="1">
      <c r="A69" s="70"/>
      <c r="B69" s="70"/>
      <c r="C69" s="150"/>
      <c r="D69" s="293" t="s">
        <v>234</v>
      </c>
      <c r="E69" s="66"/>
      <c r="F69" s="239"/>
      <c r="G69" s="66">
        <v>61107.0</v>
      </c>
      <c r="H69" s="239"/>
      <c r="I69" s="66" t="str">
        <f>balance!G159</f>
        <v>#REF!</v>
      </c>
      <c r="J69" s="239"/>
      <c r="K69" s="66">
        <v>61106.59</v>
      </c>
      <c r="L69" s="66"/>
      <c r="M69" s="66">
        <v>61679.67</v>
      </c>
      <c r="N69" s="66"/>
      <c r="O69" s="66"/>
      <c r="P69" s="66"/>
      <c r="Q69" s="66"/>
      <c r="R69" s="66"/>
      <c r="S69" s="66"/>
      <c r="T69" s="239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</row>
    <row r="70" ht="12.0" customHeight="1">
      <c r="A70" s="70"/>
      <c r="B70" s="70"/>
      <c r="C70" s="150"/>
      <c r="D70" s="293" t="s">
        <v>235</v>
      </c>
      <c r="E70" s="66"/>
      <c r="F70" s="239"/>
      <c r="G70" s="66"/>
      <c r="H70" s="239"/>
      <c r="I70" s="70" t="str">
        <f>+balance!G153</f>
        <v>#REF!</v>
      </c>
      <c r="J70" s="239"/>
      <c r="K70" s="66">
        <v>965340.36</v>
      </c>
      <c r="L70" s="66"/>
      <c r="M70" s="66"/>
      <c r="N70" s="66"/>
      <c r="O70" s="66">
        <v>249269.27</v>
      </c>
      <c r="P70" s="66"/>
      <c r="Q70" s="66">
        <v>2889114.76</v>
      </c>
      <c r="R70" s="66"/>
      <c r="S70" s="66">
        <v>0.0</v>
      </c>
      <c r="T70" s="239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</row>
    <row r="71" ht="12.0" customHeight="1">
      <c r="A71" s="70"/>
      <c r="B71" s="70"/>
      <c r="C71" s="150"/>
      <c r="D71" s="293" t="s">
        <v>236</v>
      </c>
      <c r="E71" s="66"/>
      <c r="F71" s="239"/>
      <c r="G71" s="66">
        <v>2.288E7</v>
      </c>
      <c r="H71" s="239"/>
      <c r="I71" s="70"/>
      <c r="J71" s="239"/>
      <c r="K71" s="66">
        <v>1.144E7</v>
      </c>
      <c r="L71" s="66"/>
      <c r="M71" s="66">
        <v>1.144E7</v>
      </c>
      <c r="N71" s="66"/>
      <c r="O71" s="66">
        <v>1.144E7</v>
      </c>
      <c r="P71" s="66"/>
      <c r="Q71" s="66">
        <v>1.144E7</v>
      </c>
      <c r="R71" s="66"/>
      <c r="S71" s="66">
        <v>1.144E7</v>
      </c>
      <c r="T71" s="239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</row>
    <row r="72" ht="12.0" customHeight="1">
      <c r="A72" s="70"/>
      <c r="B72" s="70"/>
      <c r="C72" s="150"/>
      <c r="D72" s="293" t="s">
        <v>237</v>
      </c>
      <c r="E72" s="66"/>
      <c r="F72" s="239"/>
      <c r="G72" s="66"/>
      <c r="H72" s="239"/>
      <c r="I72" s="70"/>
      <c r="J72" s="239"/>
      <c r="K72" s="66"/>
      <c r="L72" s="66"/>
      <c r="M72" s="66"/>
      <c r="N72" s="66"/>
      <c r="O72" s="66"/>
      <c r="P72" s="66"/>
      <c r="Q72" s="66"/>
      <c r="R72" s="66"/>
      <c r="S72" s="66" t="str">
        <f>+balance!G188</f>
        <v>#REF!</v>
      </c>
      <c r="T72" s="239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</row>
    <row r="73" ht="11.25" customHeight="1">
      <c r="A73" s="68"/>
      <c r="B73" s="68"/>
      <c r="C73" s="150"/>
      <c r="D73" s="293" t="s">
        <v>238</v>
      </c>
      <c r="E73" s="66">
        <f>36437753.04-27832.43</f>
        <v>36409920.61</v>
      </c>
      <c r="F73" s="239"/>
      <c r="G73" s="66">
        <v>3.577170669E7</v>
      </c>
      <c r="H73" s="239"/>
      <c r="I73" s="70" t="str">
        <f>16989461.6099999+34282245.12+balance!E150</f>
        <v>#REF!</v>
      </c>
      <c r="J73" s="239"/>
      <c r="K73" s="66">
        <v>3.801170669E7</v>
      </c>
      <c r="L73" s="66"/>
      <c r="M73" s="66">
        <v>2.7516070669E8</v>
      </c>
      <c r="N73" s="66"/>
      <c r="O73" s="66">
        <v>6.818620771E7</v>
      </c>
      <c r="P73" s="66"/>
      <c r="Q73" s="66">
        <v>1.975170669E7</v>
      </c>
      <c r="R73" s="66"/>
      <c r="S73" s="66" t="str">
        <f>+balance!G163+balance!G174-S71</f>
        <v>#REF!</v>
      </c>
      <c r="T73" s="239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</row>
    <row r="74" ht="12.0" hidden="1" customHeight="1">
      <c r="A74" s="68"/>
      <c r="B74" s="68"/>
      <c r="C74" s="150"/>
      <c r="D74" s="293" t="s">
        <v>239</v>
      </c>
      <c r="E74" s="66">
        <v>118.0</v>
      </c>
      <c r="F74" s="239"/>
      <c r="G74" s="66"/>
      <c r="H74" s="239"/>
      <c r="I74" s="70"/>
      <c r="J74" s="239"/>
      <c r="K74" s="66"/>
      <c r="L74" s="66"/>
      <c r="M74" s="66"/>
      <c r="N74" s="66"/>
      <c r="O74" s="66"/>
      <c r="P74" s="66"/>
      <c r="Q74" s="66"/>
      <c r="R74" s="66"/>
      <c r="S74" s="66"/>
      <c r="T74" s="239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</row>
    <row r="75" ht="10.5" customHeight="1">
      <c r="A75" s="68"/>
      <c r="B75" s="68"/>
      <c r="C75" s="150"/>
      <c r="D75" s="293" t="s">
        <v>240</v>
      </c>
      <c r="E75" s="66">
        <v>1.159936E7</v>
      </c>
      <c r="F75" s="239"/>
      <c r="G75" s="66"/>
      <c r="H75" s="239"/>
      <c r="I75" s="70"/>
      <c r="J75" s="239"/>
      <c r="K75" s="66"/>
      <c r="L75" s="66"/>
      <c r="M75" s="66">
        <v>1500000.0</v>
      </c>
      <c r="N75" s="66"/>
      <c r="O75" s="66"/>
      <c r="P75" s="66"/>
      <c r="Q75" s="66"/>
      <c r="R75" s="66"/>
      <c r="S75" s="66" t="str">
        <f>+balance!G171</f>
        <v>#REF!</v>
      </c>
      <c r="T75" s="239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</row>
    <row r="76" ht="12.0" hidden="1" customHeight="1">
      <c r="A76" s="68"/>
      <c r="B76" s="68"/>
      <c r="C76" s="150"/>
      <c r="D76" s="293" t="s">
        <v>241</v>
      </c>
      <c r="E76" s="66">
        <v>2575526.55</v>
      </c>
      <c r="F76" s="239"/>
      <c r="G76" s="66">
        <v>0.0</v>
      </c>
      <c r="H76" s="239"/>
      <c r="I76" s="70">
        <v>0.0</v>
      </c>
      <c r="J76" s="239"/>
      <c r="K76" s="66">
        <v>0.0</v>
      </c>
      <c r="L76" s="66"/>
      <c r="M76" s="66">
        <v>0.0</v>
      </c>
      <c r="N76" s="66"/>
      <c r="O76" s="66">
        <v>0.0</v>
      </c>
      <c r="P76" s="66"/>
      <c r="Q76" s="66">
        <v>0.0</v>
      </c>
      <c r="R76" s="66"/>
      <c r="S76" s="66">
        <v>0.0</v>
      </c>
      <c r="T76" s="239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</row>
    <row r="77" ht="12.0" customHeight="1">
      <c r="A77" s="68"/>
      <c r="B77" s="68"/>
      <c r="C77" s="150"/>
      <c r="D77" s="293" t="s">
        <v>242</v>
      </c>
      <c r="E77" s="66"/>
      <c r="F77" s="239"/>
      <c r="G77" s="66">
        <v>2.920669635E7</v>
      </c>
      <c r="H77" s="239"/>
      <c r="I77" s="70" t="str">
        <f>+balance!G158</f>
        <v>#REF!</v>
      </c>
      <c r="J77" s="239"/>
      <c r="K77" s="66"/>
      <c r="L77" s="66"/>
      <c r="M77" s="66">
        <v>2.989098082E7</v>
      </c>
      <c r="N77" s="66"/>
      <c r="O77" s="66">
        <v>6.22029711780822E7</v>
      </c>
      <c r="P77" s="66"/>
      <c r="Q77" s="66">
        <v>1.227274521E7</v>
      </c>
      <c r="R77" s="66"/>
      <c r="S77" s="66" t="str">
        <f>+balance!G169</f>
        <v>#REF!</v>
      </c>
      <c r="T77" s="239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</row>
    <row r="78" ht="15.75" customHeight="1">
      <c r="A78" s="136"/>
      <c r="B78" s="136"/>
      <c r="C78" s="247"/>
      <c r="D78" s="296" t="s">
        <v>243</v>
      </c>
      <c r="E78" s="159">
        <f>SUM(E62:E76)</f>
        <v>181624657.3</v>
      </c>
      <c r="F78" s="280"/>
      <c r="G78" s="297">
        <f t="shared" ref="G78:T78" si="11">SUM(G62:G77)</f>
        <v>752555209.9</v>
      </c>
      <c r="H78" s="298">
        <f t="shared" si="11"/>
        <v>0</v>
      </c>
      <c r="I78" s="298" t="str">
        <f t="shared" si="11"/>
        <v>#REF!</v>
      </c>
      <c r="J78" s="298">
        <f t="shared" si="11"/>
        <v>0</v>
      </c>
      <c r="K78" s="298">
        <f t="shared" si="11"/>
        <v>396189286.5</v>
      </c>
      <c r="L78" s="298">
        <f t="shared" si="11"/>
        <v>0</v>
      </c>
      <c r="M78" s="298">
        <f t="shared" si="11"/>
        <v>530839420.6</v>
      </c>
      <c r="N78" s="298">
        <f t="shared" si="11"/>
        <v>0</v>
      </c>
      <c r="O78" s="298">
        <f t="shared" si="11"/>
        <v>301433087.3</v>
      </c>
      <c r="P78" s="298">
        <f t="shared" si="11"/>
        <v>0</v>
      </c>
      <c r="Q78" s="297">
        <f t="shared" si="11"/>
        <v>200472864</v>
      </c>
      <c r="R78" s="297">
        <f t="shared" si="11"/>
        <v>0</v>
      </c>
      <c r="S78" s="297" t="str">
        <f t="shared" si="11"/>
        <v>#REF!</v>
      </c>
      <c r="T78" s="298">
        <f t="shared" si="11"/>
        <v>0</v>
      </c>
      <c r="U78" s="70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</row>
    <row r="79" ht="12.0" hidden="1" customHeight="1">
      <c r="A79" s="68"/>
      <c r="B79" s="68"/>
      <c r="C79" s="285"/>
      <c r="D79" s="293" t="s">
        <v>244</v>
      </c>
      <c r="E79" s="66">
        <v>-2.111342498E7</v>
      </c>
      <c r="F79" s="239"/>
      <c r="G79" s="66"/>
      <c r="H79" s="239"/>
      <c r="I79" s="70"/>
      <c r="J79" s="239"/>
      <c r="K79" s="66"/>
      <c r="L79" s="66"/>
      <c r="M79" s="66"/>
      <c r="N79" s="66"/>
      <c r="O79" s="66"/>
      <c r="P79" s="66"/>
      <c r="Q79" s="66"/>
      <c r="R79" s="66"/>
      <c r="S79" s="66"/>
      <c r="T79" s="239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</row>
    <row r="80" ht="12.0" hidden="1" customHeight="1">
      <c r="A80" s="68"/>
      <c r="B80" s="68"/>
      <c r="C80" s="150"/>
      <c r="D80" s="293" t="s">
        <v>245</v>
      </c>
      <c r="E80" s="70">
        <v>3.500006983E8</v>
      </c>
      <c r="F80" s="299"/>
      <c r="G80" s="300"/>
      <c r="H80" s="299"/>
      <c r="I80" s="70"/>
      <c r="J80" s="239"/>
      <c r="K80" s="66"/>
      <c r="L80" s="66"/>
      <c r="M80" s="66"/>
      <c r="N80" s="66"/>
      <c r="O80" s="66"/>
      <c r="P80" s="66"/>
      <c r="Q80" s="66"/>
      <c r="R80" s="66"/>
      <c r="S80" s="300"/>
      <c r="T80" s="299"/>
      <c r="U80" s="70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</row>
    <row r="81" ht="12.0" hidden="1" customHeight="1">
      <c r="A81" s="68"/>
      <c r="B81" s="68"/>
      <c r="C81" s="150"/>
      <c r="D81" s="293" t="s">
        <v>246</v>
      </c>
      <c r="E81" s="70">
        <v>1.769778788E8</v>
      </c>
      <c r="F81" s="299"/>
      <c r="G81" s="300"/>
      <c r="H81" s="299"/>
      <c r="I81" s="70"/>
      <c r="J81" s="239"/>
      <c r="K81" s="66"/>
      <c r="L81" s="66"/>
      <c r="M81" s="66"/>
      <c r="N81" s="66"/>
      <c r="O81" s="66"/>
      <c r="P81" s="66"/>
      <c r="Q81" s="66"/>
      <c r="R81" s="66"/>
      <c r="S81" s="300"/>
      <c r="T81" s="299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</row>
    <row r="82" ht="12.0" customHeight="1">
      <c r="A82" s="68"/>
      <c r="B82" s="68"/>
      <c r="C82" s="150"/>
      <c r="D82" s="293" t="s">
        <v>247</v>
      </c>
      <c r="E82" s="70"/>
      <c r="F82" s="299"/>
      <c r="G82" s="300"/>
      <c r="H82" s="299"/>
      <c r="I82" s="70" t="str">
        <f>+balance!G171</f>
        <v>#REF!</v>
      </c>
      <c r="J82" s="239"/>
      <c r="K82" s="66">
        <v>9.52999999E8</v>
      </c>
      <c r="L82" s="66"/>
      <c r="M82" s="66">
        <v>2.141999999E9</v>
      </c>
      <c r="N82" s="66"/>
      <c r="O82" s="66">
        <v>2.120999999E9</v>
      </c>
      <c r="P82" s="66"/>
      <c r="Q82" s="66">
        <v>1.977999999E9</v>
      </c>
      <c r="R82" s="66"/>
      <c r="S82" s="66" t="str">
        <f>+balance!G187</f>
        <v>#REF!</v>
      </c>
      <c r="T82" s="299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</row>
    <row r="83" ht="12.0" customHeight="1">
      <c r="A83" s="68"/>
      <c r="B83" s="68"/>
      <c r="C83" s="150"/>
      <c r="D83" s="293" t="s">
        <v>248</v>
      </c>
      <c r="E83" s="70"/>
      <c r="F83" s="299"/>
      <c r="G83" s="66">
        <v>7.1233470233E8</v>
      </c>
      <c r="H83" s="299"/>
      <c r="I83" s="70" t="str">
        <f>balance!G161</f>
        <v>#REF!</v>
      </c>
      <c r="J83" s="239"/>
      <c r="K83" s="66">
        <v>1.750834192E8</v>
      </c>
      <c r="L83" s="66"/>
      <c r="M83" s="66">
        <v>0.0</v>
      </c>
      <c r="N83" s="66"/>
      <c r="O83" s="66">
        <v>0.0</v>
      </c>
      <c r="P83" s="66"/>
      <c r="Q83" s="66">
        <v>0.0</v>
      </c>
      <c r="R83" s="66"/>
      <c r="S83" s="66">
        <v>0.0</v>
      </c>
      <c r="T83" s="299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</row>
    <row r="84" ht="12.0" customHeight="1">
      <c r="A84" s="68"/>
      <c r="B84" s="68"/>
      <c r="C84" s="150"/>
      <c r="D84" s="293" t="s">
        <v>196</v>
      </c>
      <c r="E84" s="70"/>
      <c r="F84" s="299"/>
      <c r="G84" s="66">
        <v>9.9E7</v>
      </c>
      <c r="H84" s="299"/>
      <c r="I84" s="70">
        <v>9.9E7</v>
      </c>
      <c r="J84" s="239"/>
      <c r="K84" s="66">
        <v>9.9E7</v>
      </c>
      <c r="L84" s="66"/>
      <c r="M84" s="66">
        <v>9.9E7</v>
      </c>
      <c r="N84" s="66"/>
      <c r="O84" s="66">
        <v>9.9E7</v>
      </c>
      <c r="P84" s="66"/>
      <c r="Q84" s="66">
        <v>9.9E7</v>
      </c>
      <c r="R84" s="66"/>
      <c r="S84" s="66">
        <v>0.0</v>
      </c>
      <c r="T84" s="299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</row>
    <row r="85" ht="12.0" customHeight="1">
      <c r="A85" s="68"/>
      <c r="B85" s="68"/>
      <c r="C85" s="150"/>
      <c r="D85" s="293" t="s">
        <v>227</v>
      </c>
      <c r="E85" s="70"/>
      <c r="F85" s="299"/>
      <c r="G85" s="66">
        <v>3.0E7</v>
      </c>
      <c r="H85" s="299"/>
      <c r="I85" s="70">
        <v>3.0E7</v>
      </c>
      <c r="J85" s="239"/>
      <c r="K85" s="66">
        <v>3.0E7</v>
      </c>
      <c r="L85" s="66"/>
      <c r="M85" s="66">
        <v>2.1918105E7</v>
      </c>
      <c r="N85" s="66"/>
      <c r="O85" s="66">
        <v>2.1918105E7</v>
      </c>
      <c r="P85" s="66"/>
      <c r="Q85" s="66">
        <v>2.1918105E7</v>
      </c>
      <c r="R85" s="66"/>
      <c r="S85" s="66" t="str">
        <f>+balance!G173</f>
        <v>#REF!</v>
      </c>
      <c r="T85" s="299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</row>
    <row r="86" ht="12.0" customHeight="1">
      <c r="A86" s="68"/>
      <c r="B86" s="68"/>
      <c r="C86" s="247"/>
      <c r="D86" s="267" t="s">
        <v>249</v>
      </c>
      <c r="E86" s="301">
        <f>SUM(E79:E85)</f>
        <v>505865152.1</v>
      </c>
      <c r="F86" s="239"/>
      <c r="G86" s="118">
        <f>SUM(G79:G85)</f>
        <v>841334702.3</v>
      </c>
      <c r="H86" s="239"/>
      <c r="I86" s="302" t="str">
        <f t="shared" ref="I86:K86" si="12">SUM(I79:I85)</f>
        <v>#REF!</v>
      </c>
      <c r="J86" s="303">
        <f t="shared" si="12"/>
        <v>0</v>
      </c>
      <c r="K86" s="303">
        <f t="shared" si="12"/>
        <v>1257083418</v>
      </c>
      <c r="L86" s="66"/>
      <c r="M86" s="303">
        <f t="shared" ref="M86:T86" si="13">SUM(M79:M85)</f>
        <v>2262918104</v>
      </c>
      <c r="N86" s="304">
        <f t="shared" si="13"/>
        <v>0</v>
      </c>
      <c r="O86" s="304">
        <f t="shared" si="13"/>
        <v>2241918104</v>
      </c>
      <c r="P86" s="304">
        <f t="shared" si="13"/>
        <v>0</v>
      </c>
      <c r="Q86" s="304">
        <f t="shared" si="13"/>
        <v>2098918104</v>
      </c>
      <c r="R86" s="304">
        <f t="shared" si="13"/>
        <v>0</v>
      </c>
      <c r="S86" s="304" t="str">
        <f t="shared" si="13"/>
        <v>#REF!</v>
      </c>
      <c r="T86" s="305">
        <f t="shared" si="13"/>
        <v>0</v>
      </c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</row>
    <row r="87" ht="12.0" customHeight="1">
      <c r="A87" s="224"/>
      <c r="B87" s="224"/>
      <c r="C87" s="157" t="s">
        <v>135</v>
      </c>
      <c r="D87" s="158"/>
      <c r="E87" s="159">
        <f>+E86+E78</f>
        <v>687489809.4</v>
      </c>
      <c r="F87" s="306"/>
      <c r="G87" s="297">
        <f t="shared" ref="G87:T87" si="14">+G86+G78</f>
        <v>1593889912</v>
      </c>
      <c r="H87" s="298">
        <f t="shared" si="14"/>
        <v>0</v>
      </c>
      <c r="I87" s="298" t="str">
        <f t="shared" si="14"/>
        <v>#REF!</v>
      </c>
      <c r="J87" s="298">
        <f t="shared" si="14"/>
        <v>0</v>
      </c>
      <c r="K87" s="298">
        <f t="shared" si="14"/>
        <v>1653272705</v>
      </c>
      <c r="L87" s="298">
        <f t="shared" si="14"/>
        <v>0</v>
      </c>
      <c r="M87" s="298">
        <f t="shared" si="14"/>
        <v>2793757525</v>
      </c>
      <c r="N87" s="298">
        <f t="shared" si="14"/>
        <v>0</v>
      </c>
      <c r="O87" s="298">
        <f t="shared" si="14"/>
        <v>2543351191</v>
      </c>
      <c r="P87" s="298">
        <f t="shared" si="14"/>
        <v>0</v>
      </c>
      <c r="Q87" s="297">
        <f t="shared" si="14"/>
        <v>2299390968</v>
      </c>
      <c r="R87" s="297">
        <f t="shared" si="14"/>
        <v>0</v>
      </c>
      <c r="S87" s="297" t="str">
        <f t="shared" si="14"/>
        <v>#REF!</v>
      </c>
      <c r="T87" s="298">
        <f t="shared" si="14"/>
        <v>0</v>
      </c>
      <c r="U87" s="136"/>
      <c r="V87" s="136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136"/>
      <c r="AM87" s="224"/>
      <c r="AN87" s="224"/>
      <c r="AO87" s="224"/>
    </row>
    <row r="88" ht="12.0" customHeight="1">
      <c r="A88" s="68"/>
      <c r="B88" s="68"/>
      <c r="C88" s="68"/>
      <c r="D88" s="68"/>
      <c r="E88" s="66"/>
      <c r="F88" s="66"/>
      <c r="G88" s="66"/>
      <c r="H88" s="66"/>
      <c r="I88" s="70"/>
      <c r="J88" s="66"/>
      <c r="K88" s="66"/>
      <c r="L88" s="66"/>
      <c r="M88" s="66"/>
      <c r="N88" s="66"/>
      <c r="O88" s="66"/>
      <c r="P88" s="66"/>
      <c r="Q88" s="66"/>
      <c r="R88" s="66"/>
      <c r="S88" s="66" t="str">
        <f>+S87-balance!G184-balance!G186-balance!G189+balance!E48</f>
        <v>#REF!</v>
      </c>
      <c r="T88" s="66"/>
      <c r="U88" s="70"/>
      <c r="V88" s="68"/>
      <c r="W88" s="70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307"/>
      <c r="AI88" s="307"/>
      <c r="AJ88" s="307"/>
      <c r="AK88" s="307"/>
      <c r="AL88" s="307"/>
      <c r="AM88" s="66"/>
      <c r="AN88" s="70"/>
      <c r="AO88" s="68"/>
    </row>
    <row r="89" ht="12.0" customHeight="1">
      <c r="A89" s="68"/>
      <c r="B89" s="68"/>
      <c r="C89" s="68"/>
      <c r="D89" s="68"/>
      <c r="E89" s="66"/>
      <c r="F89" s="66"/>
      <c r="G89" s="66"/>
      <c r="H89" s="66"/>
      <c r="I89" s="70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70"/>
      <c r="V89" s="68"/>
      <c r="W89" s="70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307"/>
      <c r="AI89" s="307"/>
      <c r="AJ89" s="307"/>
      <c r="AK89" s="307"/>
      <c r="AL89" s="307"/>
      <c r="AM89" s="66"/>
      <c r="AN89" s="70"/>
      <c r="AO89" s="68"/>
    </row>
    <row r="90" ht="12.0" customHeight="1">
      <c r="A90" s="68"/>
      <c r="B90" s="68"/>
      <c r="C90" s="68"/>
      <c r="D90" s="308" t="s">
        <v>250</v>
      </c>
      <c r="E90" s="309" t="s">
        <v>4</v>
      </c>
      <c r="F90" s="309"/>
      <c r="G90" s="310" t="s">
        <v>12</v>
      </c>
      <c r="H90" s="310" t="s">
        <v>13</v>
      </c>
      <c r="I90" s="311" t="s">
        <v>14</v>
      </c>
      <c r="J90" s="311" t="s">
        <v>138</v>
      </c>
      <c r="K90" s="312"/>
      <c r="L90" s="313" t="s">
        <v>16</v>
      </c>
      <c r="M90" s="313" t="s">
        <v>17</v>
      </c>
      <c r="N90" s="312"/>
      <c r="O90" s="313" t="s">
        <v>251</v>
      </c>
      <c r="P90" s="313"/>
      <c r="Q90" s="313" t="s">
        <v>251</v>
      </c>
      <c r="R90" s="313" t="s">
        <v>252</v>
      </c>
      <c r="S90" s="312"/>
      <c r="T90" s="66"/>
      <c r="U90" s="66"/>
      <c r="V90" s="66"/>
      <c r="W90" s="66"/>
      <c r="X90" s="70"/>
      <c r="Y90" s="66"/>
      <c r="Z90" s="66"/>
      <c r="AA90" s="68"/>
      <c r="AB90" s="68"/>
      <c r="AC90" s="68"/>
      <c r="AD90" s="68"/>
      <c r="AE90" s="70"/>
      <c r="AF90" s="68"/>
      <c r="AG90" s="68"/>
      <c r="AH90" s="68"/>
      <c r="AI90" s="68"/>
      <c r="AJ90" s="68"/>
      <c r="AK90" s="68"/>
      <c r="AL90" s="68"/>
      <c r="AM90" s="68"/>
      <c r="AN90" s="68"/>
      <c r="AO90" s="68"/>
    </row>
    <row r="91" ht="12.0" customHeight="1">
      <c r="A91" s="68"/>
      <c r="B91" s="68"/>
      <c r="C91" s="68"/>
      <c r="D91" s="314"/>
      <c r="E91" s="160">
        <f>SUM(E92:E115)</f>
        <v>67737341.17</v>
      </c>
      <c r="F91" s="160"/>
      <c r="G91" s="298">
        <f>SUM(G92:G115)</f>
        <v>27235282.41</v>
      </c>
      <c r="H91" s="298">
        <f>I9</f>
        <v>62245394.31</v>
      </c>
      <c r="I91" s="298">
        <f t="shared" ref="I91:J91" si="15">SUM(I92:I115)</f>
        <v>77169947.11</v>
      </c>
      <c r="J91" s="298" t="str">
        <f t="shared" si="15"/>
        <v>#REF!</v>
      </c>
      <c r="K91" s="136"/>
      <c r="L91" s="281">
        <f t="shared" ref="L91:M91" si="16">SUM(L92:L115)</f>
        <v>69227491.4</v>
      </c>
      <c r="M91" s="281">
        <f t="shared" si="16"/>
        <v>69227491.4</v>
      </c>
      <c r="N91" s="136"/>
      <c r="O91" s="281" t="str">
        <f t="shared" ref="O91:R91" si="17">SUM(O92:O115)</f>
        <v>#REF!</v>
      </c>
      <c r="P91" s="281">
        <f t="shared" si="17"/>
        <v>0</v>
      </c>
      <c r="Q91" s="281">
        <f t="shared" si="17"/>
        <v>130529575.8</v>
      </c>
      <c r="R91" s="281">
        <f t="shared" si="17"/>
        <v>22952773.31</v>
      </c>
      <c r="S91" s="136"/>
      <c r="T91" s="66"/>
      <c r="U91" s="66"/>
      <c r="V91" s="66"/>
      <c r="W91" s="66"/>
      <c r="X91" s="70"/>
      <c r="Y91" s="66"/>
      <c r="Z91" s="66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</row>
    <row r="92" ht="12.0" customHeight="1">
      <c r="A92" s="68"/>
      <c r="B92" s="68"/>
      <c r="C92" s="68"/>
      <c r="D92" s="315" t="s">
        <v>253</v>
      </c>
      <c r="E92" s="153">
        <v>5028685.7</v>
      </c>
      <c r="F92" s="153"/>
      <c r="G92" s="243">
        <v>5028685.7</v>
      </c>
      <c r="H92" s="243">
        <v>5028685.7</v>
      </c>
      <c r="I92" s="243">
        <v>5028685.7</v>
      </c>
      <c r="J92" s="243">
        <v>5028685.7</v>
      </c>
      <c r="K92" s="70"/>
      <c r="L92" s="70">
        <v>5028685.7</v>
      </c>
      <c r="M92" s="70">
        <v>5028685.7</v>
      </c>
      <c r="N92" s="70"/>
      <c r="O92" s="70">
        <v>5028685.7</v>
      </c>
      <c r="P92" s="70"/>
      <c r="Q92" s="70">
        <v>5028685.7</v>
      </c>
      <c r="R92" s="70">
        <v>5028685.7</v>
      </c>
      <c r="S92" s="70"/>
      <c r="T92" s="66"/>
      <c r="U92" s="66"/>
      <c r="V92" s="66"/>
      <c r="W92" s="66"/>
      <c r="X92" s="70"/>
      <c r="Y92" s="66"/>
      <c r="Z92" s="66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</row>
    <row r="93" ht="12.0" customHeight="1">
      <c r="A93" s="68"/>
      <c r="B93" s="68"/>
      <c r="C93" s="68"/>
      <c r="D93" s="315" t="s">
        <v>254</v>
      </c>
      <c r="E93" s="153">
        <v>3.020402621E7</v>
      </c>
      <c r="F93" s="153"/>
      <c r="G93" s="243">
        <f>1477900+3200000</f>
        <v>4677900</v>
      </c>
      <c r="H93" s="243">
        <v>4.160048426999994E7</v>
      </c>
      <c r="I93" s="243">
        <v>5.652503707E7</v>
      </c>
      <c r="J93" s="243">
        <v>5.506619067E7</v>
      </c>
      <c r="K93" s="70"/>
      <c r="L93" s="70">
        <v>4.889124452E7</v>
      </c>
      <c r="M93" s="70">
        <v>4.889124452E7</v>
      </c>
      <c r="N93" s="70"/>
      <c r="O93" s="70">
        <v>1.0886982194E8</v>
      </c>
      <c r="P93" s="70"/>
      <c r="Q93" s="70">
        <v>1.0886982194E8</v>
      </c>
      <c r="R93" s="70">
        <v>0.0</v>
      </c>
      <c r="S93" s="70"/>
      <c r="T93" s="66"/>
      <c r="U93" s="66"/>
      <c r="V93" s="66"/>
      <c r="W93" s="66"/>
      <c r="X93" s="70"/>
      <c r="Y93" s="66"/>
      <c r="Z93" s="66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</row>
    <row r="94" ht="12.0" customHeight="1">
      <c r="A94" s="68"/>
      <c r="B94" s="68"/>
      <c r="C94" s="68"/>
      <c r="D94" s="315" t="s">
        <v>255</v>
      </c>
      <c r="E94" s="153">
        <v>450013.17</v>
      </c>
      <c r="F94" s="153"/>
      <c r="G94" s="243">
        <v>450013.17</v>
      </c>
      <c r="H94" s="243">
        <v>450013.17</v>
      </c>
      <c r="I94" s="243">
        <v>450013.17</v>
      </c>
      <c r="J94" s="243">
        <v>450013.17</v>
      </c>
      <c r="K94" s="70"/>
      <c r="L94" s="70">
        <v>450013.17</v>
      </c>
      <c r="M94" s="70">
        <v>450013.17</v>
      </c>
      <c r="N94" s="70"/>
      <c r="O94" s="70">
        <v>450013.17</v>
      </c>
      <c r="P94" s="70"/>
      <c r="Q94" s="70">
        <v>450013.17</v>
      </c>
      <c r="R94" s="70">
        <v>450013.17</v>
      </c>
      <c r="S94" s="70"/>
      <c r="T94" s="66"/>
      <c r="U94" s="66"/>
      <c r="V94" s="66"/>
      <c r="W94" s="66"/>
      <c r="X94" s="70"/>
      <c r="Y94" s="66"/>
      <c r="Z94" s="66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</row>
    <row r="95" ht="12.0" customHeight="1">
      <c r="A95" s="68"/>
      <c r="B95" s="68"/>
      <c r="C95" s="68"/>
      <c r="D95" s="315" t="s">
        <v>256</v>
      </c>
      <c r="E95" s="153">
        <v>391562.33</v>
      </c>
      <c r="F95" s="153"/>
      <c r="G95" s="243">
        <v>391562.33</v>
      </c>
      <c r="H95" s="243">
        <v>391562.33</v>
      </c>
      <c r="I95" s="243">
        <v>391562.33</v>
      </c>
      <c r="J95" s="243">
        <v>391562.33</v>
      </c>
      <c r="K95" s="70"/>
      <c r="L95" s="70">
        <v>391562.33</v>
      </c>
      <c r="M95" s="70">
        <v>391562.33</v>
      </c>
      <c r="N95" s="70"/>
      <c r="O95" s="70">
        <v>391562.33</v>
      </c>
      <c r="P95" s="70"/>
      <c r="Q95" s="70">
        <v>391562.33</v>
      </c>
      <c r="R95" s="70">
        <v>391562.33</v>
      </c>
      <c r="S95" s="70"/>
      <c r="T95" s="66"/>
      <c r="U95" s="66"/>
      <c r="V95" s="66"/>
      <c r="W95" s="66"/>
      <c r="X95" s="70"/>
      <c r="Y95" s="66"/>
      <c r="Z95" s="66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</row>
    <row r="96" ht="12.0" customHeight="1">
      <c r="A96" s="68"/>
      <c r="B96" s="68"/>
      <c r="C96" s="68"/>
      <c r="D96" s="315" t="s">
        <v>257</v>
      </c>
      <c r="E96" s="153">
        <v>100000.0</v>
      </c>
      <c r="F96" s="153"/>
      <c r="G96" s="243">
        <v>1065778.0</v>
      </c>
      <c r="H96" s="243">
        <v>1065778.0</v>
      </c>
      <c r="I96" s="243">
        <v>1065778.0</v>
      </c>
      <c r="J96" s="243">
        <v>1065778.0</v>
      </c>
      <c r="K96" s="70"/>
      <c r="L96" s="70">
        <v>1065778.0</v>
      </c>
      <c r="M96" s="70">
        <v>1065778.0</v>
      </c>
      <c r="N96" s="70"/>
      <c r="O96" s="70">
        <v>1065778.0</v>
      </c>
      <c r="P96" s="70"/>
      <c r="Q96" s="70">
        <v>1065778.0</v>
      </c>
      <c r="R96" s="70">
        <v>1065778.0</v>
      </c>
      <c r="S96" s="70"/>
      <c r="T96" s="66"/>
      <c r="U96" s="66"/>
      <c r="V96" s="66"/>
      <c r="W96" s="66"/>
      <c r="X96" s="70"/>
      <c r="Y96" s="66"/>
      <c r="Z96" s="66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</row>
    <row r="97" ht="12.0" customHeight="1">
      <c r="A97" s="68"/>
      <c r="B97" s="68"/>
      <c r="C97" s="68"/>
      <c r="D97" s="315" t="s">
        <v>258</v>
      </c>
      <c r="E97" s="153"/>
      <c r="F97" s="153"/>
      <c r="G97" s="243"/>
      <c r="H97" s="243">
        <v>500000.0</v>
      </c>
      <c r="I97" s="243">
        <v>500000.0</v>
      </c>
      <c r="J97" s="243">
        <v>500000.0</v>
      </c>
      <c r="K97" s="70"/>
      <c r="L97" s="70">
        <v>500000.0</v>
      </c>
      <c r="M97" s="70">
        <v>500000.0</v>
      </c>
      <c r="N97" s="70"/>
      <c r="O97" s="70">
        <v>500000.0</v>
      </c>
      <c r="P97" s="70"/>
      <c r="Q97" s="70">
        <v>500000.0</v>
      </c>
      <c r="R97" s="70">
        <v>500000.0</v>
      </c>
      <c r="S97" s="70"/>
      <c r="T97" s="66"/>
      <c r="U97" s="66"/>
      <c r="V97" s="66"/>
      <c r="W97" s="66"/>
      <c r="X97" s="70"/>
      <c r="Y97" s="66"/>
      <c r="Z97" s="66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</row>
    <row r="98" ht="12.0" hidden="1" customHeight="1">
      <c r="A98" s="68"/>
      <c r="B98" s="68"/>
      <c r="C98" s="68"/>
      <c r="D98" s="315" t="s">
        <v>259</v>
      </c>
      <c r="E98" s="153">
        <v>25633.8</v>
      </c>
      <c r="F98" s="153"/>
      <c r="G98" s="243">
        <v>0.0</v>
      </c>
      <c r="H98" s="243">
        <v>0.0</v>
      </c>
      <c r="I98" s="243">
        <v>0.0</v>
      </c>
      <c r="J98" s="243">
        <v>0.0</v>
      </c>
      <c r="K98" s="70"/>
      <c r="L98" s="70">
        <v>0.0</v>
      </c>
      <c r="M98" s="70">
        <v>0.0</v>
      </c>
      <c r="N98" s="70"/>
      <c r="O98" s="70">
        <v>0.0</v>
      </c>
      <c r="P98" s="70"/>
      <c r="Q98" s="70">
        <v>0.0</v>
      </c>
      <c r="R98" s="70">
        <v>0.0</v>
      </c>
      <c r="S98" s="70"/>
      <c r="T98" s="68"/>
      <c r="U98" s="66"/>
      <c r="V98" s="68"/>
      <c r="W98" s="66"/>
      <c r="X98" s="70"/>
      <c r="Y98" s="66"/>
      <c r="Z98" s="66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</row>
    <row r="99" ht="12.0" customHeight="1">
      <c r="A99" s="68"/>
      <c r="B99" s="68"/>
      <c r="C99" s="68"/>
      <c r="D99" s="315" t="s">
        <v>260</v>
      </c>
      <c r="E99" s="153">
        <v>173232.66</v>
      </c>
      <c r="F99" s="153"/>
      <c r="G99" s="243">
        <v>173232.66</v>
      </c>
      <c r="H99" s="243">
        <v>173232.66</v>
      </c>
      <c r="I99" s="243">
        <v>173232.66</v>
      </c>
      <c r="J99" s="243">
        <v>173232.66</v>
      </c>
      <c r="K99" s="70"/>
      <c r="L99" s="70">
        <v>173232.66</v>
      </c>
      <c r="M99" s="70">
        <v>173232.66</v>
      </c>
      <c r="N99" s="70"/>
      <c r="O99" s="70">
        <v>173232.66</v>
      </c>
      <c r="P99" s="70"/>
      <c r="Q99" s="70">
        <v>173232.66</v>
      </c>
      <c r="R99" s="70">
        <v>173232.66</v>
      </c>
      <c r="S99" s="70"/>
      <c r="T99" s="68"/>
      <c r="U99" s="66"/>
      <c r="V99" s="68"/>
      <c r="W99" s="66"/>
      <c r="X99" s="70"/>
      <c r="Y99" s="66"/>
      <c r="Z99" s="66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</row>
    <row r="100" ht="12.0" hidden="1" customHeight="1">
      <c r="A100" s="68"/>
      <c r="B100" s="68"/>
      <c r="C100" s="68"/>
      <c r="D100" s="315" t="s">
        <v>261</v>
      </c>
      <c r="E100" s="153"/>
      <c r="F100" s="153"/>
      <c r="G100" s="243">
        <f>85278.94-55786.62</f>
        <v>29492.32</v>
      </c>
      <c r="H100" s="243"/>
      <c r="I100" s="243"/>
      <c r="J100" s="243"/>
      <c r="K100" s="70"/>
      <c r="L100" s="70"/>
      <c r="M100" s="70"/>
      <c r="N100" s="70"/>
      <c r="O100" s="70"/>
      <c r="P100" s="70"/>
      <c r="Q100" s="70"/>
      <c r="R100" s="70"/>
      <c r="S100" s="70"/>
      <c r="T100" s="68"/>
      <c r="U100" s="66"/>
      <c r="V100" s="68"/>
      <c r="W100" s="66"/>
      <c r="X100" s="70"/>
      <c r="Y100" s="66"/>
      <c r="Z100" s="66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</row>
    <row r="101" ht="12.0" customHeight="1">
      <c r="A101" s="68"/>
      <c r="B101" s="68"/>
      <c r="C101" s="68"/>
      <c r="D101" s="315" t="s">
        <v>262</v>
      </c>
      <c r="E101" s="153">
        <v>105532.34</v>
      </c>
      <c r="F101" s="153"/>
      <c r="G101" s="243">
        <f>3305532.54-3200000</f>
        <v>105532.54</v>
      </c>
      <c r="H101" s="243">
        <v>105532.54000000004</v>
      </c>
      <c r="I101" s="243">
        <v>105532.54000000004</v>
      </c>
      <c r="J101" s="243">
        <v>105532.54000000004</v>
      </c>
      <c r="K101" s="70"/>
      <c r="L101" s="70">
        <v>105532.54000000004</v>
      </c>
      <c r="M101" s="70">
        <v>105532.54000000004</v>
      </c>
      <c r="N101" s="70"/>
      <c r="O101" s="70">
        <v>105532.54000000004</v>
      </c>
      <c r="P101" s="70"/>
      <c r="Q101" s="70">
        <v>105532.54000000004</v>
      </c>
      <c r="R101" s="70">
        <v>105532.54000000004</v>
      </c>
      <c r="S101" s="70"/>
      <c r="T101" s="68"/>
      <c r="U101" s="66"/>
      <c r="V101" s="68"/>
      <c r="W101" s="66"/>
      <c r="X101" s="70"/>
      <c r="Y101" s="66"/>
      <c r="Z101" s="66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</row>
    <row r="102" ht="12.0" customHeight="1">
      <c r="A102" s="68"/>
      <c r="B102" s="68"/>
      <c r="C102" s="68"/>
      <c r="D102" s="315" t="s">
        <v>263</v>
      </c>
      <c r="E102" s="153"/>
      <c r="F102" s="153"/>
      <c r="G102" s="243">
        <v>170850.0</v>
      </c>
      <c r="H102" s="243">
        <v>170850.0</v>
      </c>
      <c r="I102" s="243">
        <v>170850.0</v>
      </c>
      <c r="J102" s="243">
        <v>170850.0</v>
      </c>
      <c r="K102" s="70"/>
      <c r="L102" s="70">
        <v>170850.0</v>
      </c>
      <c r="M102" s="70">
        <v>170850.0</v>
      </c>
      <c r="N102" s="70"/>
      <c r="O102" s="70">
        <v>170850.0</v>
      </c>
      <c r="P102" s="70"/>
      <c r="Q102" s="70">
        <v>170850.0</v>
      </c>
      <c r="R102" s="70">
        <v>170850.0</v>
      </c>
      <c r="S102" s="70"/>
      <c r="T102" s="68"/>
      <c r="U102" s="66"/>
      <c r="V102" s="68"/>
      <c r="W102" s="66"/>
      <c r="X102" s="70"/>
      <c r="Y102" s="66"/>
      <c r="Z102" s="66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</row>
    <row r="103" ht="12.0" customHeight="1">
      <c r="A103" s="68"/>
      <c r="B103" s="68"/>
      <c r="C103" s="68"/>
      <c r="D103" s="315" t="s">
        <v>264</v>
      </c>
      <c r="E103" s="153"/>
      <c r="F103" s="153"/>
      <c r="G103" s="243">
        <v>1.3180994E7</v>
      </c>
      <c r="H103" s="243">
        <v>1.0692674E7</v>
      </c>
      <c r="I103" s="243">
        <v>1.0692674E7</v>
      </c>
      <c r="J103" s="243">
        <v>1.0692674E7</v>
      </c>
      <c r="K103" s="70"/>
      <c r="L103" s="70">
        <v>1.0692674E7</v>
      </c>
      <c r="M103" s="70">
        <v>1.0692674E7</v>
      </c>
      <c r="N103" s="70"/>
      <c r="O103" s="70">
        <v>1.0692674E7</v>
      </c>
      <c r="P103" s="70"/>
      <c r="Q103" s="70">
        <v>1.0692674E7</v>
      </c>
      <c r="R103" s="70">
        <v>1.0692674E7</v>
      </c>
      <c r="S103" s="70"/>
      <c r="T103" s="68"/>
      <c r="U103" s="66"/>
      <c r="V103" s="68"/>
      <c r="W103" s="66"/>
      <c r="X103" s="70"/>
      <c r="Y103" s="66"/>
      <c r="Z103" s="66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</row>
    <row r="104" ht="12.0" customHeight="1">
      <c r="A104" s="68"/>
      <c r="B104" s="68"/>
      <c r="C104" s="68"/>
      <c r="D104" s="315" t="s">
        <v>265</v>
      </c>
      <c r="E104" s="153">
        <v>278765.2</v>
      </c>
      <c r="F104" s="153"/>
      <c r="G104" s="243">
        <v>278765.2</v>
      </c>
      <c r="H104" s="243">
        <v>278765.2</v>
      </c>
      <c r="I104" s="243">
        <v>278765.2</v>
      </c>
      <c r="J104" s="243">
        <v>278765.2</v>
      </c>
      <c r="K104" s="70"/>
      <c r="L104" s="70">
        <v>278765.2</v>
      </c>
      <c r="M104" s="70">
        <v>278765.2</v>
      </c>
      <c r="N104" s="70"/>
      <c r="O104" s="70">
        <v>278765.2</v>
      </c>
      <c r="P104" s="70"/>
      <c r="Q104" s="70">
        <v>278765.2</v>
      </c>
      <c r="R104" s="70">
        <v>278765.2</v>
      </c>
      <c r="S104" s="70"/>
      <c r="T104" s="68"/>
      <c r="U104" s="66"/>
      <c r="V104" s="68"/>
      <c r="W104" s="66"/>
      <c r="X104" s="70"/>
      <c r="Y104" s="66"/>
      <c r="Z104" s="66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</row>
    <row r="105" ht="12.0" customHeight="1">
      <c r="A105" s="68"/>
      <c r="B105" s="68"/>
      <c r="C105" s="68"/>
      <c r="D105" s="315" t="s">
        <v>266</v>
      </c>
      <c r="E105" s="153">
        <v>2.64017193E7</v>
      </c>
      <c r="F105" s="153"/>
      <c r="G105" s="243">
        <v>723437.2</v>
      </c>
      <c r="H105" s="243">
        <v>723437.2</v>
      </c>
      <c r="I105" s="243">
        <v>723437.2</v>
      </c>
      <c r="J105" s="243">
        <v>723437.2</v>
      </c>
      <c r="K105" s="70"/>
      <c r="L105" s="70">
        <v>723437.2</v>
      </c>
      <c r="M105" s="70">
        <v>723437.2</v>
      </c>
      <c r="N105" s="70"/>
      <c r="O105" s="70">
        <v>723437.2</v>
      </c>
      <c r="P105" s="70"/>
      <c r="Q105" s="70">
        <v>723437.2</v>
      </c>
      <c r="R105" s="70">
        <v>723437.2</v>
      </c>
      <c r="S105" s="70"/>
      <c r="T105" s="68"/>
      <c r="U105" s="66"/>
      <c r="V105" s="68"/>
      <c r="W105" s="66"/>
      <c r="X105" s="70"/>
      <c r="Y105" s="66"/>
      <c r="Z105" s="66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</row>
    <row r="106" ht="12.0" hidden="1" customHeight="1">
      <c r="A106" s="68"/>
      <c r="B106" s="68"/>
      <c r="C106" s="68"/>
      <c r="D106" s="315" t="s">
        <v>267</v>
      </c>
      <c r="E106" s="153">
        <v>14105.07</v>
      </c>
      <c r="F106" s="153"/>
      <c r="G106" s="243">
        <v>82603.21</v>
      </c>
      <c r="H106" s="243">
        <v>4503.21</v>
      </c>
      <c r="I106" s="243">
        <v>4503.21</v>
      </c>
      <c r="J106" s="243"/>
      <c r="K106" s="70"/>
      <c r="L106" s="70">
        <v>0.0</v>
      </c>
      <c r="M106" s="70">
        <v>0.0</v>
      </c>
      <c r="N106" s="70"/>
      <c r="O106" s="70">
        <v>0.0</v>
      </c>
      <c r="P106" s="70"/>
      <c r="Q106" s="70">
        <v>0.0</v>
      </c>
      <c r="R106" s="70">
        <v>0.0</v>
      </c>
      <c r="S106" s="70"/>
      <c r="T106" s="68"/>
      <c r="U106" s="66"/>
      <c r="V106" s="68"/>
      <c r="W106" s="66"/>
      <c r="X106" s="70"/>
      <c r="Y106" s="66"/>
      <c r="Z106" s="66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</row>
    <row r="107" ht="12.0" customHeight="1">
      <c r="A107" s="68"/>
      <c r="B107" s="68"/>
      <c r="C107" s="68"/>
      <c r="D107" s="315" t="s">
        <v>268</v>
      </c>
      <c r="E107" s="153"/>
      <c r="F107" s="153"/>
      <c r="G107" s="243"/>
      <c r="H107" s="243">
        <v>101989.95</v>
      </c>
      <c r="I107" s="243">
        <v>101989.95</v>
      </c>
      <c r="J107" s="316">
        <v>101989.95</v>
      </c>
      <c r="K107" s="70"/>
      <c r="L107" s="70">
        <v>130530.0</v>
      </c>
      <c r="M107" s="70">
        <v>130530.0</v>
      </c>
      <c r="N107" s="70"/>
      <c r="O107" s="70">
        <v>130530.0</v>
      </c>
      <c r="P107" s="70"/>
      <c r="Q107" s="70">
        <v>130530.0</v>
      </c>
      <c r="R107" s="70">
        <v>60910.0</v>
      </c>
      <c r="S107" s="70"/>
      <c r="T107" s="68"/>
      <c r="U107" s="66"/>
      <c r="V107" s="68"/>
      <c r="W107" s="66"/>
      <c r="X107" s="70"/>
      <c r="Y107" s="66"/>
      <c r="Z107" s="66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</row>
    <row r="108" ht="12.0" customHeight="1">
      <c r="A108" s="68"/>
      <c r="B108" s="68"/>
      <c r="C108" s="68"/>
      <c r="D108" s="315" t="s">
        <v>269</v>
      </c>
      <c r="E108" s="153"/>
      <c r="F108" s="153"/>
      <c r="G108" s="243">
        <v>83776.59</v>
      </c>
      <c r="H108" s="243">
        <v>83776.59</v>
      </c>
      <c r="I108" s="243">
        <v>83776.59</v>
      </c>
      <c r="J108" s="243">
        <v>83776.59</v>
      </c>
      <c r="K108" s="70"/>
      <c r="L108" s="70">
        <v>83776.59</v>
      </c>
      <c r="M108" s="70">
        <v>83776.59</v>
      </c>
      <c r="N108" s="70"/>
      <c r="O108" s="70">
        <v>83776.59</v>
      </c>
      <c r="P108" s="70"/>
      <c r="Q108" s="70">
        <v>83776.59</v>
      </c>
      <c r="R108" s="70"/>
      <c r="S108" s="70"/>
      <c r="T108" s="68"/>
      <c r="U108" s="66"/>
      <c r="V108" s="68"/>
      <c r="W108" s="66"/>
      <c r="X108" s="70"/>
      <c r="Y108" s="66"/>
      <c r="Z108" s="66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</row>
    <row r="109" ht="12.0" hidden="1" customHeight="1">
      <c r="A109" s="68"/>
      <c r="B109" s="68"/>
      <c r="C109" s="68"/>
      <c r="D109" s="315" t="s">
        <v>270</v>
      </c>
      <c r="E109" s="153">
        <v>3025351.57</v>
      </c>
      <c r="F109" s="153"/>
      <c r="G109" s="243">
        <v>0.0</v>
      </c>
      <c r="H109" s="243">
        <v>0.0</v>
      </c>
      <c r="I109" s="243">
        <v>0.0</v>
      </c>
      <c r="J109" s="243">
        <v>0.0</v>
      </c>
      <c r="K109" s="70"/>
      <c r="L109" s="70">
        <v>0.0</v>
      </c>
      <c r="M109" s="70">
        <v>0.0</v>
      </c>
      <c r="N109" s="70"/>
      <c r="O109" s="70"/>
      <c r="P109" s="70"/>
      <c r="Q109" s="70"/>
      <c r="R109" s="70"/>
      <c r="S109" s="70"/>
      <c r="T109" s="68"/>
      <c r="U109" s="66"/>
      <c r="V109" s="68"/>
      <c r="W109" s="66"/>
      <c r="X109" s="70"/>
      <c r="Y109" s="66"/>
      <c r="Z109" s="66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</row>
    <row r="110" ht="12.0" customHeight="1">
      <c r="A110" s="68"/>
      <c r="B110" s="68"/>
      <c r="C110" s="68"/>
      <c r="D110" s="315" t="s">
        <v>271</v>
      </c>
      <c r="E110" s="153">
        <v>1000000.0</v>
      </c>
      <c r="F110" s="153"/>
      <c r="G110" s="243">
        <v>18647.0</v>
      </c>
      <c r="H110" s="243">
        <v>18647.0</v>
      </c>
      <c r="I110" s="243">
        <v>18647.0</v>
      </c>
      <c r="J110" s="243">
        <v>18647.0</v>
      </c>
      <c r="K110" s="70"/>
      <c r="L110" s="70">
        <v>18647.0</v>
      </c>
      <c r="M110" s="70">
        <v>18647.0</v>
      </c>
      <c r="N110" s="70"/>
      <c r="O110" s="70">
        <v>18647.0</v>
      </c>
      <c r="P110" s="70"/>
      <c r="Q110" s="70">
        <v>18647.0</v>
      </c>
      <c r="R110" s="70">
        <v>18647.0</v>
      </c>
      <c r="S110" s="70"/>
      <c r="T110" s="68"/>
      <c r="U110" s="66"/>
      <c r="V110" s="68"/>
      <c r="W110" s="66"/>
      <c r="X110" s="70"/>
      <c r="Y110" s="66"/>
      <c r="Z110" s="66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</row>
    <row r="111" ht="12.0" customHeight="1">
      <c r="A111" s="68"/>
      <c r="B111" s="68"/>
      <c r="C111" s="68"/>
      <c r="D111" s="315" t="s">
        <v>272</v>
      </c>
      <c r="E111" s="153">
        <v>83924.62</v>
      </c>
      <c r="F111" s="153"/>
      <c r="G111" s="243">
        <f>-6040.05+55786.62</f>
        <v>49746.57</v>
      </c>
      <c r="H111" s="243">
        <v>49746.57</v>
      </c>
      <c r="I111" s="243">
        <v>49746.57</v>
      </c>
      <c r="J111" s="243">
        <v>49746.57</v>
      </c>
      <c r="K111" s="70"/>
      <c r="L111" s="70">
        <v>49746.57</v>
      </c>
      <c r="M111" s="70">
        <v>49746.57</v>
      </c>
      <c r="N111" s="70"/>
      <c r="O111" s="70">
        <v>49746.57</v>
      </c>
      <c r="P111" s="70"/>
      <c r="Q111" s="70">
        <v>49746.57</v>
      </c>
      <c r="R111" s="70">
        <v>49746.57</v>
      </c>
      <c r="S111" s="70"/>
      <c r="T111" s="68"/>
      <c r="U111" s="66"/>
      <c r="V111" s="68"/>
      <c r="W111" s="66"/>
      <c r="X111" s="70"/>
      <c r="Y111" s="66"/>
      <c r="Z111" s="66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</row>
    <row r="112" ht="12.0" customHeight="1">
      <c r="A112" s="68"/>
      <c r="B112" s="68"/>
      <c r="C112" s="68"/>
      <c r="D112" s="315" t="s">
        <v>273</v>
      </c>
      <c r="E112" s="153"/>
      <c r="F112" s="153"/>
      <c r="G112" s="243"/>
      <c r="H112" s="243"/>
      <c r="I112" s="243"/>
      <c r="J112" s="243"/>
      <c r="K112" s="70"/>
      <c r="L112" s="70"/>
      <c r="M112" s="70"/>
      <c r="N112" s="70"/>
      <c r="O112" s="70">
        <v>603226.0</v>
      </c>
      <c r="P112" s="70"/>
      <c r="Q112" s="70">
        <v>603226.0</v>
      </c>
      <c r="R112" s="70">
        <v>1100000.0</v>
      </c>
      <c r="S112" s="70"/>
      <c r="T112" s="68"/>
      <c r="U112" s="66"/>
      <c r="V112" s="68"/>
      <c r="W112" s="66"/>
      <c r="X112" s="70"/>
      <c r="Y112" s="66"/>
      <c r="Z112" s="66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</row>
    <row r="113" ht="12.0" customHeight="1">
      <c r="A113" s="68"/>
      <c r="B113" s="68"/>
      <c r="C113" s="68"/>
      <c r="D113" s="315" t="s">
        <v>274</v>
      </c>
      <c r="E113" s="153"/>
      <c r="F113" s="153"/>
      <c r="G113" s="243"/>
      <c r="H113" s="243"/>
      <c r="I113" s="243"/>
      <c r="J113" s="243"/>
      <c r="K113" s="70"/>
      <c r="L113" s="70"/>
      <c r="M113" s="70"/>
      <c r="N113" s="70"/>
      <c r="O113" s="70"/>
      <c r="P113" s="70"/>
      <c r="Q113" s="70"/>
      <c r="R113" s="70">
        <v>1100000.0</v>
      </c>
      <c r="S113" s="70"/>
      <c r="T113" s="68"/>
      <c r="U113" s="66"/>
      <c r="V113" s="68"/>
      <c r="W113" s="66"/>
      <c r="X113" s="70"/>
      <c r="Y113" s="66"/>
      <c r="Z113" s="66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</row>
    <row r="114" ht="12.0" customHeight="1">
      <c r="A114" s="68"/>
      <c r="B114" s="68"/>
      <c r="C114" s="68"/>
      <c r="D114" s="315" t="s">
        <v>275</v>
      </c>
      <c r="E114" s="153"/>
      <c r="F114" s="153"/>
      <c r="G114" s="243"/>
      <c r="H114" s="243"/>
      <c r="I114" s="243"/>
      <c r="J114" s="243" t="str">
        <f>+balance!E33</f>
        <v>#REF!</v>
      </c>
      <c r="K114" s="70"/>
      <c r="L114" s="70"/>
      <c r="M114" s="70"/>
      <c r="N114" s="70"/>
      <c r="O114" s="70" t="str">
        <f>+balance!E32</f>
        <v>#REF!</v>
      </c>
      <c r="P114" s="70"/>
      <c r="Q114" s="70">
        <v>721350.02</v>
      </c>
      <c r="R114" s="70">
        <v>721350.02</v>
      </c>
      <c r="S114" s="70"/>
      <c r="T114" s="68"/>
      <c r="U114" s="66"/>
      <c r="V114" s="68"/>
      <c r="W114" s="66"/>
      <c r="X114" s="70"/>
      <c r="Y114" s="66"/>
      <c r="Z114" s="66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</row>
    <row r="115" ht="12.0" customHeight="1">
      <c r="A115" s="68"/>
      <c r="B115" s="68"/>
      <c r="C115" s="68"/>
      <c r="D115" s="317" t="s">
        <v>276</v>
      </c>
      <c r="E115" s="318">
        <v>454789.2</v>
      </c>
      <c r="F115" s="318"/>
      <c r="G115" s="319">
        <v>724265.92</v>
      </c>
      <c r="H115" s="319">
        <v>805715.92</v>
      </c>
      <c r="I115" s="319">
        <v>805715.92</v>
      </c>
      <c r="J115" s="319">
        <v>924515.92</v>
      </c>
      <c r="K115" s="70"/>
      <c r="L115" s="320">
        <v>473015.92</v>
      </c>
      <c r="M115" s="320">
        <v>473015.92</v>
      </c>
      <c r="N115" s="70"/>
      <c r="O115" s="320">
        <v>471946.92</v>
      </c>
      <c r="P115" s="320"/>
      <c r="Q115" s="320">
        <v>471946.92</v>
      </c>
      <c r="R115" s="320">
        <v>321588.92</v>
      </c>
      <c r="S115" s="70"/>
      <c r="T115" s="68"/>
      <c r="U115" s="66"/>
      <c r="V115" s="68"/>
      <c r="W115" s="66"/>
      <c r="X115" s="70"/>
      <c r="Y115" s="66"/>
      <c r="Z115" s="66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</row>
    <row r="116" ht="12.0" customHeight="1">
      <c r="A116" s="68"/>
      <c r="B116" s="68"/>
      <c r="C116" s="68"/>
      <c r="D116" s="68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8"/>
      <c r="W116" s="70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70"/>
    </row>
    <row r="117" ht="12.0" customHeight="1">
      <c r="A117" s="68"/>
      <c r="B117" s="68"/>
      <c r="C117" s="68"/>
      <c r="D117" s="68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8"/>
      <c r="W117" s="70"/>
      <c r="X117" s="66"/>
      <c r="Y117" s="66"/>
      <c r="Z117" s="66"/>
      <c r="AA117" s="66"/>
      <c r="AB117" s="66"/>
      <c r="AC117" s="66"/>
      <c r="AD117" s="66"/>
      <c r="AE117" s="70"/>
      <c r="AF117" s="66"/>
      <c r="AG117" s="66"/>
      <c r="AH117" s="66"/>
      <c r="AI117" s="66"/>
      <c r="AJ117" s="66"/>
      <c r="AK117" s="66"/>
      <c r="AL117" s="66"/>
      <c r="AM117" s="66"/>
      <c r="AN117" s="66"/>
      <c r="AO117" s="70"/>
    </row>
    <row r="118" ht="12.0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4"/>
      <c r="K118" s="4"/>
      <c r="L118" s="4"/>
      <c r="M118" s="4"/>
      <c r="N118" s="4"/>
      <c r="O118" s="4"/>
      <c r="P118" s="4"/>
      <c r="Q118" s="4"/>
      <c r="R118" s="4"/>
      <c r="S118" s="68"/>
      <c r="T118" s="68"/>
      <c r="U118" s="66"/>
      <c r="V118" s="68"/>
      <c r="W118" s="70"/>
      <c r="X118" s="66"/>
      <c r="Y118" s="68"/>
      <c r="Z118" s="68"/>
      <c r="AA118" s="68"/>
      <c r="AB118" s="68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70"/>
      <c r="AO118" s="68"/>
    </row>
    <row r="119" ht="24.0" customHeight="1">
      <c r="A119" s="68"/>
      <c r="B119" s="68"/>
      <c r="C119" s="68"/>
      <c r="D119" s="68"/>
      <c r="E119" s="4"/>
      <c r="F119" s="68"/>
      <c r="G119" s="68"/>
      <c r="H119" s="68"/>
      <c r="I119" s="68"/>
      <c r="J119" s="108"/>
      <c r="K119" s="108"/>
      <c r="L119" s="108"/>
      <c r="M119" s="108"/>
      <c r="N119" s="108"/>
      <c r="O119" s="108"/>
      <c r="P119" s="108"/>
      <c r="Q119" s="108"/>
      <c r="R119" s="108"/>
      <c r="S119" s="68"/>
      <c r="T119" s="68"/>
      <c r="U119" s="66"/>
      <c r="V119" s="68"/>
      <c r="W119" s="70"/>
      <c r="X119" s="66"/>
      <c r="Y119" s="68"/>
      <c r="Z119" s="68"/>
      <c r="AA119" s="68"/>
      <c r="AB119" s="68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70"/>
      <c r="AO119" s="68"/>
    </row>
    <row r="120" ht="12.0" customHeight="1">
      <c r="A120" s="68"/>
      <c r="B120" s="68"/>
      <c r="C120" s="68"/>
      <c r="D120" s="68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8"/>
      <c r="W120" s="70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70"/>
      <c r="AO120" s="68"/>
    </row>
    <row r="121" ht="12.0" customHeight="1">
      <c r="A121" s="68"/>
      <c r="B121" s="68"/>
      <c r="C121" s="68"/>
      <c r="D121" s="68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8"/>
      <c r="W121" s="70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70"/>
      <c r="AO121" s="68"/>
    </row>
    <row r="122" ht="12.0" customHeight="1">
      <c r="A122" s="68"/>
      <c r="B122" s="68"/>
      <c r="C122" s="68"/>
      <c r="D122" s="68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8"/>
      <c r="W122" s="70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70"/>
      <c r="AO122" s="68"/>
    </row>
    <row r="123" ht="12.0" customHeight="1">
      <c r="A123" s="68"/>
      <c r="B123" s="68"/>
      <c r="C123" s="68"/>
      <c r="D123" s="68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8"/>
      <c r="W123" s="70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70"/>
      <c r="AO123" s="68"/>
    </row>
    <row r="124" ht="12.0" customHeight="1">
      <c r="A124" s="68"/>
      <c r="B124" s="68"/>
      <c r="C124" s="68"/>
      <c r="D124" s="68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8"/>
      <c r="W124" s="70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70"/>
      <c r="AO124" s="68"/>
    </row>
    <row r="125" ht="12.0" customHeight="1">
      <c r="A125" s="68"/>
      <c r="B125" s="68"/>
      <c r="C125" s="68"/>
      <c r="D125" s="68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8"/>
      <c r="W125" s="70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70"/>
      <c r="AO125" s="68">
        <f>280-852.2</f>
        <v>-572.2</v>
      </c>
    </row>
    <row r="126" ht="12.0" customHeight="1">
      <c r="A126" s="68"/>
      <c r="B126" s="68"/>
      <c r="C126" s="68"/>
      <c r="D126" s="68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8"/>
      <c r="W126" s="70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70"/>
      <c r="AO126" s="68"/>
    </row>
    <row r="127" ht="12.0" customHeight="1">
      <c r="A127" s="68"/>
      <c r="B127" s="68"/>
      <c r="C127" s="68"/>
      <c r="D127" s="68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8"/>
      <c r="W127" s="70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70"/>
      <c r="AO127" s="68"/>
    </row>
    <row r="128" ht="12.0" customHeight="1">
      <c r="A128" s="68"/>
      <c r="B128" s="68"/>
      <c r="C128" s="68"/>
      <c r="D128" s="68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8"/>
      <c r="W128" s="70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70"/>
      <c r="AO128" s="68"/>
    </row>
    <row r="129" ht="12.0" customHeight="1">
      <c r="A129" s="68"/>
      <c r="B129" s="68"/>
      <c r="C129" s="68"/>
      <c r="D129" s="68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8"/>
      <c r="W129" s="70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70"/>
      <c r="AO129" s="68"/>
    </row>
    <row r="130" ht="12.0" customHeight="1">
      <c r="A130" s="68"/>
      <c r="B130" s="68"/>
      <c r="C130" s="68"/>
      <c r="D130" s="68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8"/>
      <c r="W130" s="70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70"/>
      <c r="AO130" s="68"/>
    </row>
    <row r="131" ht="12.0" customHeight="1">
      <c r="A131" s="68"/>
      <c r="B131" s="68"/>
      <c r="C131" s="68"/>
      <c r="D131" s="68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8"/>
      <c r="W131" s="70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70"/>
      <c r="AO131" s="68"/>
    </row>
    <row r="132" ht="12.0" customHeight="1">
      <c r="A132" s="68"/>
      <c r="B132" s="68"/>
      <c r="C132" s="68"/>
      <c r="D132" s="68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8"/>
      <c r="W132" s="70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70"/>
      <c r="AO132" s="68"/>
    </row>
    <row r="133" ht="12.0" customHeight="1">
      <c r="A133" s="68"/>
      <c r="B133" s="68"/>
      <c r="C133" s="68"/>
      <c r="D133" s="68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8"/>
      <c r="W133" s="70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70"/>
      <c r="AO133" s="68"/>
    </row>
    <row r="134" ht="12.0" customHeight="1">
      <c r="A134" s="68"/>
      <c r="B134" s="68"/>
      <c r="C134" s="68"/>
      <c r="D134" s="68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8"/>
      <c r="W134" s="70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70"/>
      <c r="AO134" s="68"/>
    </row>
    <row r="135" ht="12.0" customHeight="1">
      <c r="A135" s="68"/>
      <c r="B135" s="68"/>
      <c r="C135" s="68"/>
      <c r="D135" s="68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8"/>
      <c r="W135" s="70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70"/>
      <c r="AO135" s="68"/>
    </row>
    <row r="136" ht="12.0" customHeight="1">
      <c r="A136" s="68"/>
      <c r="B136" s="68"/>
      <c r="C136" s="68"/>
      <c r="D136" s="68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8"/>
      <c r="W136" s="70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70"/>
      <c r="AO136" s="68"/>
    </row>
    <row r="137" ht="12.0" customHeight="1">
      <c r="A137" s="68"/>
      <c r="B137" s="68"/>
      <c r="C137" s="68"/>
      <c r="D137" s="68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8"/>
      <c r="W137" s="70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70"/>
      <c r="AO137" s="68"/>
    </row>
    <row r="138" ht="12.0" customHeight="1">
      <c r="A138" s="68"/>
      <c r="B138" s="68"/>
      <c r="C138" s="68"/>
      <c r="D138" s="68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8"/>
      <c r="W138" s="70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70"/>
      <c r="AO138" s="68"/>
    </row>
    <row r="139" ht="12.0" customHeight="1">
      <c r="A139" s="68"/>
      <c r="B139" s="68"/>
      <c r="C139" s="68"/>
      <c r="D139" s="68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8"/>
      <c r="W139" s="70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70"/>
      <c r="AO139" s="68"/>
    </row>
    <row r="140" ht="12.0" customHeight="1">
      <c r="A140" s="68"/>
      <c r="B140" s="68"/>
      <c r="C140" s="68"/>
      <c r="D140" s="68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8"/>
      <c r="W140" s="70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70"/>
      <c r="AO140" s="68"/>
    </row>
    <row r="141" ht="12.0" customHeight="1">
      <c r="A141" s="68"/>
      <c r="B141" s="68"/>
      <c r="C141" s="68"/>
      <c r="D141" s="68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8"/>
      <c r="W141" s="70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70"/>
      <c r="AO141" s="68"/>
    </row>
    <row r="142" ht="12.0" customHeight="1">
      <c r="A142" s="68"/>
      <c r="B142" s="68"/>
      <c r="C142" s="68"/>
      <c r="D142" s="68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8"/>
      <c r="W142" s="70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70"/>
      <c r="AO142" s="68"/>
    </row>
    <row r="143" ht="12.0" customHeight="1">
      <c r="A143" s="68"/>
      <c r="B143" s="68"/>
      <c r="C143" s="68"/>
      <c r="D143" s="68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8"/>
      <c r="W143" s="70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70"/>
      <c r="AO143" s="68"/>
    </row>
    <row r="144" ht="12.0" customHeight="1">
      <c r="A144" s="68"/>
      <c r="B144" s="68"/>
      <c r="C144" s="68"/>
      <c r="D144" s="68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8"/>
      <c r="W144" s="70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70"/>
      <c r="AO144" s="68"/>
    </row>
    <row r="145" ht="12.0" customHeight="1">
      <c r="A145" s="68"/>
      <c r="B145" s="68"/>
      <c r="C145" s="68"/>
      <c r="D145" s="68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8"/>
      <c r="W145" s="70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70"/>
      <c r="AO145" s="68"/>
    </row>
    <row r="146" ht="12.0" customHeight="1">
      <c r="A146" s="68"/>
      <c r="B146" s="68"/>
      <c r="C146" s="68"/>
      <c r="D146" s="68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8"/>
      <c r="W146" s="70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70"/>
      <c r="AO146" s="68"/>
    </row>
    <row r="147" ht="12.0" customHeight="1">
      <c r="A147" s="68"/>
      <c r="B147" s="68"/>
      <c r="C147" s="68"/>
      <c r="D147" s="68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8"/>
      <c r="W147" s="70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70"/>
      <c r="AO147" s="68"/>
    </row>
    <row r="148" ht="12.0" customHeight="1">
      <c r="A148" s="68"/>
      <c r="B148" s="68"/>
      <c r="C148" s="68"/>
      <c r="D148" s="68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8"/>
      <c r="W148" s="70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70"/>
      <c r="AO148" s="68"/>
    </row>
    <row r="149" ht="12.0" customHeight="1">
      <c r="A149" s="68"/>
      <c r="B149" s="68"/>
      <c r="C149" s="68"/>
      <c r="D149" s="68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8"/>
      <c r="W149" s="70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70"/>
      <c r="AO149" s="68"/>
    </row>
    <row r="150" ht="12.0" customHeight="1">
      <c r="A150" s="68"/>
      <c r="B150" s="68"/>
      <c r="C150" s="68"/>
      <c r="D150" s="68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8"/>
      <c r="W150" s="70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70"/>
      <c r="AO150" s="68"/>
    </row>
    <row r="151" ht="12.0" customHeight="1">
      <c r="A151" s="68"/>
      <c r="B151" s="68"/>
      <c r="C151" s="68"/>
      <c r="D151" s="68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8"/>
      <c r="W151" s="70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70"/>
      <c r="AO151" s="68"/>
    </row>
    <row r="152" ht="12.0" customHeight="1">
      <c r="A152" s="68"/>
      <c r="B152" s="68"/>
      <c r="C152" s="68"/>
      <c r="D152" s="68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8"/>
      <c r="W152" s="70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70"/>
      <c r="AO152" s="68"/>
    </row>
    <row r="153" ht="12.0" customHeight="1">
      <c r="A153" s="68"/>
      <c r="B153" s="68"/>
      <c r="C153" s="68"/>
      <c r="D153" s="68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8"/>
      <c r="W153" s="70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70"/>
      <c r="AO153" s="68"/>
    </row>
    <row r="154" ht="12.0" customHeight="1">
      <c r="A154" s="68"/>
      <c r="B154" s="68"/>
      <c r="C154" s="68"/>
      <c r="D154" s="68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8"/>
      <c r="W154" s="70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70"/>
      <c r="AO154" s="68"/>
    </row>
    <row r="155" ht="12.0" customHeight="1">
      <c r="A155" s="68"/>
      <c r="B155" s="68"/>
      <c r="C155" s="68"/>
      <c r="D155" s="68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8"/>
      <c r="W155" s="70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70"/>
      <c r="AO155" s="68"/>
    </row>
    <row r="156" ht="12.0" customHeight="1">
      <c r="A156" s="68"/>
      <c r="B156" s="68"/>
      <c r="C156" s="68"/>
      <c r="D156" s="68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8"/>
      <c r="W156" s="70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70"/>
      <c r="AO156" s="68"/>
    </row>
    <row r="157" ht="12.0" customHeight="1">
      <c r="A157" s="68"/>
      <c r="B157" s="68"/>
      <c r="C157" s="68"/>
      <c r="D157" s="68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8"/>
      <c r="W157" s="70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70"/>
      <c r="AO157" s="68"/>
    </row>
    <row r="158" ht="12.0" customHeight="1">
      <c r="A158" s="68"/>
      <c r="B158" s="68"/>
      <c r="C158" s="68"/>
      <c r="D158" s="68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8"/>
      <c r="W158" s="70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70"/>
      <c r="AO158" s="68"/>
    </row>
    <row r="159" ht="12.0" customHeight="1">
      <c r="A159" s="68"/>
      <c r="B159" s="68"/>
      <c r="C159" s="68"/>
      <c r="D159" s="68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8"/>
      <c r="W159" s="70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70"/>
      <c r="AO159" s="68"/>
    </row>
    <row r="160" ht="12.0" customHeight="1">
      <c r="A160" s="68"/>
      <c r="B160" s="68"/>
      <c r="C160" s="68"/>
      <c r="D160" s="68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8"/>
      <c r="W160" s="70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70"/>
      <c r="AO160" s="68"/>
    </row>
    <row r="161" ht="12.0" customHeight="1">
      <c r="A161" s="68"/>
      <c r="B161" s="68"/>
      <c r="C161" s="68"/>
      <c r="D161" s="68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8"/>
      <c r="W161" s="70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70"/>
      <c r="AO161" s="68"/>
    </row>
    <row r="162" ht="12.0" customHeight="1">
      <c r="A162" s="68"/>
      <c r="B162" s="68"/>
      <c r="C162" s="68"/>
      <c r="D162" s="68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8"/>
      <c r="W162" s="70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70"/>
      <c r="AO162" s="68"/>
    </row>
    <row r="163" ht="12.0" customHeight="1">
      <c r="A163" s="68"/>
      <c r="B163" s="68"/>
      <c r="C163" s="68"/>
      <c r="D163" s="68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8"/>
      <c r="W163" s="70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70"/>
      <c r="AO163" s="68"/>
    </row>
    <row r="164" ht="12.0" customHeight="1">
      <c r="A164" s="68"/>
      <c r="B164" s="68"/>
      <c r="C164" s="68"/>
      <c r="D164" s="68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8"/>
      <c r="W164" s="70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70"/>
      <c r="AO164" s="68"/>
    </row>
    <row r="165" ht="12.0" customHeight="1">
      <c r="A165" s="68"/>
      <c r="B165" s="68"/>
      <c r="C165" s="68"/>
      <c r="D165" s="68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8"/>
      <c r="W165" s="70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70"/>
      <c r="AO165" s="68"/>
    </row>
    <row r="166" ht="12.0" customHeight="1">
      <c r="A166" s="68"/>
      <c r="B166" s="68"/>
      <c r="C166" s="68"/>
      <c r="D166" s="68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8"/>
      <c r="W166" s="70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70"/>
      <c r="AO166" s="68"/>
    </row>
    <row r="167" ht="12.0" customHeight="1">
      <c r="A167" s="68"/>
      <c r="B167" s="68"/>
      <c r="C167" s="68"/>
      <c r="D167" s="68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8"/>
      <c r="W167" s="70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70"/>
      <c r="AO167" s="68"/>
    </row>
    <row r="168" ht="12.0" customHeight="1">
      <c r="A168" s="68"/>
      <c r="B168" s="68"/>
      <c r="C168" s="68"/>
      <c r="D168" s="68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8"/>
      <c r="W168" s="70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70"/>
      <c r="AO168" s="68"/>
    </row>
    <row r="169" ht="12.0" customHeight="1">
      <c r="A169" s="68"/>
      <c r="B169" s="68"/>
      <c r="C169" s="68"/>
      <c r="D169" s="68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8"/>
      <c r="W169" s="70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70"/>
      <c r="AO169" s="68"/>
    </row>
    <row r="170" ht="12.0" customHeight="1">
      <c r="A170" s="68"/>
      <c r="B170" s="68"/>
      <c r="C170" s="68"/>
      <c r="D170" s="68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8"/>
      <c r="W170" s="70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70"/>
      <c r="AO170" s="68"/>
    </row>
    <row r="171" ht="12.0" customHeight="1">
      <c r="A171" s="68"/>
      <c r="B171" s="68"/>
      <c r="C171" s="68"/>
      <c r="D171" s="68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8"/>
      <c r="W171" s="70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70"/>
      <c r="AO171" s="68"/>
    </row>
    <row r="172" ht="12.0" customHeight="1">
      <c r="A172" s="68"/>
      <c r="B172" s="68"/>
      <c r="C172" s="68"/>
      <c r="D172" s="68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8"/>
      <c r="W172" s="70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70"/>
      <c r="AO172" s="68"/>
    </row>
    <row r="173" ht="12.0" customHeight="1">
      <c r="A173" s="68"/>
      <c r="B173" s="68"/>
      <c r="C173" s="68"/>
      <c r="D173" s="68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8"/>
      <c r="W173" s="70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70"/>
      <c r="AO173" s="68"/>
    </row>
    <row r="174" ht="12.0" customHeight="1">
      <c r="A174" s="68"/>
      <c r="B174" s="68"/>
      <c r="C174" s="68"/>
      <c r="D174" s="68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8"/>
      <c r="W174" s="70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70"/>
      <c r="AO174" s="68"/>
    </row>
    <row r="175" ht="12.0" customHeight="1">
      <c r="A175" s="68"/>
      <c r="B175" s="68"/>
      <c r="C175" s="68"/>
      <c r="D175" s="68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8"/>
      <c r="W175" s="70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70"/>
      <c r="AO175" s="68"/>
    </row>
    <row r="176" ht="12.0" customHeight="1">
      <c r="A176" s="68"/>
      <c r="B176" s="68"/>
      <c r="C176" s="68"/>
      <c r="D176" s="68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8"/>
      <c r="W176" s="70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70"/>
      <c r="AO176" s="68"/>
    </row>
    <row r="177" ht="12.0" customHeight="1">
      <c r="A177" s="68"/>
      <c r="B177" s="68"/>
      <c r="C177" s="68"/>
      <c r="D177" s="68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8"/>
      <c r="W177" s="70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70"/>
      <c r="AO177" s="68"/>
    </row>
    <row r="178" ht="12.0" customHeight="1">
      <c r="A178" s="68"/>
      <c r="B178" s="68"/>
      <c r="C178" s="68"/>
      <c r="D178" s="68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8"/>
      <c r="W178" s="70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70"/>
      <c r="AO178" s="68"/>
    </row>
    <row r="179" ht="12.0" customHeight="1">
      <c r="A179" s="68"/>
      <c r="B179" s="68"/>
      <c r="C179" s="68"/>
      <c r="D179" s="68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8"/>
      <c r="W179" s="70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70"/>
      <c r="AO179" s="68"/>
    </row>
    <row r="180" ht="12.0" customHeight="1">
      <c r="A180" s="68"/>
      <c r="B180" s="68"/>
      <c r="C180" s="68"/>
      <c r="D180" s="68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8"/>
      <c r="W180" s="70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70"/>
      <c r="AO180" s="68"/>
    </row>
    <row r="181" ht="12.0" customHeight="1">
      <c r="A181" s="68"/>
      <c r="B181" s="68"/>
      <c r="C181" s="68"/>
      <c r="D181" s="68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8"/>
      <c r="W181" s="70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70"/>
      <c r="AO181" s="68"/>
    </row>
    <row r="182" ht="12.0" customHeight="1">
      <c r="A182" s="68"/>
      <c r="B182" s="68"/>
      <c r="C182" s="68"/>
      <c r="D182" s="68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8"/>
      <c r="W182" s="70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70"/>
      <c r="AO182" s="68"/>
    </row>
    <row r="183" ht="12.0" customHeight="1">
      <c r="A183" s="68"/>
      <c r="B183" s="68"/>
      <c r="C183" s="68"/>
      <c r="D183" s="68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8"/>
      <c r="W183" s="70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70"/>
      <c r="AO183" s="68"/>
    </row>
    <row r="184" ht="12.0" customHeight="1">
      <c r="A184" s="68"/>
      <c r="B184" s="68"/>
      <c r="C184" s="68"/>
      <c r="D184" s="68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8"/>
      <c r="W184" s="70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70"/>
      <c r="AO184" s="68"/>
    </row>
    <row r="185" ht="12.0" customHeight="1">
      <c r="A185" s="68"/>
      <c r="B185" s="68"/>
      <c r="C185" s="68"/>
      <c r="D185" s="68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8"/>
      <c r="W185" s="70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70"/>
      <c r="AO185" s="68"/>
    </row>
    <row r="186" ht="12.0" customHeight="1">
      <c r="A186" s="68"/>
      <c r="B186" s="68"/>
      <c r="C186" s="68"/>
      <c r="D186" s="68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8"/>
      <c r="W186" s="70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70"/>
      <c r="AO186" s="68"/>
    </row>
    <row r="187" ht="12.0" customHeight="1">
      <c r="A187" s="68"/>
      <c r="B187" s="68"/>
      <c r="C187" s="68"/>
      <c r="D187" s="68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8"/>
      <c r="W187" s="70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70"/>
      <c r="AO187" s="68"/>
    </row>
    <row r="188" ht="12.0" customHeight="1">
      <c r="A188" s="68"/>
      <c r="B188" s="68"/>
      <c r="C188" s="68"/>
      <c r="D188" s="68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8"/>
      <c r="W188" s="70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70"/>
      <c r="AO188" s="68"/>
    </row>
    <row r="189" ht="12.0" customHeight="1">
      <c r="A189" s="68"/>
      <c r="B189" s="68"/>
      <c r="C189" s="68"/>
      <c r="D189" s="68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8"/>
      <c r="W189" s="70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70"/>
      <c r="AO189" s="68"/>
    </row>
    <row r="190" ht="12.0" customHeight="1">
      <c r="A190" s="68"/>
      <c r="B190" s="68"/>
      <c r="C190" s="68"/>
      <c r="D190" s="68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8"/>
      <c r="W190" s="70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70"/>
      <c r="AO190" s="68"/>
    </row>
    <row r="191" ht="12.0" customHeight="1">
      <c r="A191" s="68"/>
      <c r="B191" s="68"/>
      <c r="C191" s="68"/>
      <c r="D191" s="68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8"/>
      <c r="W191" s="70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70"/>
      <c r="AO191" s="68"/>
    </row>
    <row r="192" ht="12.0" customHeight="1">
      <c r="A192" s="68"/>
      <c r="B192" s="68"/>
      <c r="C192" s="68"/>
      <c r="D192" s="68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8"/>
      <c r="W192" s="70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70"/>
      <c r="AO192" s="68"/>
    </row>
    <row r="193" ht="12.0" customHeight="1">
      <c r="A193" s="68"/>
      <c r="B193" s="68"/>
      <c r="C193" s="68"/>
      <c r="D193" s="68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8"/>
      <c r="W193" s="70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70"/>
      <c r="AO193" s="68"/>
    </row>
    <row r="194" ht="12.0" customHeight="1">
      <c r="A194" s="68"/>
      <c r="B194" s="68"/>
      <c r="C194" s="68"/>
      <c r="D194" s="68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8"/>
      <c r="W194" s="70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70"/>
      <c r="AO194" s="68"/>
    </row>
    <row r="195" ht="12.0" customHeight="1">
      <c r="A195" s="68"/>
      <c r="B195" s="68"/>
      <c r="C195" s="68"/>
      <c r="D195" s="68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8"/>
      <c r="W195" s="70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70"/>
      <c r="AO195" s="68"/>
    </row>
    <row r="196" ht="12.0" customHeight="1">
      <c r="A196" s="68"/>
      <c r="B196" s="68"/>
      <c r="C196" s="68"/>
      <c r="D196" s="68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8"/>
      <c r="W196" s="70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70"/>
      <c r="AO196" s="68"/>
    </row>
    <row r="197" ht="12.0" customHeight="1">
      <c r="A197" s="68"/>
      <c r="B197" s="68"/>
      <c r="C197" s="68"/>
      <c r="D197" s="68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8"/>
      <c r="W197" s="70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70"/>
      <c r="AO197" s="68"/>
    </row>
    <row r="198" ht="12.0" customHeight="1">
      <c r="A198" s="68"/>
      <c r="B198" s="68"/>
      <c r="C198" s="68"/>
      <c r="D198" s="68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8"/>
      <c r="W198" s="70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70"/>
      <c r="AO198" s="68"/>
    </row>
    <row r="199" ht="12.0" customHeight="1">
      <c r="A199" s="68"/>
      <c r="B199" s="68"/>
      <c r="C199" s="68"/>
      <c r="D199" s="68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8"/>
      <c r="W199" s="70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70"/>
      <c r="AO199" s="68"/>
    </row>
    <row r="200" ht="12.0" customHeight="1">
      <c r="A200" s="68"/>
      <c r="B200" s="68"/>
      <c r="C200" s="68"/>
      <c r="D200" s="68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8"/>
      <c r="W200" s="70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70"/>
      <c r="AO200" s="68"/>
    </row>
    <row r="201" ht="12.0" customHeight="1">
      <c r="A201" s="68"/>
      <c r="B201" s="68"/>
      <c r="C201" s="68"/>
      <c r="D201" s="68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8"/>
      <c r="W201" s="70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70"/>
      <c r="AO201" s="68"/>
    </row>
    <row r="202" ht="12.0" customHeight="1">
      <c r="A202" s="68"/>
      <c r="B202" s="68"/>
      <c r="C202" s="68"/>
      <c r="D202" s="68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8"/>
      <c r="W202" s="70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70"/>
      <c r="AO202" s="68"/>
    </row>
    <row r="203" ht="12.0" customHeight="1">
      <c r="A203" s="68"/>
      <c r="B203" s="68"/>
      <c r="C203" s="68"/>
      <c r="D203" s="68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8"/>
      <c r="W203" s="70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70"/>
      <c r="AO203" s="68"/>
    </row>
    <row r="204" ht="12.0" customHeight="1">
      <c r="A204" s="68"/>
      <c r="B204" s="68"/>
      <c r="C204" s="68"/>
      <c r="D204" s="68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8"/>
      <c r="W204" s="70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70"/>
      <c r="AO204" s="68"/>
    </row>
    <row r="205" ht="12.0" customHeight="1">
      <c r="A205" s="68"/>
      <c r="B205" s="68"/>
      <c r="C205" s="68"/>
      <c r="D205" s="68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8"/>
      <c r="W205" s="70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70"/>
      <c r="AO205" s="68"/>
    </row>
    <row r="206" ht="12.0" customHeight="1">
      <c r="A206" s="68"/>
      <c r="B206" s="68"/>
      <c r="C206" s="68"/>
      <c r="D206" s="68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8"/>
      <c r="W206" s="70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70"/>
      <c r="AO206" s="68"/>
    </row>
    <row r="207" ht="12.0" customHeight="1">
      <c r="A207" s="68"/>
      <c r="B207" s="68"/>
      <c r="C207" s="68"/>
      <c r="D207" s="68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8"/>
      <c r="W207" s="70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70"/>
      <c r="AO207" s="68"/>
    </row>
    <row r="208" ht="12.0" customHeight="1">
      <c r="A208" s="68"/>
      <c r="B208" s="68"/>
      <c r="C208" s="68"/>
      <c r="D208" s="68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8"/>
      <c r="W208" s="70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70"/>
      <c r="AO208" s="68"/>
    </row>
    <row r="209" ht="12.0" customHeight="1">
      <c r="A209" s="68"/>
      <c r="B209" s="68"/>
      <c r="C209" s="68"/>
      <c r="D209" s="68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8"/>
      <c r="W209" s="70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70"/>
      <c r="AO209" s="68"/>
    </row>
    <row r="210" ht="12.0" customHeight="1">
      <c r="A210" s="68"/>
      <c r="B210" s="68"/>
      <c r="C210" s="68"/>
      <c r="D210" s="68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8"/>
      <c r="W210" s="70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70"/>
      <c r="AO210" s="68"/>
    </row>
    <row r="211" ht="12.0" customHeight="1">
      <c r="A211" s="68"/>
      <c r="B211" s="68"/>
      <c r="C211" s="68"/>
      <c r="D211" s="68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8"/>
      <c r="W211" s="70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70"/>
      <c r="AO211" s="68"/>
    </row>
    <row r="212" ht="12.0" customHeight="1">
      <c r="A212" s="68"/>
      <c r="B212" s="68"/>
      <c r="C212" s="68"/>
      <c r="D212" s="68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8"/>
      <c r="W212" s="70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70"/>
      <c r="AO212" s="68"/>
    </row>
    <row r="213" ht="12.0" customHeight="1">
      <c r="A213" s="68"/>
      <c r="B213" s="68"/>
      <c r="C213" s="68"/>
      <c r="D213" s="68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8"/>
      <c r="W213" s="70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70"/>
      <c r="AO213" s="68"/>
    </row>
    <row r="214" ht="12.0" customHeight="1">
      <c r="A214" s="68"/>
      <c r="B214" s="68"/>
      <c r="C214" s="68"/>
      <c r="D214" s="68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8"/>
      <c r="W214" s="70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70"/>
      <c r="AO214" s="68"/>
    </row>
    <row r="215" ht="12.0" customHeight="1">
      <c r="A215" s="68"/>
      <c r="B215" s="68"/>
      <c r="C215" s="68"/>
      <c r="D215" s="68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8"/>
      <c r="W215" s="70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70"/>
      <c r="AO215" s="68"/>
    </row>
    <row r="216" ht="12.0" customHeight="1">
      <c r="A216" s="68"/>
      <c r="B216" s="68"/>
      <c r="C216" s="68"/>
      <c r="D216" s="68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8"/>
      <c r="W216" s="70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70"/>
      <c r="AO216" s="68"/>
    </row>
    <row r="217" ht="12.0" customHeight="1">
      <c r="A217" s="68"/>
      <c r="B217" s="68"/>
      <c r="C217" s="68"/>
      <c r="D217" s="68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8"/>
      <c r="W217" s="70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70"/>
      <c r="AO217" s="68"/>
    </row>
    <row r="218" ht="12.0" customHeight="1">
      <c r="A218" s="68"/>
      <c r="B218" s="68"/>
      <c r="C218" s="68"/>
      <c r="D218" s="68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8"/>
      <c r="W218" s="70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70"/>
      <c r="AO218" s="68"/>
    </row>
    <row r="219" ht="12.0" customHeight="1">
      <c r="A219" s="68"/>
      <c r="B219" s="68"/>
      <c r="C219" s="68"/>
      <c r="D219" s="68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8"/>
      <c r="W219" s="70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70"/>
      <c r="AO219" s="68"/>
    </row>
    <row r="220" ht="12.0" customHeight="1">
      <c r="A220" s="68"/>
      <c r="B220" s="68"/>
      <c r="C220" s="68"/>
      <c r="D220" s="68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8"/>
      <c r="W220" s="70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70"/>
      <c r="AO220" s="68"/>
    </row>
    <row r="221" ht="12.0" customHeight="1">
      <c r="A221" s="68"/>
      <c r="B221" s="68"/>
      <c r="C221" s="68"/>
      <c r="D221" s="68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8"/>
      <c r="W221" s="70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70"/>
      <c r="AO221" s="68"/>
    </row>
    <row r="222" ht="12.0" customHeight="1">
      <c r="A222" s="68"/>
      <c r="B222" s="68"/>
      <c r="C222" s="68"/>
      <c r="D222" s="68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8"/>
      <c r="W222" s="70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70"/>
      <c r="AO222" s="68"/>
    </row>
    <row r="223" ht="12.0" customHeight="1">
      <c r="A223" s="68"/>
      <c r="B223" s="68"/>
      <c r="C223" s="68"/>
      <c r="D223" s="68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8"/>
      <c r="W223" s="70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70"/>
      <c r="AO223" s="68"/>
    </row>
    <row r="224" ht="12.0" customHeight="1">
      <c r="A224" s="68"/>
      <c r="B224" s="68"/>
      <c r="C224" s="68"/>
      <c r="D224" s="68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8"/>
      <c r="W224" s="70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70"/>
      <c r="AO224" s="68"/>
    </row>
    <row r="225" ht="12.0" customHeight="1">
      <c r="A225" s="68"/>
      <c r="B225" s="68"/>
      <c r="C225" s="68"/>
      <c r="D225" s="68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8"/>
      <c r="W225" s="70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70"/>
      <c r="AO225" s="68"/>
    </row>
    <row r="226" ht="12.0" customHeight="1">
      <c r="A226" s="68"/>
      <c r="B226" s="68"/>
      <c r="C226" s="68"/>
      <c r="D226" s="68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8"/>
      <c r="W226" s="70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70"/>
      <c r="AO226" s="68"/>
    </row>
    <row r="227" ht="12.0" customHeight="1">
      <c r="A227" s="68"/>
      <c r="B227" s="68"/>
      <c r="C227" s="68"/>
      <c r="D227" s="68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8"/>
      <c r="W227" s="70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70"/>
      <c r="AO227" s="68"/>
    </row>
    <row r="228" ht="12.0" customHeight="1">
      <c r="A228" s="68"/>
      <c r="B228" s="68"/>
      <c r="C228" s="68"/>
      <c r="D228" s="68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8"/>
      <c r="W228" s="70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70"/>
      <c r="AO228" s="68"/>
    </row>
    <row r="229" ht="12.0" customHeight="1">
      <c r="A229" s="68"/>
      <c r="B229" s="68"/>
      <c r="C229" s="68"/>
      <c r="D229" s="68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8"/>
      <c r="W229" s="70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70"/>
      <c r="AO229" s="68"/>
    </row>
    <row r="230" ht="12.0" customHeight="1">
      <c r="A230" s="68"/>
      <c r="B230" s="68"/>
      <c r="C230" s="68"/>
      <c r="D230" s="68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8"/>
      <c r="W230" s="70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70"/>
      <c r="AO230" s="68"/>
    </row>
    <row r="231" ht="12.0" customHeight="1">
      <c r="A231" s="68"/>
      <c r="B231" s="68"/>
      <c r="C231" s="68"/>
      <c r="D231" s="68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8"/>
      <c r="W231" s="70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70"/>
      <c r="AO231" s="68"/>
    </row>
    <row r="232" ht="12.0" customHeight="1">
      <c r="A232" s="68"/>
      <c r="B232" s="68"/>
      <c r="C232" s="68"/>
      <c r="D232" s="68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8"/>
      <c r="W232" s="70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70"/>
      <c r="AO232" s="68"/>
    </row>
    <row r="233" ht="12.0" customHeight="1">
      <c r="A233" s="68"/>
      <c r="B233" s="68"/>
      <c r="C233" s="68"/>
      <c r="D233" s="68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8"/>
      <c r="W233" s="70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70"/>
      <c r="AO233" s="68"/>
    </row>
    <row r="234" ht="12.0" customHeight="1">
      <c r="A234" s="68"/>
      <c r="B234" s="68"/>
      <c r="C234" s="68"/>
      <c r="D234" s="68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8"/>
      <c r="W234" s="70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70"/>
      <c r="AO234" s="68"/>
    </row>
    <row r="235" ht="12.0" customHeight="1">
      <c r="A235" s="68"/>
      <c r="B235" s="68"/>
      <c r="C235" s="68"/>
      <c r="D235" s="68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8"/>
      <c r="W235" s="70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70"/>
      <c r="AO235" s="68"/>
    </row>
    <row r="236" ht="12.0" customHeight="1">
      <c r="A236" s="68"/>
      <c r="B236" s="68"/>
      <c r="C236" s="68"/>
      <c r="D236" s="68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8"/>
      <c r="W236" s="70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70"/>
      <c r="AO236" s="68"/>
    </row>
    <row r="237" ht="12.0" customHeight="1">
      <c r="A237" s="68"/>
      <c r="B237" s="68"/>
      <c r="C237" s="68"/>
      <c r="D237" s="68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8"/>
      <c r="W237" s="70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70"/>
      <c r="AO237" s="68"/>
    </row>
    <row r="238" ht="12.0" customHeight="1">
      <c r="A238" s="68"/>
      <c r="B238" s="68"/>
      <c r="C238" s="68"/>
      <c r="D238" s="68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8"/>
      <c r="W238" s="70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70"/>
      <c r="AO238" s="68"/>
    </row>
    <row r="239" ht="12.0" customHeight="1">
      <c r="A239" s="68"/>
      <c r="B239" s="68"/>
      <c r="C239" s="68"/>
      <c r="D239" s="68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8"/>
      <c r="W239" s="70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70"/>
      <c r="AO239" s="68"/>
    </row>
    <row r="240" ht="12.0" customHeight="1">
      <c r="A240" s="68"/>
      <c r="B240" s="68"/>
      <c r="C240" s="68"/>
      <c r="D240" s="68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8"/>
      <c r="W240" s="70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70"/>
      <c r="AO240" s="68"/>
    </row>
    <row r="241" ht="12.0" customHeight="1">
      <c r="A241" s="68"/>
      <c r="B241" s="68"/>
      <c r="C241" s="68"/>
      <c r="D241" s="68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8"/>
      <c r="W241" s="70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70"/>
      <c r="AO241" s="68"/>
    </row>
    <row r="242" ht="12.0" customHeight="1">
      <c r="A242" s="68"/>
      <c r="B242" s="68"/>
      <c r="C242" s="68"/>
      <c r="D242" s="68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8"/>
      <c r="W242" s="70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70"/>
      <c r="AO242" s="68"/>
    </row>
    <row r="243" ht="12.0" customHeight="1">
      <c r="A243" s="68"/>
      <c r="B243" s="68"/>
      <c r="C243" s="68"/>
      <c r="D243" s="68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8"/>
      <c r="W243" s="70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70"/>
      <c r="AO243" s="68"/>
    </row>
    <row r="244" ht="12.0" customHeight="1">
      <c r="A244" s="68"/>
      <c r="B244" s="68"/>
      <c r="C244" s="68"/>
      <c r="D244" s="68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8"/>
      <c r="W244" s="70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70"/>
      <c r="AO244" s="68"/>
    </row>
    <row r="245" ht="12.0" customHeight="1">
      <c r="A245" s="68"/>
      <c r="B245" s="68"/>
      <c r="C245" s="68"/>
      <c r="D245" s="68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8"/>
      <c r="W245" s="70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70"/>
      <c r="AO245" s="68"/>
    </row>
    <row r="246" ht="12.0" customHeight="1">
      <c r="A246" s="68"/>
      <c r="B246" s="68"/>
      <c r="C246" s="68"/>
      <c r="D246" s="68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8"/>
      <c r="W246" s="70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70"/>
      <c r="AO246" s="68"/>
    </row>
    <row r="247" ht="12.0" customHeight="1">
      <c r="A247" s="68"/>
      <c r="B247" s="68"/>
      <c r="C247" s="68"/>
      <c r="D247" s="68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8"/>
      <c r="W247" s="70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70"/>
      <c r="AO247" s="68"/>
    </row>
    <row r="248" ht="12.0" customHeight="1">
      <c r="A248" s="68"/>
      <c r="B248" s="68"/>
      <c r="C248" s="68"/>
      <c r="D248" s="68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8"/>
      <c r="W248" s="70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70"/>
      <c r="AO248" s="68"/>
    </row>
    <row r="249" ht="12.0" customHeight="1">
      <c r="A249" s="68"/>
      <c r="B249" s="68"/>
      <c r="C249" s="68"/>
      <c r="D249" s="68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8"/>
      <c r="W249" s="70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70"/>
      <c r="AO249" s="68"/>
    </row>
    <row r="250" ht="12.0" customHeight="1">
      <c r="A250" s="68"/>
      <c r="B250" s="68"/>
      <c r="C250" s="68"/>
      <c r="D250" s="68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8"/>
      <c r="W250" s="70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70"/>
      <c r="AO250" s="68"/>
    </row>
    <row r="251" ht="12.0" customHeight="1">
      <c r="A251" s="68"/>
      <c r="B251" s="68"/>
      <c r="C251" s="68"/>
      <c r="D251" s="68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8"/>
      <c r="W251" s="70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70"/>
      <c r="AO251" s="68"/>
    </row>
    <row r="252" ht="12.0" customHeight="1">
      <c r="A252" s="68"/>
      <c r="B252" s="68"/>
      <c r="C252" s="68"/>
      <c r="D252" s="68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8"/>
      <c r="W252" s="70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70"/>
      <c r="AO252" s="68"/>
    </row>
    <row r="253" ht="12.0" customHeight="1">
      <c r="A253" s="68"/>
      <c r="B253" s="68"/>
      <c r="C253" s="68"/>
      <c r="D253" s="68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8"/>
      <c r="W253" s="70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70"/>
      <c r="AO253" s="68"/>
    </row>
    <row r="254" ht="12.0" customHeight="1">
      <c r="A254" s="68"/>
      <c r="B254" s="68"/>
      <c r="C254" s="68"/>
      <c r="D254" s="68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8"/>
      <c r="W254" s="70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70"/>
      <c r="AO254" s="68"/>
    </row>
    <row r="255" ht="12.0" customHeight="1">
      <c r="A255" s="68"/>
      <c r="B255" s="68"/>
      <c r="C255" s="68"/>
      <c r="D255" s="68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8"/>
      <c r="W255" s="70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70"/>
      <c r="AO255" s="68"/>
    </row>
    <row r="256" ht="12.0" customHeight="1">
      <c r="A256" s="68"/>
      <c r="B256" s="68"/>
      <c r="C256" s="68"/>
      <c r="D256" s="68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8"/>
      <c r="W256" s="70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70"/>
      <c r="AO256" s="68"/>
    </row>
    <row r="257" ht="12.0" customHeight="1">
      <c r="A257" s="68"/>
      <c r="B257" s="68"/>
      <c r="C257" s="68"/>
      <c r="D257" s="68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8"/>
      <c r="W257" s="70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70"/>
      <c r="AO257" s="68"/>
    </row>
    <row r="258" ht="12.0" customHeight="1">
      <c r="A258" s="68"/>
      <c r="B258" s="68"/>
      <c r="C258" s="68"/>
      <c r="D258" s="68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8"/>
      <c r="W258" s="70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70"/>
      <c r="AO258" s="68"/>
    </row>
    <row r="259" ht="12.0" customHeight="1">
      <c r="A259" s="68"/>
      <c r="B259" s="68"/>
      <c r="C259" s="68"/>
      <c r="D259" s="68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8"/>
      <c r="W259" s="70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70"/>
      <c r="AO259" s="68"/>
    </row>
    <row r="260" ht="12.0" customHeight="1">
      <c r="A260" s="68"/>
      <c r="B260" s="68"/>
      <c r="C260" s="68"/>
      <c r="D260" s="68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8"/>
      <c r="W260" s="70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70"/>
      <c r="AO260" s="68"/>
    </row>
    <row r="261" ht="12.0" customHeight="1">
      <c r="A261" s="68"/>
      <c r="B261" s="68"/>
      <c r="C261" s="68"/>
      <c r="D261" s="68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8"/>
      <c r="W261" s="70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70"/>
      <c r="AO261" s="68"/>
    </row>
    <row r="262" ht="12.0" customHeight="1">
      <c r="A262" s="68"/>
      <c r="B262" s="68"/>
      <c r="C262" s="68"/>
      <c r="D262" s="68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8"/>
      <c r="W262" s="70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70"/>
      <c r="AO262" s="68"/>
    </row>
    <row r="263" ht="12.0" customHeight="1">
      <c r="A263" s="68"/>
      <c r="B263" s="68"/>
      <c r="C263" s="68"/>
      <c r="D263" s="68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8"/>
      <c r="W263" s="70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70"/>
      <c r="AO263" s="68"/>
    </row>
    <row r="264" ht="12.0" customHeight="1">
      <c r="A264" s="68"/>
      <c r="B264" s="68"/>
      <c r="C264" s="68"/>
      <c r="D264" s="68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8"/>
      <c r="W264" s="70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70"/>
      <c r="AO264" s="68"/>
    </row>
    <row r="265" ht="12.0" customHeight="1">
      <c r="A265" s="68"/>
      <c r="B265" s="68"/>
      <c r="C265" s="68"/>
      <c r="D265" s="68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8"/>
      <c r="W265" s="70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70"/>
      <c r="AO265" s="68"/>
    </row>
    <row r="266" ht="12.0" customHeight="1">
      <c r="A266" s="68"/>
      <c r="B266" s="68"/>
      <c r="C266" s="68"/>
      <c r="D266" s="68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8"/>
      <c r="W266" s="70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70"/>
      <c r="AO266" s="68"/>
    </row>
    <row r="267" ht="12.0" customHeight="1">
      <c r="A267" s="68"/>
      <c r="B267" s="68"/>
      <c r="C267" s="68"/>
      <c r="D267" s="68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8"/>
      <c r="W267" s="70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70"/>
      <c r="AO267" s="68"/>
    </row>
    <row r="268" ht="12.0" customHeight="1">
      <c r="A268" s="68"/>
      <c r="B268" s="68"/>
      <c r="C268" s="68"/>
      <c r="D268" s="68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8"/>
      <c r="W268" s="70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70"/>
      <c r="AO268" s="68"/>
    </row>
    <row r="269" ht="12.0" customHeight="1">
      <c r="A269" s="68"/>
      <c r="B269" s="68"/>
      <c r="C269" s="68"/>
      <c r="D269" s="68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8"/>
      <c r="W269" s="70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70"/>
      <c r="AO269" s="68"/>
    </row>
    <row r="270" ht="12.0" customHeight="1">
      <c r="A270" s="68"/>
      <c r="B270" s="68"/>
      <c r="C270" s="68"/>
      <c r="D270" s="68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8"/>
      <c r="W270" s="70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70"/>
      <c r="AO270" s="68"/>
    </row>
    <row r="271" ht="12.0" customHeight="1">
      <c r="A271" s="68"/>
      <c r="B271" s="68"/>
      <c r="C271" s="68"/>
      <c r="D271" s="68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8"/>
      <c r="W271" s="70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70"/>
      <c r="AO271" s="68"/>
    </row>
    <row r="272" ht="12.0" customHeight="1">
      <c r="A272" s="68"/>
      <c r="B272" s="68"/>
      <c r="C272" s="68"/>
      <c r="D272" s="68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8"/>
      <c r="W272" s="70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70"/>
      <c r="AO272" s="68"/>
    </row>
    <row r="273" ht="12.0" customHeight="1">
      <c r="A273" s="68"/>
      <c r="B273" s="68"/>
      <c r="C273" s="68"/>
      <c r="D273" s="68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8"/>
      <c r="W273" s="70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70"/>
      <c r="AO273" s="68"/>
    </row>
    <row r="274" ht="12.0" customHeight="1">
      <c r="A274" s="68"/>
      <c r="B274" s="68"/>
      <c r="C274" s="68"/>
      <c r="D274" s="68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8"/>
      <c r="W274" s="70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70"/>
      <c r="AO274" s="68"/>
    </row>
    <row r="275" ht="12.0" customHeight="1">
      <c r="A275" s="68"/>
      <c r="B275" s="68"/>
      <c r="C275" s="68"/>
      <c r="D275" s="68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8"/>
      <c r="W275" s="70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70"/>
      <c r="AO275" s="68"/>
    </row>
    <row r="276" ht="12.0" customHeight="1">
      <c r="A276" s="68"/>
      <c r="B276" s="68"/>
      <c r="C276" s="68"/>
      <c r="D276" s="68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8"/>
      <c r="W276" s="70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70"/>
      <c r="AO276" s="68"/>
    </row>
    <row r="277" ht="12.0" customHeight="1">
      <c r="A277" s="68"/>
      <c r="B277" s="68"/>
      <c r="C277" s="68"/>
      <c r="D277" s="68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8"/>
      <c r="W277" s="70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70"/>
      <c r="AO277" s="68"/>
    </row>
    <row r="278" ht="12.0" customHeight="1">
      <c r="A278" s="68"/>
      <c r="B278" s="68"/>
      <c r="C278" s="68"/>
      <c r="D278" s="68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8"/>
      <c r="W278" s="70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70"/>
      <c r="AO278" s="68"/>
    </row>
    <row r="279" ht="12.0" customHeight="1">
      <c r="A279" s="68"/>
      <c r="B279" s="68"/>
      <c r="C279" s="68"/>
      <c r="D279" s="68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8"/>
      <c r="W279" s="70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70"/>
      <c r="AO279" s="68"/>
    </row>
    <row r="280" ht="12.0" customHeight="1">
      <c r="A280" s="68"/>
      <c r="B280" s="68"/>
      <c r="C280" s="68"/>
      <c r="D280" s="68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8"/>
      <c r="W280" s="70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70"/>
      <c r="AO280" s="68"/>
    </row>
    <row r="281" ht="12.0" customHeight="1">
      <c r="A281" s="68"/>
      <c r="B281" s="68"/>
      <c r="C281" s="68"/>
      <c r="D281" s="68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8"/>
      <c r="W281" s="70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70"/>
      <c r="AO281" s="68"/>
    </row>
    <row r="282" ht="12.0" customHeight="1">
      <c r="A282" s="68"/>
      <c r="B282" s="68"/>
      <c r="C282" s="68"/>
      <c r="D282" s="68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8"/>
      <c r="W282" s="70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70"/>
      <c r="AO282" s="68"/>
    </row>
    <row r="283" ht="12.0" customHeight="1">
      <c r="A283" s="68"/>
      <c r="B283" s="68"/>
      <c r="C283" s="68"/>
      <c r="D283" s="68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8"/>
      <c r="W283" s="70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70"/>
      <c r="AO283" s="68"/>
    </row>
    <row r="284" ht="12.0" customHeight="1">
      <c r="A284" s="68"/>
      <c r="B284" s="68"/>
      <c r="C284" s="68"/>
      <c r="D284" s="68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8"/>
      <c r="W284" s="70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70"/>
      <c r="AO284" s="68"/>
    </row>
    <row r="285" ht="12.0" customHeight="1">
      <c r="A285" s="68"/>
      <c r="B285" s="68"/>
      <c r="C285" s="68"/>
      <c r="D285" s="68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8"/>
      <c r="W285" s="70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70"/>
      <c r="AO285" s="68"/>
    </row>
    <row r="286" ht="12.0" customHeight="1">
      <c r="A286" s="68"/>
      <c r="B286" s="68"/>
      <c r="C286" s="68"/>
      <c r="D286" s="68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8"/>
      <c r="W286" s="70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70"/>
      <c r="AO286" s="68"/>
    </row>
    <row r="287" ht="12.0" customHeight="1">
      <c r="A287" s="68"/>
      <c r="B287" s="68"/>
      <c r="C287" s="68"/>
      <c r="D287" s="68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8"/>
      <c r="W287" s="70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70"/>
      <c r="AO287" s="68"/>
    </row>
    <row r="288" ht="12.0" customHeight="1">
      <c r="A288" s="68"/>
      <c r="B288" s="68"/>
      <c r="C288" s="68"/>
      <c r="D288" s="68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8"/>
      <c r="W288" s="70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70"/>
      <c r="AO288" s="68"/>
    </row>
    <row r="289" ht="12.0" customHeight="1">
      <c r="A289" s="68"/>
      <c r="B289" s="68"/>
      <c r="C289" s="68"/>
      <c r="D289" s="68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8"/>
      <c r="W289" s="70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70"/>
      <c r="AO289" s="68"/>
    </row>
    <row r="290" ht="12.0" customHeight="1">
      <c r="A290" s="68"/>
      <c r="B290" s="68"/>
      <c r="C290" s="68"/>
      <c r="D290" s="68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8"/>
      <c r="W290" s="70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70"/>
      <c r="AO290" s="68"/>
    </row>
    <row r="291" ht="12.0" customHeight="1">
      <c r="A291" s="68"/>
      <c r="B291" s="68"/>
      <c r="C291" s="68"/>
      <c r="D291" s="68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8"/>
      <c r="W291" s="70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70"/>
      <c r="AO291" s="68"/>
    </row>
    <row r="292" ht="12.0" customHeight="1">
      <c r="A292" s="68"/>
      <c r="B292" s="68"/>
      <c r="C292" s="68"/>
      <c r="D292" s="68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8"/>
      <c r="W292" s="70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70"/>
      <c r="AO292" s="68"/>
    </row>
    <row r="293" ht="12.0" customHeight="1">
      <c r="A293" s="68"/>
      <c r="B293" s="68"/>
      <c r="C293" s="68"/>
      <c r="D293" s="68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8"/>
      <c r="W293" s="70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70"/>
      <c r="AO293" s="68"/>
    </row>
    <row r="294" ht="12.0" customHeight="1">
      <c r="A294" s="68"/>
      <c r="B294" s="68"/>
      <c r="C294" s="68"/>
      <c r="D294" s="68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8"/>
      <c r="W294" s="70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70"/>
      <c r="AO294" s="68"/>
    </row>
    <row r="295" ht="12.0" customHeight="1">
      <c r="A295" s="68"/>
      <c r="B295" s="68"/>
      <c r="C295" s="68"/>
      <c r="D295" s="68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8"/>
      <c r="W295" s="70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70"/>
      <c r="AO295" s="68"/>
    </row>
    <row r="296" ht="12.0" customHeight="1">
      <c r="A296" s="68"/>
      <c r="B296" s="68"/>
      <c r="C296" s="68"/>
      <c r="D296" s="68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8"/>
      <c r="W296" s="70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70"/>
      <c r="AO296" s="68"/>
    </row>
    <row r="297" ht="12.0" customHeight="1">
      <c r="A297" s="68"/>
      <c r="B297" s="68"/>
      <c r="C297" s="68"/>
      <c r="D297" s="68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8"/>
      <c r="W297" s="70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70"/>
      <c r="AO297" s="68"/>
    </row>
    <row r="298" ht="12.0" customHeight="1">
      <c r="A298" s="68"/>
      <c r="B298" s="68"/>
      <c r="C298" s="68"/>
      <c r="D298" s="68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8"/>
      <c r="W298" s="70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70"/>
      <c r="AO298" s="68"/>
    </row>
    <row r="299" ht="12.0" customHeight="1">
      <c r="A299" s="68"/>
      <c r="B299" s="68"/>
      <c r="C299" s="68"/>
      <c r="D299" s="68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8"/>
      <c r="W299" s="70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70"/>
      <c r="AO299" s="68"/>
    </row>
    <row r="300" ht="12.0" customHeight="1">
      <c r="A300" s="68"/>
      <c r="B300" s="68"/>
      <c r="C300" s="68"/>
      <c r="D300" s="68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8"/>
      <c r="W300" s="70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70"/>
      <c r="AO300" s="68"/>
    </row>
    <row r="301" ht="12.0" customHeight="1">
      <c r="A301" s="68"/>
      <c r="B301" s="68"/>
      <c r="C301" s="68"/>
      <c r="D301" s="68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8"/>
      <c r="W301" s="70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70"/>
      <c r="AO301" s="68"/>
    </row>
    <row r="302" ht="12.0" customHeight="1">
      <c r="A302" s="68"/>
      <c r="B302" s="68"/>
      <c r="C302" s="68"/>
      <c r="D302" s="68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8"/>
      <c r="W302" s="70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70"/>
      <c r="AO302" s="68"/>
    </row>
    <row r="303" ht="12.0" customHeight="1">
      <c r="A303" s="68"/>
      <c r="B303" s="68"/>
      <c r="C303" s="68"/>
      <c r="D303" s="68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8"/>
      <c r="W303" s="70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70"/>
      <c r="AO303" s="68"/>
    </row>
    <row r="304" ht="12.0" customHeight="1">
      <c r="A304" s="68"/>
      <c r="B304" s="68"/>
      <c r="C304" s="68"/>
      <c r="D304" s="68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8"/>
      <c r="W304" s="70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70"/>
      <c r="AO304" s="68"/>
    </row>
    <row r="305" ht="12.0" customHeight="1">
      <c r="A305" s="68"/>
      <c r="B305" s="68"/>
      <c r="C305" s="68"/>
      <c r="D305" s="68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8"/>
      <c r="W305" s="70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70"/>
      <c r="AO305" s="68"/>
    </row>
    <row r="306" ht="12.0" customHeight="1">
      <c r="A306" s="68"/>
      <c r="B306" s="68"/>
      <c r="C306" s="68"/>
      <c r="D306" s="68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8"/>
      <c r="W306" s="70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70"/>
      <c r="AO306" s="68"/>
    </row>
    <row r="307" ht="12.0" customHeight="1">
      <c r="A307" s="68"/>
      <c r="B307" s="68"/>
      <c r="C307" s="68"/>
      <c r="D307" s="68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8"/>
      <c r="W307" s="70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70"/>
      <c r="AO307" s="68"/>
    </row>
    <row r="308" ht="12.0" customHeight="1">
      <c r="A308" s="68"/>
      <c r="B308" s="68"/>
      <c r="C308" s="68"/>
      <c r="D308" s="68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8"/>
      <c r="W308" s="70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70"/>
      <c r="AO308" s="68"/>
    </row>
    <row r="309" ht="12.0" customHeight="1">
      <c r="A309" s="68"/>
      <c r="B309" s="68"/>
      <c r="C309" s="68"/>
      <c r="D309" s="68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8"/>
      <c r="W309" s="70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70"/>
      <c r="AO309" s="68"/>
    </row>
    <row r="310" ht="12.0" customHeight="1">
      <c r="A310" s="68"/>
      <c r="B310" s="68"/>
      <c r="C310" s="68"/>
      <c r="D310" s="68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8"/>
      <c r="W310" s="70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70"/>
      <c r="AO310" s="68"/>
    </row>
    <row r="311" ht="12.0" customHeight="1">
      <c r="A311" s="68"/>
      <c r="B311" s="68"/>
      <c r="C311" s="68"/>
      <c r="D311" s="68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8"/>
      <c r="W311" s="70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70"/>
      <c r="AO311" s="68"/>
    </row>
    <row r="312" ht="12.0" customHeight="1">
      <c r="A312" s="68"/>
      <c r="B312" s="68"/>
      <c r="C312" s="68"/>
      <c r="D312" s="68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8"/>
      <c r="W312" s="70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70"/>
      <c r="AO312" s="68"/>
    </row>
    <row r="313" ht="12.0" customHeight="1">
      <c r="A313" s="68"/>
      <c r="B313" s="68"/>
      <c r="C313" s="68"/>
      <c r="D313" s="68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8"/>
      <c r="W313" s="70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70"/>
      <c r="AO313" s="68"/>
    </row>
    <row r="314" ht="12.0" customHeight="1">
      <c r="A314" s="68"/>
      <c r="B314" s="68"/>
      <c r="C314" s="68"/>
      <c r="D314" s="68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8"/>
      <c r="W314" s="70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70"/>
      <c r="AO314" s="68"/>
    </row>
    <row r="315" ht="12.0" customHeight="1">
      <c r="A315" s="68"/>
      <c r="B315" s="68"/>
      <c r="C315" s="68"/>
      <c r="D315" s="68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8"/>
      <c r="W315" s="70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70"/>
      <c r="AO315" s="68"/>
    </row>
    <row r="316" ht="12.0" customHeight="1">
      <c r="A316" s="68"/>
      <c r="B316" s="68"/>
      <c r="C316" s="68"/>
      <c r="D316" s="68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8"/>
      <c r="W316" s="70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70"/>
      <c r="AO316" s="68"/>
    </row>
    <row r="317" ht="12.0" customHeight="1">
      <c r="A317" s="68"/>
      <c r="B317" s="68"/>
      <c r="C317" s="68"/>
      <c r="D317" s="68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8"/>
      <c r="W317" s="70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70"/>
      <c r="AO317" s="68"/>
    </row>
    <row r="318" ht="12.0" customHeight="1">
      <c r="A318" s="68"/>
      <c r="B318" s="68"/>
      <c r="C318" s="68"/>
      <c r="D318" s="68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8"/>
      <c r="W318" s="70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70"/>
      <c r="AO318" s="68"/>
    </row>
    <row r="319" ht="12.0" customHeight="1">
      <c r="A319" s="68"/>
      <c r="B319" s="68"/>
      <c r="C319" s="68"/>
      <c r="D319" s="68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8"/>
      <c r="W319" s="70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70"/>
      <c r="AO319" s="68"/>
    </row>
    <row r="320" ht="12.0" customHeight="1">
      <c r="A320" s="68"/>
      <c r="B320" s="68"/>
      <c r="C320" s="68"/>
      <c r="D320" s="68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8"/>
      <c r="W320" s="70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70"/>
      <c r="AO320" s="68"/>
    </row>
    <row r="321" ht="12.0" customHeight="1">
      <c r="A321" s="68"/>
      <c r="B321" s="68"/>
      <c r="C321" s="68"/>
      <c r="D321" s="68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8"/>
      <c r="W321" s="70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70"/>
      <c r="AO321" s="68"/>
    </row>
    <row r="322" ht="12.0" customHeight="1">
      <c r="A322" s="68"/>
      <c r="B322" s="68"/>
      <c r="C322" s="68"/>
      <c r="D322" s="68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8"/>
      <c r="W322" s="70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70"/>
      <c r="AO322" s="68"/>
    </row>
    <row r="323" ht="12.0" customHeight="1">
      <c r="A323" s="68"/>
      <c r="B323" s="68"/>
      <c r="C323" s="68"/>
      <c r="D323" s="68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8"/>
      <c r="W323" s="70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70"/>
      <c r="AO323" s="68"/>
    </row>
    <row r="324" ht="12.0" customHeight="1">
      <c r="A324" s="68"/>
      <c r="B324" s="68"/>
      <c r="C324" s="68"/>
      <c r="D324" s="68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8"/>
      <c r="W324" s="70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70"/>
      <c r="AO324" s="68"/>
    </row>
    <row r="325" ht="12.0" customHeight="1">
      <c r="A325" s="68"/>
      <c r="B325" s="68"/>
      <c r="C325" s="68"/>
      <c r="D325" s="68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8"/>
      <c r="W325" s="70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70"/>
      <c r="AO325" s="68"/>
    </row>
    <row r="326" ht="12.0" customHeight="1">
      <c r="A326" s="68"/>
      <c r="B326" s="68"/>
      <c r="C326" s="68"/>
      <c r="D326" s="68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8"/>
      <c r="W326" s="70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70"/>
      <c r="AO326" s="68"/>
    </row>
    <row r="327" ht="12.0" customHeight="1">
      <c r="A327" s="68"/>
      <c r="B327" s="68"/>
      <c r="C327" s="68"/>
      <c r="D327" s="68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8"/>
      <c r="W327" s="70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70"/>
      <c r="AO327" s="68"/>
    </row>
    <row r="328" ht="12.0" customHeight="1">
      <c r="A328" s="68"/>
      <c r="B328" s="68"/>
      <c r="C328" s="68"/>
      <c r="D328" s="68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8"/>
      <c r="W328" s="70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70"/>
      <c r="AO328" s="68"/>
    </row>
    <row r="329" ht="12.0" customHeight="1">
      <c r="A329" s="68"/>
      <c r="B329" s="68"/>
      <c r="C329" s="68"/>
      <c r="D329" s="68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8"/>
      <c r="W329" s="70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70"/>
      <c r="AO329" s="68"/>
    </row>
    <row r="330" ht="12.0" customHeight="1">
      <c r="A330" s="68"/>
      <c r="B330" s="68"/>
      <c r="C330" s="68"/>
      <c r="D330" s="68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8"/>
      <c r="W330" s="70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70"/>
      <c r="AO330" s="68"/>
    </row>
    <row r="331" ht="12.0" customHeight="1">
      <c r="A331" s="68"/>
      <c r="B331" s="68"/>
      <c r="C331" s="68"/>
      <c r="D331" s="68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8"/>
      <c r="W331" s="70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70"/>
      <c r="AO331" s="68"/>
    </row>
    <row r="332" ht="12.0" customHeight="1">
      <c r="A332" s="68"/>
      <c r="B332" s="68"/>
      <c r="C332" s="68"/>
      <c r="D332" s="68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8"/>
      <c r="W332" s="70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70"/>
      <c r="AO332" s="68"/>
    </row>
    <row r="333" ht="12.0" customHeight="1">
      <c r="A333" s="68"/>
      <c r="B333" s="68"/>
      <c r="C333" s="68"/>
      <c r="D333" s="68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8"/>
      <c r="W333" s="70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70"/>
      <c r="AO333" s="68"/>
    </row>
    <row r="334" ht="12.0" customHeight="1">
      <c r="A334" s="68"/>
      <c r="B334" s="68"/>
      <c r="C334" s="68"/>
      <c r="D334" s="68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8"/>
      <c r="W334" s="70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70"/>
      <c r="AO334" s="68"/>
    </row>
    <row r="335" ht="12.0" customHeight="1">
      <c r="A335" s="68"/>
      <c r="B335" s="68"/>
      <c r="C335" s="68"/>
      <c r="D335" s="68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8"/>
      <c r="W335" s="70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70"/>
      <c r="AO335" s="68"/>
    </row>
    <row r="336" ht="12.0" customHeight="1">
      <c r="A336" s="68"/>
      <c r="B336" s="68"/>
      <c r="C336" s="68"/>
      <c r="D336" s="68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8"/>
      <c r="W336" s="70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70"/>
      <c r="AO336" s="68"/>
    </row>
    <row r="337" ht="12.0" customHeight="1">
      <c r="A337" s="68"/>
      <c r="B337" s="68"/>
      <c r="C337" s="68"/>
      <c r="D337" s="68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8"/>
      <c r="W337" s="70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70"/>
      <c r="AO337" s="68"/>
    </row>
    <row r="338" ht="12.0" customHeight="1">
      <c r="A338" s="68"/>
      <c r="B338" s="68"/>
      <c r="C338" s="68"/>
      <c r="D338" s="68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8"/>
      <c r="W338" s="70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70"/>
      <c r="AO338" s="68"/>
    </row>
    <row r="339" ht="12.0" customHeight="1">
      <c r="A339" s="68"/>
      <c r="B339" s="68"/>
      <c r="C339" s="68"/>
      <c r="D339" s="68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8"/>
      <c r="W339" s="70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70"/>
      <c r="AO339" s="68"/>
    </row>
    <row r="340" ht="12.0" customHeight="1">
      <c r="A340" s="68"/>
      <c r="B340" s="68"/>
      <c r="C340" s="68"/>
      <c r="D340" s="68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8"/>
      <c r="W340" s="70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70"/>
      <c r="AO340" s="68"/>
    </row>
    <row r="341" ht="12.0" customHeight="1">
      <c r="A341" s="68"/>
      <c r="B341" s="68"/>
      <c r="C341" s="68"/>
      <c r="D341" s="68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8"/>
      <c r="W341" s="70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70"/>
      <c r="AO341" s="68"/>
    </row>
    <row r="342" ht="12.0" customHeight="1">
      <c r="A342" s="68"/>
      <c r="B342" s="68"/>
      <c r="C342" s="68"/>
      <c r="D342" s="68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8"/>
      <c r="W342" s="70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70"/>
      <c r="AO342" s="68"/>
    </row>
    <row r="343" ht="12.0" customHeight="1">
      <c r="A343" s="68"/>
      <c r="B343" s="68"/>
      <c r="C343" s="68"/>
      <c r="D343" s="68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8"/>
      <c r="W343" s="70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70"/>
      <c r="AO343" s="68"/>
    </row>
    <row r="344" ht="12.0" customHeight="1">
      <c r="A344" s="68"/>
      <c r="B344" s="68"/>
      <c r="C344" s="68"/>
      <c r="D344" s="68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8"/>
      <c r="W344" s="70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70"/>
      <c r="AO344" s="68"/>
    </row>
    <row r="345" ht="12.0" customHeight="1">
      <c r="A345" s="68"/>
      <c r="B345" s="68"/>
      <c r="C345" s="68"/>
      <c r="D345" s="68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8"/>
      <c r="W345" s="70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70"/>
      <c r="AO345" s="68"/>
    </row>
    <row r="346" ht="12.0" customHeight="1">
      <c r="A346" s="68"/>
      <c r="B346" s="68"/>
      <c r="C346" s="68"/>
      <c r="D346" s="68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8"/>
      <c r="W346" s="70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70"/>
      <c r="AO346" s="68"/>
    </row>
    <row r="347" ht="12.0" customHeight="1">
      <c r="A347" s="68"/>
      <c r="B347" s="68"/>
      <c r="C347" s="68"/>
      <c r="D347" s="68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8"/>
      <c r="W347" s="70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70"/>
      <c r="AO347" s="68"/>
    </row>
    <row r="348" ht="12.0" customHeight="1">
      <c r="A348" s="68"/>
      <c r="B348" s="68"/>
      <c r="C348" s="68"/>
      <c r="D348" s="68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8"/>
      <c r="W348" s="70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70"/>
      <c r="AO348" s="68"/>
    </row>
    <row r="349" ht="12.0" customHeight="1">
      <c r="A349" s="68"/>
      <c r="B349" s="68"/>
      <c r="C349" s="68"/>
      <c r="D349" s="68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8"/>
      <c r="W349" s="70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70"/>
      <c r="AO349" s="68"/>
    </row>
    <row r="350" ht="12.0" customHeight="1">
      <c r="A350" s="68"/>
      <c r="B350" s="68"/>
      <c r="C350" s="68"/>
      <c r="D350" s="68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8"/>
      <c r="W350" s="70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70"/>
      <c r="AO350" s="68"/>
    </row>
    <row r="351" ht="12.0" customHeight="1">
      <c r="A351" s="68"/>
      <c r="B351" s="68"/>
      <c r="C351" s="68"/>
      <c r="D351" s="68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8"/>
      <c r="W351" s="70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70"/>
      <c r="AO351" s="68"/>
    </row>
    <row r="352" ht="12.0" customHeight="1">
      <c r="A352" s="68"/>
      <c r="B352" s="68"/>
      <c r="C352" s="68"/>
      <c r="D352" s="68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8"/>
      <c r="W352" s="70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70"/>
      <c r="AO352" s="68"/>
    </row>
    <row r="353" ht="12.0" customHeight="1">
      <c r="A353" s="68"/>
      <c r="B353" s="68"/>
      <c r="C353" s="68"/>
      <c r="D353" s="68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8"/>
      <c r="W353" s="70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70"/>
      <c r="AO353" s="68"/>
    </row>
    <row r="354" ht="12.0" customHeight="1">
      <c r="A354" s="68"/>
      <c r="B354" s="68"/>
      <c r="C354" s="68"/>
      <c r="D354" s="68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8"/>
      <c r="W354" s="70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70"/>
      <c r="AO354" s="68"/>
    </row>
    <row r="355" ht="12.0" customHeight="1">
      <c r="A355" s="68"/>
      <c r="B355" s="68"/>
      <c r="C355" s="68"/>
      <c r="D355" s="68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8"/>
      <c r="W355" s="70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70"/>
      <c r="AO355" s="68"/>
    </row>
    <row r="356" ht="12.0" customHeight="1">
      <c r="A356" s="68"/>
      <c r="B356" s="68"/>
      <c r="C356" s="68"/>
      <c r="D356" s="68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8"/>
      <c r="W356" s="70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70"/>
      <c r="AO356" s="68"/>
    </row>
    <row r="357" ht="12.0" customHeight="1">
      <c r="A357" s="68"/>
      <c r="B357" s="68"/>
      <c r="C357" s="68"/>
      <c r="D357" s="68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8"/>
      <c r="W357" s="70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70"/>
      <c r="AO357" s="68"/>
    </row>
    <row r="358" ht="12.0" customHeight="1">
      <c r="A358" s="68"/>
      <c r="B358" s="68"/>
      <c r="C358" s="68"/>
      <c r="D358" s="68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8"/>
      <c r="W358" s="70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70"/>
      <c r="AO358" s="68"/>
    </row>
    <row r="359" ht="12.0" customHeight="1">
      <c r="A359" s="68"/>
      <c r="B359" s="68"/>
      <c r="C359" s="68"/>
      <c r="D359" s="68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8"/>
      <c r="W359" s="70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70"/>
      <c r="AO359" s="68"/>
    </row>
    <row r="360" ht="12.0" customHeight="1">
      <c r="A360" s="68"/>
      <c r="B360" s="68"/>
      <c r="C360" s="68"/>
      <c r="D360" s="68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8"/>
      <c r="W360" s="70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70"/>
      <c r="AO360" s="68"/>
    </row>
    <row r="361" ht="12.0" customHeight="1">
      <c r="A361" s="68"/>
      <c r="B361" s="68"/>
      <c r="C361" s="68"/>
      <c r="D361" s="68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8"/>
      <c r="W361" s="70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70"/>
      <c r="AO361" s="68"/>
    </row>
    <row r="362" ht="12.0" customHeight="1">
      <c r="A362" s="68"/>
      <c r="B362" s="68"/>
      <c r="C362" s="68"/>
      <c r="D362" s="68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8"/>
      <c r="W362" s="70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70"/>
      <c r="AO362" s="68"/>
    </row>
    <row r="363" ht="12.0" customHeight="1">
      <c r="A363" s="68"/>
      <c r="B363" s="68"/>
      <c r="C363" s="68"/>
      <c r="D363" s="68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8"/>
      <c r="W363" s="70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70"/>
      <c r="AO363" s="68"/>
    </row>
    <row r="364" ht="12.0" customHeight="1">
      <c r="A364" s="68"/>
      <c r="B364" s="68"/>
      <c r="C364" s="68"/>
      <c r="D364" s="68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8"/>
      <c r="W364" s="70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70"/>
      <c r="AO364" s="68"/>
    </row>
    <row r="365" ht="12.0" customHeight="1">
      <c r="A365" s="68"/>
      <c r="B365" s="68"/>
      <c r="C365" s="68"/>
      <c r="D365" s="68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8"/>
      <c r="W365" s="70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70"/>
      <c r="AO365" s="68"/>
    </row>
    <row r="366" ht="12.0" customHeight="1">
      <c r="A366" s="68"/>
      <c r="B366" s="68"/>
      <c r="C366" s="68"/>
      <c r="D366" s="68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8"/>
      <c r="W366" s="70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70"/>
      <c r="AO366" s="68"/>
    </row>
    <row r="367" ht="12.0" customHeight="1">
      <c r="A367" s="68"/>
      <c r="B367" s="68"/>
      <c r="C367" s="68"/>
      <c r="D367" s="68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8"/>
      <c r="W367" s="70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70"/>
      <c r="AO367" s="68"/>
    </row>
    <row r="368" ht="12.0" customHeight="1">
      <c r="A368" s="68"/>
      <c r="B368" s="68"/>
      <c r="C368" s="68"/>
      <c r="D368" s="68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8"/>
      <c r="W368" s="70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70"/>
      <c r="AO368" s="68"/>
    </row>
    <row r="369" ht="12.0" customHeight="1">
      <c r="A369" s="68"/>
      <c r="B369" s="68"/>
      <c r="C369" s="68"/>
      <c r="D369" s="68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8"/>
      <c r="W369" s="70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70"/>
      <c r="AO369" s="68"/>
    </row>
    <row r="370" ht="12.0" customHeight="1">
      <c r="A370" s="68"/>
      <c r="B370" s="68"/>
      <c r="C370" s="68"/>
      <c r="D370" s="68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8"/>
      <c r="W370" s="70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70"/>
      <c r="AO370" s="68"/>
    </row>
    <row r="371" ht="12.0" customHeight="1">
      <c r="A371" s="68"/>
      <c r="B371" s="68"/>
      <c r="C371" s="68"/>
      <c r="D371" s="68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8"/>
      <c r="W371" s="70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70"/>
      <c r="AO371" s="68"/>
    </row>
    <row r="372" ht="12.0" customHeight="1">
      <c r="A372" s="68"/>
      <c r="B372" s="68"/>
      <c r="C372" s="68"/>
      <c r="D372" s="68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8"/>
      <c r="W372" s="70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70"/>
      <c r="AO372" s="68"/>
    </row>
    <row r="373" ht="12.0" customHeight="1">
      <c r="A373" s="68"/>
      <c r="B373" s="68"/>
      <c r="C373" s="68"/>
      <c r="D373" s="68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8"/>
      <c r="W373" s="70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70"/>
      <c r="AO373" s="68"/>
    </row>
    <row r="374" ht="12.0" customHeight="1">
      <c r="A374" s="68"/>
      <c r="B374" s="68"/>
      <c r="C374" s="68"/>
      <c r="D374" s="68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8"/>
      <c r="W374" s="70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70"/>
      <c r="AO374" s="68"/>
    </row>
    <row r="375" ht="12.0" customHeight="1">
      <c r="A375" s="68"/>
      <c r="B375" s="68"/>
      <c r="C375" s="68"/>
      <c r="D375" s="68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8"/>
      <c r="W375" s="70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70"/>
      <c r="AO375" s="68"/>
    </row>
    <row r="376" ht="12.0" customHeight="1">
      <c r="A376" s="68"/>
      <c r="B376" s="68"/>
      <c r="C376" s="68"/>
      <c r="D376" s="68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8"/>
      <c r="W376" s="70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70"/>
      <c r="AO376" s="68"/>
    </row>
    <row r="377" ht="12.0" customHeight="1">
      <c r="A377" s="68"/>
      <c r="B377" s="68"/>
      <c r="C377" s="68"/>
      <c r="D377" s="68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8"/>
      <c r="W377" s="70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70"/>
      <c r="AO377" s="68"/>
    </row>
    <row r="378" ht="12.0" customHeight="1">
      <c r="A378" s="68"/>
      <c r="B378" s="68"/>
      <c r="C378" s="68"/>
      <c r="D378" s="68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8"/>
      <c r="W378" s="70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70"/>
      <c r="AO378" s="68"/>
    </row>
    <row r="379" ht="12.0" customHeight="1">
      <c r="A379" s="68"/>
      <c r="B379" s="68"/>
      <c r="C379" s="68"/>
      <c r="D379" s="68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8"/>
      <c r="W379" s="70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70"/>
      <c r="AO379" s="68"/>
    </row>
    <row r="380" ht="12.0" customHeight="1">
      <c r="A380" s="68"/>
      <c r="B380" s="68"/>
      <c r="C380" s="68"/>
      <c r="D380" s="68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8"/>
      <c r="W380" s="70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70"/>
      <c r="AO380" s="68"/>
    </row>
    <row r="381" ht="12.0" customHeight="1">
      <c r="A381" s="68"/>
      <c r="B381" s="68"/>
      <c r="C381" s="68"/>
      <c r="D381" s="68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8"/>
      <c r="W381" s="70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70"/>
      <c r="AO381" s="68"/>
    </row>
    <row r="382" ht="12.0" customHeight="1">
      <c r="A382" s="68"/>
      <c r="B382" s="68"/>
      <c r="C382" s="68"/>
      <c r="D382" s="68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8"/>
      <c r="W382" s="70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70"/>
      <c r="AO382" s="68"/>
    </row>
    <row r="383" ht="12.0" customHeight="1">
      <c r="A383" s="68"/>
      <c r="B383" s="68"/>
      <c r="C383" s="68"/>
      <c r="D383" s="68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8"/>
      <c r="W383" s="70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70"/>
      <c r="AO383" s="68"/>
    </row>
    <row r="384" ht="12.0" customHeight="1">
      <c r="A384" s="68"/>
      <c r="B384" s="68"/>
      <c r="C384" s="68"/>
      <c r="D384" s="68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8"/>
      <c r="W384" s="70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70"/>
      <c r="AO384" s="68"/>
    </row>
    <row r="385" ht="12.0" customHeight="1">
      <c r="A385" s="68"/>
      <c r="B385" s="68"/>
      <c r="C385" s="68"/>
      <c r="D385" s="68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8"/>
      <c r="W385" s="70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70"/>
      <c r="AO385" s="68"/>
    </row>
    <row r="386" ht="12.0" customHeight="1">
      <c r="A386" s="68"/>
      <c r="B386" s="68"/>
      <c r="C386" s="68"/>
      <c r="D386" s="68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8"/>
      <c r="W386" s="70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70"/>
      <c r="AO386" s="68"/>
    </row>
    <row r="387" ht="12.0" customHeight="1">
      <c r="A387" s="68"/>
      <c r="B387" s="68"/>
      <c r="C387" s="68"/>
      <c r="D387" s="68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8"/>
      <c r="W387" s="70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70"/>
      <c r="AO387" s="68"/>
    </row>
    <row r="388" ht="12.0" customHeight="1">
      <c r="A388" s="68"/>
      <c r="B388" s="68"/>
      <c r="C388" s="68"/>
      <c r="D388" s="68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8"/>
      <c r="W388" s="70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70"/>
      <c r="AO388" s="68"/>
    </row>
    <row r="389" ht="12.0" customHeight="1">
      <c r="A389" s="68"/>
      <c r="B389" s="68"/>
      <c r="C389" s="68"/>
      <c r="D389" s="68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8"/>
      <c r="W389" s="70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70"/>
      <c r="AO389" s="68"/>
    </row>
    <row r="390" ht="12.0" customHeight="1">
      <c r="A390" s="68"/>
      <c r="B390" s="68"/>
      <c r="C390" s="68"/>
      <c r="D390" s="68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8"/>
      <c r="W390" s="70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70"/>
      <c r="AO390" s="68"/>
    </row>
    <row r="391" ht="12.0" customHeight="1">
      <c r="A391" s="68"/>
      <c r="B391" s="68"/>
      <c r="C391" s="68"/>
      <c r="D391" s="68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8"/>
      <c r="W391" s="70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70"/>
      <c r="AO391" s="68"/>
    </row>
    <row r="392" ht="12.0" customHeight="1">
      <c r="A392" s="68"/>
      <c r="B392" s="68"/>
      <c r="C392" s="68"/>
      <c r="D392" s="68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8"/>
      <c r="W392" s="70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70"/>
      <c r="AO392" s="68"/>
    </row>
    <row r="393" ht="12.0" customHeight="1">
      <c r="A393" s="68"/>
      <c r="B393" s="68"/>
      <c r="C393" s="68"/>
      <c r="D393" s="68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8"/>
      <c r="W393" s="70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70"/>
      <c r="AO393" s="68"/>
    </row>
    <row r="394" ht="12.0" customHeight="1">
      <c r="A394" s="68"/>
      <c r="B394" s="68"/>
      <c r="C394" s="68"/>
      <c r="D394" s="68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8"/>
      <c r="W394" s="70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70"/>
      <c r="AO394" s="68"/>
    </row>
    <row r="395" ht="12.0" customHeight="1">
      <c r="A395" s="68"/>
      <c r="B395" s="68"/>
      <c r="C395" s="68"/>
      <c r="D395" s="68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8"/>
      <c r="W395" s="70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70"/>
      <c r="AO395" s="68"/>
    </row>
    <row r="396" ht="12.0" customHeight="1">
      <c r="A396" s="68"/>
      <c r="B396" s="68"/>
      <c r="C396" s="68"/>
      <c r="D396" s="68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8"/>
      <c r="W396" s="70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70"/>
      <c r="AO396" s="68"/>
    </row>
    <row r="397" ht="12.0" customHeight="1">
      <c r="A397" s="68"/>
      <c r="B397" s="68"/>
      <c r="C397" s="68"/>
      <c r="D397" s="68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8"/>
      <c r="W397" s="70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70"/>
      <c r="AO397" s="68"/>
    </row>
    <row r="398" ht="12.0" customHeight="1">
      <c r="A398" s="68"/>
      <c r="B398" s="68"/>
      <c r="C398" s="68"/>
      <c r="D398" s="68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8"/>
      <c r="W398" s="70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70"/>
      <c r="AO398" s="68"/>
    </row>
    <row r="399" ht="12.0" customHeight="1">
      <c r="A399" s="68"/>
      <c r="B399" s="68"/>
      <c r="C399" s="68"/>
      <c r="D399" s="68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8"/>
      <c r="W399" s="70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70"/>
      <c r="AO399" s="68"/>
    </row>
    <row r="400" ht="12.0" customHeight="1">
      <c r="A400" s="68"/>
      <c r="B400" s="68"/>
      <c r="C400" s="68"/>
      <c r="D400" s="68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8"/>
      <c r="W400" s="70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70"/>
      <c r="AO400" s="68"/>
    </row>
    <row r="401" ht="12.0" customHeight="1">
      <c r="A401" s="68"/>
      <c r="B401" s="68"/>
      <c r="C401" s="68"/>
      <c r="D401" s="68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8"/>
      <c r="W401" s="70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70"/>
      <c r="AO401" s="68"/>
    </row>
    <row r="402" ht="12.0" customHeight="1">
      <c r="A402" s="68"/>
      <c r="B402" s="68"/>
      <c r="C402" s="68"/>
      <c r="D402" s="68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8"/>
      <c r="W402" s="70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70"/>
      <c r="AO402" s="68"/>
    </row>
    <row r="403" ht="12.0" customHeight="1">
      <c r="A403" s="68"/>
      <c r="B403" s="68"/>
      <c r="C403" s="68"/>
      <c r="D403" s="68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8"/>
      <c r="W403" s="70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70"/>
      <c r="AO403" s="68"/>
    </row>
    <row r="404" ht="12.0" customHeight="1">
      <c r="A404" s="68"/>
      <c r="B404" s="68"/>
      <c r="C404" s="68"/>
      <c r="D404" s="68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8"/>
      <c r="W404" s="70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70"/>
      <c r="AO404" s="68"/>
    </row>
    <row r="405" ht="12.0" customHeight="1">
      <c r="A405" s="68"/>
      <c r="B405" s="68"/>
      <c r="C405" s="68"/>
      <c r="D405" s="68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8"/>
      <c r="W405" s="70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70"/>
      <c r="AO405" s="68"/>
    </row>
    <row r="406" ht="12.0" customHeight="1">
      <c r="A406" s="68"/>
      <c r="B406" s="68"/>
      <c r="C406" s="68"/>
      <c r="D406" s="68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8"/>
      <c r="W406" s="70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70"/>
      <c r="AO406" s="68"/>
    </row>
    <row r="407" ht="12.0" customHeight="1">
      <c r="A407" s="68"/>
      <c r="B407" s="68"/>
      <c r="C407" s="68"/>
      <c r="D407" s="68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8"/>
      <c r="W407" s="70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70"/>
      <c r="AO407" s="68"/>
    </row>
    <row r="408" ht="12.0" customHeight="1">
      <c r="A408" s="68"/>
      <c r="B408" s="68"/>
      <c r="C408" s="68"/>
      <c r="D408" s="68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8"/>
      <c r="W408" s="70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70"/>
      <c r="AO408" s="68"/>
    </row>
    <row r="409" ht="12.0" customHeight="1">
      <c r="A409" s="68"/>
      <c r="B409" s="68"/>
      <c r="C409" s="68"/>
      <c r="D409" s="68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8"/>
      <c r="W409" s="70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70"/>
      <c r="AO409" s="68"/>
    </row>
    <row r="410" ht="12.0" customHeight="1">
      <c r="A410" s="68"/>
      <c r="B410" s="68"/>
      <c r="C410" s="68"/>
      <c r="D410" s="68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8"/>
      <c r="W410" s="70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70"/>
      <c r="AO410" s="68"/>
    </row>
    <row r="411" ht="12.0" customHeight="1">
      <c r="A411" s="68"/>
      <c r="B411" s="68"/>
      <c r="C411" s="68"/>
      <c r="D411" s="68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8"/>
      <c r="W411" s="70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70"/>
      <c r="AO411" s="68"/>
    </row>
    <row r="412" ht="12.0" customHeight="1">
      <c r="A412" s="68"/>
      <c r="B412" s="68"/>
      <c r="C412" s="68"/>
      <c r="D412" s="68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8"/>
      <c r="W412" s="70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70"/>
      <c r="AO412" s="68"/>
    </row>
    <row r="413" ht="12.0" customHeight="1">
      <c r="A413" s="68"/>
      <c r="B413" s="68"/>
      <c r="C413" s="68"/>
      <c r="D413" s="68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8"/>
      <c r="W413" s="70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70"/>
      <c r="AO413" s="68"/>
    </row>
    <row r="414" ht="12.0" customHeight="1">
      <c r="A414" s="68"/>
      <c r="B414" s="68"/>
      <c r="C414" s="68"/>
      <c r="D414" s="68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8"/>
      <c r="W414" s="70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70"/>
      <c r="AO414" s="68"/>
    </row>
    <row r="415" ht="12.0" customHeight="1">
      <c r="A415" s="68"/>
      <c r="B415" s="68"/>
      <c r="C415" s="68"/>
      <c r="D415" s="68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8"/>
      <c r="W415" s="70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70"/>
      <c r="AO415" s="68"/>
    </row>
    <row r="416" ht="12.0" customHeight="1">
      <c r="A416" s="68"/>
      <c r="B416" s="68"/>
      <c r="C416" s="68"/>
      <c r="D416" s="68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8"/>
      <c r="W416" s="70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70"/>
      <c r="AO416" s="68"/>
    </row>
    <row r="417" ht="12.0" customHeight="1">
      <c r="A417" s="68"/>
      <c r="B417" s="68"/>
      <c r="C417" s="68"/>
      <c r="D417" s="68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8"/>
      <c r="W417" s="70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70"/>
      <c r="AO417" s="68"/>
    </row>
    <row r="418" ht="12.0" customHeight="1">
      <c r="A418" s="68"/>
      <c r="B418" s="68"/>
      <c r="C418" s="68"/>
      <c r="D418" s="68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8"/>
      <c r="W418" s="70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70"/>
      <c r="AO418" s="68"/>
    </row>
    <row r="419" ht="12.0" customHeight="1">
      <c r="A419" s="68"/>
      <c r="B419" s="68"/>
      <c r="C419" s="68"/>
      <c r="D419" s="68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8"/>
      <c r="W419" s="70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70"/>
      <c r="AO419" s="68"/>
    </row>
    <row r="420" ht="12.0" customHeight="1">
      <c r="A420" s="68"/>
      <c r="B420" s="68"/>
      <c r="C420" s="68"/>
      <c r="D420" s="68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8"/>
      <c r="W420" s="70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70"/>
      <c r="AO420" s="68"/>
    </row>
    <row r="421" ht="12.0" customHeight="1">
      <c r="A421" s="68"/>
      <c r="B421" s="68"/>
      <c r="C421" s="68"/>
      <c r="D421" s="68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8"/>
      <c r="W421" s="70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70"/>
      <c r="AO421" s="68"/>
    </row>
    <row r="422" ht="12.0" customHeight="1">
      <c r="A422" s="68"/>
      <c r="B422" s="68"/>
      <c r="C422" s="68"/>
      <c r="D422" s="68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8"/>
      <c r="W422" s="70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70"/>
      <c r="AO422" s="68"/>
    </row>
    <row r="423" ht="12.0" customHeight="1">
      <c r="A423" s="68"/>
      <c r="B423" s="68"/>
      <c r="C423" s="68"/>
      <c r="D423" s="68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8"/>
      <c r="W423" s="70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70"/>
      <c r="AO423" s="68"/>
    </row>
    <row r="424" ht="12.0" customHeight="1">
      <c r="A424" s="68"/>
      <c r="B424" s="68"/>
      <c r="C424" s="68"/>
      <c r="D424" s="68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8"/>
      <c r="W424" s="70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70"/>
      <c r="AO424" s="68"/>
    </row>
    <row r="425" ht="12.0" customHeight="1">
      <c r="A425" s="68"/>
      <c r="B425" s="68"/>
      <c r="C425" s="68"/>
      <c r="D425" s="68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8"/>
      <c r="W425" s="70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70"/>
      <c r="AO425" s="68"/>
    </row>
    <row r="426" ht="12.0" customHeight="1">
      <c r="A426" s="68"/>
      <c r="B426" s="68"/>
      <c r="C426" s="68"/>
      <c r="D426" s="68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8"/>
      <c r="W426" s="70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70"/>
      <c r="AO426" s="68"/>
    </row>
    <row r="427" ht="12.0" customHeight="1">
      <c r="A427" s="68"/>
      <c r="B427" s="68"/>
      <c r="C427" s="68"/>
      <c r="D427" s="68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8"/>
      <c r="W427" s="70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70"/>
      <c r="AO427" s="68"/>
    </row>
    <row r="428" ht="12.0" customHeight="1">
      <c r="A428" s="68"/>
      <c r="B428" s="68"/>
      <c r="C428" s="68"/>
      <c r="D428" s="68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8"/>
      <c r="W428" s="70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70"/>
      <c r="AO428" s="68"/>
    </row>
    <row r="429" ht="12.0" customHeight="1">
      <c r="A429" s="68"/>
      <c r="B429" s="68"/>
      <c r="C429" s="68"/>
      <c r="D429" s="68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8"/>
      <c r="W429" s="70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70"/>
      <c r="AO429" s="68"/>
    </row>
    <row r="430" ht="12.0" customHeight="1">
      <c r="A430" s="68"/>
      <c r="B430" s="68"/>
      <c r="C430" s="68"/>
      <c r="D430" s="68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8"/>
      <c r="W430" s="70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70"/>
      <c r="AO430" s="68"/>
    </row>
    <row r="431" ht="12.0" customHeight="1">
      <c r="A431" s="68"/>
      <c r="B431" s="68"/>
      <c r="C431" s="68"/>
      <c r="D431" s="68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8"/>
      <c r="W431" s="70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70"/>
      <c r="AO431" s="68"/>
    </row>
    <row r="432" ht="12.0" customHeight="1">
      <c r="A432" s="68"/>
      <c r="B432" s="68"/>
      <c r="C432" s="68"/>
      <c r="D432" s="68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8"/>
      <c r="W432" s="70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70"/>
      <c r="AO432" s="68"/>
    </row>
    <row r="433" ht="12.0" customHeight="1">
      <c r="A433" s="68"/>
      <c r="B433" s="68"/>
      <c r="C433" s="68"/>
      <c r="D433" s="68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8"/>
      <c r="W433" s="70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70"/>
      <c r="AO433" s="68"/>
    </row>
    <row r="434" ht="12.0" customHeight="1">
      <c r="A434" s="68"/>
      <c r="B434" s="68"/>
      <c r="C434" s="68"/>
      <c r="D434" s="68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8"/>
      <c r="W434" s="70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70"/>
      <c r="AO434" s="68"/>
    </row>
    <row r="435" ht="12.0" customHeight="1">
      <c r="A435" s="68"/>
      <c r="B435" s="68"/>
      <c r="C435" s="68"/>
      <c r="D435" s="68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8"/>
      <c r="W435" s="70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70"/>
      <c r="AO435" s="68"/>
    </row>
    <row r="436" ht="12.0" customHeight="1">
      <c r="A436" s="68"/>
      <c r="B436" s="68"/>
      <c r="C436" s="68"/>
      <c r="D436" s="68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8"/>
      <c r="W436" s="70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70"/>
      <c r="AO436" s="68"/>
    </row>
    <row r="437" ht="12.0" customHeight="1">
      <c r="A437" s="68"/>
      <c r="B437" s="68"/>
      <c r="C437" s="68"/>
      <c r="D437" s="68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8"/>
      <c r="W437" s="70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70"/>
      <c r="AO437" s="68"/>
    </row>
    <row r="438" ht="12.0" customHeight="1">
      <c r="A438" s="68"/>
      <c r="B438" s="68"/>
      <c r="C438" s="68"/>
      <c r="D438" s="68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8"/>
      <c r="W438" s="70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70"/>
      <c r="AO438" s="68"/>
    </row>
    <row r="439" ht="12.0" customHeight="1">
      <c r="A439" s="68"/>
      <c r="B439" s="68"/>
      <c r="C439" s="68"/>
      <c r="D439" s="68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8"/>
      <c r="W439" s="70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70"/>
      <c r="AO439" s="68"/>
    </row>
    <row r="440" ht="12.0" customHeight="1">
      <c r="A440" s="68"/>
      <c r="B440" s="68"/>
      <c r="C440" s="68"/>
      <c r="D440" s="68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8"/>
      <c r="W440" s="70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70"/>
      <c r="AO440" s="68"/>
    </row>
    <row r="441" ht="12.0" customHeight="1">
      <c r="A441" s="68"/>
      <c r="B441" s="68"/>
      <c r="C441" s="68"/>
      <c r="D441" s="68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8"/>
      <c r="W441" s="70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70"/>
      <c r="AO441" s="68"/>
    </row>
    <row r="442" ht="12.0" customHeight="1">
      <c r="A442" s="68"/>
      <c r="B442" s="68"/>
      <c r="C442" s="68"/>
      <c r="D442" s="68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8"/>
      <c r="W442" s="70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70"/>
      <c r="AO442" s="68"/>
    </row>
    <row r="443" ht="12.0" customHeight="1">
      <c r="A443" s="68"/>
      <c r="B443" s="68"/>
      <c r="C443" s="68"/>
      <c r="D443" s="68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8"/>
      <c r="W443" s="70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70"/>
      <c r="AO443" s="68"/>
    </row>
    <row r="444" ht="12.0" customHeight="1">
      <c r="A444" s="68"/>
      <c r="B444" s="68"/>
      <c r="C444" s="68"/>
      <c r="D444" s="68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8"/>
      <c r="W444" s="70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70"/>
      <c r="AO444" s="68"/>
    </row>
    <row r="445" ht="12.0" customHeight="1">
      <c r="A445" s="68"/>
      <c r="B445" s="68"/>
      <c r="C445" s="68"/>
      <c r="D445" s="68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8"/>
      <c r="W445" s="70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70"/>
      <c r="AO445" s="68"/>
    </row>
    <row r="446" ht="12.0" customHeight="1">
      <c r="A446" s="68"/>
      <c r="B446" s="68"/>
      <c r="C446" s="68"/>
      <c r="D446" s="68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8"/>
      <c r="W446" s="70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70"/>
      <c r="AO446" s="68"/>
    </row>
    <row r="447" ht="12.0" customHeight="1">
      <c r="A447" s="68"/>
      <c r="B447" s="68"/>
      <c r="C447" s="68"/>
      <c r="D447" s="68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8"/>
      <c r="W447" s="70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70"/>
      <c r="AO447" s="68"/>
    </row>
    <row r="448" ht="12.0" customHeight="1">
      <c r="A448" s="68"/>
      <c r="B448" s="68"/>
      <c r="C448" s="68"/>
      <c r="D448" s="68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8"/>
      <c r="W448" s="70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70"/>
      <c r="AO448" s="68"/>
    </row>
    <row r="449" ht="12.0" customHeight="1">
      <c r="A449" s="68"/>
      <c r="B449" s="68"/>
      <c r="C449" s="68"/>
      <c r="D449" s="68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8"/>
      <c r="W449" s="70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70"/>
      <c r="AO449" s="68"/>
    </row>
    <row r="450" ht="12.0" customHeight="1">
      <c r="A450" s="68"/>
      <c r="B450" s="68"/>
      <c r="C450" s="68"/>
      <c r="D450" s="68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8"/>
      <c r="W450" s="70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70"/>
      <c r="AO450" s="68"/>
    </row>
    <row r="451" ht="12.0" customHeight="1">
      <c r="A451" s="68"/>
      <c r="B451" s="68"/>
      <c r="C451" s="68"/>
      <c r="D451" s="68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8"/>
      <c r="W451" s="70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70"/>
      <c r="AO451" s="68"/>
    </row>
    <row r="452" ht="12.0" customHeight="1">
      <c r="A452" s="68"/>
      <c r="B452" s="68"/>
      <c r="C452" s="68"/>
      <c r="D452" s="68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8"/>
      <c r="W452" s="70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70"/>
      <c r="AO452" s="68"/>
    </row>
    <row r="453" ht="12.0" customHeight="1">
      <c r="A453" s="68"/>
      <c r="B453" s="68"/>
      <c r="C453" s="68"/>
      <c r="D453" s="68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8"/>
      <c r="W453" s="70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70"/>
      <c r="AO453" s="68"/>
    </row>
    <row r="454" ht="12.0" customHeight="1">
      <c r="A454" s="68"/>
      <c r="B454" s="68"/>
      <c r="C454" s="68"/>
      <c r="D454" s="68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8"/>
      <c r="W454" s="70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70"/>
      <c r="AO454" s="68"/>
    </row>
    <row r="455" ht="12.0" customHeight="1">
      <c r="A455" s="68"/>
      <c r="B455" s="68"/>
      <c r="C455" s="68"/>
      <c r="D455" s="68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8"/>
      <c r="W455" s="70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70"/>
      <c r="AO455" s="68"/>
    </row>
    <row r="456" ht="12.0" customHeight="1">
      <c r="A456" s="68"/>
      <c r="B456" s="68"/>
      <c r="C456" s="68"/>
      <c r="D456" s="68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8"/>
      <c r="W456" s="70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70"/>
      <c r="AO456" s="68"/>
    </row>
    <row r="457" ht="12.0" customHeight="1">
      <c r="A457" s="68"/>
      <c r="B457" s="68"/>
      <c r="C457" s="68"/>
      <c r="D457" s="68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8"/>
      <c r="W457" s="70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70"/>
      <c r="AO457" s="68"/>
    </row>
    <row r="458" ht="12.0" customHeight="1">
      <c r="A458" s="68"/>
      <c r="B458" s="68"/>
      <c r="C458" s="68"/>
      <c r="D458" s="68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8"/>
      <c r="W458" s="70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70"/>
      <c r="AO458" s="68"/>
    </row>
    <row r="459" ht="12.0" customHeight="1">
      <c r="A459" s="68"/>
      <c r="B459" s="68"/>
      <c r="C459" s="68"/>
      <c r="D459" s="68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8"/>
      <c r="W459" s="70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70"/>
      <c r="AO459" s="68"/>
    </row>
    <row r="460" ht="12.0" customHeight="1">
      <c r="A460" s="68"/>
      <c r="B460" s="68"/>
      <c r="C460" s="68"/>
      <c r="D460" s="68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8"/>
      <c r="W460" s="70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70"/>
      <c r="AO460" s="68"/>
    </row>
    <row r="461" ht="12.0" customHeight="1">
      <c r="A461" s="68"/>
      <c r="B461" s="68"/>
      <c r="C461" s="68"/>
      <c r="D461" s="68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8"/>
      <c r="W461" s="70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70"/>
      <c r="AO461" s="68"/>
    </row>
    <row r="462" ht="12.0" customHeight="1">
      <c r="A462" s="68"/>
      <c r="B462" s="68"/>
      <c r="C462" s="68"/>
      <c r="D462" s="68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8"/>
      <c r="W462" s="70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70"/>
      <c r="AO462" s="68"/>
    </row>
    <row r="463" ht="12.0" customHeight="1">
      <c r="A463" s="68"/>
      <c r="B463" s="68"/>
      <c r="C463" s="68"/>
      <c r="D463" s="68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8"/>
      <c r="W463" s="70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70"/>
      <c r="AO463" s="68"/>
    </row>
    <row r="464" ht="12.0" customHeight="1">
      <c r="A464" s="68"/>
      <c r="B464" s="68"/>
      <c r="C464" s="68"/>
      <c r="D464" s="68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8"/>
      <c r="W464" s="70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70"/>
      <c r="AO464" s="68"/>
    </row>
    <row r="465" ht="12.0" customHeight="1">
      <c r="A465" s="68"/>
      <c r="B465" s="68"/>
      <c r="C465" s="68"/>
      <c r="D465" s="68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8"/>
      <c r="W465" s="70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70"/>
      <c r="AO465" s="68"/>
    </row>
    <row r="466" ht="12.0" customHeight="1">
      <c r="A466" s="68"/>
      <c r="B466" s="68"/>
      <c r="C466" s="68"/>
      <c r="D466" s="68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8"/>
      <c r="W466" s="70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70"/>
      <c r="AO466" s="68"/>
    </row>
    <row r="467" ht="12.0" customHeight="1">
      <c r="A467" s="68"/>
      <c r="B467" s="68"/>
      <c r="C467" s="68"/>
      <c r="D467" s="68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8"/>
      <c r="W467" s="70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70"/>
      <c r="AO467" s="68"/>
    </row>
    <row r="468" ht="12.0" customHeight="1">
      <c r="A468" s="68"/>
      <c r="B468" s="68"/>
      <c r="C468" s="68"/>
      <c r="D468" s="68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8"/>
      <c r="W468" s="70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70"/>
      <c r="AO468" s="68"/>
    </row>
    <row r="469" ht="12.0" customHeight="1">
      <c r="A469" s="68"/>
      <c r="B469" s="68"/>
      <c r="C469" s="68"/>
      <c r="D469" s="68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8"/>
      <c r="W469" s="70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70"/>
      <c r="AO469" s="68"/>
    </row>
    <row r="470" ht="12.0" customHeight="1">
      <c r="A470" s="68"/>
      <c r="B470" s="68"/>
      <c r="C470" s="68"/>
      <c r="D470" s="68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8"/>
      <c r="W470" s="70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70"/>
      <c r="AO470" s="68"/>
    </row>
    <row r="471" ht="12.0" customHeight="1">
      <c r="A471" s="68"/>
      <c r="B471" s="68"/>
      <c r="C471" s="68"/>
      <c r="D471" s="68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8"/>
      <c r="W471" s="70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70"/>
      <c r="AO471" s="68"/>
    </row>
    <row r="472" ht="12.0" customHeight="1">
      <c r="A472" s="68"/>
      <c r="B472" s="68"/>
      <c r="C472" s="68"/>
      <c r="D472" s="68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8"/>
      <c r="W472" s="70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70"/>
      <c r="AO472" s="68"/>
    </row>
    <row r="473" ht="12.0" customHeight="1">
      <c r="A473" s="68"/>
      <c r="B473" s="68"/>
      <c r="C473" s="68"/>
      <c r="D473" s="68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8"/>
      <c r="W473" s="70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70"/>
      <c r="AO473" s="68"/>
    </row>
    <row r="474" ht="12.0" customHeight="1">
      <c r="A474" s="68"/>
      <c r="B474" s="68"/>
      <c r="C474" s="68"/>
      <c r="D474" s="68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8"/>
      <c r="W474" s="70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70"/>
      <c r="AO474" s="68"/>
    </row>
    <row r="475" ht="12.0" customHeight="1">
      <c r="A475" s="68"/>
      <c r="B475" s="68"/>
      <c r="C475" s="68"/>
      <c r="D475" s="68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8"/>
      <c r="W475" s="70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70"/>
      <c r="AO475" s="68"/>
    </row>
    <row r="476" ht="12.0" customHeight="1">
      <c r="A476" s="68"/>
      <c r="B476" s="68"/>
      <c r="C476" s="68"/>
      <c r="D476" s="68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8"/>
      <c r="W476" s="70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70"/>
      <c r="AO476" s="68"/>
    </row>
    <row r="477" ht="12.0" customHeight="1">
      <c r="A477" s="68"/>
      <c r="B477" s="68"/>
      <c r="C477" s="68"/>
      <c r="D477" s="68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8"/>
      <c r="W477" s="70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70"/>
      <c r="AO477" s="68"/>
    </row>
    <row r="478" ht="12.0" customHeight="1">
      <c r="A478" s="68"/>
      <c r="B478" s="68"/>
      <c r="C478" s="68"/>
      <c r="D478" s="68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8"/>
      <c r="W478" s="70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70"/>
      <c r="AO478" s="68"/>
    </row>
    <row r="479" ht="12.0" customHeight="1">
      <c r="A479" s="68"/>
      <c r="B479" s="68"/>
      <c r="C479" s="68"/>
      <c r="D479" s="68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8"/>
      <c r="W479" s="70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70"/>
      <c r="AO479" s="68"/>
    </row>
    <row r="480" ht="12.0" customHeight="1">
      <c r="A480" s="68"/>
      <c r="B480" s="68"/>
      <c r="C480" s="68"/>
      <c r="D480" s="68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8"/>
      <c r="W480" s="70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70"/>
      <c r="AO480" s="68"/>
    </row>
    <row r="481" ht="12.0" customHeight="1">
      <c r="A481" s="68"/>
      <c r="B481" s="68"/>
      <c r="C481" s="68"/>
      <c r="D481" s="68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8"/>
      <c r="W481" s="70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70"/>
      <c r="AO481" s="68"/>
    </row>
    <row r="482" ht="12.0" customHeight="1">
      <c r="A482" s="68"/>
      <c r="B482" s="68"/>
      <c r="C482" s="68"/>
      <c r="D482" s="68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8"/>
      <c r="W482" s="70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70"/>
      <c r="AO482" s="68"/>
    </row>
    <row r="483" ht="12.0" customHeight="1">
      <c r="A483" s="68"/>
      <c r="B483" s="68"/>
      <c r="C483" s="68"/>
      <c r="D483" s="68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8"/>
      <c r="W483" s="70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70"/>
      <c r="AO483" s="68"/>
    </row>
    <row r="484" ht="12.0" customHeight="1">
      <c r="A484" s="68"/>
      <c r="B484" s="68"/>
      <c r="C484" s="68"/>
      <c r="D484" s="68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8"/>
      <c r="W484" s="70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70"/>
      <c r="AO484" s="68"/>
    </row>
    <row r="485" ht="12.0" customHeight="1">
      <c r="A485" s="68"/>
      <c r="B485" s="68"/>
      <c r="C485" s="68"/>
      <c r="D485" s="68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8"/>
      <c r="W485" s="70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70"/>
      <c r="AO485" s="68"/>
    </row>
    <row r="486" ht="12.0" customHeight="1">
      <c r="A486" s="68"/>
      <c r="B486" s="68"/>
      <c r="C486" s="68"/>
      <c r="D486" s="68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8"/>
      <c r="W486" s="70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70"/>
      <c r="AO486" s="68"/>
    </row>
    <row r="487" ht="12.0" customHeight="1">
      <c r="A487" s="68"/>
      <c r="B487" s="68"/>
      <c r="C487" s="68"/>
      <c r="D487" s="68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8"/>
      <c r="W487" s="70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70"/>
      <c r="AO487" s="68"/>
    </row>
    <row r="488" ht="12.0" customHeight="1">
      <c r="A488" s="68"/>
      <c r="B488" s="68"/>
      <c r="C488" s="68"/>
      <c r="D488" s="68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8"/>
      <c r="W488" s="70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70"/>
      <c r="AO488" s="68"/>
    </row>
    <row r="489" ht="12.0" customHeight="1">
      <c r="A489" s="68"/>
      <c r="B489" s="68"/>
      <c r="C489" s="68"/>
      <c r="D489" s="68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8"/>
      <c r="W489" s="70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70"/>
      <c r="AO489" s="68"/>
    </row>
    <row r="490" ht="12.0" customHeight="1">
      <c r="A490" s="68"/>
      <c r="B490" s="68"/>
      <c r="C490" s="68"/>
      <c r="D490" s="68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8"/>
      <c r="W490" s="70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70"/>
      <c r="AO490" s="68"/>
    </row>
    <row r="491" ht="12.0" customHeight="1">
      <c r="A491" s="68"/>
      <c r="B491" s="68"/>
      <c r="C491" s="68"/>
      <c r="D491" s="68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8"/>
      <c r="W491" s="70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70"/>
      <c r="AO491" s="68"/>
    </row>
    <row r="492" ht="12.0" customHeight="1">
      <c r="A492" s="68"/>
      <c r="B492" s="68"/>
      <c r="C492" s="68"/>
      <c r="D492" s="68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8"/>
      <c r="W492" s="70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70"/>
      <c r="AO492" s="68"/>
    </row>
    <row r="493" ht="12.0" customHeight="1">
      <c r="A493" s="68"/>
      <c r="B493" s="68"/>
      <c r="C493" s="68"/>
      <c r="D493" s="68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8"/>
      <c r="W493" s="70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70"/>
      <c r="AO493" s="68"/>
    </row>
    <row r="494" ht="12.0" customHeight="1">
      <c r="A494" s="68"/>
      <c r="B494" s="68"/>
      <c r="C494" s="68"/>
      <c r="D494" s="68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8"/>
      <c r="W494" s="70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70"/>
      <c r="AO494" s="68"/>
    </row>
    <row r="495" ht="12.0" customHeight="1">
      <c r="A495" s="68"/>
      <c r="B495" s="68"/>
      <c r="C495" s="68"/>
      <c r="D495" s="68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8"/>
      <c r="W495" s="70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70"/>
      <c r="AO495" s="68"/>
    </row>
    <row r="496" ht="12.0" customHeight="1">
      <c r="A496" s="68"/>
      <c r="B496" s="68"/>
      <c r="C496" s="68"/>
      <c r="D496" s="68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8"/>
      <c r="W496" s="70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70"/>
      <c r="AO496" s="68"/>
    </row>
    <row r="497" ht="12.0" customHeight="1">
      <c r="A497" s="68"/>
      <c r="B497" s="68"/>
      <c r="C497" s="68"/>
      <c r="D497" s="68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8"/>
      <c r="W497" s="70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70"/>
      <c r="AO497" s="68"/>
    </row>
    <row r="498" ht="12.0" customHeight="1">
      <c r="A498" s="68"/>
      <c r="B498" s="68"/>
      <c r="C498" s="68"/>
      <c r="D498" s="68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8"/>
      <c r="W498" s="70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70"/>
      <c r="AO498" s="68"/>
    </row>
    <row r="499" ht="12.0" customHeight="1">
      <c r="A499" s="68"/>
      <c r="B499" s="68"/>
      <c r="C499" s="68"/>
      <c r="D499" s="68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8"/>
      <c r="W499" s="70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70"/>
      <c r="AO499" s="68"/>
    </row>
    <row r="500" ht="12.0" customHeight="1">
      <c r="A500" s="68"/>
      <c r="B500" s="68"/>
      <c r="C500" s="68"/>
      <c r="D500" s="68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8"/>
      <c r="W500" s="70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70"/>
      <c r="AO500" s="68"/>
    </row>
    <row r="501" ht="12.0" customHeight="1">
      <c r="A501" s="68"/>
      <c r="B501" s="68"/>
      <c r="C501" s="68"/>
      <c r="D501" s="68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8"/>
      <c r="W501" s="70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70"/>
      <c r="AO501" s="68"/>
    </row>
    <row r="502" ht="12.0" customHeight="1">
      <c r="A502" s="68"/>
      <c r="B502" s="68"/>
      <c r="C502" s="68"/>
      <c r="D502" s="68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8"/>
      <c r="W502" s="70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70"/>
      <c r="AO502" s="68"/>
    </row>
    <row r="503" ht="12.0" customHeight="1">
      <c r="A503" s="68"/>
      <c r="B503" s="68"/>
      <c r="C503" s="68"/>
      <c r="D503" s="68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8"/>
      <c r="W503" s="70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70"/>
      <c r="AO503" s="68"/>
    </row>
    <row r="504" ht="12.0" customHeight="1">
      <c r="A504" s="68"/>
      <c r="B504" s="68"/>
      <c r="C504" s="68"/>
      <c r="D504" s="68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8"/>
      <c r="W504" s="70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70"/>
      <c r="AO504" s="68"/>
    </row>
    <row r="505" ht="12.0" customHeight="1">
      <c r="A505" s="68"/>
      <c r="B505" s="68"/>
      <c r="C505" s="68"/>
      <c r="D505" s="68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8"/>
      <c r="W505" s="70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70"/>
      <c r="AO505" s="68"/>
    </row>
    <row r="506" ht="12.0" customHeight="1">
      <c r="A506" s="68"/>
      <c r="B506" s="68"/>
      <c r="C506" s="68"/>
      <c r="D506" s="68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8"/>
      <c r="W506" s="70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70"/>
      <c r="AO506" s="68"/>
    </row>
    <row r="507" ht="12.0" customHeight="1">
      <c r="A507" s="68"/>
      <c r="B507" s="68"/>
      <c r="C507" s="68"/>
      <c r="D507" s="68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8"/>
      <c r="W507" s="70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70"/>
      <c r="AO507" s="68"/>
    </row>
    <row r="508" ht="12.0" customHeight="1">
      <c r="A508" s="68"/>
      <c r="B508" s="68"/>
      <c r="C508" s="68"/>
      <c r="D508" s="68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8"/>
      <c r="W508" s="70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70"/>
      <c r="AO508" s="68"/>
    </row>
    <row r="509" ht="12.0" customHeight="1">
      <c r="A509" s="68"/>
      <c r="B509" s="68"/>
      <c r="C509" s="68"/>
      <c r="D509" s="68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8"/>
      <c r="W509" s="70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70"/>
      <c r="AO509" s="68"/>
    </row>
    <row r="510" ht="12.0" customHeight="1">
      <c r="A510" s="68"/>
      <c r="B510" s="68"/>
      <c r="C510" s="68"/>
      <c r="D510" s="68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8"/>
      <c r="W510" s="70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70"/>
      <c r="AO510" s="68"/>
    </row>
    <row r="511" ht="12.0" customHeight="1">
      <c r="A511" s="68"/>
      <c r="B511" s="68"/>
      <c r="C511" s="68"/>
      <c r="D511" s="68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8"/>
      <c r="W511" s="70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70"/>
      <c r="AO511" s="68"/>
    </row>
    <row r="512" ht="12.0" customHeight="1">
      <c r="A512" s="68"/>
      <c r="B512" s="68"/>
      <c r="C512" s="68"/>
      <c r="D512" s="68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8"/>
      <c r="W512" s="70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70"/>
      <c r="AO512" s="68"/>
    </row>
    <row r="513" ht="12.0" customHeight="1">
      <c r="A513" s="68"/>
      <c r="B513" s="68"/>
      <c r="C513" s="68"/>
      <c r="D513" s="68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8"/>
      <c r="W513" s="70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70"/>
      <c r="AO513" s="68"/>
    </row>
    <row r="514" ht="12.0" customHeight="1">
      <c r="A514" s="68"/>
      <c r="B514" s="68"/>
      <c r="C514" s="68"/>
      <c r="D514" s="68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8"/>
      <c r="W514" s="70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70"/>
      <c r="AO514" s="68"/>
    </row>
    <row r="515" ht="12.0" customHeight="1">
      <c r="A515" s="68"/>
      <c r="B515" s="68"/>
      <c r="C515" s="68"/>
      <c r="D515" s="68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8"/>
      <c r="W515" s="70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70"/>
      <c r="AO515" s="68"/>
    </row>
    <row r="516" ht="12.0" customHeight="1">
      <c r="A516" s="68"/>
      <c r="B516" s="68"/>
      <c r="C516" s="68"/>
      <c r="D516" s="68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8"/>
      <c r="W516" s="70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70"/>
      <c r="AO516" s="68"/>
    </row>
    <row r="517" ht="12.0" customHeight="1">
      <c r="A517" s="68"/>
      <c r="B517" s="68"/>
      <c r="C517" s="68"/>
      <c r="D517" s="68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8"/>
      <c r="W517" s="70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70"/>
      <c r="AO517" s="68"/>
    </row>
    <row r="518" ht="12.0" customHeight="1">
      <c r="A518" s="68"/>
      <c r="B518" s="68"/>
      <c r="C518" s="68"/>
      <c r="D518" s="68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8"/>
      <c r="W518" s="70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70"/>
      <c r="AO518" s="68"/>
    </row>
    <row r="519" ht="12.0" customHeight="1">
      <c r="A519" s="68"/>
      <c r="B519" s="68"/>
      <c r="C519" s="68"/>
      <c r="D519" s="68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8"/>
      <c r="W519" s="70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70"/>
      <c r="AO519" s="68"/>
    </row>
    <row r="520" ht="12.0" customHeight="1">
      <c r="A520" s="68"/>
      <c r="B520" s="68"/>
      <c r="C520" s="68"/>
      <c r="D520" s="68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8"/>
      <c r="W520" s="70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70"/>
      <c r="AO520" s="68"/>
    </row>
    <row r="521" ht="12.0" customHeight="1">
      <c r="A521" s="68"/>
      <c r="B521" s="68"/>
      <c r="C521" s="68"/>
      <c r="D521" s="68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8"/>
      <c r="W521" s="70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70"/>
      <c r="AO521" s="68"/>
    </row>
    <row r="522" ht="12.0" customHeight="1">
      <c r="A522" s="68"/>
      <c r="B522" s="68"/>
      <c r="C522" s="68"/>
      <c r="D522" s="68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8"/>
      <c r="W522" s="70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70"/>
      <c r="AO522" s="68"/>
    </row>
    <row r="523" ht="12.0" customHeight="1">
      <c r="A523" s="68"/>
      <c r="B523" s="68"/>
      <c r="C523" s="68"/>
      <c r="D523" s="68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8"/>
      <c r="W523" s="70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70"/>
      <c r="AO523" s="68"/>
    </row>
    <row r="524" ht="12.0" customHeight="1">
      <c r="A524" s="68"/>
      <c r="B524" s="68"/>
      <c r="C524" s="68"/>
      <c r="D524" s="68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8"/>
      <c r="W524" s="70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70"/>
      <c r="AO524" s="68"/>
    </row>
    <row r="525" ht="12.0" customHeight="1">
      <c r="A525" s="68"/>
      <c r="B525" s="68"/>
      <c r="C525" s="68"/>
      <c r="D525" s="68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8"/>
      <c r="W525" s="70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70"/>
      <c r="AO525" s="68"/>
    </row>
    <row r="526" ht="12.0" customHeight="1">
      <c r="A526" s="68"/>
      <c r="B526" s="68"/>
      <c r="C526" s="68"/>
      <c r="D526" s="68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8"/>
      <c r="W526" s="70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70"/>
      <c r="AO526" s="68"/>
    </row>
    <row r="527" ht="12.0" customHeight="1">
      <c r="A527" s="68"/>
      <c r="B527" s="68"/>
      <c r="C527" s="68"/>
      <c r="D527" s="68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8"/>
      <c r="W527" s="70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70"/>
      <c r="AO527" s="68"/>
    </row>
    <row r="528" ht="12.0" customHeight="1">
      <c r="A528" s="68"/>
      <c r="B528" s="68"/>
      <c r="C528" s="68"/>
      <c r="D528" s="68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8"/>
      <c r="W528" s="70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70"/>
      <c r="AO528" s="68"/>
    </row>
    <row r="529" ht="12.0" customHeight="1">
      <c r="A529" s="68"/>
      <c r="B529" s="68"/>
      <c r="C529" s="68"/>
      <c r="D529" s="68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8"/>
      <c r="W529" s="70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70"/>
      <c r="AO529" s="68"/>
    </row>
    <row r="530" ht="12.0" customHeight="1">
      <c r="A530" s="68"/>
      <c r="B530" s="68"/>
      <c r="C530" s="68"/>
      <c r="D530" s="68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8"/>
      <c r="W530" s="70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70"/>
      <c r="AO530" s="68"/>
    </row>
    <row r="531" ht="12.0" customHeight="1">
      <c r="A531" s="68"/>
      <c r="B531" s="68"/>
      <c r="C531" s="68"/>
      <c r="D531" s="68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8"/>
      <c r="W531" s="70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70"/>
      <c r="AO531" s="68"/>
    </row>
    <row r="532" ht="12.0" customHeight="1">
      <c r="A532" s="68"/>
      <c r="B532" s="68"/>
      <c r="C532" s="68"/>
      <c r="D532" s="68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8"/>
      <c r="W532" s="70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70"/>
      <c r="AO532" s="68"/>
    </row>
    <row r="533" ht="12.0" customHeight="1">
      <c r="A533" s="68"/>
      <c r="B533" s="68"/>
      <c r="C533" s="68"/>
      <c r="D533" s="68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8"/>
      <c r="W533" s="70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70"/>
      <c r="AO533" s="68"/>
    </row>
    <row r="534" ht="12.0" customHeight="1">
      <c r="A534" s="68"/>
      <c r="B534" s="68"/>
      <c r="C534" s="68"/>
      <c r="D534" s="68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8"/>
      <c r="W534" s="70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70"/>
      <c r="AO534" s="68"/>
    </row>
    <row r="535" ht="12.0" customHeight="1">
      <c r="A535" s="68"/>
      <c r="B535" s="68"/>
      <c r="C535" s="68"/>
      <c r="D535" s="68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8"/>
      <c r="W535" s="70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70"/>
      <c r="AO535" s="68"/>
    </row>
    <row r="536" ht="12.0" customHeight="1">
      <c r="A536" s="68"/>
      <c r="B536" s="68"/>
      <c r="C536" s="68"/>
      <c r="D536" s="68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8"/>
      <c r="W536" s="70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70"/>
      <c r="AO536" s="68"/>
    </row>
    <row r="537" ht="12.0" customHeight="1">
      <c r="A537" s="68"/>
      <c r="B537" s="68"/>
      <c r="C537" s="68"/>
      <c r="D537" s="68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8"/>
      <c r="W537" s="70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70"/>
      <c r="AO537" s="68"/>
    </row>
    <row r="538" ht="12.0" customHeight="1">
      <c r="A538" s="68"/>
      <c r="B538" s="68"/>
      <c r="C538" s="68"/>
      <c r="D538" s="68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8"/>
      <c r="W538" s="70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70"/>
      <c r="AO538" s="68"/>
    </row>
    <row r="539" ht="12.0" customHeight="1">
      <c r="A539" s="68"/>
      <c r="B539" s="68"/>
      <c r="C539" s="68"/>
      <c r="D539" s="68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8"/>
      <c r="W539" s="70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70"/>
      <c r="AO539" s="68"/>
    </row>
    <row r="540" ht="12.0" customHeight="1">
      <c r="A540" s="68"/>
      <c r="B540" s="68"/>
      <c r="C540" s="68"/>
      <c r="D540" s="68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8"/>
      <c r="W540" s="70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70"/>
      <c r="AO540" s="68"/>
    </row>
    <row r="541" ht="12.0" customHeight="1">
      <c r="A541" s="68"/>
      <c r="B541" s="68"/>
      <c r="C541" s="68"/>
      <c r="D541" s="68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8"/>
      <c r="W541" s="70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70"/>
      <c r="AO541" s="68"/>
    </row>
    <row r="542" ht="12.0" customHeight="1">
      <c r="A542" s="68"/>
      <c r="B542" s="68"/>
      <c r="C542" s="68"/>
      <c r="D542" s="68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8"/>
      <c r="W542" s="70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70"/>
      <c r="AO542" s="68"/>
    </row>
    <row r="543" ht="12.0" customHeight="1">
      <c r="A543" s="68"/>
      <c r="B543" s="68"/>
      <c r="C543" s="68"/>
      <c r="D543" s="68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8"/>
      <c r="W543" s="70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70"/>
      <c r="AO543" s="68"/>
    </row>
    <row r="544" ht="12.0" customHeight="1">
      <c r="A544" s="68"/>
      <c r="B544" s="68"/>
      <c r="C544" s="68"/>
      <c r="D544" s="68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8"/>
      <c r="W544" s="70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70"/>
      <c r="AO544" s="68"/>
    </row>
    <row r="545" ht="12.0" customHeight="1">
      <c r="A545" s="68"/>
      <c r="B545" s="68"/>
      <c r="C545" s="68"/>
      <c r="D545" s="68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8"/>
      <c r="W545" s="70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70"/>
      <c r="AO545" s="68"/>
    </row>
    <row r="546" ht="12.0" customHeight="1">
      <c r="A546" s="68"/>
      <c r="B546" s="68"/>
      <c r="C546" s="68"/>
      <c r="D546" s="68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8"/>
      <c r="W546" s="70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70"/>
      <c r="AO546" s="68"/>
    </row>
    <row r="547" ht="12.0" customHeight="1">
      <c r="A547" s="68"/>
      <c r="B547" s="68"/>
      <c r="C547" s="68"/>
      <c r="D547" s="68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8"/>
      <c r="W547" s="70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70"/>
      <c r="AO547" s="68"/>
    </row>
    <row r="548" ht="12.0" customHeight="1">
      <c r="A548" s="68"/>
      <c r="B548" s="68"/>
      <c r="C548" s="68"/>
      <c r="D548" s="68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8"/>
      <c r="W548" s="70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70"/>
      <c r="AO548" s="68"/>
    </row>
    <row r="549" ht="12.0" customHeight="1">
      <c r="A549" s="68"/>
      <c r="B549" s="68"/>
      <c r="C549" s="68"/>
      <c r="D549" s="68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8"/>
      <c r="W549" s="70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70"/>
      <c r="AO549" s="68"/>
    </row>
    <row r="550" ht="12.0" customHeight="1">
      <c r="A550" s="68"/>
      <c r="B550" s="68"/>
      <c r="C550" s="68"/>
      <c r="D550" s="68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8"/>
      <c r="W550" s="70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70"/>
      <c r="AO550" s="68"/>
    </row>
    <row r="551" ht="12.0" customHeight="1">
      <c r="A551" s="68"/>
      <c r="B551" s="68"/>
      <c r="C551" s="68"/>
      <c r="D551" s="68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8"/>
      <c r="W551" s="70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70"/>
      <c r="AO551" s="68"/>
    </row>
    <row r="552" ht="12.0" customHeight="1">
      <c r="A552" s="68"/>
      <c r="B552" s="68"/>
      <c r="C552" s="68"/>
      <c r="D552" s="68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8"/>
      <c r="W552" s="70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70"/>
      <c r="AO552" s="68"/>
    </row>
    <row r="553" ht="12.0" customHeight="1">
      <c r="A553" s="68"/>
      <c r="B553" s="68"/>
      <c r="C553" s="68"/>
      <c r="D553" s="68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8"/>
      <c r="W553" s="70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70"/>
      <c r="AO553" s="68"/>
    </row>
    <row r="554" ht="12.0" customHeight="1">
      <c r="A554" s="68"/>
      <c r="B554" s="68"/>
      <c r="C554" s="68"/>
      <c r="D554" s="68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8"/>
      <c r="W554" s="70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70"/>
      <c r="AO554" s="68"/>
    </row>
    <row r="555" ht="12.0" customHeight="1">
      <c r="A555" s="68"/>
      <c r="B555" s="68"/>
      <c r="C555" s="68"/>
      <c r="D555" s="68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8"/>
      <c r="W555" s="70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70"/>
      <c r="AO555" s="68"/>
    </row>
    <row r="556" ht="12.0" customHeight="1">
      <c r="A556" s="68"/>
      <c r="B556" s="68"/>
      <c r="C556" s="68"/>
      <c r="D556" s="68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8"/>
      <c r="W556" s="70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70"/>
      <c r="AO556" s="68"/>
    </row>
    <row r="557" ht="12.0" customHeight="1">
      <c r="A557" s="68"/>
      <c r="B557" s="68"/>
      <c r="C557" s="68"/>
      <c r="D557" s="68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8"/>
      <c r="W557" s="70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70"/>
      <c r="AO557" s="68"/>
    </row>
    <row r="558" ht="12.0" customHeight="1">
      <c r="A558" s="68"/>
      <c r="B558" s="68"/>
      <c r="C558" s="68"/>
      <c r="D558" s="68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8"/>
      <c r="W558" s="70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70"/>
      <c r="AO558" s="68"/>
    </row>
    <row r="559" ht="12.0" customHeight="1">
      <c r="A559" s="68"/>
      <c r="B559" s="68"/>
      <c r="C559" s="68"/>
      <c r="D559" s="68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8"/>
      <c r="W559" s="70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70"/>
      <c r="AO559" s="68"/>
    </row>
    <row r="560" ht="12.0" customHeight="1">
      <c r="A560" s="68"/>
      <c r="B560" s="68"/>
      <c r="C560" s="68"/>
      <c r="D560" s="68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8"/>
      <c r="W560" s="70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70"/>
      <c r="AO560" s="68"/>
    </row>
    <row r="561" ht="12.0" customHeight="1">
      <c r="A561" s="68"/>
      <c r="B561" s="68"/>
      <c r="C561" s="68"/>
      <c r="D561" s="68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8"/>
      <c r="W561" s="70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70"/>
      <c r="AO561" s="68"/>
    </row>
    <row r="562" ht="12.0" customHeight="1">
      <c r="A562" s="68"/>
      <c r="B562" s="68"/>
      <c r="C562" s="68"/>
      <c r="D562" s="68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8"/>
      <c r="W562" s="70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70"/>
      <c r="AO562" s="68"/>
    </row>
    <row r="563" ht="12.0" customHeight="1">
      <c r="A563" s="68"/>
      <c r="B563" s="68"/>
      <c r="C563" s="68"/>
      <c r="D563" s="68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8"/>
      <c r="W563" s="70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70"/>
      <c r="AO563" s="68"/>
    </row>
    <row r="564" ht="12.0" customHeight="1">
      <c r="A564" s="68"/>
      <c r="B564" s="68"/>
      <c r="C564" s="68"/>
      <c r="D564" s="68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8"/>
      <c r="W564" s="70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70"/>
      <c r="AO564" s="68"/>
    </row>
    <row r="565" ht="12.0" customHeight="1">
      <c r="A565" s="68"/>
      <c r="B565" s="68"/>
      <c r="C565" s="68"/>
      <c r="D565" s="68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8"/>
      <c r="W565" s="70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70"/>
      <c r="AO565" s="68"/>
    </row>
    <row r="566" ht="12.0" customHeight="1">
      <c r="A566" s="68"/>
      <c r="B566" s="68"/>
      <c r="C566" s="68"/>
      <c r="D566" s="68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8"/>
      <c r="W566" s="70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70"/>
      <c r="AO566" s="68"/>
    </row>
    <row r="567" ht="12.0" customHeight="1">
      <c r="A567" s="68"/>
      <c r="B567" s="68"/>
      <c r="C567" s="68"/>
      <c r="D567" s="68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8"/>
      <c r="W567" s="70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70"/>
      <c r="AO567" s="68"/>
    </row>
    <row r="568" ht="12.0" customHeight="1">
      <c r="A568" s="68"/>
      <c r="B568" s="68"/>
      <c r="C568" s="68"/>
      <c r="D568" s="68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8"/>
      <c r="W568" s="70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70"/>
      <c r="AO568" s="68"/>
    </row>
    <row r="569" ht="12.0" customHeight="1">
      <c r="A569" s="68"/>
      <c r="B569" s="68"/>
      <c r="C569" s="68"/>
      <c r="D569" s="68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8"/>
      <c r="W569" s="70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70"/>
      <c r="AO569" s="68"/>
    </row>
    <row r="570" ht="12.0" customHeight="1">
      <c r="A570" s="68"/>
      <c r="B570" s="68"/>
      <c r="C570" s="68"/>
      <c r="D570" s="68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8"/>
      <c r="W570" s="70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70"/>
      <c r="AO570" s="68"/>
    </row>
    <row r="571" ht="12.0" customHeight="1">
      <c r="A571" s="68"/>
      <c r="B571" s="68"/>
      <c r="C571" s="68"/>
      <c r="D571" s="68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8"/>
      <c r="W571" s="70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70"/>
      <c r="AO571" s="68"/>
    </row>
    <row r="572" ht="12.0" customHeight="1">
      <c r="A572" s="68"/>
      <c r="B572" s="68"/>
      <c r="C572" s="68"/>
      <c r="D572" s="68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8"/>
      <c r="W572" s="70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70"/>
      <c r="AO572" s="68"/>
    </row>
    <row r="573" ht="12.0" customHeight="1">
      <c r="A573" s="68"/>
      <c r="B573" s="68"/>
      <c r="C573" s="68"/>
      <c r="D573" s="68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8"/>
      <c r="W573" s="70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70"/>
      <c r="AO573" s="68"/>
    </row>
    <row r="574" ht="12.0" customHeight="1">
      <c r="A574" s="68"/>
      <c r="B574" s="68"/>
      <c r="C574" s="68"/>
      <c r="D574" s="68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8"/>
      <c r="W574" s="70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70"/>
      <c r="AO574" s="68"/>
    </row>
    <row r="575" ht="12.0" customHeight="1">
      <c r="A575" s="68"/>
      <c r="B575" s="68"/>
      <c r="C575" s="68"/>
      <c r="D575" s="68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8"/>
      <c r="W575" s="70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70"/>
      <c r="AO575" s="68"/>
    </row>
    <row r="576" ht="12.0" customHeight="1">
      <c r="A576" s="68"/>
      <c r="B576" s="68"/>
      <c r="C576" s="68"/>
      <c r="D576" s="68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8"/>
      <c r="W576" s="70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70"/>
      <c r="AO576" s="68"/>
    </row>
    <row r="577" ht="12.0" customHeight="1">
      <c r="A577" s="68"/>
      <c r="B577" s="68"/>
      <c r="C577" s="68"/>
      <c r="D577" s="68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8"/>
      <c r="W577" s="70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70"/>
      <c r="AO577" s="68"/>
    </row>
    <row r="578" ht="12.0" customHeight="1">
      <c r="A578" s="68"/>
      <c r="B578" s="68"/>
      <c r="C578" s="68"/>
      <c r="D578" s="68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8"/>
      <c r="W578" s="70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70"/>
      <c r="AO578" s="68"/>
    </row>
    <row r="579" ht="12.0" customHeight="1">
      <c r="A579" s="68"/>
      <c r="B579" s="68"/>
      <c r="C579" s="68"/>
      <c r="D579" s="68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8"/>
      <c r="W579" s="70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70"/>
      <c r="AO579" s="68"/>
    </row>
    <row r="580" ht="12.0" customHeight="1">
      <c r="A580" s="68"/>
      <c r="B580" s="68"/>
      <c r="C580" s="68"/>
      <c r="D580" s="68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8"/>
      <c r="W580" s="70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70"/>
      <c r="AO580" s="68"/>
    </row>
    <row r="581" ht="12.0" customHeight="1">
      <c r="A581" s="68"/>
      <c r="B581" s="68"/>
      <c r="C581" s="68"/>
      <c r="D581" s="68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8"/>
      <c r="W581" s="70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70"/>
      <c r="AO581" s="68"/>
    </row>
    <row r="582" ht="12.0" customHeight="1">
      <c r="A582" s="68"/>
      <c r="B582" s="68"/>
      <c r="C582" s="68"/>
      <c r="D582" s="68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8"/>
      <c r="W582" s="70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70"/>
      <c r="AO582" s="68"/>
    </row>
    <row r="583" ht="12.0" customHeight="1">
      <c r="A583" s="68"/>
      <c r="B583" s="68"/>
      <c r="C583" s="68"/>
      <c r="D583" s="68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8"/>
      <c r="W583" s="70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70"/>
      <c r="AO583" s="68"/>
    </row>
    <row r="584" ht="12.0" customHeight="1">
      <c r="A584" s="68"/>
      <c r="B584" s="68"/>
      <c r="C584" s="68"/>
      <c r="D584" s="68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8"/>
      <c r="W584" s="70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70"/>
      <c r="AO584" s="68"/>
    </row>
    <row r="585" ht="12.0" customHeight="1">
      <c r="A585" s="68"/>
      <c r="B585" s="68"/>
      <c r="C585" s="68"/>
      <c r="D585" s="68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8"/>
      <c r="W585" s="70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70"/>
      <c r="AO585" s="68"/>
    </row>
    <row r="586" ht="12.0" customHeight="1">
      <c r="A586" s="68"/>
      <c r="B586" s="68"/>
      <c r="C586" s="68"/>
      <c r="D586" s="68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8"/>
      <c r="W586" s="70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70"/>
      <c r="AO586" s="68"/>
    </row>
    <row r="587" ht="12.0" customHeight="1">
      <c r="A587" s="68"/>
      <c r="B587" s="68"/>
      <c r="C587" s="68"/>
      <c r="D587" s="68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8"/>
      <c r="W587" s="70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70"/>
      <c r="AO587" s="68"/>
    </row>
    <row r="588" ht="12.0" customHeight="1">
      <c r="A588" s="68"/>
      <c r="B588" s="68"/>
      <c r="C588" s="68"/>
      <c r="D588" s="68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8"/>
      <c r="W588" s="70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70"/>
      <c r="AO588" s="68"/>
    </row>
    <row r="589" ht="12.0" customHeight="1">
      <c r="A589" s="68"/>
      <c r="B589" s="68"/>
      <c r="C589" s="68"/>
      <c r="D589" s="68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8"/>
      <c r="W589" s="70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70"/>
      <c r="AO589" s="68"/>
    </row>
    <row r="590" ht="12.0" customHeight="1">
      <c r="A590" s="68"/>
      <c r="B590" s="68"/>
      <c r="C590" s="68"/>
      <c r="D590" s="68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8"/>
      <c r="W590" s="70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70"/>
      <c r="AO590" s="68"/>
    </row>
    <row r="591" ht="12.0" customHeight="1">
      <c r="A591" s="68"/>
      <c r="B591" s="68"/>
      <c r="C591" s="68"/>
      <c r="D591" s="68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8"/>
      <c r="W591" s="70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70"/>
      <c r="AO591" s="68"/>
    </row>
    <row r="592" ht="12.0" customHeight="1">
      <c r="A592" s="68"/>
      <c r="B592" s="68"/>
      <c r="C592" s="68"/>
      <c r="D592" s="68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8"/>
      <c r="W592" s="70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70"/>
      <c r="AO592" s="68"/>
    </row>
    <row r="593" ht="12.0" customHeight="1">
      <c r="A593" s="68"/>
      <c r="B593" s="68"/>
      <c r="C593" s="68"/>
      <c r="D593" s="68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8"/>
      <c r="W593" s="70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70"/>
      <c r="AO593" s="68"/>
    </row>
    <row r="594" ht="12.0" customHeight="1">
      <c r="A594" s="68"/>
      <c r="B594" s="68"/>
      <c r="C594" s="68"/>
      <c r="D594" s="68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8"/>
      <c r="W594" s="70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70"/>
      <c r="AO594" s="68"/>
    </row>
    <row r="595" ht="12.0" customHeight="1">
      <c r="A595" s="68"/>
      <c r="B595" s="68"/>
      <c r="C595" s="68"/>
      <c r="D595" s="68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8"/>
      <c r="W595" s="70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70"/>
      <c r="AO595" s="68"/>
    </row>
    <row r="596" ht="12.0" customHeight="1">
      <c r="A596" s="68"/>
      <c r="B596" s="68"/>
      <c r="C596" s="68"/>
      <c r="D596" s="68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8"/>
      <c r="W596" s="70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70"/>
      <c r="AO596" s="68"/>
    </row>
    <row r="597" ht="12.0" customHeight="1">
      <c r="A597" s="68"/>
      <c r="B597" s="68"/>
      <c r="C597" s="68"/>
      <c r="D597" s="68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8"/>
      <c r="W597" s="70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70"/>
      <c r="AO597" s="68"/>
    </row>
    <row r="598" ht="12.0" customHeight="1">
      <c r="A598" s="68"/>
      <c r="B598" s="68"/>
      <c r="C598" s="68"/>
      <c r="D598" s="68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8"/>
      <c r="W598" s="70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70"/>
      <c r="AO598" s="68"/>
    </row>
    <row r="599" ht="12.0" customHeight="1">
      <c r="A599" s="68"/>
      <c r="B599" s="68"/>
      <c r="C599" s="68"/>
      <c r="D599" s="68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8"/>
      <c r="W599" s="70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70"/>
      <c r="AO599" s="68"/>
    </row>
    <row r="600" ht="12.0" customHeight="1">
      <c r="A600" s="68"/>
      <c r="B600" s="68"/>
      <c r="C600" s="68"/>
      <c r="D600" s="68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8"/>
      <c r="W600" s="70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70"/>
      <c r="AO600" s="68"/>
    </row>
    <row r="601" ht="12.0" customHeight="1">
      <c r="A601" s="68"/>
      <c r="B601" s="68"/>
      <c r="C601" s="68"/>
      <c r="D601" s="68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8"/>
      <c r="W601" s="70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70"/>
      <c r="AO601" s="68"/>
    </row>
    <row r="602" ht="12.0" customHeight="1">
      <c r="A602" s="68"/>
      <c r="B602" s="68"/>
      <c r="C602" s="68"/>
      <c r="D602" s="68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8"/>
      <c r="W602" s="70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70"/>
      <c r="AO602" s="68"/>
    </row>
    <row r="603" ht="12.0" customHeight="1">
      <c r="A603" s="68"/>
      <c r="B603" s="68"/>
      <c r="C603" s="68"/>
      <c r="D603" s="68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8"/>
      <c r="W603" s="70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70"/>
      <c r="AO603" s="68"/>
    </row>
    <row r="604" ht="12.0" customHeight="1">
      <c r="A604" s="68"/>
      <c r="B604" s="68"/>
      <c r="C604" s="68"/>
      <c r="D604" s="68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8"/>
      <c r="W604" s="70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70"/>
      <c r="AO604" s="68"/>
    </row>
    <row r="605" ht="12.0" customHeight="1">
      <c r="A605" s="68"/>
      <c r="B605" s="68"/>
      <c r="C605" s="68"/>
      <c r="D605" s="68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8"/>
      <c r="W605" s="70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70"/>
      <c r="AO605" s="68"/>
    </row>
    <row r="606" ht="12.0" customHeight="1">
      <c r="A606" s="68"/>
      <c r="B606" s="68"/>
      <c r="C606" s="68"/>
      <c r="D606" s="68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8"/>
      <c r="W606" s="70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70"/>
      <c r="AO606" s="68"/>
    </row>
    <row r="607" ht="12.0" customHeight="1">
      <c r="A607" s="68"/>
      <c r="B607" s="68"/>
      <c r="C607" s="68"/>
      <c r="D607" s="68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8"/>
      <c r="W607" s="70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70"/>
      <c r="AO607" s="68"/>
    </row>
    <row r="608" ht="12.0" customHeight="1">
      <c r="A608" s="68"/>
      <c r="B608" s="68"/>
      <c r="C608" s="68"/>
      <c r="D608" s="68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8"/>
      <c r="W608" s="70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70"/>
      <c r="AO608" s="68"/>
    </row>
    <row r="609" ht="12.0" customHeight="1">
      <c r="A609" s="68"/>
      <c r="B609" s="68"/>
      <c r="C609" s="68"/>
      <c r="D609" s="68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8"/>
      <c r="W609" s="70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70"/>
      <c r="AO609" s="68"/>
    </row>
    <row r="610" ht="12.0" customHeight="1">
      <c r="A610" s="68"/>
      <c r="B610" s="68"/>
      <c r="C610" s="68"/>
      <c r="D610" s="68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8"/>
      <c r="W610" s="70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70"/>
      <c r="AO610" s="68"/>
    </row>
    <row r="611" ht="12.0" customHeight="1">
      <c r="A611" s="68"/>
      <c r="B611" s="68"/>
      <c r="C611" s="68"/>
      <c r="D611" s="68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8"/>
      <c r="W611" s="70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70"/>
      <c r="AO611" s="68"/>
    </row>
    <row r="612" ht="12.0" customHeight="1">
      <c r="A612" s="68"/>
      <c r="B612" s="68"/>
      <c r="C612" s="68"/>
      <c r="D612" s="68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8"/>
      <c r="W612" s="70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70"/>
      <c r="AO612" s="68"/>
    </row>
    <row r="613" ht="12.0" customHeight="1">
      <c r="A613" s="68"/>
      <c r="B613" s="68"/>
      <c r="C613" s="68"/>
      <c r="D613" s="68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8"/>
      <c r="W613" s="70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70"/>
      <c r="AO613" s="68"/>
    </row>
    <row r="614" ht="12.0" customHeight="1">
      <c r="A614" s="68"/>
      <c r="B614" s="68"/>
      <c r="C614" s="68"/>
      <c r="D614" s="68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8"/>
      <c r="W614" s="70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70"/>
      <c r="AO614" s="68"/>
    </row>
    <row r="615" ht="12.0" customHeight="1">
      <c r="A615" s="68"/>
      <c r="B615" s="68"/>
      <c r="C615" s="68"/>
      <c r="D615" s="68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8"/>
      <c r="W615" s="70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70"/>
      <c r="AO615" s="68"/>
    </row>
    <row r="616" ht="12.0" customHeight="1">
      <c r="A616" s="68"/>
      <c r="B616" s="68"/>
      <c r="C616" s="68"/>
      <c r="D616" s="68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8"/>
      <c r="W616" s="70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70"/>
      <c r="AO616" s="68"/>
    </row>
    <row r="617" ht="12.0" customHeight="1">
      <c r="A617" s="68"/>
      <c r="B617" s="68"/>
      <c r="C617" s="68"/>
      <c r="D617" s="68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8"/>
      <c r="W617" s="70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70"/>
      <c r="AO617" s="68"/>
    </row>
    <row r="618" ht="12.0" customHeight="1">
      <c r="A618" s="68"/>
      <c r="B618" s="68"/>
      <c r="C618" s="68"/>
      <c r="D618" s="68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8"/>
      <c r="W618" s="70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70"/>
      <c r="AO618" s="68"/>
    </row>
    <row r="619" ht="12.0" customHeight="1">
      <c r="A619" s="68"/>
      <c r="B619" s="68"/>
      <c r="C619" s="68"/>
      <c r="D619" s="68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8"/>
      <c r="W619" s="70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70"/>
      <c r="AO619" s="68"/>
    </row>
    <row r="620" ht="12.0" customHeight="1">
      <c r="A620" s="68"/>
      <c r="B620" s="68"/>
      <c r="C620" s="68"/>
      <c r="D620" s="68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8"/>
      <c r="W620" s="70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70"/>
      <c r="AO620" s="68"/>
    </row>
    <row r="621" ht="12.0" customHeight="1">
      <c r="A621" s="68"/>
      <c r="B621" s="68"/>
      <c r="C621" s="68"/>
      <c r="D621" s="68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8"/>
      <c r="W621" s="70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70"/>
      <c r="AO621" s="68"/>
    </row>
    <row r="622" ht="12.0" customHeight="1">
      <c r="A622" s="68"/>
      <c r="B622" s="68"/>
      <c r="C622" s="68"/>
      <c r="D622" s="68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8"/>
      <c r="W622" s="70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70"/>
      <c r="AO622" s="68"/>
    </row>
    <row r="623" ht="12.0" customHeight="1">
      <c r="A623" s="68"/>
      <c r="B623" s="68"/>
      <c r="C623" s="68"/>
      <c r="D623" s="68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8"/>
      <c r="W623" s="70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70"/>
      <c r="AO623" s="68"/>
    </row>
    <row r="624" ht="12.0" customHeight="1">
      <c r="A624" s="68"/>
      <c r="B624" s="68"/>
      <c r="C624" s="68"/>
      <c r="D624" s="68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8"/>
      <c r="W624" s="70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70"/>
      <c r="AO624" s="68"/>
    </row>
    <row r="625" ht="12.0" customHeight="1">
      <c r="A625" s="68"/>
      <c r="B625" s="68"/>
      <c r="C625" s="68"/>
      <c r="D625" s="68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8"/>
      <c r="W625" s="70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70"/>
      <c r="AO625" s="68"/>
    </row>
    <row r="626" ht="12.0" customHeight="1">
      <c r="A626" s="68"/>
      <c r="B626" s="68"/>
      <c r="C626" s="68"/>
      <c r="D626" s="68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8"/>
      <c r="W626" s="70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70"/>
      <c r="AO626" s="68"/>
    </row>
    <row r="627" ht="12.0" customHeight="1">
      <c r="A627" s="68"/>
      <c r="B627" s="68"/>
      <c r="C627" s="68"/>
      <c r="D627" s="68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8"/>
      <c r="W627" s="70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70"/>
      <c r="AO627" s="68"/>
    </row>
    <row r="628" ht="12.0" customHeight="1">
      <c r="A628" s="68"/>
      <c r="B628" s="68"/>
      <c r="C628" s="68"/>
      <c r="D628" s="68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8"/>
      <c r="W628" s="70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70"/>
      <c r="AO628" s="68"/>
    </row>
    <row r="629" ht="12.0" customHeight="1">
      <c r="A629" s="68"/>
      <c r="B629" s="68"/>
      <c r="C629" s="68"/>
      <c r="D629" s="68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8"/>
      <c r="W629" s="70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70"/>
      <c r="AO629" s="68"/>
    </row>
    <row r="630" ht="12.0" customHeight="1">
      <c r="A630" s="68"/>
      <c r="B630" s="68"/>
      <c r="C630" s="68"/>
      <c r="D630" s="68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8"/>
      <c r="W630" s="70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70"/>
      <c r="AO630" s="68"/>
    </row>
    <row r="631" ht="12.0" customHeight="1">
      <c r="A631" s="68"/>
      <c r="B631" s="68"/>
      <c r="C631" s="68"/>
      <c r="D631" s="68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8"/>
      <c r="W631" s="70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70"/>
      <c r="AO631" s="68"/>
    </row>
    <row r="632" ht="12.0" customHeight="1">
      <c r="A632" s="68"/>
      <c r="B632" s="68"/>
      <c r="C632" s="68"/>
      <c r="D632" s="68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8"/>
      <c r="W632" s="70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70"/>
      <c r="AO632" s="68"/>
    </row>
    <row r="633" ht="12.0" customHeight="1">
      <c r="A633" s="68"/>
      <c r="B633" s="68"/>
      <c r="C633" s="68"/>
      <c r="D633" s="68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8"/>
      <c r="W633" s="70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70"/>
      <c r="AO633" s="68"/>
    </row>
    <row r="634" ht="12.0" customHeight="1">
      <c r="A634" s="68"/>
      <c r="B634" s="68"/>
      <c r="C634" s="68"/>
      <c r="D634" s="68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8"/>
      <c r="W634" s="70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70"/>
      <c r="AO634" s="68"/>
    </row>
    <row r="635" ht="12.0" customHeight="1">
      <c r="A635" s="68"/>
      <c r="B635" s="68"/>
      <c r="C635" s="68"/>
      <c r="D635" s="68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8"/>
      <c r="W635" s="70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70"/>
      <c r="AO635" s="68"/>
    </row>
    <row r="636" ht="12.0" customHeight="1">
      <c r="A636" s="68"/>
      <c r="B636" s="68"/>
      <c r="C636" s="68"/>
      <c r="D636" s="68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8"/>
      <c r="W636" s="70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70"/>
      <c r="AO636" s="68"/>
    </row>
    <row r="637" ht="12.0" customHeight="1">
      <c r="A637" s="68"/>
      <c r="B637" s="68"/>
      <c r="C637" s="68"/>
      <c r="D637" s="68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8"/>
      <c r="W637" s="70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70"/>
      <c r="AO637" s="68"/>
    </row>
    <row r="638" ht="12.0" customHeight="1">
      <c r="A638" s="68"/>
      <c r="B638" s="68"/>
      <c r="C638" s="68"/>
      <c r="D638" s="68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8"/>
      <c r="W638" s="70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70"/>
      <c r="AO638" s="68"/>
    </row>
    <row r="639" ht="12.0" customHeight="1">
      <c r="A639" s="68"/>
      <c r="B639" s="68"/>
      <c r="C639" s="68"/>
      <c r="D639" s="68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8"/>
      <c r="W639" s="70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70"/>
      <c r="AO639" s="68"/>
    </row>
    <row r="640" ht="12.0" customHeight="1">
      <c r="A640" s="68"/>
      <c r="B640" s="68"/>
      <c r="C640" s="68"/>
      <c r="D640" s="68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8"/>
      <c r="W640" s="70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70"/>
      <c r="AO640" s="68"/>
    </row>
    <row r="641" ht="12.0" customHeight="1">
      <c r="A641" s="68"/>
      <c r="B641" s="68"/>
      <c r="C641" s="68"/>
      <c r="D641" s="68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8"/>
      <c r="W641" s="70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70"/>
      <c r="AO641" s="68"/>
    </row>
    <row r="642" ht="12.0" customHeight="1">
      <c r="A642" s="68"/>
      <c r="B642" s="68"/>
      <c r="C642" s="68"/>
      <c r="D642" s="68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8"/>
      <c r="W642" s="70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70"/>
      <c r="AO642" s="68"/>
    </row>
    <row r="643" ht="12.0" customHeight="1">
      <c r="A643" s="68"/>
      <c r="B643" s="68"/>
      <c r="C643" s="68"/>
      <c r="D643" s="68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8"/>
      <c r="W643" s="70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70"/>
      <c r="AO643" s="68"/>
    </row>
    <row r="644" ht="12.0" customHeight="1">
      <c r="A644" s="68"/>
      <c r="B644" s="68"/>
      <c r="C644" s="68"/>
      <c r="D644" s="68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8"/>
      <c r="W644" s="70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70"/>
      <c r="AO644" s="68"/>
    </row>
    <row r="645" ht="12.0" customHeight="1">
      <c r="A645" s="68"/>
      <c r="B645" s="68"/>
      <c r="C645" s="68"/>
      <c r="D645" s="68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8"/>
      <c r="W645" s="70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70"/>
      <c r="AO645" s="68"/>
    </row>
    <row r="646" ht="12.0" customHeight="1">
      <c r="A646" s="68"/>
      <c r="B646" s="68"/>
      <c r="C646" s="68"/>
      <c r="D646" s="68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8"/>
      <c r="W646" s="70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70"/>
      <c r="AO646" s="68"/>
    </row>
    <row r="647" ht="12.0" customHeight="1">
      <c r="A647" s="68"/>
      <c r="B647" s="68"/>
      <c r="C647" s="68"/>
      <c r="D647" s="68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8"/>
      <c r="W647" s="70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70"/>
      <c r="AO647" s="68"/>
    </row>
    <row r="648" ht="12.0" customHeight="1">
      <c r="A648" s="68"/>
      <c r="B648" s="68"/>
      <c r="C648" s="68"/>
      <c r="D648" s="68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8"/>
      <c r="W648" s="70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70"/>
      <c r="AO648" s="68"/>
    </row>
    <row r="649" ht="12.0" customHeight="1">
      <c r="A649" s="68"/>
      <c r="B649" s="68"/>
      <c r="C649" s="68"/>
      <c r="D649" s="68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8"/>
      <c r="W649" s="70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70"/>
      <c r="AO649" s="68"/>
    </row>
    <row r="650" ht="12.0" customHeight="1">
      <c r="A650" s="68"/>
      <c r="B650" s="68"/>
      <c r="C650" s="68"/>
      <c r="D650" s="68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8"/>
      <c r="W650" s="70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70"/>
      <c r="AO650" s="68"/>
    </row>
    <row r="651" ht="12.0" customHeight="1">
      <c r="A651" s="68"/>
      <c r="B651" s="68"/>
      <c r="C651" s="68"/>
      <c r="D651" s="68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8"/>
      <c r="W651" s="70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70"/>
      <c r="AO651" s="68"/>
    </row>
    <row r="652" ht="12.0" customHeight="1">
      <c r="A652" s="68"/>
      <c r="B652" s="68"/>
      <c r="C652" s="68"/>
      <c r="D652" s="68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8"/>
      <c r="W652" s="70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70"/>
      <c r="AO652" s="68"/>
    </row>
    <row r="653" ht="12.0" customHeight="1">
      <c r="A653" s="68"/>
      <c r="B653" s="68"/>
      <c r="C653" s="68"/>
      <c r="D653" s="68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8"/>
      <c r="W653" s="70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70"/>
      <c r="AO653" s="68"/>
    </row>
    <row r="654" ht="12.0" customHeight="1">
      <c r="A654" s="68"/>
      <c r="B654" s="68"/>
      <c r="C654" s="68"/>
      <c r="D654" s="68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8"/>
      <c r="W654" s="70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70"/>
      <c r="AO654" s="68"/>
    </row>
    <row r="655" ht="12.0" customHeight="1">
      <c r="A655" s="68"/>
      <c r="B655" s="68"/>
      <c r="C655" s="68"/>
      <c r="D655" s="68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8"/>
      <c r="W655" s="70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70"/>
      <c r="AO655" s="68"/>
    </row>
    <row r="656" ht="12.0" customHeight="1">
      <c r="A656" s="68"/>
      <c r="B656" s="68"/>
      <c r="C656" s="68"/>
      <c r="D656" s="68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8"/>
      <c r="W656" s="70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70"/>
      <c r="AO656" s="68"/>
    </row>
    <row r="657" ht="12.0" customHeight="1">
      <c r="A657" s="68"/>
      <c r="B657" s="68"/>
      <c r="C657" s="68"/>
      <c r="D657" s="68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8"/>
      <c r="W657" s="70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70"/>
      <c r="AO657" s="68"/>
    </row>
    <row r="658" ht="12.0" customHeight="1">
      <c r="A658" s="68"/>
      <c r="B658" s="68"/>
      <c r="C658" s="68"/>
      <c r="D658" s="68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8"/>
      <c r="W658" s="70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70"/>
      <c r="AO658" s="68"/>
    </row>
    <row r="659" ht="12.0" customHeight="1">
      <c r="A659" s="68"/>
      <c r="B659" s="68"/>
      <c r="C659" s="68"/>
      <c r="D659" s="68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8"/>
      <c r="W659" s="70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70"/>
      <c r="AO659" s="68"/>
    </row>
    <row r="660" ht="12.0" customHeight="1">
      <c r="A660" s="68"/>
      <c r="B660" s="68"/>
      <c r="C660" s="68"/>
      <c r="D660" s="68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8"/>
      <c r="W660" s="70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70"/>
      <c r="AO660" s="68"/>
    </row>
    <row r="661" ht="12.0" customHeight="1">
      <c r="A661" s="68"/>
      <c r="B661" s="68"/>
      <c r="C661" s="68"/>
      <c r="D661" s="68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8"/>
      <c r="W661" s="70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70"/>
      <c r="AO661" s="68"/>
    </row>
    <row r="662" ht="12.0" customHeight="1">
      <c r="A662" s="68"/>
      <c r="B662" s="68"/>
      <c r="C662" s="68"/>
      <c r="D662" s="68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8"/>
      <c r="W662" s="70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70"/>
      <c r="AO662" s="68"/>
    </row>
    <row r="663" ht="12.0" customHeight="1">
      <c r="A663" s="68"/>
      <c r="B663" s="68"/>
      <c r="C663" s="68"/>
      <c r="D663" s="68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8"/>
      <c r="W663" s="70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70"/>
      <c r="AO663" s="68"/>
    </row>
    <row r="664" ht="12.0" customHeight="1">
      <c r="A664" s="68"/>
      <c r="B664" s="68"/>
      <c r="C664" s="68"/>
      <c r="D664" s="68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8"/>
      <c r="W664" s="70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70"/>
      <c r="AO664" s="68"/>
    </row>
    <row r="665" ht="12.0" customHeight="1">
      <c r="A665" s="68"/>
      <c r="B665" s="68"/>
      <c r="C665" s="68"/>
      <c r="D665" s="68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8"/>
      <c r="W665" s="70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70"/>
      <c r="AO665" s="68"/>
    </row>
    <row r="666" ht="12.0" customHeight="1">
      <c r="A666" s="68"/>
      <c r="B666" s="68"/>
      <c r="C666" s="68"/>
      <c r="D666" s="68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8"/>
      <c r="W666" s="70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70"/>
      <c r="AO666" s="68"/>
    </row>
    <row r="667" ht="12.0" customHeight="1">
      <c r="A667" s="68"/>
      <c r="B667" s="68"/>
      <c r="C667" s="68"/>
      <c r="D667" s="68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8"/>
      <c r="W667" s="70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70"/>
      <c r="AO667" s="68"/>
    </row>
    <row r="668" ht="12.0" customHeight="1">
      <c r="A668" s="68"/>
      <c r="B668" s="68"/>
      <c r="C668" s="68"/>
      <c r="D668" s="68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8"/>
      <c r="W668" s="70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70"/>
      <c r="AO668" s="68"/>
    </row>
    <row r="669" ht="12.0" customHeight="1">
      <c r="A669" s="68"/>
      <c r="B669" s="68"/>
      <c r="C669" s="68"/>
      <c r="D669" s="68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8"/>
      <c r="W669" s="70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70"/>
      <c r="AO669" s="68"/>
    </row>
    <row r="670" ht="12.0" customHeight="1">
      <c r="A670" s="68"/>
      <c r="B670" s="68"/>
      <c r="C670" s="68"/>
      <c r="D670" s="68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8"/>
      <c r="W670" s="70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70"/>
      <c r="AO670" s="68"/>
    </row>
    <row r="671" ht="12.0" customHeight="1">
      <c r="A671" s="68"/>
      <c r="B671" s="68"/>
      <c r="C671" s="68"/>
      <c r="D671" s="68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8"/>
      <c r="W671" s="70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70"/>
      <c r="AO671" s="68"/>
    </row>
    <row r="672" ht="12.0" customHeight="1">
      <c r="A672" s="68"/>
      <c r="B672" s="68"/>
      <c r="C672" s="68"/>
      <c r="D672" s="68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8"/>
      <c r="W672" s="70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70"/>
      <c r="AO672" s="68"/>
    </row>
    <row r="673" ht="12.0" customHeight="1">
      <c r="A673" s="68"/>
      <c r="B673" s="68"/>
      <c r="C673" s="68"/>
      <c r="D673" s="68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8"/>
      <c r="W673" s="70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70"/>
      <c r="AO673" s="68"/>
    </row>
    <row r="674" ht="12.0" customHeight="1">
      <c r="A674" s="68"/>
      <c r="B674" s="68"/>
      <c r="C674" s="68"/>
      <c r="D674" s="68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8"/>
      <c r="W674" s="70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70"/>
      <c r="AO674" s="68"/>
    </row>
    <row r="675" ht="12.0" customHeight="1">
      <c r="A675" s="68"/>
      <c r="B675" s="68"/>
      <c r="C675" s="68"/>
      <c r="D675" s="68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8"/>
      <c r="W675" s="70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70"/>
      <c r="AO675" s="68"/>
    </row>
    <row r="676" ht="12.0" customHeight="1">
      <c r="A676" s="68"/>
      <c r="B676" s="68"/>
      <c r="C676" s="68"/>
      <c r="D676" s="68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8"/>
      <c r="W676" s="70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70"/>
      <c r="AO676" s="68"/>
    </row>
    <row r="677" ht="12.0" customHeight="1">
      <c r="A677" s="68"/>
      <c r="B677" s="68"/>
      <c r="C677" s="68"/>
      <c r="D677" s="68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8"/>
      <c r="W677" s="70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70"/>
      <c r="AO677" s="68"/>
    </row>
    <row r="678" ht="12.0" customHeight="1">
      <c r="A678" s="68"/>
      <c r="B678" s="68"/>
      <c r="C678" s="68"/>
      <c r="D678" s="68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8"/>
      <c r="W678" s="70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70"/>
      <c r="AO678" s="68"/>
    </row>
    <row r="679" ht="12.0" customHeight="1">
      <c r="A679" s="68"/>
      <c r="B679" s="68"/>
      <c r="C679" s="68"/>
      <c r="D679" s="68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8"/>
      <c r="W679" s="70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70"/>
      <c r="AO679" s="68"/>
    </row>
    <row r="680" ht="12.0" customHeight="1">
      <c r="A680" s="68"/>
      <c r="B680" s="68"/>
      <c r="C680" s="68"/>
      <c r="D680" s="68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8"/>
      <c r="W680" s="70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70"/>
      <c r="AO680" s="68"/>
    </row>
    <row r="681" ht="12.0" customHeight="1">
      <c r="A681" s="68"/>
      <c r="B681" s="68"/>
      <c r="C681" s="68"/>
      <c r="D681" s="68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8"/>
      <c r="W681" s="70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70"/>
      <c r="AO681" s="68"/>
    </row>
    <row r="682" ht="12.0" customHeight="1">
      <c r="A682" s="68"/>
      <c r="B682" s="68"/>
      <c r="C682" s="68"/>
      <c r="D682" s="68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8"/>
      <c r="W682" s="70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70"/>
      <c r="AO682" s="68"/>
    </row>
    <row r="683" ht="12.0" customHeight="1">
      <c r="A683" s="68"/>
      <c r="B683" s="68"/>
      <c r="C683" s="68"/>
      <c r="D683" s="68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8"/>
      <c r="W683" s="70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70"/>
      <c r="AO683" s="68"/>
    </row>
    <row r="684" ht="12.0" customHeight="1">
      <c r="A684" s="68"/>
      <c r="B684" s="68"/>
      <c r="C684" s="68"/>
      <c r="D684" s="68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8"/>
      <c r="W684" s="70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70"/>
      <c r="AO684" s="68"/>
    </row>
    <row r="685" ht="12.0" customHeight="1">
      <c r="A685" s="68"/>
      <c r="B685" s="68"/>
      <c r="C685" s="68"/>
      <c r="D685" s="68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8"/>
      <c r="W685" s="70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70"/>
      <c r="AO685" s="68"/>
    </row>
    <row r="686" ht="12.0" customHeight="1">
      <c r="A686" s="68"/>
      <c r="B686" s="68"/>
      <c r="C686" s="68"/>
      <c r="D686" s="68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8"/>
      <c r="W686" s="70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70"/>
      <c r="AO686" s="68"/>
    </row>
    <row r="687" ht="12.0" customHeight="1">
      <c r="A687" s="68"/>
      <c r="B687" s="68"/>
      <c r="C687" s="68"/>
      <c r="D687" s="68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8"/>
      <c r="W687" s="70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70"/>
      <c r="AO687" s="68"/>
    </row>
    <row r="688" ht="12.0" customHeight="1">
      <c r="A688" s="68"/>
      <c r="B688" s="68"/>
      <c r="C688" s="68"/>
      <c r="D688" s="68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8"/>
      <c r="W688" s="70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70"/>
      <c r="AO688" s="68"/>
    </row>
    <row r="689" ht="12.0" customHeight="1">
      <c r="A689" s="68"/>
      <c r="B689" s="68"/>
      <c r="C689" s="68"/>
      <c r="D689" s="68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8"/>
      <c r="W689" s="70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70"/>
      <c r="AO689" s="68"/>
    </row>
    <row r="690" ht="12.0" customHeight="1">
      <c r="A690" s="68"/>
      <c r="B690" s="68"/>
      <c r="C690" s="68"/>
      <c r="D690" s="68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8"/>
      <c r="W690" s="70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70"/>
      <c r="AO690" s="68"/>
    </row>
    <row r="691" ht="12.0" customHeight="1">
      <c r="A691" s="68"/>
      <c r="B691" s="68"/>
      <c r="C691" s="68"/>
      <c r="D691" s="68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8"/>
      <c r="W691" s="70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70"/>
      <c r="AO691" s="68"/>
    </row>
    <row r="692" ht="12.0" customHeight="1">
      <c r="A692" s="68"/>
      <c r="B692" s="68"/>
      <c r="C692" s="68"/>
      <c r="D692" s="68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8"/>
      <c r="W692" s="70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70"/>
      <c r="AO692" s="68"/>
    </row>
    <row r="693" ht="12.0" customHeight="1">
      <c r="A693" s="68"/>
      <c r="B693" s="68"/>
      <c r="C693" s="68"/>
      <c r="D693" s="68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8"/>
      <c r="W693" s="70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70"/>
      <c r="AO693" s="68"/>
    </row>
    <row r="694" ht="12.0" customHeight="1">
      <c r="A694" s="68"/>
      <c r="B694" s="68"/>
      <c r="C694" s="68"/>
      <c r="D694" s="68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8"/>
      <c r="W694" s="70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70"/>
      <c r="AO694" s="68"/>
    </row>
    <row r="695" ht="12.0" customHeight="1">
      <c r="A695" s="68"/>
      <c r="B695" s="68"/>
      <c r="C695" s="68"/>
      <c r="D695" s="68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8"/>
      <c r="W695" s="70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70"/>
      <c r="AO695" s="68"/>
    </row>
    <row r="696" ht="12.0" customHeight="1">
      <c r="A696" s="68"/>
      <c r="B696" s="68"/>
      <c r="C696" s="68"/>
      <c r="D696" s="68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8"/>
      <c r="W696" s="70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70"/>
      <c r="AO696" s="68"/>
    </row>
    <row r="697" ht="12.0" customHeight="1">
      <c r="A697" s="68"/>
      <c r="B697" s="68"/>
      <c r="C697" s="68"/>
      <c r="D697" s="68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8"/>
      <c r="W697" s="70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70"/>
      <c r="AO697" s="68"/>
    </row>
    <row r="698" ht="12.0" customHeight="1">
      <c r="A698" s="68"/>
      <c r="B698" s="68"/>
      <c r="C698" s="68"/>
      <c r="D698" s="68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8"/>
      <c r="W698" s="70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70"/>
      <c r="AO698" s="68"/>
    </row>
    <row r="699" ht="12.0" customHeight="1">
      <c r="A699" s="68"/>
      <c r="B699" s="68"/>
      <c r="C699" s="68"/>
      <c r="D699" s="68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8"/>
      <c r="W699" s="70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70"/>
      <c r="AO699" s="68"/>
    </row>
    <row r="700" ht="12.0" customHeight="1">
      <c r="A700" s="68"/>
      <c r="B700" s="68"/>
      <c r="C700" s="68"/>
      <c r="D700" s="68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8"/>
      <c r="W700" s="70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70"/>
      <c r="AO700" s="68"/>
    </row>
    <row r="701" ht="12.0" customHeight="1">
      <c r="A701" s="68"/>
      <c r="B701" s="68"/>
      <c r="C701" s="68"/>
      <c r="D701" s="68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8"/>
      <c r="W701" s="70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70"/>
      <c r="AO701" s="68"/>
    </row>
    <row r="702" ht="12.0" customHeight="1">
      <c r="A702" s="68"/>
      <c r="B702" s="68"/>
      <c r="C702" s="68"/>
      <c r="D702" s="68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8"/>
      <c r="W702" s="70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70"/>
      <c r="AO702" s="68"/>
    </row>
    <row r="703" ht="12.0" customHeight="1">
      <c r="A703" s="68"/>
      <c r="B703" s="68"/>
      <c r="C703" s="68"/>
      <c r="D703" s="68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8"/>
      <c r="W703" s="70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70"/>
      <c r="AO703" s="68"/>
    </row>
    <row r="704" ht="12.0" customHeight="1">
      <c r="A704" s="68"/>
      <c r="B704" s="68"/>
      <c r="C704" s="68"/>
      <c r="D704" s="68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8"/>
      <c r="W704" s="70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70"/>
      <c r="AO704" s="68"/>
    </row>
    <row r="705" ht="12.0" customHeight="1">
      <c r="A705" s="68"/>
      <c r="B705" s="68"/>
      <c r="C705" s="68"/>
      <c r="D705" s="68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8"/>
      <c r="W705" s="70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70"/>
      <c r="AO705" s="68"/>
    </row>
    <row r="706" ht="12.0" customHeight="1">
      <c r="A706" s="68"/>
      <c r="B706" s="68"/>
      <c r="C706" s="68"/>
      <c r="D706" s="68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8"/>
      <c r="W706" s="70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70"/>
      <c r="AO706" s="68"/>
    </row>
    <row r="707" ht="12.0" customHeight="1">
      <c r="A707" s="68"/>
      <c r="B707" s="68"/>
      <c r="C707" s="68"/>
      <c r="D707" s="68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8"/>
      <c r="W707" s="70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70"/>
      <c r="AO707" s="68"/>
    </row>
    <row r="708" ht="12.0" customHeight="1">
      <c r="A708" s="68"/>
      <c r="B708" s="68"/>
      <c r="C708" s="68"/>
      <c r="D708" s="68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8"/>
      <c r="W708" s="70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70"/>
      <c r="AO708" s="68"/>
    </row>
    <row r="709" ht="12.0" customHeight="1">
      <c r="A709" s="68"/>
      <c r="B709" s="68"/>
      <c r="C709" s="68"/>
      <c r="D709" s="68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8"/>
      <c r="W709" s="70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70"/>
      <c r="AO709" s="68"/>
    </row>
    <row r="710" ht="12.0" customHeight="1">
      <c r="A710" s="68"/>
      <c r="B710" s="68"/>
      <c r="C710" s="68"/>
      <c r="D710" s="68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8"/>
      <c r="W710" s="70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70"/>
      <c r="AO710" s="68"/>
    </row>
    <row r="711" ht="12.0" customHeight="1">
      <c r="A711" s="68"/>
      <c r="B711" s="68"/>
      <c r="C711" s="68"/>
      <c r="D711" s="68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8"/>
      <c r="W711" s="70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70"/>
      <c r="AO711" s="68"/>
    </row>
    <row r="712" ht="12.0" customHeight="1">
      <c r="A712" s="68"/>
      <c r="B712" s="68"/>
      <c r="C712" s="68"/>
      <c r="D712" s="68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8"/>
      <c r="W712" s="70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70"/>
      <c r="AO712" s="68"/>
    </row>
    <row r="713" ht="12.0" customHeight="1">
      <c r="A713" s="68"/>
      <c r="B713" s="68"/>
      <c r="C713" s="68"/>
      <c r="D713" s="68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8"/>
      <c r="W713" s="70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70"/>
      <c r="AO713" s="68"/>
    </row>
    <row r="714" ht="12.0" customHeight="1">
      <c r="A714" s="68"/>
      <c r="B714" s="68"/>
      <c r="C714" s="68"/>
      <c r="D714" s="68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8"/>
      <c r="W714" s="70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70"/>
      <c r="AO714" s="68"/>
    </row>
    <row r="715" ht="12.0" customHeight="1">
      <c r="A715" s="68"/>
      <c r="B715" s="68"/>
      <c r="C715" s="68"/>
      <c r="D715" s="68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8"/>
      <c r="W715" s="70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70"/>
      <c r="AO715" s="68"/>
    </row>
    <row r="716" ht="12.0" customHeight="1">
      <c r="A716" s="68"/>
      <c r="B716" s="68"/>
      <c r="C716" s="68"/>
      <c r="D716" s="68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8"/>
      <c r="W716" s="70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70"/>
      <c r="AO716" s="68"/>
    </row>
    <row r="717" ht="12.0" customHeight="1">
      <c r="A717" s="68"/>
      <c r="B717" s="68"/>
      <c r="C717" s="68"/>
      <c r="D717" s="68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8"/>
      <c r="W717" s="70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70"/>
      <c r="AO717" s="68"/>
    </row>
    <row r="718" ht="12.0" customHeight="1">
      <c r="A718" s="68"/>
      <c r="B718" s="68"/>
      <c r="C718" s="68"/>
      <c r="D718" s="68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8"/>
      <c r="W718" s="70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70"/>
      <c r="AO718" s="68"/>
    </row>
    <row r="719" ht="12.0" customHeight="1">
      <c r="A719" s="68"/>
      <c r="B719" s="68"/>
      <c r="C719" s="68"/>
      <c r="D719" s="68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8"/>
      <c r="W719" s="70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70"/>
      <c r="AO719" s="68"/>
    </row>
    <row r="720" ht="12.0" customHeight="1">
      <c r="A720" s="68"/>
      <c r="B720" s="68"/>
      <c r="C720" s="68"/>
      <c r="D720" s="68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8"/>
      <c r="W720" s="70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70"/>
      <c r="AO720" s="68"/>
    </row>
    <row r="721" ht="12.0" customHeight="1">
      <c r="A721" s="68"/>
      <c r="B721" s="68"/>
      <c r="C721" s="68"/>
      <c r="D721" s="68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8"/>
      <c r="W721" s="70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70"/>
      <c r="AO721" s="68"/>
    </row>
    <row r="722" ht="12.0" customHeight="1">
      <c r="A722" s="68"/>
      <c r="B722" s="68"/>
      <c r="C722" s="68"/>
      <c r="D722" s="68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8"/>
      <c r="W722" s="70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70"/>
      <c r="AO722" s="68"/>
    </row>
    <row r="723" ht="12.0" customHeight="1">
      <c r="A723" s="68"/>
      <c r="B723" s="68"/>
      <c r="C723" s="68"/>
      <c r="D723" s="68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8"/>
      <c r="W723" s="70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70"/>
      <c r="AO723" s="68"/>
    </row>
    <row r="724" ht="12.0" customHeight="1">
      <c r="A724" s="68"/>
      <c r="B724" s="68"/>
      <c r="C724" s="68"/>
      <c r="D724" s="68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8"/>
      <c r="W724" s="70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70"/>
      <c r="AO724" s="68"/>
    </row>
    <row r="725" ht="12.0" customHeight="1">
      <c r="A725" s="68"/>
      <c r="B725" s="68"/>
      <c r="C725" s="68"/>
      <c r="D725" s="68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8"/>
      <c r="W725" s="70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70"/>
      <c r="AO725" s="68"/>
    </row>
    <row r="726" ht="12.0" customHeight="1">
      <c r="A726" s="68"/>
      <c r="B726" s="68"/>
      <c r="C726" s="68"/>
      <c r="D726" s="68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8"/>
      <c r="W726" s="70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70"/>
      <c r="AO726" s="68"/>
    </row>
    <row r="727" ht="12.0" customHeight="1">
      <c r="A727" s="68"/>
      <c r="B727" s="68"/>
      <c r="C727" s="68"/>
      <c r="D727" s="68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8"/>
      <c r="W727" s="70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70"/>
      <c r="AO727" s="68"/>
    </row>
    <row r="728" ht="12.0" customHeight="1">
      <c r="A728" s="68"/>
      <c r="B728" s="68"/>
      <c r="C728" s="68"/>
      <c r="D728" s="68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8"/>
      <c r="W728" s="70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70"/>
      <c r="AO728" s="68"/>
    </row>
    <row r="729" ht="12.0" customHeight="1">
      <c r="A729" s="68"/>
      <c r="B729" s="68"/>
      <c r="C729" s="68"/>
      <c r="D729" s="68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8"/>
      <c r="W729" s="70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70"/>
      <c r="AO729" s="68"/>
    </row>
    <row r="730" ht="12.0" customHeight="1">
      <c r="A730" s="68"/>
      <c r="B730" s="68"/>
      <c r="C730" s="68"/>
      <c r="D730" s="68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8"/>
      <c r="W730" s="70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70"/>
      <c r="AO730" s="68"/>
    </row>
    <row r="731" ht="12.0" customHeight="1">
      <c r="A731" s="68"/>
      <c r="B731" s="68"/>
      <c r="C731" s="68"/>
      <c r="D731" s="68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8"/>
      <c r="W731" s="70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70"/>
      <c r="AO731" s="68"/>
    </row>
    <row r="732" ht="12.0" customHeight="1">
      <c r="A732" s="68"/>
      <c r="B732" s="68"/>
      <c r="C732" s="68"/>
      <c r="D732" s="68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8"/>
      <c r="W732" s="70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70"/>
      <c r="AO732" s="68"/>
    </row>
    <row r="733" ht="12.0" customHeight="1">
      <c r="A733" s="68"/>
      <c r="B733" s="68"/>
      <c r="C733" s="68"/>
      <c r="D733" s="68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8"/>
      <c r="W733" s="70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70"/>
      <c r="AO733" s="68"/>
    </row>
    <row r="734" ht="12.0" customHeight="1">
      <c r="A734" s="68"/>
      <c r="B734" s="68"/>
      <c r="C734" s="68"/>
      <c r="D734" s="68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8"/>
      <c r="W734" s="70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70"/>
      <c r="AO734" s="68"/>
    </row>
    <row r="735" ht="12.0" customHeight="1">
      <c r="A735" s="68"/>
      <c r="B735" s="68"/>
      <c r="C735" s="68"/>
      <c r="D735" s="68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8"/>
      <c r="W735" s="70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70"/>
      <c r="AO735" s="68"/>
    </row>
    <row r="736" ht="12.0" customHeight="1">
      <c r="A736" s="68"/>
      <c r="B736" s="68"/>
      <c r="C736" s="68"/>
      <c r="D736" s="68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8"/>
      <c r="W736" s="70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70"/>
      <c r="AO736" s="68"/>
    </row>
    <row r="737" ht="12.0" customHeight="1">
      <c r="A737" s="68"/>
      <c r="B737" s="68"/>
      <c r="C737" s="68"/>
      <c r="D737" s="68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8"/>
      <c r="W737" s="70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70"/>
      <c r="AO737" s="68"/>
    </row>
    <row r="738" ht="12.0" customHeight="1">
      <c r="A738" s="68"/>
      <c r="B738" s="68"/>
      <c r="C738" s="68"/>
      <c r="D738" s="68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8"/>
      <c r="W738" s="70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70"/>
      <c r="AO738" s="68"/>
    </row>
    <row r="739" ht="12.0" customHeight="1">
      <c r="A739" s="68"/>
      <c r="B739" s="68"/>
      <c r="C739" s="68"/>
      <c r="D739" s="68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8"/>
      <c r="W739" s="70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70"/>
      <c r="AO739" s="68"/>
    </row>
    <row r="740" ht="12.0" customHeight="1">
      <c r="A740" s="68"/>
      <c r="B740" s="68"/>
      <c r="C740" s="68"/>
      <c r="D740" s="68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8"/>
      <c r="W740" s="70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70"/>
      <c r="AO740" s="68"/>
    </row>
    <row r="741" ht="12.0" customHeight="1">
      <c r="A741" s="68"/>
      <c r="B741" s="68"/>
      <c r="C741" s="68"/>
      <c r="D741" s="68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8"/>
      <c r="W741" s="70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70"/>
      <c r="AO741" s="68"/>
    </row>
    <row r="742" ht="12.0" customHeight="1">
      <c r="A742" s="68"/>
      <c r="B742" s="68"/>
      <c r="C742" s="68"/>
      <c r="D742" s="68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8"/>
      <c r="W742" s="70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70"/>
      <c r="AO742" s="68"/>
    </row>
    <row r="743" ht="12.0" customHeight="1">
      <c r="A743" s="68"/>
      <c r="B743" s="68"/>
      <c r="C743" s="68"/>
      <c r="D743" s="68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8"/>
      <c r="W743" s="70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70"/>
      <c r="AO743" s="68"/>
    </row>
    <row r="744" ht="12.0" customHeight="1">
      <c r="A744" s="68"/>
      <c r="B744" s="68"/>
      <c r="C744" s="68"/>
      <c r="D744" s="68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8"/>
      <c r="W744" s="70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70"/>
      <c r="AO744" s="68"/>
    </row>
    <row r="745" ht="12.0" customHeight="1">
      <c r="A745" s="68"/>
      <c r="B745" s="68"/>
      <c r="C745" s="68"/>
      <c r="D745" s="68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8"/>
      <c r="W745" s="70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70"/>
      <c r="AO745" s="68"/>
    </row>
    <row r="746" ht="12.0" customHeight="1">
      <c r="A746" s="68"/>
      <c r="B746" s="68"/>
      <c r="C746" s="68"/>
      <c r="D746" s="68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8"/>
      <c r="W746" s="70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70"/>
      <c r="AO746" s="68"/>
    </row>
    <row r="747" ht="12.0" customHeight="1">
      <c r="A747" s="68"/>
      <c r="B747" s="68"/>
      <c r="C747" s="68"/>
      <c r="D747" s="68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8"/>
      <c r="W747" s="70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70"/>
      <c r="AO747" s="68"/>
    </row>
    <row r="748" ht="12.0" customHeight="1">
      <c r="A748" s="68"/>
      <c r="B748" s="68"/>
      <c r="C748" s="68"/>
      <c r="D748" s="68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8"/>
      <c r="W748" s="70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70"/>
      <c r="AO748" s="68"/>
    </row>
    <row r="749" ht="12.0" customHeight="1">
      <c r="A749" s="68"/>
      <c r="B749" s="68"/>
      <c r="C749" s="68"/>
      <c r="D749" s="68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8"/>
      <c r="W749" s="70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70"/>
      <c r="AO749" s="68"/>
    </row>
    <row r="750" ht="12.0" customHeight="1">
      <c r="A750" s="68"/>
      <c r="B750" s="68"/>
      <c r="C750" s="68"/>
      <c r="D750" s="68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8"/>
      <c r="W750" s="70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70"/>
      <c r="AO750" s="68"/>
    </row>
    <row r="751" ht="12.0" customHeight="1">
      <c r="A751" s="68"/>
      <c r="B751" s="68"/>
      <c r="C751" s="68"/>
      <c r="D751" s="68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8"/>
      <c r="W751" s="70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70"/>
      <c r="AO751" s="68"/>
    </row>
    <row r="752" ht="12.0" customHeight="1">
      <c r="A752" s="68"/>
      <c r="B752" s="68"/>
      <c r="C752" s="68"/>
      <c r="D752" s="68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8"/>
      <c r="W752" s="70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70"/>
      <c r="AO752" s="68"/>
    </row>
    <row r="753" ht="12.0" customHeight="1">
      <c r="A753" s="68"/>
      <c r="B753" s="68"/>
      <c r="C753" s="68"/>
      <c r="D753" s="68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8"/>
      <c r="W753" s="70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70"/>
      <c r="AO753" s="68"/>
    </row>
    <row r="754" ht="12.0" customHeight="1">
      <c r="A754" s="68"/>
      <c r="B754" s="68"/>
      <c r="C754" s="68"/>
      <c r="D754" s="68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8"/>
      <c r="W754" s="70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70"/>
      <c r="AO754" s="68"/>
    </row>
    <row r="755" ht="12.0" customHeight="1">
      <c r="A755" s="68"/>
      <c r="B755" s="68"/>
      <c r="C755" s="68"/>
      <c r="D755" s="68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8"/>
      <c r="W755" s="70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70"/>
      <c r="AO755" s="68"/>
    </row>
    <row r="756" ht="12.0" customHeight="1">
      <c r="A756" s="68"/>
      <c r="B756" s="68"/>
      <c r="C756" s="68"/>
      <c r="D756" s="68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8"/>
      <c r="W756" s="70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70"/>
      <c r="AO756" s="68"/>
    </row>
    <row r="757" ht="12.0" customHeight="1">
      <c r="A757" s="68"/>
      <c r="B757" s="68"/>
      <c r="C757" s="68"/>
      <c r="D757" s="68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8"/>
      <c r="W757" s="70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70"/>
      <c r="AO757" s="68"/>
    </row>
    <row r="758" ht="12.0" customHeight="1">
      <c r="A758" s="68"/>
      <c r="B758" s="68"/>
      <c r="C758" s="68"/>
      <c r="D758" s="68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8"/>
      <c r="W758" s="70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70"/>
      <c r="AO758" s="68"/>
    </row>
    <row r="759" ht="12.0" customHeight="1">
      <c r="A759" s="68"/>
      <c r="B759" s="68"/>
      <c r="C759" s="68"/>
      <c r="D759" s="68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8"/>
      <c r="W759" s="70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70"/>
      <c r="AO759" s="68"/>
    </row>
    <row r="760" ht="12.0" customHeight="1">
      <c r="A760" s="68"/>
      <c r="B760" s="68"/>
      <c r="C760" s="68"/>
      <c r="D760" s="68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8"/>
      <c r="W760" s="70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70"/>
      <c r="AO760" s="68"/>
    </row>
    <row r="761" ht="12.0" customHeight="1">
      <c r="A761" s="68"/>
      <c r="B761" s="68"/>
      <c r="C761" s="68"/>
      <c r="D761" s="68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8"/>
      <c r="W761" s="70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70"/>
      <c r="AO761" s="68"/>
    </row>
    <row r="762" ht="12.0" customHeight="1">
      <c r="A762" s="68"/>
      <c r="B762" s="68"/>
      <c r="C762" s="68"/>
      <c r="D762" s="68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8"/>
      <c r="W762" s="70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70"/>
      <c r="AO762" s="68"/>
    </row>
    <row r="763" ht="12.0" customHeight="1">
      <c r="A763" s="68"/>
      <c r="B763" s="68"/>
      <c r="C763" s="68"/>
      <c r="D763" s="68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8"/>
      <c r="W763" s="70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70"/>
      <c r="AO763" s="68"/>
    </row>
    <row r="764" ht="12.0" customHeight="1">
      <c r="A764" s="68"/>
      <c r="B764" s="68"/>
      <c r="C764" s="68"/>
      <c r="D764" s="68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8"/>
      <c r="W764" s="70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70"/>
      <c r="AO764" s="68"/>
    </row>
    <row r="765" ht="12.0" customHeight="1">
      <c r="A765" s="68"/>
      <c r="B765" s="68"/>
      <c r="C765" s="68"/>
      <c r="D765" s="68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8"/>
      <c r="W765" s="70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70"/>
      <c r="AO765" s="68"/>
    </row>
    <row r="766" ht="12.0" customHeight="1">
      <c r="A766" s="68"/>
      <c r="B766" s="68"/>
      <c r="C766" s="68"/>
      <c r="D766" s="68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8"/>
      <c r="W766" s="70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70"/>
      <c r="AO766" s="68"/>
    </row>
    <row r="767" ht="12.0" customHeight="1">
      <c r="A767" s="68"/>
      <c r="B767" s="68"/>
      <c r="C767" s="68"/>
      <c r="D767" s="68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8"/>
      <c r="W767" s="70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70"/>
      <c r="AO767" s="68"/>
    </row>
    <row r="768" ht="12.0" customHeight="1">
      <c r="A768" s="68"/>
      <c r="B768" s="68"/>
      <c r="C768" s="68"/>
      <c r="D768" s="68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8"/>
      <c r="W768" s="70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70"/>
      <c r="AO768" s="68"/>
    </row>
    <row r="769" ht="12.0" customHeight="1">
      <c r="A769" s="68"/>
      <c r="B769" s="68"/>
      <c r="C769" s="68"/>
      <c r="D769" s="68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8"/>
      <c r="W769" s="70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70"/>
      <c r="AO769" s="68"/>
    </row>
    <row r="770" ht="12.0" customHeight="1">
      <c r="A770" s="68"/>
      <c r="B770" s="68"/>
      <c r="C770" s="68"/>
      <c r="D770" s="68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8"/>
      <c r="W770" s="70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70"/>
      <c r="AO770" s="68"/>
    </row>
    <row r="771" ht="12.0" customHeight="1">
      <c r="A771" s="68"/>
      <c r="B771" s="68"/>
      <c r="C771" s="68"/>
      <c r="D771" s="68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8"/>
      <c r="W771" s="70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70"/>
      <c r="AO771" s="68"/>
    </row>
    <row r="772" ht="12.0" customHeight="1">
      <c r="A772" s="68"/>
      <c r="B772" s="68"/>
      <c r="C772" s="68"/>
      <c r="D772" s="68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8"/>
      <c r="W772" s="70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70"/>
      <c r="AO772" s="68"/>
    </row>
    <row r="773" ht="12.0" customHeight="1">
      <c r="A773" s="68"/>
      <c r="B773" s="68"/>
      <c r="C773" s="68"/>
      <c r="D773" s="68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8"/>
      <c r="W773" s="70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70"/>
      <c r="AO773" s="68"/>
    </row>
    <row r="774" ht="12.0" customHeight="1">
      <c r="A774" s="68"/>
      <c r="B774" s="68"/>
      <c r="C774" s="68"/>
      <c r="D774" s="68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8"/>
      <c r="W774" s="70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70"/>
      <c r="AO774" s="68"/>
    </row>
    <row r="775" ht="12.0" customHeight="1">
      <c r="A775" s="68"/>
      <c r="B775" s="68"/>
      <c r="C775" s="68"/>
      <c r="D775" s="68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8"/>
      <c r="W775" s="70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70"/>
      <c r="AO775" s="68"/>
    </row>
    <row r="776" ht="12.0" customHeight="1">
      <c r="A776" s="68"/>
      <c r="B776" s="68"/>
      <c r="C776" s="68"/>
      <c r="D776" s="68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8"/>
      <c r="W776" s="70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70"/>
      <c r="AO776" s="68"/>
    </row>
    <row r="777" ht="12.0" customHeight="1">
      <c r="A777" s="68"/>
      <c r="B777" s="68"/>
      <c r="C777" s="68"/>
      <c r="D777" s="68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8"/>
      <c r="W777" s="70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70"/>
      <c r="AO777" s="68"/>
    </row>
    <row r="778" ht="12.0" customHeight="1">
      <c r="A778" s="68"/>
      <c r="B778" s="68"/>
      <c r="C778" s="68"/>
      <c r="D778" s="68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8"/>
      <c r="W778" s="70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70"/>
      <c r="AO778" s="68"/>
    </row>
    <row r="779" ht="12.0" customHeight="1">
      <c r="A779" s="68"/>
      <c r="B779" s="68"/>
      <c r="C779" s="68"/>
      <c r="D779" s="68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8"/>
      <c r="W779" s="70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70"/>
      <c r="AO779" s="68"/>
    </row>
    <row r="780" ht="12.0" customHeight="1">
      <c r="A780" s="68"/>
      <c r="B780" s="68"/>
      <c r="C780" s="68"/>
      <c r="D780" s="68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8"/>
      <c r="W780" s="70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70"/>
      <c r="AO780" s="68"/>
    </row>
    <row r="781" ht="12.0" customHeight="1">
      <c r="A781" s="68"/>
      <c r="B781" s="68"/>
      <c r="C781" s="68"/>
      <c r="D781" s="68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8"/>
      <c r="W781" s="70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70"/>
      <c r="AO781" s="68"/>
    </row>
    <row r="782" ht="12.0" customHeight="1">
      <c r="A782" s="68"/>
      <c r="B782" s="68"/>
      <c r="C782" s="68"/>
      <c r="D782" s="68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8"/>
      <c r="W782" s="70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70"/>
      <c r="AO782" s="68"/>
    </row>
    <row r="783" ht="12.0" customHeight="1">
      <c r="A783" s="68"/>
      <c r="B783" s="68"/>
      <c r="C783" s="68"/>
      <c r="D783" s="68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8"/>
      <c r="W783" s="70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70"/>
      <c r="AO783" s="68"/>
    </row>
    <row r="784" ht="12.0" customHeight="1">
      <c r="A784" s="68"/>
      <c r="B784" s="68"/>
      <c r="C784" s="68"/>
      <c r="D784" s="68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8"/>
      <c r="W784" s="70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70"/>
      <c r="AO784" s="68"/>
    </row>
    <row r="785" ht="12.0" customHeight="1">
      <c r="A785" s="68"/>
      <c r="B785" s="68"/>
      <c r="C785" s="68"/>
      <c r="D785" s="68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8"/>
      <c r="W785" s="70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70"/>
      <c r="AO785" s="68"/>
    </row>
    <row r="786" ht="12.0" customHeight="1">
      <c r="A786" s="68"/>
      <c r="B786" s="68"/>
      <c r="C786" s="68"/>
      <c r="D786" s="68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8"/>
      <c r="W786" s="70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70"/>
      <c r="AO786" s="68"/>
    </row>
    <row r="787" ht="12.0" customHeight="1">
      <c r="A787" s="68"/>
      <c r="B787" s="68"/>
      <c r="C787" s="68"/>
      <c r="D787" s="68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8"/>
      <c r="W787" s="70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70"/>
      <c r="AO787" s="68"/>
    </row>
    <row r="788" ht="12.0" customHeight="1">
      <c r="A788" s="68"/>
      <c r="B788" s="68"/>
      <c r="C788" s="68"/>
      <c r="D788" s="68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8"/>
      <c r="W788" s="70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70"/>
      <c r="AO788" s="68"/>
    </row>
    <row r="789" ht="12.0" customHeight="1">
      <c r="A789" s="68"/>
      <c r="B789" s="68"/>
      <c r="C789" s="68"/>
      <c r="D789" s="68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8"/>
      <c r="W789" s="70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70"/>
      <c r="AO789" s="68"/>
    </row>
    <row r="790" ht="12.0" customHeight="1">
      <c r="A790" s="68"/>
      <c r="B790" s="68"/>
      <c r="C790" s="68"/>
      <c r="D790" s="68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8"/>
      <c r="W790" s="70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70"/>
      <c r="AO790" s="68"/>
    </row>
    <row r="791" ht="12.0" customHeight="1">
      <c r="A791" s="68"/>
      <c r="B791" s="68"/>
      <c r="C791" s="68"/>
      <c r="D791" s="68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8"/>
      <c r="W791" s="70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70"/>
      <c r="AO791" s="68"/>
    </row>
    <row r="792" ht="12.0" customHeight="1">
      <c r="A792" s="68"/>
      <c r="B792" s="68"/>
      <c r="C792" s="68"/>
      <c r="D792" s="68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8"/>
      <c r="W792" s="70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70"/>
      <c r="AO792" s="68"/>
    </row>
    <row r="793" ht="12.0" customHeight="1">
      <c r="A793" s="68"/>
      <c r="B793" s="68"/>
      <c r="C793" s="68"/>
      <c r="D793" s="68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8"/>
      <c r="W793" s="70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70"/>
      <c r="AO793" s="68"/>
    </row>
    <row r="794" ht="12.0" customHeight="1">
      <c r="A794" s="68"/>
      <c r="B794" s="68"/>
      <c r="C794" s="68"/>
      <c r="D794" s="68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8"/>
      <c r="W794" s="70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70"/>
      <c r="AO794" s="68"/>
    </row>
    <row r="795" ht="12.0" customHeight="1">
      <c r="A795" s="68"/>
      <c r="B795" s="68"/>
      <c r="C795" s="68"/>
      <c r="D795" s="68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8"/>
      <c r="W795" s="70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70"/>
      <c r="AO795" s="68"/>
    </row>
    <row r="796" ht="12.0" customHeight="1">
      <c r="A796" s="68"/>
      <c r="B796" s="68"/>
      <c r="C796" s="68"/>
      <c r="D796" s="68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8"/>
      <c r="W796" s="70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70"/>
      <c r="AO796" s="68"/>
    </row>
    <row r="797" ht="12.0" customHeight="1">
      <c r="A797" s="68"/>
      <c r="B797" s="68"/>
      <c r="C797" s="68"/>
      <c r="D797" s="68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8"/>
      <c r="W797" s="70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70"/>
      <c r="AO797" s="68"/>
    </row>
    <row r="798" ht="12.0" customHeight="1">
      <c r="A798" s="68"/>
      <c r="B798" s="68"/>
      <c r="C798" s="68"/>
      <c r="D798" s="68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8"/>
      <c r="W798" s="70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70"/>
      <c r="AO798" s="68"/>
    </row>
    <row r="799" ht="12.0" customHeight="1">
      <c r="A799" s="68"/>
      <c r="B799" s="68"/>
      <c r="C799" s="68"/>
      <c r="D799" s="68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8"/>
      <c r="W799" s="70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70"/>
      <c r="AO799" s="68"/>
    </row>
    <row r="800" ht="12.0" customHeight="1">
      <c r="A800" s="68"/>
      <c r="B800" s="68"/>
      <c r="C800" s="68"/>
      <c r="D800" s="68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8"/>
      <c r="W800" s="70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70"/>
      <c r="AO800" s="68"/>
    </row>
    <row r="801" ht="12.0" customHeight="1">
      <c r="A801" s="68"/>
      <c r="B801" s="68"/>
      <c r="C801" s="68"/>
      <c r="D801" s="68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8"/>
      <c r="W801" s="70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70"/>
      <c r="AO801" s="68"/>
    </row>
    <row r="802" ht="12.0" customHeight="1">
      <c r="A802" s="68"/>
      <c r="B802" s="68"/>
      <c r="C802" s="68"/>
      <c r="D802" s="68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8"/>
      <c r="W802" s="70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70"/>
      <c r="AO802" s="68"/>
    </row>
    <row r="803" ht="12.0" customHeight="1">
      <c r="A803" s="68"/>
      <c r="B803" s="68"/>
      <c r="C803" s="68"/>
      <c r="D803" s="68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8"/>
      <c r="W803" s="70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70"/>
      <c r="AO803" s="68"/>
    </row>
    <row r="804" ht="12.0" customHeight="1">
      <c r="A804" s="68"/>
      <c r="B804" s="68"/>
      <c r="C804" s="68"/>
      <c r="D804" s="68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8"/>
      <c r="W804" s="70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70"/>
      <c r="AO804" s="68"/>
    </row>
    <row r="805" ht="12.0" customHeight="1">
      <c r="A805" s="68"/>
      <c r="B805" s="68"/>
      <c r="C805" s="68"/>
      <c r="D805" s="68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8"/>
      <c r="W805" s="70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70"/>
      <c r="AO805" s="68"/>
    </row>
    <row r="806" ht="12.0" customHeight="1">
      <c r="A806" s="68"/>
      <c r="B806" s="68"/>
      <c r="C806" s="68"/>
      <c r="D806" s="68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8"/>
      <c r="W806" s="70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70"/>
      <c r="AO806" s="68"/>
    </row>
    <row r="807" ht="12.0" customHeight="1">
      <c r="A807" s="68"/>
      <c r="B807" s="68"/>
      <c r="C807" s="68"/>
      <c r="D807" s="68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8"/>
      <c r="W807" s="70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70"/>
      <c r="AO807" s="68"/>
    </row>
    <row r="808" ht="12.0" customHeight="1">
      <c r="A808" s="68"/>
      <c r="B808" s="68"/>
      <c r="C808" s="68"/>
      <c r="D808" s="68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8"/>
      <c r="W808" s="70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70"/>
      <c r="AO808" s="68"/>
    </row>
    <row r="809" ht="12.0" customHeight="1">
      <c r="A809" s="68"/>
      <c r="B809" s="68"/>
      <c r="C809" s="68"/>
      <c r="D809" s="68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8"/>
      <c r="W809" s="70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70"/>
      <c r="AO809" s="68"/>
    </row>
    <row r="810" ht="12.0" customHeight="1">
      <c r="A810" s="68"/>
      <c r="B810" s="68"/>
      <c r="C810" s="68"/>
      <c r="D810" s="68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8"/>
      <c r="W810" s="70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70"/>
      <c r="AO810" s="68"/>
    </row>
    <row r="811" ht="12.0" customHeight="1">
      <c r="A811" s="68"/>
      <c r="B811" s="68"/>
      <c r="C811" s="68"/>
      <c r="D811" s="68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8"/>
      <c r="W811" s="70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70"/>
      <c r="AO811" s="68"/>
    </row>
    <row r="812" ht="12.0" customHeight="1">
      <c r="A812" s="68"/>
      <c r="B812" s="68"/>
      <c r="C812" s="68"/>
      <c r="D812" s="68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8"/>
      <c r="W812" s="70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70"/>
      <c r="AO812" s="68"/>
    </row>
    <row r="813" ht="12.0" customHeight="1">
      <c r="A813" s="68"/>
      <c r="B813" s="68"/>
      <c r="C813" s="68"/>
      <c r="D813" s="68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8"/>
      <c r="W813" s="70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70"/>
      <c r="AO813" s="68"/>
    </row>
    <row r="814" ht="12.0" customHeight="1">
      <c r="A814" s="68"/>
      <c r="B814" s="68"/>
      <c r="C814" s="68"/>
      <c r="D814" s="68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8"/>
      <c r="W814" s="70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70"/>
      <c r="AO814" s="68"/>
    </row>
    <row r="815" ht="12.0" customHeight="1">
      <c r="A815" s="68"/>
      <c r="B815" s="68"/>
      <c r="C815" s="68"/>
      <c r="D815" s="68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8"/>
      <c r="W815" s="70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70"/>
      <c r="AO815" s="68"/>
    </row>
    <row r="816" ht="12.0" customHeight="1">
      <c r="A816" s="68"/>
      <c r="B816" s="68"/>
      <c r="C816" s="68"/>
      <c r="D816" s="68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8"/>
      <c r="W816" s="70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70"/>
      <c r="AO816" s="68"/>
    </row>
    <row r="817" ht="12.0" customHeight="1">
      <c r="A817" s="68"/>
      <c r="B817" s="68"/>
      <c r="C817" s="68"/>
      <c r="D817" s="68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8"/>
      <c r="W817" s="70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70"/>
      <c r="AO817" s="68"/>
    </row>
    <row r="818" ht="12.0" customHeight="1">
      <c r="A818" s="68"/>
      <c r="B818" s="68"/>
      <c r="C818" s="68"/>
      <c r="D818" s="68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8"/>
      <c r="W818" s="70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70"/>
      <c r="AO818" s="68"/>
    </row>
    <row r="819" ht="12.0" customHeight="1">
      <c r="A819" s="68"/>
      <c r="B819" s="68"/>
      <c r="C819" s="68"/>
      <c r="D819" s="68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8"/>
      <c r="W819" s="70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70"/>
      <c r="AO819" s="68"/>
    </row>
    <row r="820" ht="12.0" customHeight="1">
      <c r="A820" s="68"/>
      <c r="B820" s="68"/>
      <c r="C820" s="68"/>
      <c r="D820" s="68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8"/>
      <c r="W820" s="70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70"/>
      <c r="AO820" s="68"/>
    </row>
    <row r="821" ht="12.0" customHeight="1">
      <c r="A821" s="68"/>
      <c r="B821" s="68"/>
      <c r="C821" s="68"/>
      <c r="D821" s="68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8"/>
      <c r="W821" s="70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70"/>
      <c r="AO821" s="68"/>
    </row>
    <row r="822" ht="12.0" customHeight="1">
      <c r="A822" s="68"/>
      <c r="B822" s="68"/>
      <c r="C822" s="68"/>
      <c r="D822" s="68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8"/>
      <c r="W822" s="70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70"/>
      <c r="AO822" s="68"/>
    </row>
    <row r="823" ht="12.0" customHeight="1">
      <c r="A823" s="68"/>
      <c r="B823" s="68"/>
      <c r="C823" s="68"/>
      <c r="D823" s="68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8"/>
      <c r="W823" s="70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70"/>
      <c r="AO823" s="68"/>
    </row>
    <row r="824" ht="12.0" customHeight="1">
      <c r="A824" s="68"/>
      <c r="B824" s="68"/>
      <c r="C824" s="68"/>
      <c r="D824" s="68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8"/>
      <c r="W824" s="70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70"/>
      <c r="AO824" s="68"/>
    </row>
    <row r="825" ht="12.0" customHeight="1">
      <c r="A825" s="68"/>
      <c r="B825" s="68"/>
      <c r="C825" s="68"/>
      <c r="D825" s="68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8"/>
      <c r="W825" s="70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70"/>
      <c r="AO825" s="68"/>
    </row>
    <row r="826" ht="12.0" customHeight="1">
      <c r="A826" s="68"/>
      <c r="B826" s="68"/>
      <c r="C826" s="68"/>
      <c r="D826" s="68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8"/>
      <c r="W826" s="70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70"/>
      <c r="AO826" s="68"/>
    </row>
    <row r="827" ht="12.0" customHeight="1">
      <c r="A827" s="68"/>
      <c r="B827" s="68"/>
      <c r="C827" s="68"/>
      <c r="D827" s="68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8"/>
      <c r="W827" s="70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70"/>
      <c r="AO827" s="68"/>
    </row>
    <row r="828" ht="12.0" customHeight="1">
      <c r="A828" s="68"/>
      <c r="B828" s="68"/>
      <c r="C828" s="68"/>
      <c r="D828" s="68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8"/>
      <c r="W828" s="70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70"/>
      <c r="AO828" s="68"/>
    </row>
    <row r="829" ht="12.0" customHeight="1">
      <c r="A829" s="68"/>
      <c r="B829" s="68"/>
      <c r="C829" s="68"/>
      <c r="D829" s="68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8"/>
      <c r="W829" s="70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70"/>
      <c r="AO829" s="68"/>
    </row>
    <row r="830" ht="12.0" customHeight="1">
      <c r="A830" s="68"/>
      <c r="B830" s="68"/>
      <c r="C830" s="68"/>
      <c r="D830" s="68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8"/>
      <c r="W830" s="70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70"/>
      <c r="AO830" s="68"/>
    </row>
    <row r="831" ht="12.0" customHeight="1">
      <c r="A831" s="68"/>
      <c r="B831" s="68"/>
      <c r="C831" s="68"/>
      <c r="D831" s="68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8"/>
      <c r="W831" s="70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70"/>
      <c r="AO831" s="68"/>
    </row>
    <row r="832" ht="12.0" customHeight="1">
      <c r="A832" s="68"/>
      <c r="B832" s="68"/>
      <c r="C832" s="68"/>
      <c r="D832" s="68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8"/>
      <c r="W832" s="70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70"/>
      <c r="AO832" s="68"/>
    </row>
    <row r="833" ht="12.0" customHeight="1">
      <c r="A833" s="68"/>
      <c r="B833" s="68"/>
      <c r="C833" s="68"/>
      <c r="D833" s="68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8"/>
      <c r="W833" s="70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70"/>
      <c r="AO833" s="68"/>
    </row>
    <row r="834" ht="12.0" customHeight="1">
      <c r="A834" s="68"/>
      <c r="B834" s="68"/>
      <c r="C834" s="68"/>
      <c r="D834" s="68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8"/>
      <c r="W834" s="70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70"/>
      <c r="AO834" s="68"/>
    </row>
    <row r="835" ht="12.0" customHeight="1">
      <c r="A835" s="68"/>
      <c r="B835" s="68"/>
      <c r="C835" s="68"/>
      <c r="D835" s="68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8"/>
      <c r="W835" s="70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70"/>
      <c r="AO835" s="68"/>
    </row>
    <row r="836" ht="12.0" customHeight="1">
      <c r="A836" s="68"/>
      <c r="B836" s="68"/>
      <c r="C836" s="68"/>
      <c r="D836" s="68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8"/>
      <c r="W836" s="70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70"/>
      <c r="AO836" s="68"/>
    </row>
    <row r="837" ht="12.0" customHeight="1">
      <c r="A837" s="68"/>
      <c r="B837" s="68"/>
      <c r="C837" s="68"/>
      <c r="D837" s="68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8"/>
      <c r="W837" s="70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70"/>
      <c r="AO837" s="68"/>
    </row>
    <row r="838" ht="12.0" customHeight="1">
      <c r="A838" s="68"/>
      <c r="B838" s="68"/>
      <c r="C838" s="68"/>
      <c r="D838" s="68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8"/>
      <c r="W838" s="70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70"/>
      <c r="AO838" s="68"/>
    </row>
    <row r="839" ht="12.0" customHeight="1">
      <c r="A839" s="68"/>
      <c r="B839" s="68"/>
      <c r="C839" s="68"/>
      <c r="D839" s="68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8"/>
      <c r="W839" s="70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70"/>
      <c r="AO839" s="68"/>
    </row>
    <row r="840" ht="12.0" customHeight="1">
      <c r="A840" s="68"/>
      <c r="B840" s="68"/>
      <c r="C840" s="68"/>
      <c r="D840" s="68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8"/>
      <c r="W840" s="70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70"/>
      <c r="AO840" s="68"/>
    </row>
    <row r="841" ht="12.0" customHeight="1">
      <c r="A841" s="68"/>
      <c r="B841" s="68"/>
      <c r="C841" s="68"/>
      <c r="D841" s="68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8"/>
      <c r="W841" s="70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70"/>
      <c r="AO841" s="68"/>
    </row>
    <row r="842" ht="12.0" customHeight="1">
      <c r="A842" s="68"/>
      <c r="B842" s="68"/>
      <c r="C842" s="68"/>
      <c r="D842" s="68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8"/>
      <c r="W842" s="70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70"/>
      <c r="AO842" s="68"/>
    </row>
    <row r="843" ht="12.0" customHeight="1">
      <c r="A843" s="68"/>
      <c r="B843" s="68"/>
      <c r="C843" s="68"/>
      <c r="D843" s="68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8"/>
      <c r="W843" s="70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70"/>
      <c r="AO843" s="68"/>
    </row>
    <row r="844" ht="12.0" customHeight="1">
      <c r="A844" s="68"/>
      <c r="B844" s="68"/>
      <c r="C844" s="68"/>
      <c r="D844" s="68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8"/>
      <c r="W844" s="70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70"/>
      <c r="AO844" s="68"/>
    </row>
    <row r="845" ht="12.0" customHeight="1">
      <c r="A845" s="68"/>
      <c r="B845" s="68"/>
      <c r="C845" s="68"/>
      <c r="D845" s="68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8"/>
      <c r="W845" s="70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70"/>
      <c r="AO845" s="68"/>
    </row>
    <row r="846" ht="12.0" customHeight="1">
      <c r="A846" s="68"/>
      <c r="B846" s="68"/>
      <c r="C846" s="68"/>
      <c r="D846" s="68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8"/>
      <c r="W846" s="70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70"/>
      <c r="AO846" s="68"/>
    </row>
    <row r="847" ht="12.0" customHeight="1">
      <c r="A847" s="68"/>
      <c r="B847" s="68"/>
      <c r="C847" s="68"/>
      <c r="D847" s="68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8"/>
      <c r="W847" s="70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70"/>
      <c r="AO847" s="68"/>
    </row>
    <row r="848" ht="12.0" customHeight="1">
      <c r="A848" s="68"/>
      <c r="B848" s="68"/>
      <c r="C848" s="68"/>
      <c r="D848" s="68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8"/>
      <c r="W848" s="70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70"/>
      <c r="AO848" s="68"/>
    </row>
    <row r="849" ht="12.0" customHeight="1">
      <c r="A849" s="68"/>
      <c r="B849" s="68"/>
      <c r="C849" s="68"/>
      <c r="D849" s="68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8"/>
      <c r="W849" s="70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70"/>
      <c r="AO849" s="68"/>
    </row>
    <row r="850" ht="12.0" customHeight="1">
      <c r="A850" s="68"/>
      <c r="B850" s="68"/>
      <c r="C850" s="68"/>
      <c r="D850" s="68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8"/>
      <c r="W850" s="70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70"/>
      <c r="AO850" s="68"/>
    </row>
    <row r="851" ht="12.0" customHeight="1">
      <c r="A851" s="68"/>
      <c r="B851" s="68"/>
      <c r="C851" s="68"/>
      <c r="D851" s="68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8"/>
      <c r="W851" s="70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70"/>
      <c r="AO851" s="68"/>
    </row>
    <row r="852" ht="12.0" customHeight="1">
      <c r="A852" s="68"/>
      <c r="B852" s="68"/>
      <c r="C852" s="68"/>
      <c r="D852" s="68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8"/>
      <c r="W852" s="70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70"/>
      <c r="AO852" s="68"/>
    </row>
    <row r="853" ht="12.0" customHeight="1">
      <c r="A853" s="68"/>
      <c r="B853" s="68"/>
      <c r="C853" s="68"/>
      <c r="D853" s="68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8"/>
      <c r="W853" s="70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70"/>
      <c r="AO853" s="68"/>
    </row>
    <row r="854" ht="12.0" customHeight="1">
      <c r="A854" s="68"/>
      <c r="B854" s="68"/>
      <c r="C854" s="68"/>
      <c r="D854" s="68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8"/>
      <c r="W854" s="70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70"/>
      <c r="AO854" s="68"/>
    </row>
    <row r="855" ht="12.0" customHeight="1">
      <c r="A855" s="68"/>
      <c r="B855" s="68"/>
      <c r="C855" s="68"/>
      <c r="D855" s="68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8"/>
      <c r="W855" s="70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70"/>
      <c r="AO855" s="68"/>
    </row>
    <row r="856" ht="12.0" customHeight="1">
      <c r="A856" s="68"/>
      <c r="B856" s="68"/>
      <c r="C856" s="68"/>
      <c r="D856" s="68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8"/>
      <c r="W856" s="70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70"/>
      <c r="AO856" s="68"/>
    </row>
    <row r="857" ht="12.0" customHeight="1">
      <c r="A857" s="68"/>
      <c r="B857" s="68"/>
      <c r="C857" s="68"/>
      <c r="D857" s="68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8"/>
      <c r="W857" s="70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70"/>
      <c r="AO857" s="68"/>
    </row>
    <row r="858" ht="12.0" customHeight="1">
      <c r="A858" s="68"/>
      <c r="B858" s="68"/>
      <c r="C858" s="68"/>
      <c r="D858" s="68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8"/>
      <c r="W858" s="70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70"/>
      <c r="AO858" s="68"/>
    </row>
    <row r="859" ht="12.0" customHeight="1">
      <c r="A859" s="68"/>
      <c r="B859" s="68"/>
      <c r="C859" s="68"/>
      <c r="D859" s="68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8"/>
      <c r="W859" s="70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70"/>
      <c r="AO859" s="68"/>
    </row>
    <row r="860" ht="12.0" customHeight="1">
      <c r="A860" s="68"/>
      <c r="B860" s="68"/>
      <c r="C860" s="68"/>
      <c r="D860" s="68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8"/>
      <c r="W860" s="70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70"/>
      <c r="AO860" s="68"/>
    </row>
    <row r="861" ht="12.0" customHeight="1">
      <c r="A861" s="68"/>
      <c r="B861" s="68"/>
      <c r="C861" s="68"/>
      <c r="D861" s="68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8"/>
      <c r="W861" s="70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70"/>
      <c r="AO861" s="68"/>
    </row>
    <row r="862" ht="12.0" customHeight="1">
      <c r="A862" s="68"/>
      <c r="B862" s="68"/>
      <c r="C862" s="68"/>
      <c r="D862" s="68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8"/>
      <c r="W862" s="70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70"/>
      <c r="AO862" s="68"/>
    </row>
    <row r="863" ht="12.0" customHeight="1">
      <c r="A863" s="68"/>
      <c r="B863" s="68"/>
      <c r="C863" s="68"/>
      <c r="D863" s="68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8"/>
      <c r="W863" s="70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70"/>
      <c r="AO863" s="68"/>
    </row>
    <row r="864" ht="12.0" customHeight="1">
      <c r="A864" s="68"/>
      <c r="B864" s="68"/>
      <c r="C864" s="68"/>
      <c r="D864" s="68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8"/>
      <c r="W864" s="70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70"/>
      <c r="AO864" s="68"/>
    </row>
    <row r="865" ht="12.0" customHeight="1">
      <c r="A865" s="68"/>
      <c r="B865" s="68"/>
      <c r="C865" s="68"/>
      <c r="D865" s="68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8"/>
      <c r="W865" s="70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70"/>
      <c r="AO865" s="68"/>
    </row>
    <row r="866" ht="12.0" customHeight="1">
      <c r="A866" s="68"/>
      <c r="B866" s="68"/>
      <c r="C866" s="68"/>
      <c r="D866" s="68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8"/>
      <c r="W866" s="70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70"/>
      <c r="AO866" s="68"/>
    </row>
    <row r="867" ht="12.0" customHeight="1">
      <c r="A867" s="68"/>
      <c r="B867" s="68"/>
      <c r="C867" s="68"/>
      <c r="D867" s="68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8"/>
      <c r="W867" s="70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70"/>
      <c r="AO867" s="68"/>
    </row>
    <row r="868" ht="12.0" customHeight="1">
      <c r="A868" s="68"/>
      <c r="B868" s="68"/>
      <c r="C868" s="68"/>
      <c r="D868" s="68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8"/>
      <c r="W868" s="70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70"/>
      <c r="AO868" s="68"/>
    </row>
    <row r="869" ht="12.0" customHeight="1">
      <c r="A869" s="68"/>
      <c r="B869" s="68"/>
      <c r="C869" s="68"/>
      <c r="D869" s="68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8"/>
      <c r="W869" s="70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70"/>
      <c r="AO869" s="68"/>
    </row>
    <row r="870" ht="12.0" customHeight="1">
      <c r="A870" s="68"/>
      <c r="B870" s="68"/>
      <c r="C870" s="68"/>
      <c r="D870" s="68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8"/>
      <c r="W870" s="70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70"/>
      <c r="AO870" s="68"/>
    </row>
    <row r="871" ht="12.0" customHeight="1">
      <c r="A871" s="68"/>
      <c r="B871" s="68"/>
      <c r="C871" s="68"/>
      <c r="D871" s="68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8"/>
      <c r="W871" s="70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70"/>
      <c r="AO871" s="68"/>
    </row>
    <row r="872" ht="12.0" customHeight="1">
      <c r="A872" s="68"/>
      <c r="B872" s="68"/>
      <c r="C872" s="68"/>
      <c r="D872" s="68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8"/>
      <c r="W872" s="70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70"/>
      <c r="AO872" s="68"/>
    </row>
    <row r="873" ht="12.0" customHeight="1">
      <c r="A873" s="68"/>
      <c r="B873" s="68"/>
      <c r="C873" s="68"/>
      <c r="D873" s="68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8"/>
      <c r="W873" s="70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70"/>
      <c r="AO873" s="68"/>
    </row>
    <row r="874" ht="12.0" customHeight="1">
      <c r="A874" s="68"/>
      <c r="B874" s="68"/>
      <c r="C874" s="68"/>
      <c r="D874" s="68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8"/>
      <c r="W874" s="70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70"/>
      <c r="AO874" s="68"/>
    </row>
    <row r="875" ht="12.0" customHeight="1">
      <c r="A875" s="68"/>
      <c r="B875" s="68"/>
      <c r="C875" s="68"/>
      <c r="D875" s="68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8"/>
      <c r="W875" s="70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70"/>
      <c r="AO875" s="68"/>
    </row>
    <row r="876" ht="12.0" customHeight="1">
      <c r="A876" s="68"/>
      <c r="B876" s="68"/>
      <c r="C876" s="68"/>
      <c r="D876" s="68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8"/>
      <c r="W876" s="70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70"/>
      <c r="AO876" s="68"/>
    </row>
    <row r="877" ht="12.0" customHeight="1">
      <c r="A877" s="68"/>
      <c r="B877" s="68"/>
      <c r="C877" s="68"/>
      <c r="D877" s="68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8"/>
      <c r="W877" s="70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70"/>
      <c r="AO877" s="68"/>
    </row>
    <row r="878" ht="12.0" customHeight="1">
      <c r="A878" s="68"/>
      <c r="B878" s="68"/>
      <c r="C878" s="68"/>
      <c r="D878" s="68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8"/>
      <c r="W878" s="70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70"/>
      <c r="AO878" s="68"/>
    </row>
    <row r="879" ht="12.0" customHeight="1">
      <c r="A879" s="68"/>
      <c r="B879" s="68"/>
      <c r="C879" s="68"/>
      <c r="D879" s="68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8"/>
      <c r="W879" s="70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70"/>
      <c r="AO879" s="68"/>
    </row>
    <row r="880" ht="12.0" customHeight="1">
      <c r="A880" s="68"/>
      <c r="B880" s="68"/>
      <c r="C880" s="68"/>
      <c r="D880" s="68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8"/>
      <c r="W880" s="70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70"/>
      <c r="AO880" s="68"/>
    </row>
    <row r="881" ht="12.0" customHeight="1">
      <c r="A881" s="68"/>
      <c r="B881" s="68"/>
      <c r="C881" s="68"/>
      <c r="D881" s="68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8"/>
      <c r="W881" s="70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70"/>
      <c r="AO881" s="68"/>
    </row>
    <row r="882" ht="12.0" customHeight="1">
      <c r="A882" s="68"/>
      <c r="B882" s="68"/>
      <c r="C882" s="68"/>
      <c r="D882" s="68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8"/>
      <c r="W882" s="70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70"/>
      <c r="AO882" s="68"/>
    </row>
    <row r="883" ht="12.0" customHeight="1">
      <c r="A883" s="68"/>
      <c r="B883" s="68"/>
      <c r="C883" s="68"/>
      <c r="D883" s="68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8"/>
      <c r="W883" s="70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70"/>
      <c r="AO883" s="68"/>
    </row>
    <row r="884" ht="12.0" customHeight="1">
      <c r="A884" s="68"/>
      <c r="B884" s="68"/>
      <c r="C884" s="68"/>
      <c r="D884" s="68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8"/>
      <c r="W884" s="70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70"/>
      <c r="AO884" s="68"/>
    </row>
    <row r="885" ht="12.0" customHeight="1">
      <c r="A885" s="68"/>
      <c r="B885" s="68"/>
      <c r="C885" s="68"/>
      <c r="D885" s="68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8"/>
      <c r="W885" s="70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70"/>
      <c r="AO885" s="68"/>
    </row>
    <row r="886" ht="12.0" customHeight="1">
      <c r="A886" s="68"/>
      <c r="B886" s="68"/>
      <c r="C886" s="68"/>
      <c r="D886" s="68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8"/>
      <c r="W886" s="70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70"/>
      <c r="AO886" s="68"/>
    </row>
    <row r="887" ht="12.0" customHeight="1">
      <c r="A887" s="68"/>
      <c r="B887" s="68"/>
      <c r="C887" s="68"/>
      <c r="D887" s="68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8"/>
      <c r="W887" s="70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70"/>
      <c r="AO887" s="68"/>
    </row>
    <row r="888" ht="12.0" customHeight="1">
      <c r="A888" s="68"/>
      <c r="B888" s="68"/>
      <c r="C888" s="68"/>
      <c r="D888" s="68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8"/>
      <c r="W888" s="70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70"/>
      <c r="AO888" s="68"/>
    </row>
    <row r="889" ht="12.0" customHeight="1">
      <c r="A889" s="68"/>
      <c r="B889" s="68"/>
      <c r="C889" s="68"/>
      <c r="D889" s="68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8"/>
      <c r="W889" s="70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70"/>
      <c r="AO889" s="68"/>
    </row>
    <row r="890" ht="12.0" customHeight="1">
      <c r="A890" s="68"/>
      <c r="B890" s="68"/>
      <c r="C890" s="68"/>
      <c r="D890" s="68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8"/>
      <c r="W890" s="70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70"/>
      <c r="AO890" s="68"/>
    </row>
    <row r="891" ht="12.0" customHeight="1">
      <c r="A891" s="68"/>
      <c r="B891" s="68"/>
      <c r="C891" s="68"/>
      <c r="D891" s="68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8"/>
      <c r="W891" s="70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70"/>
      <c r="AO891" s="68"/>
    </row>
    <row r="892" ht="12.0" customHeight="1">
      <c r="A892" s="68"/>
      <c r="B892" s="68"/>
      <c r="C892" s="68"/>
      <c r="D892" s="68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8"/>
      <c r="W892" s="70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70"/>
      <c r="AO892" s="68"/>
    </row>
    <row r="893" ht="12.0" customHeight="1">
      <c r="A893" s="68"/>
      <c r="B893" s="68"/>
      <c r="C893" s="68"/>
      <c r="D893" s="68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8"/>
      <c r="W893" s="70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70"/>
      <c r="AO893" s="68"/>
    </row>
    <row r="894" ht="12.0" customHeight="1">
      <c r="A894" s="68"/>
      <c r="B894" s="68"/>
      <c r="C894" s="68"/>
      <c r="D894" s="68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8"/>
      <c r="W894" s="70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70"/>
      <c r="AO894" s="68"/>
    </row>
    <row r="895" ht="12.0" customHeight="1">
      <c r="A895" s="68"/>
      <c r="B895" s="68"/>
      <c r="C895" s="68"/>
      <c r="D895" s="68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8"/>
      <c r="W895" s="70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70"/>
      <c r="AO895" s="68"/>
    </row>
    <row r="896" ht="12.0" customHeight="1">
      <c r="A896" s="68"/>
      <c r="B896" s="68"/>
      <c r="C896" s="68"/>
      <c r="D896" s="68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8"/>
      <c r="W896" s="70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70"/>
      <c r="AO896" s="68"/>
    </row>
    <row r="897" ht="12.0" customHeight="1">
      <c r="A897" s="68"/>
      <c r="B897" s="68"/>
      <c r="C897" s="68"/>
      <c r="D897" s="68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8"/>
      <c r="W897" s="70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70"/>
      <c r="AO897" s="68"/>
    </row>
    <row r="898" ht="12.0" customHeight="1">
      <c r="A898" s="68"/>
      <c r="B898" s="68"/>
      <c r="C898" s="68"/>
      <c r="D898" s="68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8"/>
      <c r="W898" s="70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70"/>
      <c r="AO898" s="68"/>
    </row>
    <row r="899" ht="12.0" customHeight="1">
      <c r="A899" s="68"/>
      <c r="B899" s="68"/>
      <c r="C899" s="68"/>
      <c r="D899" s="68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8"/>
      <c r="W899" s="70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70"/>
      <c r="AO899" s="68"/>
    </row>
    <row r="900" ht="12.0" customHeight="1">
      <c r="A900" s="68"/>
      <c r="B900" s="68"/>
      <c r="C900" s="68"/>
      <c r="D900" s="68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8"/>
      <c r="W900" s="70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70"/>
      <c r="AO900" s="68"/>
    </row>
    <row r="901" ht="12.0" customHeight="1">
      <c r="A901" s="68"/>
      <c r="B901" s="68"/>
      <c r="C901" s="68"/>
      <c r="D901" s="68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8"/>
      <c r="W901" s="70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70"/>
      <c r="AO901" s="68"/>
    </row>
    <row r="902" ht="12.0" customHeight="1">
      <c r="A902" s="68"/>
      <c r="B902" s="68"/>
      <c r="C902" s="68"/>
      <c r="D902" s="68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8"/>
      <c r="W902" s="70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70"/>
      <c r="AO902" s="68"/>
    </row>
    <row r="903" ht="12.0" customHeight="1">
      <c r="A903" s="68"/>
      <c r="B903" s="68"/>
      <c r="C903" s="68"/>
      <c r="D903" s="68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8"/>
      <c r="W903" s="70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70"/>
      <c r="AO903" s="68"/>
    </row>
    <row r="904" ht="12.0" customHeight="1">
      <c r="A904" s="68"/>
      <c r="B904" s="68"/>
      <c r="C904" s="68"/>
      <c r="D904" s="68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8"/>
      <c r="W904" s="70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70"/>
      <c r="AO904" s="68"/>
    </row>
    <row r="905" ht="12.0" customHeight="1">
      <c r="A905" s="68"/>
      <c r="B905" s="68"/>
      <c r="C905" s="68"/>
      <c r="D905" s="68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8"/>
      <c r="W905" s="70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70"/>
      <c r="AO905" s="68"/>
    </row>
    <row r="906" ht="12.0" customHeight="1">
      <c r="A906" s="68"/>
      <c r="B906" s="68"/>
      <c r="C906" s="68"/>
      <c r="D906" s="68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8"/>
      <c r="W906" s="70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70"/>
      <c r="AO906" s="68"/>
    </row>
    <row r="907" ht="12.0" customHeight="1">
      <c r="A907" s="68"/>
      <c r="B907" s="68"/>
      <c r="C907" s="68"/>
      <c r="D907" s="68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8"/>
      <c r="W907" s="70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70"/>
      <c r="AO907" s="68"/>
    </row>
    <row r="908" ht="12.0" customHeight="1">
      <c r="A908" s="68"/>
      <c r="B908" s="68"/>
      <c r="C908" s="68"/>
      <c r="D908" s="68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8"/>
      <c r="W908" s="70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70"/>
      <c r="AO908" s="68"/>
    </row>
    <row r="909" ht="12.0" customHeight="1">
      <c r="A909" s="68"/>
      <c r="B909" s="68"/>
      <c r="C909" s="68"/>
      <c r="D909" s="68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8"/>
      <c r="W909" s="70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70"/>
      <c r="AO909" s="68"/>
    </row>
    <row r="910" ht="12.0" customHeight="1">
      <c r="A910" s="68"/>
      <c r="B910" s="68"/>
      <c r="C910" s="68"/>
      <c r="D910" s="68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8"/>
      <c r="W910" s="70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70"/>
      <c r="AO910" s="68"/>
    </row>
    <row r="911" ht="12.0" customHeight="1">
      <c r="A911" s="68"/>
      <c r="B911" s="68"/>
      <c r="C911" s="68"/>
      <c r="D911" s="68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8"/>
      <c r="W911" s="70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70"/>
      <c r="AO911" s="68"/>
    </row>
    <row r="912" ht="12.0" customHeight="1">
      <c r="A912" s="68"/>
      <c r="B912" s="68"/>
      <c r="C912" s="68"/>
      <c r="D912" s="68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8"/>
      <c r="W912" s="70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70"/>
      <c r="AO912" s="68"/>
    </row>
    <row r="913" ht="12.0" customHeight="1">
      <c r="A913" s="68"/>
      <c r="B913" s="68"/>
      <c r="C913" s="68"/>
      <c r="D913" s="68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8"/>
      <c r="W913" s="70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70"/>
      <c r="AO913" s="68"/>
    </row>
    <row r="914" ht="12.0" customHeight="1">
      <c r="A914" s="68"/>
      <c r="B914" s="68"/>
      <c r="C914" s="68"/>
      <c r="D914" s="68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8"/>
      <c r="W914" s="70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70"/>
      <c r="AO914" s="68"/>
    </row>
    <row r="915" ht="12.0" customHeight="1">
      <c r="A915" s="68"/>
      <c r="B915" s="68"/>
      <c r="C915" s="68"/>
      <c r="D915" s="68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8"/>
      <c r="W915" s="70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70"/>
      <c r="AO915" s="68"/>
    </row>
    <row r="916" ht="12.0" customHeight="1">
      <c r="A916" s="68"/>
      <c r="B916" s="68"/>
      <c r="C916" s="68"/>
      <c r="D916" s="68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8"/>
      <c r="W916" s="70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70"/>
      <c r="AO916" s="68"/>
    </row>
    <row r="917" ht="12.0" customHeight="1">
      <c r="A917" s="68"/>
      <c r="B917" s="68"/>
      <c r="C917" s="68"/>
      <c r="D917" s="68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8"/>
      <c r="W917" s="70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70"/>
      <c r="AO917" s="68"/>
    </row>
    <row r="918" ht="12.0" customHeight="1">
      <c r="A918" s="68"/>
      <c r="B918" s="68"/>
      <c r="C918" s="68"/>
      <c r="D918" s="68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8"/>
      <c r="W918" s="70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70"/>
      <c r="AO918" s="68"/>
    </row>
    <row r="919" ht="12.0" customHeight="1">
      <c r="A919" s="68"/>
      <c r="B919" s="68"/>
      <c r="C919" s="68"/>
      <c r="D919" s="68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8"/>
      <c r="W919" s="70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70"/>
      <c r="AO919" s="68"/>
    </row>
    <row r="920" ht="12.0" customHeight="1">
      <c r="A920" s="68"/>
      <c r="B920" s="68"/>
      <c r="C920" s="68"/>
      <c r="D920" s="68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8"/>
      <c r="W920" s="70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70"/>
      <c r="AO920" s="68"/>
    </row>
    <row r="921" ht="12.0" customHeight="1">
      <c r="A921" s="68"/>
      <c r="B921" s="68"/>
      <c r="C921" s="68"/>
      <c r="D921" s="68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8"/>
      <c r="W921" s="70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70"/>
      <c r="AO921" s="68"/>
    </row>
    <row r="922" ht="12.0" customHeight="1">
      <c r="A922" s="68"/>
      <c r="B922" s="68"/>
      <c r="C922" s="68"/>
      <c r="D922" s="68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8"/>
      <c r="W922" s="70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70"/>
      <c r="AO922" s="68"/>
    </row>
    <row r="923" ht="12.0" customHeight="1">
      <c r="A923" s="68"/>
      <c r="B923" s="68"/>
      <c r="C923" s="68"/>
      <c r="D923" s="68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8"/>
      <c r="W923" s="70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70"/>
      <c r="AO923" s="68"/>
    </row>
    <row r="924" ht="12.0" customHeight="1">
      <c r="A924" s="68"/>
      <c r="B924" s="68"/>
      <c r="C924" s="68"/>
      <c r="D924" s="68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8"/>
      <c r="W924" s="70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70"/>
      <c r="AO924" s="68"/>
    </row>
    <row r="925" ht="12.0" customHeight="1">
      <c r="A925" s="68"/>
      <c r="B925" s="68"/>
      <c r="C925" s="68"/>
      <c r="D925" s="68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8"/>
      <c r="W925" s="70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70"/>
      <c r="AO925" s="68"/>
    </row>
    <row r="926" ht="12.0" customHeight="1">
      <c r="A926" s="68"/>
      <c r="B926" s="68"/>
      <c r="C926" s="68"/>
      <c r="D926" s="68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8"/>
      <c r="W926" s="70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70"/>
      <c r="AO926" s="68"/>
    </row>
    <row r="927" ht="12.0" customHeight="1">
      <c r="A927" s="68"/>
      <c r="B927" s="68"/>
      <c r="C927" s="68"/>
      <c r="D927" s="68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8"/>
      <c r="W927" s="70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70"/>
      <c r="AO927" s="68"/>
    </row>
    <row r="928" ht="12.0" customHeight="1">
      <c r="A928" s="68"/>
      <c r="B928" s="68"/>
      <c r="C928" s="68"/>
      <c r="D928" s="68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8"/>
      <c r="W928" s="70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70"/>
      <c r="AO928" s="68"/>
    </row>
    <row r="929" ht="12.0" customHeight="1">
      <c r="A929" s="68"/>
      <c r="B929" s="68"/>
      <c r="C929" s="68"/>
      <c r="D929" s="68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8"/>
      <c r="W929" s="70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70"/>
      <c r="AO929" s="68"/>
    </row>
    <row r="930" ht="12.0" customHeight="1">
      <c r="A930" s="68"/>
      <c r="B930" s="68"/>
      <c r="C930" s="68"/>
      <c r="D930" s="68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8"/>
      <c r="W930" s="70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70"/>
      <c r="AO930" s="68"/>
    </row>
    <row r="931" ht="12.0" customHeight="1">
      <c r="A931" s="68"/>
      <c r="B931" s="68"/>
      <c r="C931" s="68"/>
      <c r="D931" s="68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8"/>
      <c r="W931" s="70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70"/>
      <c r="AO931" s="68"/>
    </row>
    <row r="932" ht="12.0" customHeight="1">
      <c r="A932" s="68"/>
      <c r="B932" s="68"/>
      <c r="C932" s="68"/>
      <c r="D932" s="68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8"/>
      <c r="W932" s="70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70"/>
      <c r="AO932" s="68"/>
    </row>
    <row r="933" ht="12.0" customHeight="1">
      <c r="A933" s="68"/>
      <c r="B933" s="68"/>
      <c r="C933" s="68"/>
      <c r="D933" s="68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8"/>
      <c r="W933" s="70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70"/>
      <c r="AO933" s="68"/>
    </row>
    <row r="934" ht="12.0" customHeight="1">
      <c r="A934" s="68"/>
      <c r="B934" s="68"/>
      <c r="C934" s="68"/>
      <c r="D934" s="68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8"/>
      <c r="W934" s="70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70"/>
      <c r="AO934" s="68"/>
    </row>
    <row r="935" ht="12.0" customHeight="1">
      <c r="A935" s="68"/>
      <c r="B935" s="68"/>
      <c r="C935" s="68"/>
      <c r="D935" s="68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8"/>
      <c r="W935" s="70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70"/>
      <c r="AO935" s="68"/>
    </row>
    <row r="936" ht="12.0" customHeight="1">
      <c r="A936" s="68"/>
      <c r="B936" s="68"/>
      <c r="C936" s="68"/>
      <c r="D936" s="68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8"/>
      <c r="W936" s="70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70"/>
      <c r="AO936" s="68"/>
    </row>
    <row r="937" ht="12.0" customHeight="1">
      <c r="A937" s="68"/>
      <c r="B937" s="68"/>
      <c r="C937" s="68"/>
      <c r="D937" s="68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8"/>
      <c r="W937" s="70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70"/>
      <c r="AO937" s="68"/>
    </row>
    <row r="938" ht="12.0" customHeight="1">
      <c r="A938" s="68"/>
      <c r="B938" s="68"/>
      <c r="C938" s="68"/>
      <c r="D938" s="68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8"/>
      <c r="W938" s="70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70"/>
      <c r="AO938" s="68"/>
    </row>
    <row r="939" ht="12.0" customHeight="1">
      <c r="A939" s="68"/>
      <c r="B939" s="68"/>
      <c r="C939" s="68"/>
      <c r="D939" s="68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8"/>
      <c r="W939" s="70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70"/>
      <c r="AO939" s="68"/>
    </row>
    <row r="940" ht="12.0" customHeight="1">
      <c r="A940" s="68"/>
      <c r="B940" s="68"/>
      <c r="C940" s="68"/>
      <c r="D940" s="68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8"/>
      <c r="W940" s="70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70"/>
      <c r="AO940" s="68"/>
    </row>
    <row r="941" ht="12.0" customHeight="1">
      <c r="A941" s="68"/>
      <c r="B941" s="68"/>
      <c r="C941" s="68"/>
      <c r="D941" s="68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8"/>
      <c r="W941" s="70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70"/>
      <c r="AO941" s="68"/>
    </row>
    <row r="942" ht="12.0" customHeight="1">
      <c r="A942" s="68"/>
      <c r="B942" s="68"/>
      <c r="C942" s="68"/>
      <c r="D942" s="68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8"/>
      <c r="W942" s="70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70"/>
      <c r="AO942" s="68"/>
    </row>
    <row r="943" ht="12.0" customHeight="1">
      <c r="A943" s="68"/>
      <c r="B943" s="68"/>
      <c r="C943" s="68"/>
      <c r="D943" s="68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8"/>
      <c r="W943" s="70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70"/>
      <c r="AO943" s="68"/>
    </row>
    <row r="944" ht="12.0" customHeight="1">
      <c r="A944" s="68"/>
      <c r="B944" s="68"/>
      <c r="C944" s="68"/>
      <c r="D944" s="68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8"/>
      <c r="W944" s="70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70"/>
      <c r="AO944" s="68"/>
    </row>
    <row r="945" ht="12.0" customHeight="1">
      <c r="A945" s="68"/>
      <c r="B945" s="68"/>
      <c r="C945" s="68"/>
      <c r="D945" s="68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8"/>
      <c r="W945" s="70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70"/>
      <c r="AO945" s="68"/>
    </row>
    <row r="946" ht="12.0" customHeight="1">
      <c r="A946" s="68"/>
      <c r="B946" s="68"/>
      <c r="C946" s="68"/>
      <c r="D946" s="68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8"/>
      <c r="W946" s="70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70"/>
      <c r="AO946" s="68"/>
    </row>
    <row r="947" ht="12.0" customHeight="1">
      <c r="A947" s="68"/>
      <c r="B947" s="68"/>
      <c r="C947" s="68"/>
      <c r="D947" s="68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8"/>
      <c r="W947" s="70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70"/>
      <c r="AO947" s="68"/>
    </row>
    <row r="948" ht="12.0" customHeight="1">
      <c r="A948" s="68"/>
      <c r="B948" s="68"/>
      <c r="C948" s="68"/>
      <c r="D948" s="68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8"/>
      <c r="W948" s="70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70"/>
      <c r="AO948" s="68"/>
    </row>
    <row r="949" ht="12.0" customHeight="1">
      <c r="A949" s="68"/>
      <c r="B949" s="68"/>
      <c r="C949" s="68"/>
      <c r="D949" s="68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8"/>
      <c r="W949" s="70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70"/>
      <c r="AO949" s="68"/>
    </row>
    <row r="950" ht="12.0" customHeight="1">
      <c r="A950" s="68"/>
      <c r="B950" s="68"/>
      <c r="C950" s="68"/>
      <c r="D950" s="68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8"/>
      <c r="W950" s="70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70"/>
      <c r="AO950" s="68"/>
    </row>
    <row r="951" ht="12.0" customHeight="1">
      <c r="A951" s="68"/>
      <c r="B951" s="68"/>
      <c r="C951" s="68"/>
      <c r="D951" s="68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8"/>
      <c r="W951" s="70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70"/>
      <c r="AO951" s="68"/>
    </row>
    <row r="952" ht="12.0" customHeight="1">
      <c r="A952" s="68"/>
      <c r="B952" s="68"/>
      <c r="C952" s="68"/>
      <c r="D952" s="68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8"/>
      <c r="W952" s="70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70"/>
      <c r="AO952" s="68"/>
    </row>
    <row r="953" ht="12.0" customHeight="1">
      <c r="A953" s="68"/>
      <c r="B953" s="68"/>
      <c r="C953" s="68"/>
      <c r="D953" s="68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8"/>
      <c r="W953" s="70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70"/>
      <c r="AO953" s="68"/>
    </row>
    <row r="954" ht="12.0" customHeight="1">
      <c r="A954" s="68"/>
      <c r="B954" s="68"/>
      <c r="C954" s="68"/>
      <c r="D954" s="68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8"/>
      <c r="W954" s="70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70"/>
      <c r="AO954" s="68"/>
    </row>
    <row r="955" ht="12.0" customHeight="1">
      <c r="A955" s="68"/>
      <c r="B955" s="68"/>
      <c r="C955" s="68"/>
      <c r="D955" s="68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8"/>
      <c r="W955" s="70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70"/>
      <c r="AO955" s="68"/>
    </row>
    <row r="956" ht="12.0" customHeight="1">
      <c r="A956" s="68"/>
      <c r="B956" s="68"/>
      <c r="C956" s="68"/>
      <c r="D956" s="68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8"/>
      <c r="W956" s="70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70"/>
      <c r="AO956" s="68"/>
    </row>
    <row r="957" ht="12.0" customHeight="1">
      <c r="A957" s="68"/>
      <c r="B957" s="68"/>
      <c r="C957" s="68"/>
      <c r="D957" s="68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8"/>
      <c r="W957" s="70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70"/>
      <c r="AO957" s="68"/>
    </row>
    <row r="958" ht="12.0" customHeight="1">
      <c r="A958" s="68"/>
      <c r="B958" s="68"/>
      <c r="C958" s="68"/>
      <c r="D958" s="68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8"/>
      <c r="W958" s="70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70"/>
      <c r="AO958" s="68"/>
    </row>
    <row r="959" ht="12.0" customHeight="1">
      <c r="A959" s="68"/>
      <c r="B959" s="68"/>
      <c r="C959" s="68"/>
      <c r="D959" s="68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8"/>
      <c r="W959" s="70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70"/>
      <c r="AO959" s="68"/>
    </row>
    <row r="960" ht="12.0" customHeight="1">
      <c r="A960" s="68"/>
      <c r="B960" s="68"/>
      <c r="C960" s="68"/>
      <c r="D960" s="68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8"/>
      <c r="W960" s="70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70"/>
      <c r="AO960" s="68"/>
    </row>
    <row r="961" ht="12.0" customHeight="1">
      <c r="A961" s="68"/>
      <c r="B961" s="68"/>
      <c r="C961" s="68"/>
      <c r="D961" s="68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8"/>
      <c r="W961" s="70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70"/>
      <c r="AO961" s="68"/>
    </row>
    <row r="962" ht="12.0" customHeight="1">
      <c r="A962" s="68"/>
      <c r="B962" s="68"/>
      <c r="C962" s="68"/>
      <c r="D962" s="68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8"/>
      <c r="W962" s="70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70"/>
      <c r="AO962" s="68"/>
    </row>
    <row r="963" ht="12.0" customHeight="1">
      <c r="A963" s="68"/>
      <c r="B963" s="68"/>
      <c r="C963" s="68"/>
      <c r="D963" s="68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8"/>
      <c r="W963" s="70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70"/>
      <c r="AO963" s="68"/>
    </row>
    <row r="964" ht="12.0" customHeight="1">
      <c r="A964" s="68"/>
      <c r="B964" s="68"/>
      <c r="C964" s="68"/>
      <c r="D964" s="68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8"/>
      <c r="W964" s="70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70"/>
      <c r="AO964" s="68"/>
    </row>
    <row r="965" ht="12.0" customHeight="1">
      <c r="A965" s="68"/>
      <c r="B965" s="68"/>
      <c r="C965" s="68"/>
      <c r="D965" s="68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8"/>
      <c r="W965" s="70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70"/>
      <c r="AO965" s="68"/>
    </row>
    <row r="966" ht="12.0" customHeight="1">
      <c r="A966" s="68"/>
      <c r="B966" s="68"/>
      <c r="C966" s="68"/>
      <c r="D966" s="68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8"/>
      <c r="W966" s="70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70"/>
      <c r="AO966" s="68"/>
    </row>
    <row r="967" ht="12.0" customHeight="1">
      <c r="A967" s="68"/>
      <c r="B967" s="68"/>
      <c r="C967" s="68"/>
      <c r="D967" s="68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8"/>
      <c r="W967" s="70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70"/>
      <c r="AO967" s="68"/>
    </row>
    <row r="968" ht="12.0" customHeight="1">
      <c r="A968" s="68"/>
      <c r="B968" s="68"/>
      <c r="C968" s="68"/>
      <c r="D968" s="68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8"/>
      <c r="W968" s="70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70"/>
      <c r="AO968" s="68"/>
    </row>
    <row r="969" ht="12.0" customHeight="1">
      <c r="A969" s="68"/>
      <c r="B969" s="68"/>
      <c r="C969" s="68"/>
      <c r="D969" s="68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8"/>
      <c r="W969" s="70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70"/>
      <c r="AO969" s="68"/>
    </row>
    <row r="970" ht="12.0" customHeight="1">
      <c r="A970" s="68"/>
      <c r="B970" s="68"/>
      <c r="C970" s="68"/>
      <c r="D970" s="68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8"/>
      <c r="W970" s="70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70"/>
      <c r="AO970" s="68"/>
    </row>
    <row r="971" ht="12.0" customHeight="1">
      <c r="A971" s="68"/>
      <c r="B971" s="68"/>
      <c r="C971" s="68"/>
      <c r="D971" s="68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8"/>
      <c r="W971" s="70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70"/>
      <c r="AO971" s="68"/>
    </row>
    <row r="972" ht="12.0" customHeight="1">
      <c r="A972" s="68"/>
      <c r="B972" s="68"/>
      <c r="C972" s="68"/>
      <c r="D972" s="68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8"/>
      <c r="W972" s="70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70"/>
      <c r="AO972" s="68"/>
    </row>
    <row r="973" ht="12.0" customHeight="1">
      <c r="A973" s="68"/>
      <c r="B973" s="68"/>
      <c r="C973" s="68"/>
      <c r="D973" s="68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8"/>
      <c r="W973" s="70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70"/>
      <c r="AO973" s="68"/>
    </row>
    <row r="974" ht="12.0" customHeight="1">
      <c r="A974" s="68"/>
      <c r="B974" s="68"/>
      <c r="C974" s="68"/>
      <c r="D974" s="68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8"/>
      <c r="W974" s="70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70"/>
      <c r="AO974" s="68"/>
    </row>
    <row r="975" ht="12.0" customHeight="1">
      <c r="A975" s="68"/>
      <c r="B975" s="68"/>
      <c r="C975" s="68"/>
      <c r="D975" s="68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8"/>
      <c r="W975" s="70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70"/>
      <c r="AO975" s="68"/>
    </row>
    <row r="976" ht="12.0" customHeight="1">
      <c r="A976" s="68"/>
      <c r="B976" s="68"/>
      <c r="C976" s="68"/>
      <c r="D976" s="68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8"/>
      <c r="W976" s="70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70"/>
      <c r="AO976" s="68"/>
    </row>
    <row r="977" ht="12.0" customHeight="1">
      <c r="A977" s="68"/>
      <c r="B977" s="68"/>
      <c r="C977" s="68"/>
      <c r="D977" s="68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8"/>
      <c r="W977" s="70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70"/>
      <c r="AO977" s="68"/>
    </row>
    <row r="978" ht="12.0" customHeight="1">
      <c r="A978" s="68"/>
      <c r="B978" s="68"/>
      <c r="C978" s="68"/>
      <c r="D978" s="68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8"/>
      <c r="W978" s="70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70"/>
      <c r="AO978" s="68"/>
    </row>
    <row r="979" ht="12.0" customHeight="1">
      <c r="A979" s="68"/>
      <c r="B979" s="68"/>
      <c r="C979" s="68"/>
      <c r="D979" s="68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8"/>
      <c r="W979" s="70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70"/>
      <c r="AO979" s="68"/>
    </row>
    <row r="980" ht="12.0" customHeight="1">
      <c r="A980" s="68"/>
      <c r="B980" s="68"/>
      <c r="C980" s="68"/>
      <c r="D980" s="68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8"/>
      <c r="W980" s="70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70"/>
      <c r="AO980" s="68"/>
    </row>
    <row r="981" ht="12.0" customHeight="1">
      <c r="A981" s="68"/>
      <c r="B981" s="68"/>
      <c r="C981" s="68"/>
      <c r="D981" s="68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8"/>
      <c r="W981" s="70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70"/>
      <c r="AO981" s="68"/>
    </row>
    <row r="982" ht="12.0" customHeight="1">
      <c r="A982" s="68"/>
      <c r="B982" s="68"/>
      <c r="C982" s="68"/>
      <c r="D982" s="68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8"/>
      <c r="W982" s="70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70"/>
      <c r="AO982" s="68"/>
    </row>
    <row r="983" ht="12.0" customHeight="1">
      <c r="A983" s="68"/>
      <c r="B983" s="68"/>
      <c r="C983" s="68"/>
      <c r="D983" s="68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8"/>
      <c r="W983" s="70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70"/>
      <c r="AO983" s="68"/>
    </row>
    <row r="984" ht="12.0" customHeight="1">
      <c r="A984" s="68"/>
      <c r="B984" s="68"/>
      <c r="C984" s="68"/>
      <c r="D984" s="68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8"/>
      <c r="W984" s="70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70"/>
      <c r="AO984" s="68"/>
    </row>
    <row r="985" ht="12.0" customHeight="1">
      <c r="A985" s="68"/>
      <c r="B985" s="68"/>
      <c r="C985" s="68"/>
      <c r="D985" s="68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8"/>
      <c r="W985" s="70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70"/>
      <c r="AO985" s="68"/>
    </row>
    <row r="986" ht="12.0" customHeight="1">
      <c r="A986" s="68"/>
      <c r="B986" s="68"/>
      <c r="C986" s="68"/>
      <c r="D986" s="68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8"/>
      <c r="W986" s="70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70"/>
      <c r="AO986" s="68"/>
    </row>
    <row r="987" ht="12.0" customHeight="1">
      <c r="A987" s="68"/>
      <c r="B987" s="68"/>
      <c r="C987" s="68"/>
      <c r="D987" s="68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8"/>
      <c r="W987" s="70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70"/>
      <c r="AO987" s="68"/>
    </row>
    <row r="988" ht="12.0" customHeight="1">
      <c r="A988" s="68"/>
      <c r="B988" s="68"/>
      <c r="C988" s="68"/>
      <c r="D988" s="68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8"/>
      <c r="W988" s="70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70"/>
      <c r="AO988" s="68"/>
    </row>
    <row r="989" ht="12.0" customHeight="1">
      <c r="A989" s="68"/>
      <c r="B989" s="68"/>
      <c r="C989" s="68"/>
      <c r="D989" s="68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8"/>
      <c r="W989" s="70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70"/>
      <c r="AO989" s="68"/>
    </row>
    <row r="990" ht="12.0" customHeight="1">
      <c r="A990" s="68"/>
      <c r="B990" s="68"/>
      <c r="C990" s="68"/>
      <c r="D990" s="68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8"/>
      <c r="W990" s="70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70"/>
      <c r="AO990" s="68"/>
    </row>
    <row r="991" ht="12.0" customHeight="1">
      <c r="A991" s="68"/>
      <c r="B991" s="68"/>
      <c r="C991" s="68"/>
      <c r="D991" s="68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8"/>
      <c r="W991" s="70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70"/>
      <c r="AO991" s="68"/>
    </row>
    <row r="992" ht="12.0" customHeight="1">
      <c r="A992" s="68"/>
      <c r="B992" s="68"/>
      <c r="C992" s="68"/>
      <c r="D992" s="68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8"/>
      <c r="W992" s="70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70"/>
      <c r="AO992" s="68"/>
    </row>
    <row r="993" ht="12.0" customHeight="1">
      <c r="A993" s="68"/>
      <c r="B993" s="68"/>
      <c r="C993" s="68"/>
      <c r="D993" s="68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8"/>
      <c r="W993" s="70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70"/>
      <c r="AO993" s="68"/>
    </row>
    <row r="994" ht="12.0" customHeight="1">
      <c r="A994" s="68"/>
      <c r="B994" s="68"/>
      <c r="C994" s="68"/>
      <c r="D994" s="68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8"/>
      <c r="W994" s="70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70"/>
      <c r="AO994" s="68"/>
    </row>
    <row r="995" ht="12.0" customHeight="1">
      <c r="A995" s="68"/>
      <c r="B995" s="68"/>
      <c r="C995" s="68"/>
      <c r="D995" s="68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8"/>
      <c r="W995" s="70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70"/>
      <c r="AO995" s="68"/>
    </row>
    <row r="996" ht="12.0" customHeight="1">
      <c r="A996" s="68"/>
      <c r="B996" s="68"/>
      <c r="C996" s="68"/>
      <c r="D996" s="68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8"/>
      <c r="W996" s="70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70"/>
      <c r="AO996" s="68"/>
    </row>
    <row r="997" ht="12.0" customHeight="1">
      <c r="A997" s="68"/>
      <c r="B997" s="68"/>
      <c r="C997" s="68"/>
      <c r="D997" s="68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8"/>
      <c r="W997" s="70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70"/>
      <c r="AO997" s="68"/>
    </row>
    <row r="998" ht="12.0" customHeight="1">
      <c r="A998" s="68"/>
      <c r="B998" s="68"/>
      <c r="C998" s="68"/>
      <c r="D998" s="68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8"/>
      <c r="W998" s="70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70"/>
      <c r="AO998" s="68"/>
    </row>
    <row r="999" ht="12.0" customHeight="1">
      <c r="A999" s="68"/>
      <c r="B999" s="68"/>
      <c r="C999" s="68"/>
      <c r="D999" s="68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8"/>
      <c r="W999" s="70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70"/>
      <c r="AO999" s="68"/>
    </row>
    <row r="1000" ht="12.0" customHeight="1">
      <c r="A1000" s="68"/>
      <c r="B1000" s="68"/>
      <c r="C1000" s="68"/>
      <c r="D1000" s="68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8"/>
      <c r="W1000" s="70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70"/>
      <c r="AO1000" s="68"/>
    </row>
  </sheetData>
  <mergeCells count="29">
    <mergeCell ref="O6:P6"/>
    <mergeCell ref="Q6:R6"/>
    <mergeCell ref="S6:T6"/>
    <mergeCell ref="C6:C7"/>
    <mergeCell ref="D6:D7"/>
    <mergeCell ref="E6:F6"/>
    <mergeCell ref="G6:H6"/>
    <mergeCell ref="I6:J6"/>
    <mergeCell ref="K6:L6"/>
    <mergeCell ref="M6:N6"/>
    <mergeCell ref="Q60:R60"/>
    <mergeCell ref="S60:T60"/>
    <mergeCell ref="D60:D61"/>
    <mergeCell ref="E60:F60"/>
    <mergeCell ref="G60:H60"/>
    <mergeCell ref="I60:J60"/>
    <mergeCell ref="K60:L60"/>
    <mergeCell ref="M60:N60"/>
    <mergeCell ref="O60:P60"/>
    <mergeCell ref="C79:C86"/>
    <mergeCell ref="C87:D87"/>
    <mergeCell ref="D90:D91"/>
    <mergeCell ref="C8:C31"/>
    <mergeCell ref="C32:C41"/>
    <mergeCell ref="C46:C47"/>
    <mergeCell ref="C49:D49"/>
    <mergeCell ref="C52:C56"/>
    <mergeCell ref="C57:D57"/>
    <mergeCell ref="C60:C78"/>
  </mergeCells>
  <printOptions gridLines="1"/>
  <pageMargins bottom="0.75" footer="0.0" header="0.0" left="0.25" right="0.25" top="0.75"/>
  <pageSetup orientation="portrait"/>
  <rowBreaks count="2" manualBreakCount="2">
    <brk id="120" man="1"/>
    <brk id="58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 fitToPage="1"/>
  </sheetPr>
  <sheetViews>
    <sheetView workbookViewId="0"/>
  </sheetViews>
  <sheetFormatPr customHeight="1" defaultColWidth="14.43" defaultRowHeight="15.0"/>
  <cols>
    <col customWidth="1" min="1" max="1" width="28.29"/>
    <col customWidth="1" min="2" max="2" width="45.43"/>
    <col customWidth="1" hidden="1" min="3" max="3" width="12.0"/>
    <col customWidth="1" hidden="1" min="4" max="4" width="13.29"/>
    <col customWidth="1" hidden="1" min="5" max="5" width="13.71"/>
    <col customWidth="1" hidden="1" min="6" max="6" width="11.0"/>
    <col customWidth="1" hidden="1" min="7" max="7" width="12.14"/>
    <col customWidth="1" hidden="1" min="8" max="8" width="12.43"/>
    <col customWidth="1" hidden="1" min="9" max="9" width="11.0"/>
    <col customWidth="1" hidden="1" min="10" max="10" width="12.43"/>
    <col customWidth="1" min="11" max="11" width="15.43"/>
    <col customWidth="1" min="12" max="12" width="13.29"/>
    <col customWidth="1" hidden="1" min="13" max="13" width="19.71"/>
    <col customWidth="1" min="14" max="14" width="14.29"/>
    <col customWidth="1" min="15" max="15" width="12.86"/>
    <col customWidth="1" min="16" max="16" width="15.14"/>
    <col customWidth="1" min="17" max="17" width="14.0"/>
    <col customWidth="1" min="18" max="18" width="5.86"/>
    <col customWidth="1" min="19" max="19" width="15.14"/>
    <col customWidth="1" min="20" max="21" width="14.29"/>
    <col customWidth="1" min="22" max="26" width="8.86"/>
  </cols>
  <sheetData>
    <row r="1" ht="12.75" customHeight="1">
      <c r="A1" s="321"/>
      <c r="B1" s="321"/>
      <c r="C1" s="322"/>
      <c r="D1" s="322"/>
      <c r="E1" s="322"/>
      <c r="F1" s="322"/>
      <c r="G1" s="322"/>
      <c r="H1" s="322"/>
      <c r="I1" s="322"/>
      <c r="J1" s="322"/>
      <c r="K1" s="322"/>
      <c r="L1" s="323"/>
      <c r="M1" s="323"/>
      <c r="N1" s="322"/>
      <c r="O1" s="322"/>
      <c r="P1" s="322"/>
      <c r="Q1" s="322"/>
      <c r="R1" s="322"/>
      <c r="S1" s="321"/>
      <c r="T1" s="321"/>
      <c r="U1" s="321"/>
      <c r="V1" s="321"/>
      <c r="W1" s="321"/>
      <c r="X1" s="321"/>
      <c r="Y1" s="321"/>
      <c r="Z1" s="321"/>
    </row>
    <row r="2" ht="12.75" customHeight="1">
      <c r="A2" s="321"/>
      <c r="B2" s="321"/>
      <c r="C2" s="324"/>
      <c r="D2" s="322"/>
      <c r="E2" s="322"/>
      <c r="F2" s="322"/>
      <c r="G2" s="322"/>
      <c r="H2" s="322"/>
      <c r="I2" s="322"/>
      <c r="J2" s="322"/>
      <c r="K2" s="322"/>
      <c r="L2" s="323"/>
      <c r="M2" s="323"/>
      <c r="N2" s="322"/>
      <c r="O2" s="322"/>
      <c r="P2" s="322"/>
      <c r="Q2" s="322"/>
      <c r="R2" s="322"/>
      <c r="S2" s="321"/>
      <c r="T2" s="321"/>
      <c r="U2" s="321"/>
      <c r="V2" s="321"/>
      <c r="W2" s="321"/>
      <c r="X2" s="321"/>
      <c r="Y2" s="321"/>
      <c r="Z2" s="321"/>
    </row>
    <row r="3" ht="12.75" customHeight="1">
      <c r="A3" s="321"/>
      <c r="B3" s="321"/>
      <c r="C3" s="322"/>
      <c r="D3" s="322"/>
      <c r="E3" s="322"/>
      <c r="F3" s="322"/>
      <c r="G3" s="322"/>
      <c r="H3" s="322"/>
      <c r="I3" s="322"/>
      <c r="J3" s="322"/>
      <c r="K3" s="322"/>
      <c r="L3" s="323"/>
      <c r="M3" s="323"/>
      <c r="N3" s="322"/>
      <c r="O3" s="322"/>
      <c r="P3" s="322"/>
      <c r="Q3" s="322"/>
      <c r="R3" s="322"/>
      <c r="S3" s="321"/>
      <c r="T3" s="321"/>
      <c r="U3" s="321"/>
      <c r="V3" s="321"/>
      <c r="W3" s="321"/>
      <c r="X3" s="321"/>
      <c r="Y3" s="321"/>
      <c r="Z3" s="321"/>
    </row>
    <row r="4" ht="12.75" customHeight="1">
      <c r="A4" s="321"/>
      <c r="B4" s="321"/>
      <c r="C4" s="322"/>
      <c r="D4" s="322"/>
      <c r="E4" s="322"/>
      <c r="F4" s="322"/>
      <c r="G4" s="322"/>
      <c r="H4" s="322"/>
      <c r="I4" s="322"/>
      <c r="J4" s="322"/>
      <c r="K4" s="322"/>
      <c r="L4" s="323"/>
      <c r="M4" s="323"/>
      <c r="N4" s="322"/>
      <c r="O4" s="322"/>
      <c r="P4" s="322"/>
      <c r="Q4" s="322"/>
      <c r="R4" s="322"/>
      <c r="S4" s="321"/>
      <c r="T4" s="321"/>
      <c r="U4" s="321"/>
      <c r="V4" s="321"/>
      <c r="W4" s="321"/>
      <c r="X4" s="321"/>
      <c r="Y4" s="321"/>
      <c r="Z4" s="321"/>
    </row>
    <row r="5" ht="15.0" customHeight="1">
      <c r="A5" s="325"/>
      <c r="B5" s="326" t="s">
        <v>277</v>
      </c>
      <c r="C5" s="321"/>
      <c r="D5" s="321"/>
      <c r="E5" s="321"/>
      <c r="F5" s="321"/>
      <c r="G5" s="321"/>
      <c r="H5" s="321"/>
      <c r="I5" s="327"/>
      <c r="J5" s="327"/>
      <c r="K5" s="327"/>
      <c r="L5" s="325"/>
      <c r="M5" s="325"/>
      <c r="N5" s="328" t="s">
        <v>278</v>
      </c>
      <c r="O5" s="329"/>
      <c r="P5" s="323"/>
      <c r="Q5" s="330">
        <v>9.9586363E7</v>
      </c>
      <c r="R5" s="322"/>
      <c r="S5" s="325"/>
      <c r="T5" s="325"/>
      <c r="U5" s="325"/>
      <c r="V5" s="325"/>
      <c r="W5" s="325"/>
      <c r="X5" s="325"/>
      <c r="Y5" s="325"/>
      <c r="Z5" s="325"/>
    </row>
    <row r="6" ht="9.75" customHeight="1">
      <c r="A6" s="325"/>
      <c r="B6" s="331" t="s">
        <v>38</v>
      </c>
      <c r="C6" s="332" t="s">
        <v>279</v>
      </c>
      <c r="D6" s="333" t="s">
        <v>4</v>
      </c>
      <c r="E6" s="333" t="s">
        <v>5</v>
      </c>
      <c r="F6" s="333" t="s">
        <v>7</v>
      </c>
      <c r="G6" s="333" t="s">
        <v>8</v>
      </c>
      <c r="H6" s="333" t="s">
        <v>9</v>
      </c>
      <c r="I6" s="333"/>
      <c r="J6" s="333"/>
      <c r="K6" s="334" t="s">
        <v>280</v>
      </c>
      <c r="L6" s="334" t="s">
        <v>281</v>
      </c>
      <c r="M6" s="334" t="s">
        <v>282</v>
      </c>
      <c r="N6" s="334" t="s">
        <v>283</v>
      </c>
      <c r="O6" s="322"/>
      <c r="P6" s="331" t="s">
        <v>284</v>
      </c>
      <c r="Q6" s="332" t="s">
        <v>285</v>
      </c>
      <c r="R6" s="335" t="s">
        <v>286</v>
      </c>
      <c r="S6" s="331" t="s">
        <v>287</v>
      </c>
      <c r="T6" s="336"/>
      <c r="U6" s="336"/>
      <c r="V6" s="336"/>
      <c r="W6" s="336"/>
      <c r="X6" s="336"/>
      <c r="Y6" s="336"/>
      <c r="Z6" s="336"/>
    </row>
    <row r="7" ht="12.75" customHeight="1">
      <c r="A7" s="321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322"/>
      <c r="P7" s="19"/>
      <c r="Q7" s="19"/>
      <c r="R7" s="337"/>
      <c r="S7" s="19"/>
      <c r="T7" s="338"/>
      <c r="U7" s="338"/>
      <c r="V7" s="338"/>
      <c r="W7" s="338"/>
      <c r="X7" s="338"/>
      <c r="Y7" s="338"/>
      <c r="Z7" s="338"/>
    </row>
    <row r="8" ht="12.75" customHeight="1">
      <c r="A8" s="321"/>
      <c r="B8" s="339" t="s">
        <v>288</v>
      </c>
      <c r="C8" s="340">
        <v>0.0</v>
      </c>
      <c r="D8" s="340">
        <v>0.0</v>
      </c>
      <c r="E8" s="341">
        <v>5279.54</v>
      </c>
      <c r="F8" s="341">
        <v>5106.44</v>
      </c>
      <c r="G8" s="341">
        <v>5175.68</v>
      </c>
      <c r="H8" s="342">
        <v>8874.0</v>
      </c>
      <c r="I8" s="343">
        <v>8874.0</v>
      </c>
      <c r="J8" s="343">
        <v>9935.0</v>
      </c>
      <c r="K8" s="344">
        <v>10344.485011540002</v>
      </c>
      <c r="L8" s="345">
        <f t="shared" ref="L8:N8" si="1">SUM(L9:L10)</f>
        <v>11413.754</v>
      </c>
      <c r="M8" s="345">
        <f t="shared" si="1"/>
        <v>11720.01269</v>
      </c>
      <c r="N8" s="345">
        <f t="shared" si="1"/>
        <v>11810.41232</v>
      </c>
      <c r="O8" s="322"/>
      <c r="P8" s="346">
        <f t="shared" ref="P8:Q8" si="2">SUM(P9:P10)</f>
        <v>0.3056563779</v>
      </c>
      <c r="Q8" s="347">
        <f t="shared" si="2"/>
        <v>30439207</v>
      </c>
      <c r="R8" s="345">
        <v>388.0</v>
      </c>
      <c r="S8" s="348">
        <f>+Q8*R8</f>
        <v>11810412316</v>
      </c>
      <c r="T8" s="349"/>
      <c r="U8" s="338"/>
      <c r="V8" s="338"/>
      <c r="W8" s="338"/>
      <c r="X8" s="338"/>
      <c r="Y8" s="338"/>
      <c r="Z8" s="338"/>
    </row>
    <row r="9" ht="12.75" customHeight="1">
      <c r="A9" s="321"/>
      <c r="B9" s="350" t="s">
        <v>289</v>
      </c>
      <c r="C9" s="340">
        <v>0.0</v>
      </c>
      <c r="D9" s="340">
        <v>0.0</v>
      </c>
      <c r="E9" s="341"/>
      <c r="F9" s="341"/>
      <c r="G9" s="341"/>
      <c r="H9" s="351"/>
      <c r="I9" s="343"/>
      <c r="J9" s="343"/>
      <c r="K9" s="352">
        <v>9324.0947853</v>
      </c>
      <c r="L9" s="352">
        <v>10581.63094065</v>
      </c>
      <c r="M9" s="352">
        <v>11180.869315</v>
      </c>
      <c r="N9" s="353">
        <f>+S9/1000000</f>
        <v>11267.99297</v>
      </c>
      <c r="O9" s="322"/>
      <c r="P9" s="354">
        <f>+Q9/Q5</f>
        <v>0.2916184317</v>
      </c>
      <c r="Q9" s="353">
        <v>2.9041219E7</v>
      </c>
      <c r="R9" s="353">
        <v>388.0</v>
      </c>
      <c r="S9" s="355">
        <f>Q9*R9</f>
        <v>11267992972</v>
      </c>
      <c r="T9" s="356">
        <f>+(L9-K9)*1000000</f>
        <v>1257536155</v>
      </c>
      <c r="U9" s="356">
        <f>+(N9-M9)*1000000</f>
        <v>87123657</v>
      </c>
      <c r="V9" s="338" t="s">
        <v>290</v>
      </c>
      <c r="W9" s="338"/>
      <c r="X9" s="338"/>
      <c r="Y9" s="338"/>
      <c r="Z9" s="338"/>
    </row>
    <row r="10" ht="12.75" customHeight="1">
      <c r="A10" s="321"/>
      <c r="B10" s="339" t="s">
        <v>291</v>
      </c>
      <c r="C10" s="340"/>
      <c r="D10" s="340"/>
      <c r="E10" s="341"/>
      <c r="F10" s="341"/>
      <c r="G10" s="341"/>
      <c r="H10" s="351"/>
      <c r="I10" s="343"/>
      <c r="J10" s="343"/>
      <c r="K10" s="344">
        <v>1020.39022624</v>
      </c>
      <c r="L10" s="345">
        <f t="shared" ref="L10:N10" si="3">SUM(L11:L15)</f>
        <v>832.1230595</v>
      </c>
      <c r="M10" s="345">
        <f t="shared" si="3"/>
        <v>539.143375</v>
      </c>
      <c r="N10" s="345">
        <f t="shared" si="3"/>
        <v>542.419344</v>
      </c>
      <c r="O10" s="322"/>
      <c r="P10" s="357">
        <f t="shared" ref="P10:Q10" si="4">SUM(P11:P15)</f>
        <v>0.01403794614</v>
      </c>
      <c r="Q10" s="345">
        <f t="shared" si="4"/>
        <v>1397988</v>
      </c>
      <c r="R10" s="345"/>
      <c r="S10" s="358">
        <f>SUM(S11:S15)</f>
        <v>542419344</v>
      </c>
      <c r="T10" s="349"/>
      <c r="U10" s="356">
        <f>+U9*0.1</f>
        <v>8712365.7</v>
      </c>
      <c r="V10" s="338"/>
      <c r="W10" s="338"/>
      <c r="X10" s="338"/>
      <c r="Y10" s="338"/>
      <c r="Z10" s="338"/>
    </row>
    <row r="11" ht="12.75" customHeight="1">
      <c r="A11" s="321"/>
      <c r="B11" s="350" t="s">
        <v>292</v>
      </c>
      <c r="C11" s="340">
        <v>0.0</v>
      </c>
      <c r="D11" s="340">
        <v>0.0</v>
      </c>
      <c r="E11" s="341"/>
      <c r="F11" s="341"/>
      <c r="G11" s="341"/>
      <c r="H11" s="351"/>
      <c r="I11" s="343"/>
      <c r="J11" s="343"/>
      <c r="K11" s="352">
        <v>451.1318633</v>
      </c>
      <c r="L11" s="352">
        <v>497.76360095</v>
      </c>
      <c r="M11" s="352">
        <v>448.038745</v>
      </c>
      <c r="N11" s="353">
        <f t="shared" ref="N11:N15" si="5">+S11/1000000</f>
        <v>451.529956</v>
      </c>
      <c r="O11" s="322"/>
      <c r="P11" s="354">
        <f>+Q11/$Q$5</f>
        <v>0.01168570641</v>
      </c>
      <c r="Q11" s="353">
        <v>1163737.0</v>
      </c>
      <c r="R11" s="353">
        <v>388.0</v>
      </c>
      <c r="S11" s="355">
        <f t="shared" ref="S11:S15" si="6">Q11*R11</f>
        <v>451529956</v>
      </c>
      <c r="T11" s="349"/>
      <c r="U11" s="356">
        <f>+U9-U10</f>
        <v>78411291.3</v>
      </c>
      <c r="V11" s="338"/>
      <c r="W11" s="338"/>
      <c r="X11" s="338"/>
      <c r="Y11" s="338"/>
      <c r="Z11" s="338"/>
    </row>
    <row r="12" ht="12.75" customHeight="1">
      <c r="A12" s="321"/>
      <c r="B12" s="350" t="s">
        <v>293</v>
      </c>
      <c r="C12" s="340">
        <v>0.0</v>
      </c>
      <c r="D12" s="340">
        <v>0.0</v>
      </c>
      <c r="E12" s="341"/>
      <c r="F12" s="341"/>
      <c r="G12" s="341"/>
      <c r="H12" s="351"/>
      <c r="I12" s="343"/>
      <c r="J12" s="343"/>
      <c r="K12" s="352">
        <v>154.48200356</v>
      </c>
      <c r="L12" s="352">
        <v>170.45020454</v>
      </c>
      <c r="M12" s="352">
        <v>0.0</v>
      </c>
      <c r="N12" s="353">
        <f t="shared" si="5"/>
        <v>0</v>
      </c>
      <c r="O12" s="322"/>
      <c r="P12" s="354"/>
      <c r="Q12" s="353"/>
      <c r="R12" s="353"/>
      <c r="S12" s="355">
        <f t="shared" si="6"/>
        <v>0</v>
      </c>
      <c r="T12" s="349"/>
      <c r="U12" s="338"/>
      <c r="V12" s="338"/>
      <c r="W12" s="338"/>
      <c r="X12" s="338"/>
      <c r="Y12" s="338"/>
      <c r="Z12" s="338"/>
    </row>
    <row r="13" ht="12.75" customHeight="1">
      <c r="A13" s="321"/>
      <c r="B13" s="350" t="s">
        <v>294</v>
      </c>
      <c r="C13" s="340"/>
      <c r="D13" s="340"/>
      <c r="E13" s="341"/>
      <c r="F13" s="341"/>
      <c r="G13" s="341"/>
      <c r="H13" s="351"/>
      <c r="I13" s="343"/>
      <c r="J13" s="343"/>
      <c r="K13" s="352">
        <v>57.604570700000004</v>
      </c>
      <c r="L13" s="352">
        <v>63.55893005000001</v>
      </c>
      <c r="M13" s="352">
        <v>78.0</v>
      </c>
      <c r="N13" s="353">
        <f t="shared" si="5"/>
        <v>77.682644</v>
      </c>
      <c r="O13" s="322"/>
      <c r="P13" s="354">
        <f t="shared" ref="P13:P14" si="7">+Q13/$Q$5</f>
        <v>0.002010445948</v>
      </c>
      <c r="Q13" s="353">
        <v>200213.0</v>
      </c>
      <c r="R13" s="353">
        <v>388.0</v>
      </c>
      <c r="S13" s="355">
        <f t="shared" si="6"/>
        <v>77682644</v>
      </c>
      <c r="T13" s="349"/>
      <c r="U13" s="338"/>
      <c r="V13" s="338"/>
      <c r="W13" s="338"/>
      <c r="X13" s="338"/>
      <c r="Y13" s="338"/>
      <c r="Z13" s="338"/>
    </row>
    <row r="14" ht="12.75" customHeight="1">
      <c r="A14" s="321"/>
      <c r="B14" s="350" t="s">
        <v>295</v>
      </c>
      <c r="C14" s="340"/>
      <c r="D14" s="340"/>
      <c r="E14" s="341"/>
      <c r="F14" s="341"/>
      <c r="G14" s="341"/>
      <c r="H14" s="351"/>
      <c r="I14" s="343"/>
      <c r="J14" s="343"/>
      <c r="K14" s="352">
        <v>1.7122146800000002</v>
      </c>
      <c r="L14" s="352">
        <v>1.88919962</v>
      </c>
      <c r="M14" s="352">
        <v>13.10463</v>
      </c>
      <c r="N14" s="353">
        <f t="shared" si="5"/>
        <v>13.206744</v>
      </c>
      <c r="O14" s="322"/>
      <c r="P14" s="354">
        <f t="shared" si="7"/>
        <v>0.0003417937856</v>
      </c>
      <c r="Q14" s="353">
        <v>34038.0</v>
      </c>
      <c r="R14" s="353">
        <v>388.0</v>
      </c>
      <c r="S14" s="355">
        <f t="shared" si="6"/>
        <v>13206744</v>
      </c>
      <c r="T14" s="359"/>
      <c r="U14" s="338"/>
      <c r="V14" s="338"/>
      <c r="W14" s="338"/>
      <c r="X14" s="338"/>
      <c r="Y14" s="338"/>
      <c r="Z14" s="338"/>
    </row>
    <row r="15" ht="12.75" customHeight="1">
      <c r="A15" s="321"/>
      <c r="B15" s="350" t="s">
        <v>296</v>
      </c>
      <c r="C15" s="340">
        <v>0.0</v>
      </c>
      <c r="D15" s="340">
        <v>0.0</v>
      </c>
      <c r="E15" s="341"/>
      <c r="F15" s="341"/>
      <c r="G15" s="341"/>
      <c r="H15" s="351"/>
      <c r="I15" s="343"/>
      <c r="J15" s="343"/>
      <c r="K15" s="352">
        <v>355.459574</v>
      </c>
      <c r="L15" s="352">
        <v>98.4611243</v>
      </c>
      <c r="M15" s="352">
        <v>0.0</v>
      </c>
      <c r="N15" s="353">
        <f t="shared" si="5"/>
        <v>0</v>
      </c>
      <c r="O15" s="322"/>
      <c r="P15" s="360"/>
      <c r="Q15" s="361"/>
      <c r="R15" s="353">
        <v>388.0</v>
      </c>
      <c r="S15" s="362">
        <f t="shared" si="6"/>
        <v>0</v>
      </c>
      <c r="T15" s="338"/>
      <c r="U15" s="338"/>
      <c r="V15" s="338"/>
      <c r="W15" s="338"/>
      <c r="X15" s="338"/>
      <c r="Y15" s="338"/>
      <c r="Z15" s="338"/>
    </row>
    <row r="16" ht="12.75" customHeight="1">
      <c r="A16" s="321"/>
      <c r="B16" s="350" t="s">
        <v>193</v>
      </c>
      <c r="C16" s="340">
        <v>9825.0</v>
      </c>
      <c r="D16" s="340">
        <v>9825.0</v>
      </c>
      <c r="E16" s="341">
        <v>9825.0</v>
      </c>
      <c r="F16" s="341">
        <v>9824.9</v>
      </c>
      <c r="G16" s="341">
        <v>9825.0</v>
      </c>
      <c r="H16" s="363">
        <v>9825.0</v>
      </c>
      <c r="I16" s="364">
        <v>9825.0</v>
      </c>
      <c r="J16" s="364">
        <v>9825.0</v>
      </c>
      <c r="K16" s="364">
        <v>0.0</v>
      </c>
      <c r="L16" s="364">
        <v>0.0</v>
      </c>
      <c r="M16" s="364">
        <v>0.0</v>
      </c>
      <c r="N16" s="365">
        <f>+S16*P16/1000000</f>
        <v>0</v>
      </c>
      <c r="O16" s="322"/>
      <c r="P16" s="366"/>
      <c r="Q16" s="367"/>
      <c r="R16" s="367"/>
      <c r="S16" s="368"/>
      <c r="T16" s="349"/>
      <c r="U16" s="338"/>
      <c r="V16" s="338"/>
      <c r="W16" s="338"/>
      <c r="X16" s="338"/>
      <c r="Y16" s="338"/>
      <c r="Z16" s="338"/>
    </row>
    <row r="17" ht="12.75" customHeight="1">
      <c r="A17" s="321"/>
      <c r="B17" s="350" t="s">
        <v>123</v>
      </c>
      <c r="C17" s="340">
        <v>6637.0</v>
      </c>
      <c r="D17" s="340">
        <v>6337.0</v>
      </c>
      <c r="E17" s="341">
        <v>6337.0</v>
      </c>
      <c r="F17" s="341">
        <v>6337.2</v>
      </c>
      <c r="G17" s="341">
        <v>6337.0</v>
      </c>
      <c r="H17" s="369">
        <v>5983.0</v>
      </c>
      <c r="I17" s="352">
        <v>5983.0</v>
      </c>
      <c r="J17" s="352">
        <v>5983.0</v>
      </c>
      <c r="K17" s="352">
        <f>7891-202</f>
        <v>7689</v>
      </c>
      <c r="L17" s="352">
        <v>7688.521264</v>
      </c>
      <c r="M17" s="352">
        <v>7688.521264</v>
      </c>
      <c r="N17" s="353" t="str">
        <f t="shared" ref="N17:N20" si="8">+S17/1000000</f>
        <v>#REF!</v>
      </c>
      <c r="O17" s="322"/>
      <c r="P17" s="354">
        <v>0.8303</v>
      </c>
      <c r="Q17" s="370"/>
      <c r="R17" s="371"/>
      <c r="S17" s="372" t="str">
        <f>+balance!E102</f>
        <v>#REF!</v>
      </c>
      <c r="T17" s="338"/>
      <c r="U17" s="338"/>
      <c r="V17" s="338"/>
      <c r="W17" s="338"/>
      <c r="X17" s="338"/>
      <c r="Y17" s="338"/>
      <c r="Z17" s="338"/>
    </row>
    <row r="18" ht="12.75" customHeight="1">
      <c r="A18" s="321"/>
      <c r="B18" s="350" t="s">
        <v>297</v>
      </c>
      <c r="C18" s="340">
        <v>1600.0</v>
      </c>
      <c r="D18" s="340">
        <v>1853.0</v>
      </c>
      <c r="E18" s="341">
        <v>1853.0</v>
      </c>
      <c r="F18" s="341">
        <v>1852.9</v>
      </c>
      <c r="G18" s="341">
        <v>1853.0</v>
      </c>
      <c r="H18" s="369">
        <v>2277.0</v>
      </c>
      <c r="I18" s="352">
        <v>2277.0</v>
      </c>
      <c r="J18" s="352">
        <v>2277.0</v>
      </c>
      <c r="K18" s="352">
        <v>3818.0</v>
      </c>
      <c r="L18" s="352">
        <v>3818.0</v>
      </c>
      <c r="M18" s="352">
        <v>3818.50498856</v>
      </c>
      <c r="N18" s="353" t="str">
        <f t="shared" si="8"/>
        <v>#REF!</v>
      </c>
      <c r="O18" s="322"/>
      <c r="P18" s="354">
        <v>0.85</v>
      </c>
      <c r="Q18" s="353"/>
      <c r="R18" s="371"/>
      <c r="S18" s="373" t="str">
        <f>+balance!E112+balance!E101</f>
        <v>#REF!</v>
      </c>
      <c r="T18" s="338"/>
      <c r="U18" s="338"/>
      <c r="V18" s="338"/>
      <c r="W18" s="338"/>
      <c r="X18" s="338"/>
      <c r="Y18" s="338"/>
      <c r="Z18" s="338"/>
    </row>
    <row r="19" ht="12.75" customHeight="1">
      <c r="A19" s="321"/>
      <c r="B19" s="350" t="s">
        <v>298</v>
      </c>
      <c r="C19" s="340">
        <v>983.0</v>
      </c>
      <c r="D19" s="340">
        <v>983.0</v>
      </c>
      <c r="E19" s="341">
        <v>983.0</v>
      </c>
      <c r="F19" s="341">
        <v>983.0</v>
      </c>
      <c r="G19" s="341">
        <v>983.0</v>
      </c>
      <c r="H19" s="369">
        <v>983.0</v>
      </c>
      <c r="I19" s="352">
        <v>983.0</v>
      </c>
      <c r="J19" s="352">
        <v>983.0</v>
      </c>
      <c r="K19" s="352">
        <v>2126.0</v>
      </c>
      <c r="L19" s="352">
        <v>2126.0</v>
      </c>
      <c r="M19" s="352">
        <v>2126.21082852</v>
      </c>
      <c r="N19" s="353" t="str">
        <f t="shared" si="8"/>
        <v>#REF!</v>
      </c>
      <c r="O19" s="322"/>
      <c r="P19" s="354">
        <v>1.0</v>
      </c>
      <c r="Q19" s="353"/>
      <c r="R19" s="371"/>
      <c r="S19" s="355" t="str">
        <f>+balance!E97+balance!E109</f>
        <v>#REF!</v>
      </c>
      <c r="T19" s="338"/>
      <c r="U19" s="338"/>
      <c r="V19" s="338"/>
      <c r="W19" s="338"/>
      <c r="X19" s="338"/>
      <c r="Y19" s="338"/>
      <c r="Z19" s="338"/>
    </row>
    <row r="20" ht="16.5" customHeight="1">
      <c r="A20" s="321"/>
      <c r="B20" s="350" t="s">
        <v>299</v>
      </c>
      <c r="C20" s="340">
        <v>1382.0</v>
      </c>
      <c r="D20" s="340">
        <v>1382.0</v>
      </c>
      <c r="E20" s="341">
        <v>1382.0</v>
      </c>
      <c r="F20" s="341">
        <v>1382.4</v>
      </c>
      <c r="G20" s="341">
        <v>1382.0</v>
      </c>
      <c r="H20" s="369">
        <v>1780.0</v>
      </c>
      <c r="I20" s="352">
        <v>1780.0</v>
      </c>
      <c r="J20" s="352">
        <v>1780.0</v>
      </c>
      <c r="K20" s="352">
        <v>1780.0</v>
      </c>
      <c r="L20" s="352">
        <v>1780.0</v>
      </c>
      <c r="M20" s="352">
        <v>1780.0000002000002</v>
      </c>
      <c r="N20" s="353" t="str">
        <f t="shared" si="8"/>
        <v>#REF!</v>
      </c>
      <c r="O20" s="322"/>
      <c r="P20" s="360">
        <v>0.2</v>
      </c>
      <c r="Q20" s="361"/>
      <c r="R20" s="374"/>
      <c r="S20" s="362" t="str">
        <f>+balance!E99+balance!E110</f>
        <v>#REF!</v>
      </c>
      <c r="T20" s="338"/>
      <c r="U20" s="338"/>
      <c r="V20" s="338"/>
      <c r="W20" s="338"/>
      <c r="X20" s="338"/>
      <c r="Y20" s="338"/>
      <c r="Z20" s="338"/>
    </row>
    <row r="21" ht="12.75" customHeight="1">
      <c r="A21" s="375"/>
      <c r="B21" s="350" t="s">
        <v>300</v>
      </c>
      <c r="C21" s="340">
        <v>219.0</v>
      </c>
      <c r="D21" s="340">
        <v>464.0</v>
      </c>
      <c r="E21" s="341">
        <v>464.0</v>
      </c>
      <c r="F21" s="341">
        <v>630.93</v>
      </c>
      <c r="G21" s="341">
        <v>631.0</v>
      </c>
      <c r="H21" s="363">
        <v>631.0</v>
      </c>
      <c r="I21" s="364">
        <v>584.0</v>
      </c>
      <c r="J21" s="364">
        <v>578.0</v>
      </c>
      <c r="K21" s="364">
        <v>846.0</v>
      </c>
      <c r="L21" s="364">
        <v>858.50795283</v>
      </c>
      <c r="M21" s="364">
        <v>1898.00795283</v>
      </c>
      <c r="N21" s="353">
        <f>+K49/1000000</f>
        <v>1598.007953</v>
      </c>
      <c r="O21" s="323"/>
      <c r="P21" s="322"/>
      <c r="Q21" s="322"/>
      <c r="R21" s="322"/>
      <c r="S21" s="376"/>
      <c r="T21" s="375"/>
      <c r="U21" s="377"/>
      <c r="V21" s="377"/>
      <c r="W21" s="377"/>
      <c r="X21" s="377"/>
      <c r="Y21" s="377"/>
      <c r="Z21" s="377"/>
    </row>
    <row r="22" ht="12.75" customHeight="1">
      <c r="A22" s="375"/>
      <c r="B22" s="378" t="s">
        <v>301</v>
      </c>
      <c r="C22" s="379">
        <f t="shared" ref="C22:J22" si="9">SUM(C8:C21)</f>
        <v>20646</v>
      </c>
      <c r="D22" s="379">
        <f t="shared" si="9"/>
        <v>20844</v>
      </c>
      <c r="E22" s="380">
        <f t="shared" si="9"/>
        <v>26123.54</v>
      </c>
      <c r="F22" s="380">
        <f t="shared" si="9"/>
        <v>26117.77</v>
      </c>
      <c r="G22" s="380">
        <f t="shared" si="9"/>
        <v>26186.68</v>
      </c>
      <c r="H22" s="381">
        <f t="shared" si="9"/>
        <v>30353</v>
      </c>
      <c r="I22" s="382">
        <f t="shared" si="9"/>
        <v>30306</v>
      </c>
      <c r="J22" s="382">
        <f t="shared" si="9"/>
        <v>31361</v>
      </c>
      <c r="K22" s="382">
        <v>25785.0947853</v>
      </c>
      <c r="L22" s="383">
        <f t="shared" ref="L22:N22" si="10">SUM(L14:L21)+L9</f>
        <v>26953.01048</v>
      </c>
      <c r="M22" s="383">
        <f t="shared" si="10"/>
        <v>28505.21898</v>
      </c>
      <c r="N22" s="383" t="str">
        <f t="shared" si="10"/>
        <v>#REF!</v>
      </c>
      <c r="O22" s="384"/>
      <c r="P22" s="323"/>
      <c r="Q22" s="322"/>
      <c r="R22" s="322"/>
      <c r="S22" s="322"/>
      <c r="T22" s="375"/>
      <c r="U22" s="377"/>
      <c r="V22" s="377"/>
      <c r="W22" s="377"/>
      <c r="X22" s="377"/>
      <c r="Y22" s="377"/>
      <c r="Z22" s="377"/>
    </row>
    <row r="23" ht="12.75" customHeight="1">
      <c r="A23" s="375"/>
      <c r="B23" s="385" t="s">
        <v>302</v>
      </c>
      <c r="C23" s="386"/>
      <c r="D23" s="386"/>
      <c r="E23" s="387"/>
      <c r="F23" s="387"/>
      <c r="G23" s="387">
        <v>2866.0</v>
      </c>
      <c r="H23" s="386"/>
      <c r="I23" s="387">
        <v>2826.0</v>
      </c>
      <c r="J23" s="387">
        <v>2914.0</v>
      </c>
      <c r="K23" s="387"/>
      <c r="L23" s="387"/>
      <c r="M23" s="387"/>
      <c r="N23" s="388"/>
      <c r="O23" s="322"/>
      <c r="P23" s="322"/>
      <c r="Q23" s="322"/>
      <c r="R23" s="322"/>
      <c r="S23" s="322"/>
      <c r="T23" s="375"/>
      <c r="U23" s="377"/>
      <c r="V23" s="377"/>
      <c r="W23" s="377"/>
      <c r="X23" s="377"/>
      <c r="Y23" s="377"/>
      <c r="Z23" s="377"/>
    </row>
    <row r="24" ht="12.75" customHeight="1">
      <c r="A24" s="375"/>
      <c r="B24" s="389" t="s">
        <v>202</v>
      </c>
      <c r="C24" s="379"/>
      <c r="D24" s="379"/>
      <c r="E24" s="380">
        <v>3405.0</v>
      </c>
      <c r="F24" s="341">
        <v>3290.72</v>
      </c>
      <c r="G24" s="382"/>
      <c r="H24" s="390"/>
      <c r="I24" s="391"/>
      <c r="J24" s="391"/>
      <c r="K24" s="391">
        <v>5186.629867809501</v>
      </c>
      <c r="L24" s="391">
        <v>5406.668032826</v>
      </c>
      <c r="M24" s="392">
        <v>4870.092831794</v>
      </c>
      <c r="N24" s="392" t="str">
        <f>'Loan port'!X27/1000000-'Avlaga uglug'!S38/1000000</f>
        <v>#REF!</v>
      </c>
      <c r="O24" s="322"/>
      <c r="P24" s="322"/>
      <c r="Q24" s="322"/>
      <c r="R24" s="322"/>
      <c r="S24" s="322"/>
      <c r="T24" s="375"/>
      <c r="U24" s="377"/>
      <c r="V24" s="377"/>
      <c r="W24" s="377"/>
      <c r="X24" s="377"/>
      <c r="Y24" s="377"/>
      <c r="Z24" s="377"/>
    </row>
    <row r="25" ht="12.75" customHeight="1">
      <c r="A25" s="375"/>
      <c r="B25" s="389" t="s">
        <v>303</v>
      </c>
      <c r="C25" s="379"/>
      <c r="D25" s="379"/>
      <c r="E25" s="380"/>
      <c r="F25" s="380"/>
      <c r="G25" s="382"/>
      <c r="H25" s="390"/>
      <c r="I25" s="391"/>
      <c r="J25" s="391"/>
      <c r="K25" s="364">
        <v>144.098955</v>
      </c>
      <c r="L25" s="364">
        <v>448.75008793</v>
      </c>
      <c r="M25" s="364">
        <v>42.041125</v>
      </c>
      <c r="N25" s="393" t="str">
        <f>'Loan port'!X35/1000000</f>
        <v>#REF!</v>
      </c>
      <c r="O25" s="322"/>
      <c r="P25" s="322"/>
      <c r="Q25" s="322"/>
      <c r="R25" s="322"/>
      <c r="S25" s="322"/>
      <c r="T25" s="375"/>
      <c r="U25" s="377"/>
      <c r="V25" s="377"/>
      <c r="W25" s="377"/>
      <c r="X25" s="377"/>
      <c r="Y25" s="377"/>
      <c r="Z25" s="377"/>
    </row>
    <row r="26" ht="12.75" customHeight="1">
      <c r="A26" s="375"/>
      <c r="B26" s="389" t="s">
        <v>304</v>
      </c>
      <c r="C26" s="379"/>
      <c r="D26" s="379"/>
      <c r="E26" s="380"/>
      <c r="F26" s="380"/>
      <c r="G26" s="382"/>
      <c r="H26" s="390"/>
      <c r="I26" s="391"/>
      <c r="J26" s="391"/>
      <c r="K26" s="364">
        <v>3000.0</v>
      </c>
      <c r="L26" s="364">
        <v>3000.0</v>
      </c>
      <c r="M26" s="364">
        <v>3000.0</v>
      </c>
      <c r="N26" s="393">
        <f>+'FA, Investments'!U33/1000000</f>
        <v>3000</v>
      </c>
      <c r="O26" s="322"/>
      <c r="P26" s="322"/>
      <c r="Q26" s="322"/>
      <c r="R26" s="322"/>
      <c r="S26" s="322"/>
      <c r="T26" s="375"/>
      <c r="U26" s="377"/>
      <c r="V26" s="377"/>
      <c r="W26" s="377"/>
      <c r="X26" s="377"/>
      <c r="Y26" s="377"/>
      <c r="Z26" s="377"/>
    </row>
    <row r="27" ht="12.75" customHeight="1">
      <c r="A27" s="375"/>
      <c r="B27" s="394" t="s">
        <v>305</v>
      </c>
      <c r="C27" s="395">
        <v>959.0</v>
      </c>
      <c r="D27" s="395">
        <v>3326.0</v>
      </c>
      <c r="E27" s="396"/>
      <c r="F27" s="380">
        <f>SUM(F24:F26)</f>
        <v>3290.72</v>
      </c>
      <c r="G27" s="396"/>
      <c r="H27" s="395">
        <v>2847.0</v>
      </c>
      <c r="I27" s="396"/>
      <c r="J27" s="396"/>
      <c r="K27" s="396">
        <v>8330.728822809502</v>
      </c>
      <c r="L27" s="345">
        <f t="shared" ref="L27:N27" si="11">SUM(L24:L26)</f>
        <v>8855.418121</v>
      </c>
      <c r="M27" s="345">
        <f t="shared" si="11"/>
        <v>7912.133957</v>
      </c>
      <c r="N27" s="345" t="str">
        <f t="shared" si="11"/>
        <v>#REF!</v>
      </c>
      <c r="O27" s="322"/>
      <c r="P27" s="322"/>
      <c r="Q27" s="322"/>
      <c r="R27" s="322"/>
      <c r="S27" s="322"/>
      <c r="T27" s="375"/>
      <c r="U27" s="377"/>
      <c r="V27" s="377"/>
      <c r="W27" s="377"/>
      <c r="X27" s="377"/>
      <c r="Y27" s="377"/>
      <c r="Z27" s="377"/>
    </row>
    <row r="28" ht="12.75" customHeight="1">
      <c r="A28" s="321"/>
      <c r="B28" s="394" t="s">
        <v>306</v>
      </c>
      <c r="C28" s="379">
        <v>33290.0</v>
      </c>
      <c r="D28" s="379">
        <v>24171.0</v>
      </c>
      <c r="E28" s="380">
        <v>29529.0</v>
      </c>
      <c r="F28" s="397">
        <f>+F22+F27</f>
        <v>29408.49</v>
      </c>
      <c r="G28" s="382">
        <v>29053.0</v>
      </c>
      <c r="H28" s="392">
        <f t="shared" ref="H28:J28" si="12">+H22+H27</f>
        <v>33200</v>
      </c>
      <c r="I28" s="392">
        <f t="shared" si="12"/>
        <v>30306</v>
      </c>
      <c r="J28" s="392">
        <f t="shared" si="12"/>
        <v>31361</v>
      </c>
      <c r="K28" s="392">
        <v>34115.8236081095</v>
      </c>
      <c r="L28" s="392">
        <f t="shared" ref="L28:N28" si="13">+L22+L27</f>
        <v>35808.4286</v>
      </c>
      <c r="M28" s="392">
        <f t="shared" si="13"/>
        <v>36417.35294</v>
      </c>
      <c r="N28" s="392" t="str">
        <f t="shared" si="13"/>
        <v>#REF!</v>
      </c>
      <c r="O28" s="322"/>
      <c r="P28" s="322"/>
      <c r="Q28" s="322"/>
      <c r="R28" s="322"/>
      <c r="S28" s="322"/>
      <c r="T28" s="321"/>
      <c r="U28" s="338"/>
      <c r="V28" s="338"/>
      <c r="W28" s="338"/>
      <c r="X28" s="338"/>
      <c r="Y28" s="338"/>
      <c r="Z28" s="338"/>
    </row>
    <row r="29" ht="12.75" customHeight="1">
      <c r="A29" s="321"/>
      <c r="B29" s="385" t="s">
        <v>307</v>
      </c>
      <c r="C29" s="398"/>
      <c r="D29" s="398"/>
      <c r="E29" s="399"/>
      <c r="F29" s="399"/>
      <c r="G29" s="399"/>
      <c r="H29" s="398"/>
      <c r="I29" s="399"/>
      <c r="J29" s="399"/>
      <c r="K29" s="399"/>
      <c r="L29" s="399"/>
      <c r="M29" s="399"/>
      <c r="N29" s="400"/>
      <c r="O29" s="322"/>
      <c r="P29" s="322"/>
      <c r="Q29" s="322"/>
      <c r="R29" s="322"/>
      <c r="S29" s="322"/>
      <c r="T29" s="321"/>
      <c r="U29" s="338"/>
      <c r="V29" s="338"/>
      <c r="W29" s="338"/>
      <c r="X29" s="338"/>
      <c r="Y29" s="338"/>
      <c r="Z29" s="338"/>
    </row>
    <row r="30" ht="12.75" customHeight="1">
      <c r="A30" s="321"/>
      <c r="B30" s="401" t="s">
        <v>308</v>
      </c>
      <c r="C30" s="402">
        <v>897.0</v>
      </c>
      <c r="D30" s="402">
        <v>1623.0</v>
      </c>
      <c r="E30" s="341">
        <v>1417.0</v>
      </c>
      <c r="F30" s="341">
        <v>1416.95</v>
      </c>
      <c r="G30" s="403">
        <v>1687.0</v>
      </c>
      <c r="H30" s="369">
        <v>660.0</v>
      </c>
      <c r="I30" s="352">
        <v>682.0</v>
      </c>
      <c r="J30" s="352">
        <v>682.0</v>
      </c>
      <c r="K30" s="352">
        <v>726.02767876</v>
      </c>
      <c r="L30" s="352">
        <v>723.6843546800003</v>
      </c>
      <c r="M30" s="352">
        <v>959.21255468</v>
      </c>
      <c r="N30" s="404" t="str">
        <f>('FS &amp; IS10312016'!Q11+'FS &amp; IS10312016'!Q13)/1000+'Avlaga uglug'!S50/1000000</f>
        <v>#REF!</v>
      </c>
      <c r="O30" s="322"/>
      <c r="P30" s="322"/>
      <c r="Q30" s="322"/>
      <c r="R30" s="322"/>
      <c r="S30" s="322"/>
      <c r="T30" s="321"/>
      <c r="U30" s="338"/>
      <c r="V30" s="338"/>
      <c r="W30" s="338"/>
      <c r="X30" s="338"/>
      <c r="Y30" s="338"/>
      <c r="Z30" s="338"/>
    </row>
    <row r="31" ht="12.75" customHeight="1">
      <c r="A31" s="321"/>
      <c r="B31" s="401" t="s">
        <v>309</v>
      </c>
      <c r="C31" s="340">
        <v>408.0</v>
      </c>
      <c r="D31" s="340">
        <v>1328.0</v>
      </c>
      <c r="E31" s="341">
        <v>169.0</v>
      </c>
      <c r="F31" s="341">
        <v>177.45</v>
      </c>
      <c r="G31" s="403">
        <v>86.0</v>
      </c>
      <c r="H31" s="369">
        <v>109.0</v>
      </c>
      <c r="I31" s="352">
        <v>105.0</v>
      </c>
      <c r="J31" s="352">
        <v>107.0</v>
      </c>
      <c r="K31" s="352">
        <v>166.19222357290002</v>
      </c>
      <c r="L31" s="352">
        <v>410.87036984199995</v>
      </c>
      <c r="M31" s="352">
        <v>93.7097664165</v>
      </c>
      <c r="N31" s="404" t="str">
        <f>'FS &amp; IS10312016'!Q7/1000</f>
        <v>#REF!</v>
      </c>
      <c r="O31" s="322"/>
      <c r="P31" s="322"/>
      <c r="Q31" s="322"/>
      <c r="R31" s="322"/>
      <c r="S31" s="322"/>
      <c r="T31" s="321"/>
      <c r="U31" s="338"/>
      <c r="V31" s="338"/>
      <c r="W31" s="338"/>
      <c r="X31" s="338"/>
      <c r="Y31" s="338"/>
      <c r="Z31" s="338"/>
    </row>
    <row r="32" ht="12.75" customHeight="1">
      <c r="A32" s="321"/>
      <c r="B32" s="401" t="s">
        <v>310</v>
      </c>
      <c r="C32" s="340">
        <v>-596.0</v>
      </c>
      <c r="D32" s="340">
        <v>2229.0</v>
      </c>
      <c r="E32" s="341">
        <v>-487.0</v>
      </c>
      <c r="F32" s="341">
        <v>-477.32</v>
      </c>
      <c r="G32" s="403">
        <v>-451.0</v>
      </c>
      <c r="H32" s="369">
        <v>-2200.0</v>
      </c>
      <c r="I32" s="352">
        <v>-2149.0</v>
      </c>
      <c r="J32" s="352">
        <v>-2258.0</v>
      </c>
      <c r="K32" s="352">
        <v>-1163.7468436400004</v>
      </c>
      <c r="L32" s="352">
        <v>-2200.282092796</v>
      </c>
      <c r="M32" s="352">
        <v>-1597.9620412364998</v>
      </c>
      <c r="N32" s="404" t="str">
        <f>+('Avlaga uglug'!S31+'Avlaga uglug'!S56-'Avlaga uglug'!S87)/1000000</f>
        <v>#REF!</v>
      </c>
      <c r="O32" s="322"/>
      <c r="P32" s="323"/>
      <c r="Q32" s="322"/>
      <c r="R32" s="322"/>
      <c r="S32" s="322"/>
      <c r="T32" s="321"/>
      <c r="U32" s="338"/>
      <c r="V32" s="338"/>
      <c r="W32" s="338"/>
      <c r="X32" s="338"/>
      <c r="Y32" s="338"/>
      <c r="Z32" s="338"/>
    </row>
    <row r="33" ht="12.75" customHeight="1">
      <c r="A33" s="375"/>
      <c r="B33" s="401" t="s">
        <v>311</v>
      </c>
      <c r="C33" s="340"/>
      <c r="D33" s="340"/>
      <c r="E33" s="341"/>
      <c r="F33" s="341"/>
      <c r="G33" s="403"/>
      <c r="H33" s="369">
        <v>716.4103352289999</v>
      </c>
      <c r="I33" s="352">
        <v>716.4103352289999</v>
      </c>
      <c r="J33" s="352">
        <v>716.4103352289999</v>
      </c>
      <c r="K33" s="352">
        <v>716.4103352289999</v>
      </c>
      <c r="L33" s="352"/>
      <c r="M33" s="352"/>
      <c r="N33" s="404"/>
      <c r="O33" s="322"/>
      <c r="P33" s="322"/>
      <c r="Q33" s="322"/>
      <c r="R33" s="322"/>
      <c r="S33" s="322"/>
      <c r="T33" s="375"/>
      <c r="U33" s="377"/>
      <c r="V33" s="377"/>
      <c r="W33" s="377"/>
      <c r="X33" s="377"/>
      <c r="Y33" s="377"/>
      <c r="Z33" s="377"/>
    </row>
    <row r="34" ht="12.75" customHeight="1">
      <c r="A34" s="375"/>
      <c r="B34" s="394" t="s">
        <v>312</v>
      </c>
      <c r="C34" s="379">
        <v>710.0</v>
      </c>
      <c r="D34" s="379">
        <f t="shared" ref="D34:G34" si="14">SUM(D29:D33)</f>
        <v>5180</v>
      </c>
      <c r="E34" s="380">
        <f t="shared" si="14"/>
        <v>1099</v>
      </c>
      <c r="F34" s="380">
        <f t="shared" si="14"/>
        <v>1117.08</v>
      </c>
      <c r="G34" s="382">
        <f t="shared" si="14"/>
        <v>1322</v>
      </c>
      <c r="H34" s="405">
        <v>-714.5896647710001</v>
      </c>
      <c r="I34" s="397">
        <v>-645.5896647710001</v>
      </c>
      <c r="J34" s="397">
        <v>-752.5896647710001</v>
      </c>
      <c r="K34" s="397">
        <v>444.8833939218996</v>
      </c>
      <c r="L34" s="406">
        <f t="shared" ref="L34:N34" si="15">SUM(L29:L33)</f>
        <v>-1065.727368</v>
      </c>
      <c r="M34" s="406">
        <f t="shared" si="15"/>
        <v>-545.0397201</v>
      </c>
      <c r="N34" s="406" t="str">
        <f t="shared" si="15"/>
        <v>#REF!</v>
      </c>
      <c r="O34" s="323"/>
      <c r="P34" s="322"/>
      <c r="Q34" s="322"/>
      <c r="R34" s="322"/>
      <c r="S34" s="322"/>
      <c r="T34" s="375"/>
      <c r="U34" s="377"/>
      <c r="V34" s="377"/>
      <c r="W34" s="377"/>
      <c r="X34" s="377"/>
      <c r="Y34" s="377"/>
      <c r="Z34" s="377"/>
    </row>
    <row r="35" ht="15.0" customHeight="1">
      <c r="A35" s="321"/>
      <c r="B35" s="394" t="s">
        <v>313</v>
      </c>
      <c r="C35" s="379">
        <v>34000.0</v>
      </c>
      <c r="D35" s="379">
        <v>29351.0</v>
      </c>
      <c r="E35" s="380">
        <v>30629.0</v>
      </c>
      <c r="F35" s="380">
        <f>+F28+F34</f>
        <v>30525.57</v>
      </c>
      <c r="G35" s="382">
        <v>30376.0</v>
      </c>
      <c r="H35" s="407">
        <v>32465.0</v>
      </c>
      <c r="I35" s="344">
        <v>32467.0</v>
      </c>
      <c r="J35" s="344">
        <v>33523.0</v>
      </c>
      <c r="K35" s="344">
        <v>34926.9381934919</v>
      </c>
      <c r="L35" s="408">
        <f t="shared" ref="L35:N35" si="16">+L28+L34</f>
        <v>34742.70123</v>
      </c>
      <c r="M35" s="408">
        <f t="shared" si="16"/>
        <v>35872.31322</v>
      </c>
      <c r="N35" s="408" t="str">
        <f t="shared" si="16"/>
        <v>#REF!</v>
      </c>
      <c r="O35" s="322"/>
      <c r="P35" s="323"/>
      <c r="Q35" s="323"/>
      <c r="R35" s="322"/>
      <c r="S35" s="322"/>
      <c r="T35" s="321"/>
      <c r="U35" s="338"/>
      <c r="V35" s="338"/>
      <c r="W35" s="338"/>
      <c r="X35" s="338"/>
      <c r="Y35" s="338"/>
      <c r="Z35" s="338"/>
    </row>
    <row r="36" ht="12.75" customHeight="1">
      <c r="A36" s="321"/>
      <c r="B36" s="394" t="s">
        <v>314</v>
      </c>
      <c r="C36" s="379">
        <v>1.6795333E7</v>
      </c>
      <c r="D36" s="379">
        <v>1.3486359E7</v>
      </c>
      <c r="E36" s="380">
        <v>1.3148162E7</v>
      </c>
      <c r="F36" s="382">
        <v>1.3367763E7</v>
      </c>
      <c r="G36" s="382">
        <v>1.3367763E7</v>
      </c>
      <c r="H36" s="409">
        <v>1.4742589E7</v>
      </c>
      <c r="I36" s="410">
        <v>1.4697398E7</v>
      </c>
      <c r="J36" s="410">
        <v>1.4646166E7</v>
      </c>
      <c r="K36" s="410">
        <v>1.4151557E7</v>
      </c>
      <c r="L36" s="410">
        <v>1.4089837E7</v>
      </c>
      <c r="M36" s="410">
        <v>1.4089837E7</v>
      </c>
      <c r="N36" s="411">
        <v>1.5883954E7</v>
      </c>
      <c r="O36" s="384"/>
      <c r="P36" s="322"/>
      <c r="Q36" s="322"/>
      <c r="R36" s="322"/>
      <c r="S36" s="322"/>
      <c r="T36" s="321"/>
      <c r="U36" s="338"/>
      <c r="V36" s="338"/>
      <c r="W36" s="338"/>
      <c r="X36" s="338"/>
      <c r="Y36" s="338"/>
      <c r="Z36" s="338"/>
    </row>
    <row r="37" ht="12.75" customHeight="1">
      <c r="A37" s="321"/>
      <c r="B37" s="394" t="s">
        <v>315</v>
      </c>
      <c r="C37" s="379">
        <v>1.7194364E7</v>
      </c>
      <c r="D37" s="379">
        <v>1.7194364E7</v>
      </c>
      <c r="E37" s="380">
        <v>1.7194364E7</v>
      </c>
      <c r="F37" s="382">
        <v>1.7194364E7</v>
      </c>
      <c r="G37" s="382">
        <v>1.7194364E7</v>
      </c>
      <c r="H37" s="390">
        <v>1.7194364E7</v>
      </c>
      <c r="I37" s="391">
        <v>1.7194364E7</v>
      </c>
      <c r="J37" s="391">
        <v>1.7194364E7</v>
      </c>
      <c r="K37" s="391">
        <v>1.7194364E7</v>
      </c>
      <c r="L37" s="391">
        <v>1.7194364E7</v>
      </c>
      <c r="M37" s="391">
        <v>1.7194364E7</v>
      </c>
      <c r="N37" s="392">
        <v>1.7194364E7</v>
      </c>
      <c r="O37" s="322"/>
      <c r="P37" s="322"/>
      <c r="Q37" s="322"/>
      <c r="R37" s="322"/>
      <c r="S37" s="322"/>
      <c r="T37" s="321"/>
      <c r="U37" s="338"/>
      <c r="V37" s="338"/>
      <c r="W37" s="338"/>
      <c r="X37" s="338"/>
      <c r="Y37" s="338"/>
      <c r="Z37" s="338"/>
    </row>
    <row r="38" ht="12.75" customHeight="1">
      <c r="A38" s="321"/>
      <c r="B38" s="385" t="s">
        <v>316</v>
      </c>
      <c r="C38" s="412">
        <v>2024.0</v>
      </c>
      <c r="D38" s="412">
        <v>2176.0</v>
      </c>
      <c r="E38" s="413">
        <v>2329.0</v>
      </c>
      <c r="F38" s="413">
        <v>2286.88</v>
      </c>
      <c r="G38" s="413">
        <v>2272.0</v>
      </c>
      <c r="H38" s="412">
        <v>2202.14</v>
      </c>
      <c r="I38" s="413">
        <v>2209.04</v>
      </c>
      <c r="J38" s="413">
        <v>2288.83</v>
      </c>
      <c r="K38" s="413">
        <v>2468.06328049217</v>
      </c>
      <c r="L38" s="388">
        <f t="shared" ref="L38:N38" si="17">+L35/L36*1000000</f>
        <v>2465.798663</v>
      </c>
      <c r="M38" s="388">
        <f t="shared" si="17"/>
        <v>2545.970774</v>
      </c>
      <c r="N38" s="388" t="str">
        <f t="shared" si="17"/>
        <v>#REF!</v>
      </c>
      <c r="O38" s="322"/>
      <c r="P38" s="322"/>
      <c r="Q38" s="322"/>
      <c r="R38" s="322"/>
      <c r="S38" s="322"/>
      <c r="T38" s="321"/>
      <c r="U38" s="338"/>
      <c r="V38" s="338"/>
      <c r="W38" s="338"/>
      <c r="X38" s="338"/>
      <c r="Y38" s="338"/>
      <c r="Z38" s="338"/>
    </row>
    <row r="39" ht="12.75" customHeight="1">
      <c r="A39" s="321"/>
      <c r="B39" s="385" t="s">
        <v>317</v>
      </c>
      <c r="C39" s="412">
        <v>1977.0</v>
      </c>
      <c r="D39" s="412">
        <v>1707.0</v>
      </c>
      <c r="E39" s="413">
        <v>1781.0</v>
      </c>
      <c r="F39" s="413">
        <f>+F35/F37*1000000</f>
        <v>1775.32417</v>
      </c>
      <c r="G39" s="413">
        <v>1767.0</v>
      </c>
      <c r="H39" s="412">
        <v>1888.0</v>
      </c>
      <c r="I39" s="413">
        <v>1888.0</v>
      </c>
      <c r="J39" s="413">
        <v>1950.0</v>
      </c>
      <c r="K39" s="413">
        <v>2031.3015470355228</v>
      </c>
      <c r="L39" s="388">
        <f t="shared" ref="L39:N39" si="18">+L35/L37*1000000</f>
        <v>2020.586585</v>
      </c>
      <c r="M39" s="388">
        <f t="shared" si="18"/>
        <v>2086.283227</v>
      </c>
      <c r="N39" s="388" t="str">
        <f t="shared" si="18"/>
        <v>#REF!</v>
      </c>
      <c r="O39" s="322"/>
      <c r="P39" s="322"/>
      <c r="Q39" s="322"/>
      <c r="R39" s="322"/>
      <c r="S39" s="322"/>
      <c r="T39" s="321"/>
      <c r="U39" s="321"/>
      <c r="V39" s="321"/>
      <c r="W39" s="321"/>
      <c r="X39" s="321"/>
      <c r="Y39" s="321"/>
      <c r="Z39" s="321"/>
    </row>
    <row r="40" ht="12.75" customHeight="1">
      <c r="A40" s="321"/>
      <c r="B40" s="321"/>
      <c r="C40" s="384"/>
      <c r="D40" s="384"/>
      <c r="E40" s="384"/>
      <c r="F40" s="384"/>
      <c r="G40" s="384"/>
      <c r="H40" s="384"/>
      <c r="I40" s="384"/>
      <c r="J40" s="384"/>
      <c r="K40" s="384"/>
      <c r="L40" s="323"/>
      <c r="M40" s="323"/>
      <c r="N40" s="322"/>
      <c r="O40" s="322"/>
      <c r="P40" s="322"/>
      <c r="Q40" s="322"/>
      <c r="R40" s="322"/>
      <c r="S40" s="321"/>
      <c r="T40" s="321"/>
      <c r="U40" s="321"/>
      <c r="V40" s="321"/>
      <c r="W40" s="321"/>
      <c r="X40" s="321"/>
      <c r="Y40" s="321"/>
      <c r="Z40" s="321"/>
    </row>
    <row r="41" ht="12.75" customHeight="1">
      <c r="A41" s="321"/>
      <c r="B41" s="414" t="s">
        <v>185</v>
      </c>
      <c r="C41" s="338"/>
      <c r="D41" s="415"/>
      <c r="E41" s="416" t="s">
        <v>135</v>
      </c>
      <c r="F41" s="416" t="s">
        <v>318</v>
      </c>
      <c r="G41" s="417"/>
      <c r="H41" s="417"/>
      <c r="I41" s="417"/>
      <c r="J41" s="338"/>
      <c r="K41" s="416" t="s">
        <v>135</v>
      </c>
      <c r="L41" s="416" t="s">
        <v>318</v>
      </c>
      <c r="M41" s="416" t="s">
        <v>318</v>
      </c>
      <c r="N41" s="418"/>
      <c r="O41" s="322"/>
      <c r="P41" s="322"/>
      <c r="Q41" s="322"/>
      <c r="R41" s="322"/>
      <c r="S41" s="321"/>
      <c r="T41" s="321"/>
      <c r="U41" s="338"/>
      <c r="V41" s="338"/>
      <c r="W41" s="338"/>
      <c r="X41" s="338"/>
      <c r="Y41" s="338"/>
      <c r="Z41" s="338"/>
    </row>
    <row r="42" ht="12.75" customHeight="1">
      <c r="A42" s="321"/>
      <c r="B42" s="419" t="s">
        <v>227</v>
      </c>
      <c r="C42" s="338"/>
      <c r="D42" s="415"/>
      <c r="E42" s="341">
        <v>1.25E7</v>
      </c>
      <c r="F42" s="420" t="s">
        <v>319</v>
      </c>
      <c r="G42" s="384"/>
      <c r="H42" s="384"/>
      <c r="I42" s="384"/>
      <c r="J42" s="338"/>
      <c r="K42" s="341">
        <v>1.25E7</v>
      </c>
      <c r="L42" s="420" t="s">
        <v>319</v>
      </c>
      <c r="M42" s="420" t="s">
        <v>319</v>
      </c>
      <c r="N42" s="421"/>
      <c r="O42" s="322"/>
      <c r="P42" s="322"/>
      <c r="Q42" s="322"/>
      <c r="R42" s="322"/>
      <c r="S42" s="321"/>
      <c r="T42" s="321"/>
      <c r="U42" s="338"/>
      <c r="V42" s="338"/>
      <c r="W42" s="338"/>
      <c r="X42" s="338"/>
      <c r="Y42" s="338"/>
      <c r="Z42" s="338"/>
    </row>
    <row r="43" ht="12.75" customHeight="1">
      <c r="A43" s="321"/>
      <c r="B43" s="419" t="s">
        <v>320</v>
      </c>
      <c r="C43" s="338"/>
      <c r="D43" s="415"/>
      <c r="E43" s="422">
        <v>4.0E7</v>
      </c>
      <c r="F43" s="420" t="s">
        <v>319</v>
      </c>
      <c r="G43" s="384"/>
      <c r="H43" s="384"/>
      <c r="I43" s="384"/>
      <c r="J43" s="338"/>
      <c r="K43" s="422">
        <v>4.0E7</v>
      </c>
      <c r="L43" s="420" t="s">
        <v>319</v>
      </c>
      <c r="M43" s="420" t="s">
        <v>319</v>
      </c>
      <c r="N43" s="421"/>
      <c r="O43" s="322"/>
      <c r="P43" s="322"/>
      <c r="Q43" s="322"/>
      <c r="R43" s="322"/>
      <c r="S43" s="321"/>
      <c r="T43" s="321"/>
      <c r="U43" s="338"/>
      <c r="V43" s="338"/>
      <c r="W43" s="338"/>
      <c r="X43" s="338"/>
      <c r="Y43" s="338"/>
      <c r="Z43" s="338"/>
    </row>
    <row r="44" ht="12.75" customHeight="1">
      <c r="A44" s="321"/>
      <c r="B44" s="419" t="s">
        <v>192</v>
      </c>
      <c r="C44" s="338"/>
      <c r="D44" s="415"/>
      <c r="E44" s="341">
        <v>1.04E8</v>
      </c>
      <c r="F44" s="420" t="s">
        <v>319</v>
      </c>
      <c r="G44" s="384"/>
      <c r="H44" s="384"/>
      <c r="I44" s="384"/>
      <c r="J44" s="338"/>
      <c r="K44" s="341">
        <v>1.04E8</v>
      </c>
      <c r="L44" s="420" t="s">
        <v>319</v>
      </c>
      <c r="M44" s="420" t="s">
        <v>319</v>
      </c>
      <c r="N44" s="421"/>
      <c r="O44" s="322"/>
      <c r="P44" s="322"/>
      <c r="Q44" s="322"/>
      <c r="R44" s="322"/>
      <c r="S44" s="321"/>
      <c r="T44" s="321"/>
      <c r="U44" s="338"/>
      <c r="V44" s="338"/>
      <c r="W44" s="338"/>
      <c r="X44" s="338"/>
      <c r="Y44" s="338"/>
      <c r="Z44" s="338"/>
    </row>
    <row r="45" ht="12.75" customHeight="1">
      <c r="A45" s="321"/>
      <c r="B45" s="419" t="s">
        <v>321</v>
      </c>
      <c r="C45" s="338"/>
      <c r="D45" s="415"/>
      <c r="E45" s="341" t="str">
        <f>+balance!E96+balance!E111</f>
        <v>#REF!</v>
      </c>
      <c r="F45" s="420" t="s">
        <v>319</v>
      </c>
      <c r="G45" s="384"/>
      <c r="H45" s="384"/>
      <c r="I45" s="384"/>
      <c r="J45" s="338"/>
      <c r="K45" s="341">
        <v>2.7350778899E8</v>
      </c>
      <c r="L45" s="420" t="s">
        <v>319</v>
      </c>
      <c r="M45" s="420" t="s">
        <v>319</v>
      </c>
      <c r="N45" s="421"/>
      <c r="O45" s="322"/>
      <c r="P45" s="322"/>
      <c r="Q45" s="322"/>
      <c r="R45" s="322"/>
      <c r="S45" s="321"/>
      <c r="T45" s="321"/>
      <c r="U45" s="338"/>
      <c r="V45" s="338"/>
      <c r="W45" s="338"/>
      <c r="X45" s="338"/>
      <c r="Y45" s="338"/>
      <c r="Z45" s="338"/>
    </row>
    <row r="46" ht="12.75" customHeight="1">
      <c r="A46" s="321"/>
      <c r="B46" s="419" t="s">
        <v>204</v>
      </c>
      <c r="C46" s="338"/>
      <c r="D46" s="415"/>
      <c r="E46" s="341" t="str">
        <f>+balance!E117+balance!E98</f>
        <v>#REF!</v>
      </c>
      <c r="F46" s="420" t="s">
        <v>319</v>
      </c>
      <c r="G46" s="384"/>
      <c r="H46" s="384"/>
      <c r="I46" s="384"/>
      <c r="J46" s="338"/>
      <c r="K46" s="341">
        <v>1.01E9</v>
      </c>
      <c r="L46" s="420" t="s">
        <v>319</v>
      </c>
      <c r="M46" s="420" t="s">
        <v>319</v>
      </c>
      <c r="N46" s="421"/>
      <c r="O46" s="322"/>
      <c r="P46" s="322"/>
      <c r="Q46" s="322"/>
      <c r="R46" s="322"/>
      <c r="S46" s="321"/>
      <c r="T46" s="321"/>
      <c r="U46" s="338"/>
      <c r="V46" s="338"/>
      <c r="W46" s="338"/>
      <c r="X46" s="338"/>
      <c r="Y46" s="338"/>
      <c r="Z46" s="338"/>
    </row>
    <row r="47" ht="12.75" customHeight="1">
      <c r="A47" s="321"/>
      <c r="B47" s="419" t="s">
        <v>322</v>
      </c>
      <c r="C47" s="338"/>
      <c r="D47" s="415"/>
      <c r="E47" s="422">
        <v>5.800016384E7</v>
      </c>
      <c r="F47" s="420" t="s">
        <v>319</v>
      </c>
      <c r="G47" s="384"/>
      <c r="H47" s="384"/>
      <c r="I47" s="384"/>
      <c r="J47" s="338"/>
      <c r="K47" s="422">
        <v>5.800016384E7</v>
      </c>
      <c r="L47" s="420" t="s">
        <v>319</v>
      </c>
      <c r="M47" s="420" t="s">
        <v>319</v>
      </c>
      <c r="N47" s="421"/>
      <c r="O47" s="322"/>
      <c r="P47" s="322"/>
      <c r="Q47" s="322"/>
      <c r="R47" s="322"/>
      <c r="S47" s="321"/>
      <c r="T47" s="321"/>
      <c r="U47" s="338"/>
      <c r="V47" s="338"/>
      <c r="W47" s="338"/>
      <c r="X47" s="338"/>
      <c r="Y47" s="338"/>
      <c r="Z47" s="338"/>
    </row>
    <row r="48" ht="12.75" customHeight="1">
      <c r="A48" s="321"/>
      <c r="B48" s="419" t="s">
        <v>196</v>
      </c>
      <c r="C48" s="338"/>
      <c r="D48" s="415"/>
      <c r="E48" s="422">
        <v>1.0E8</v>
      </c>
      <c r="F48" s="420" t="s">
        <v>319</v>
      </c>
      <c r="G48" s="384"/>
      <c r="H48" s="384"/>
      <c r="I48" s="384"/>
      <c r="J48" s="338"/>
      <c r="K48" s="422">
        <v>1.0E8</v>
      </c>
      <c r="L48" s="420" t="s">
        <v>319</v>
      </c>
      <c r="M48" s="420" t="s">
        <v>319</v>
      </c>
      <c r="N48" s="421"/>
      <c r="O48" s="322"/>
      <c r="P48" s="322"/>
      <c r="Q48" s="322"/>
      <c r="R48" s="322"/>
      <c r="S48" s="321"/>
      <c r="T48" s="321"/>
      <c r="U48" s="338"/>
      <c r="V48" s="338"/>
      <c r="W48" s="338"/>
      <c r="X48" s="338"/>
      <c r="Y48" s="338"/>
      <c r="Z48" s="338"/>
    </row>
    <row r="49" ht="12.75" customHeight="1">
      <c r="A49" s="321"/>
      <c r="B49" s="423" t="s">
        <v>323</v>
      </c>
      <c r="C49" s="338"/>
      <c r="D49" s="415"/>
      <c r="E49" s="413" t="str">
        <f>SUM(E42:E48)</f>
        <v>#REF!</v>
      </c>
      <c r="F49" s="424"/>
      <c r="G49" s="417"/>
      <c r="H49" s="417"/>
      <c r="I49" s="417"/>
      <c r="J49" s="338"/>
      <c r="K49" s="413">
        <f>SUM(K42:K48)</f>
        <v>1598007953</v>
      </c>
      <c r="L49" s="424"/>
      <c r="M49" s="424"/>
      <c r="N49" s="425"/>
      <c r="O49" s="322"/>
      <c r="P49" s="322"/>
      <c r="Q49" s="322"/>
      <c r="R49" s="322"/>
      <c r="S49" s="321"/>
      <c r="T49" s="321"/>
      <c r="U49" s="338"/>
      <c r="V49" s="338"/>
      <c r="W49" s="338"/>
      <c r="X49" s="338"/>
      <c r="Y49" s="338"/>
      <c r="Z49" s="338"/>
    </row>
    <row r="50" ht="12.75" customHeight="1">
      <c r="A50" s="321"/>
      <c r="B50" s="321"/>
      <c r="C50" s="426"/>
      <c r="D50" s="426"/>
      <c r="E50" s="426"/>
      <c r="F50" s="426"/>
      <c r="G50" s="426"/>
      <c r="H50" s="426"/>
      <c r="I50" s="426"/>
      <c r="J50" s="426"/>
      <c r="K50" s="426"/>
      <c r="L50" s="427"/>
      <c r="M50" s="427"/>
      <c r="N50" s="426"/>
      <c r="O50" s="426"/>
      <c r="P50" s="426"/>
      <c r="Q50" s="426"/>
      <c r="R50" s="322"/>
      <c r="S50" s="321"/>
      <c r="T50" s="321"/>
      <c r="U50" s="321"/>
      <c r="V50" s="321"/>
      <c r="W50" s="321"/>
      <c r="X50" s="321"/>
      <c r="Y50" s="321"/>
      <c r="Z50" s="321"/>
    </row>
    <row r="51" ht="12.75" customHeight="1">
      <c r="A51" s="321"/>
      <c r="B51" s="321"/>
      <c r="C51" s="426"/>
      <c r="D51" s="426"/>
      <c r="E51" s="426"/>
      <c r="F51" s="426"/>
      <c r="G51" s="426"/>
      <c r="H51" s="426"/>
      <c r="I51" s="426"/>
      <c r="J51" s="426"/>
      <c r="K51" s="426"/>
      <c r="L51" s="427"/>
      <c r="M51" s="427"/>
      <c r="N51" s="426"/>
      <c r="O51" s="426"/>
      <c r="P51" s="426"/>
      <c r="Q51" s="426"/>
      <c r="R51" s="322"/>
      <c r="S51" s="321"/>
      <c r="T51" s="321"/>
      <c r="U51" s="321"/>
      <c r="V51" s="321"/>
      <c r="W51" s="321"/>
      <c r="X51" s="321"/>
      <c r="Y51" s="321"/>
      <c r="Z51" s="321"/>
    </row>
    <row r="52" ht="12.75" customHeight="1">
      <c r="A52" s="321"/>
      <c r="B52" s="321"/>
      <c r="C52" s="322"/>
      <c r="D52" s="426"/>
      <c r="E52" s="426"/>
      <c r="F52" s="426"/>
      <c r="G52" s="426"/>
      <c r="H52" s="426"/>
      <c r="I52" s="426"/>
      <c r="J52" s="426"/>
      <c r="K52" s="426"/>
      <c r="L52" s="427"/>
      <c r="M52" s="427"/>
      <c r="N52" s="426"/>
      <c r="O52" s="426"/>
      <c r="P52" s="426"/>
      <c r="Q52" s="426"/>
      <c r="R52" s="426"/>
      <c r="S52" s="321"/>
      <c r="T52" s="321"/>
      <c r="U52" s="321"/>
      <c r="V52" s="321"/>
      <c r="W52" s="321"/>
      <c r="X52" s="321"/>
      <c r="Y52" s="321"/>
      <c r="Z52" s="321"/>
    </row>
    <row r="53" ht="12.75" customHeight="1">
      <c r="A53" s="321"/>
      <c r="B53" s="321"/>
      <c r="C53" s="322"/>
      <c r="D53" s="426"/>
      <c r="E53" s="426"/>
      <c r="F53" s="426"/>
      <c r="G53" s="426"/>
      <c r="H53" s="426"/>
      <c r="I53" s="426"/>
      <c r="J53" s="426"/>
      <c r="K53" s="426"/>
      <c r="L53" s="427"/>
      <c r="M53" s="427"/>
      <c r="N53" s="321"/>
      <c r="O53" s="426"/>
      <c r="P53" s="426"/>
      <c r="Q53" s="426"/>
      <c r="R53" s="426"/>
      <c r="S53" s="321"/>
      <c r="T53" s="321"/>
      <c r="U53" s="321"/>
      <c r="V53" s="321"/>
      <c r="W53" s="321"/>
      <c r="X53" s="321"/>
      <c r="Y53" s="321"/>
      <c r="Z53" s="321"/>
    </row>
    <row r="54" ht="12.75" customHeight="1">
      <c r="A54" s="321"/>
      <c r="B54" s="321"/>
      <c r="C54" s="321"/>
      <c r="D54" s="419"/>
      <c r="E54" s="321"/>
      <c r="F54" s="321"/>
      <c r="G54" s="321"/>
      <c r="H54" s="321"/>
      <c r="I54" s="321"/>
      <c r="J54" s="321"/>
      <c r="K54" s="321"/>
      <c r="L54" s="428"/>
      <c r="M54" s="428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</row>
    <row r="55" ht="12.75" customHeight="1">
      <c r="A55" s="321"/>
      <c r="B55" s="321"/>
      <c r="C55" s="321"/>
      <c r="D55" s="419"/>
      <c r="E55" s="321"/>
      <c r="F55" s="321"/>
      <c r="G55" s="321"/>
      <c r="H55" s="321"/>
      <c r="I55" s="321"/>
      <c r="J55" s="321"/>
      <c r="K55" s="321"/>
      <c r="L55" s="428"/>
      <c r="M55" s="428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</row>
    <row r="56" ht="12.75" customHeight="1">
      <c r="A56" s="321"/>
      <c r="B56" s="321"/>
      <c r="C56" s="321"/>
      <c r="D56" s="419"/>
      <c r="E56" s="321"/>
      <c r="F56" s="321"/>
      <c r="G56" s="321"/>
      <c r="H56" s="321"/>
      <c r="I56" s="321"/>
      <c r="J56" s="321"/>
      <c r="K56" s="321"/>
      <c r="L56" s="428"/>
      <c r="M56" s="428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/>
      <c r="Y56" s="321"/>
      <c r="Z56" s="321"/>
    </row>
    <row r="57" ht="12.75" customHeight="1">
      <c r="A57" s="321"/>
      <c r="B57" s="321"/>
      <c r="C57" s="321"/>
      <c r="D57" s="419"/>
      <c r="E57" s="321"/>
      <c r="F57" s="321"/>
      <c r="G57" s="321"/>
      <c r="H57" s="321"/>
      <c r="I57" s="321"/>
      <c r="J57" s="321"/>
      <c r="K57" s="321"/>
      <c r="L57" s="428"/>
      <c r="M57" s="428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</row>
    <row r="58" ht="12.75" customHeight="1">
      <c r="A58" s="321"/>
      <c r="B58" s="321"/>
      <c r="C58" s="321"/>
      <c r="D58" s="419"/>
      <c r="E58" s="321"/>
      <c r="F58" s="321"/>
      <c r="G58" s="321"/>
      <c r="H58" s="321"/>
      <c r="I58" s="321"/>
      <c r="J58" s="321"/>
      <c r="K58" s="321"/>
      <c r="L58" s="428"/>
      <c r="M58" s="428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</row>
    <row r="59" ht="12.75" customHeight="1">
      <c r="A59" s="321"/>
      <c r="B59" s="321"/>
      <c r="C59" s="321"/>
      <c r="D59" s="419"/>
      <c r="E59" s="321"/>
      <c r="F59" s="321"/>
      <c r="G59" s="321"/>
      <c r="H59" s="321"/>
      <c r="I59" s="321"/>
      <c r="J59" s="321"/>
      <c r="K59" s="321"/>
      <c r="L59" s="428"/>
      <c r="M59" s="428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</row>
    <row r="60" ht="12.75" customHeight="1">
      <c r="A60" s="321"/>
      <c r="B60" s="321"/>
      <c r="C60" s="321"/>
      <c r="D60" s="419"/>
      <c r="E60" s="321"/>
      <c r="F60" s="321"/>
      <c r="G60" s="321"/>
      <c r="H60" s="321"/>
      <c r="I60" s="321"/>
      <c r="J60" s="321"/>
      <c r="K60" s="321"/>
      <c r="L60" s="428"/>
      <c r="M60" s="428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</row>
    <row r="61" ht="12.75" customHeight="1">
      <c r="A61" s="321"/>
      <c r="B61" s="338"/>
      <c r="C61" s="338"/>
      <c r="D61" s="415"/>
      <c r="E61" s="338"/>
      <c r="F61" s="338"/>
      <c r="G61" s="338"/>
      <c r="H61" s="338"/>
      <c r="I61" s="338"/>
      <c r="J61" s="338"/>
      <c r="K61" s="321"/>
      <c r="L61" s="428"/>
      <c r="M61" s="428"/>
      <c r="N61" s="321"/>
      <c r="O61" s="321"/>
      <c r="P61" s="321"/>
      <c r="Q61" s="321"/>
      <c r="R61" s="321"/>
      <c r="S61" s="321"/>
      <c r="T61" s="321"/>
      <c r="U61" s="338"/>
      <c r="V61" s="338"/>
      <c r="W61" s="338"/>
      <c r="X61" s="338"/>
      <c r="Y61" s="338"/>
      <c r="Z61" s="338"/>
    </row>
    <row r="62" ht="12.75" customHeight="1">
      <c r="A62" s="321"/>
      <c r="B62" s="338"/>
      <c r="C62" s="338"/>
      <c r="D62" s="415"/>
      <c r="E62" s="338"/>
      <c r="F62" s="338"/>
      <c r="G62" s="338"/>
      <c r="H62" s="338"/>
      <c r="I62" s="338"/>
      <c r="J62" s="338"/>
      <c r="K62" s="321"/>
      <c r="L62" s="428"/>
      <c r="M62" s="428"/>
      <c r="N62" s="321"/>
      <c r="O62" s="321"/>
      <c r="P62" s="321"/>
      <c r="Q62" s="321"/>
      <c r="R62" s="321"/>
      <c r="S62" s="321"/>
      <c r="T62" s="321"/>
      <c r="U62" s="338"/>
      <c r="V62" s="338"/>
      <c r="W62" s="338"/>
      <c r="X62" s="338"/>
      <c r="Y62" s="338"/>
      <c r="Z62" s="338"/>
    </row>
    <row r="63" ht="12.75" customHeight="1">
      <c r="A63" s="321"/>
      <c r="B63" s="338"/>
      <c r="C63" s="338"/>
      <c r="D63" s="415"/>
      <c r="E63" s="338"/>
      <c r="F63" s="338"/>
      <c r="G63" s="338"/>
      <c r="H63" s="338"/>
      <c r="I63" s="338"/>
      <c r="J63" s="338"/>
      <c r="K63" s="338"/>
      <c r="L63" s="356"/>
      <c r="M63" s="356"/>
      <c r="N63" s="321"/>
      <c r="O63" s="338"/>
      <c r="P63" s="321"/>
      <c r="Q63" s="321"/>
      <c r="R63" s="321"/>
      <c r="S63" s="321"/>
      <c r="T63" s="321"/>
      <c r="U63" s="338"/>
      <c r="V63" s="338"/>
      <c r="W63" s="338"/>
      <c r="X63" s="338"/>
      <c r="Y63" s="338"/>
      <c r="Z63" s="338"/>
    </row>
    <row r="64" ht="12.75" customHeight="1">
      <c r="A64" s="321"/>
      <c r="B64" s="338"/>
      <c r="C64" s="338"/>
      <c r="D64" s="415"/>
      <c r="E64" s="338"/>
      <c r="F64" s="338"/>
      <c r="G64" s="338"/>
      <c r="H64" s="338"/>
      <c r="I64" s="338"/>
      <c r="J64" s="338"/>
      <c r="K64" s="338"/>
      <c r="L64" s="356"/>
      <c r="M64" s="356"/>
      <c r="N64" s="321"/>
      <c r="O64" s="338"/>
      <c r="P64" s="321"/>
      <c r="Q64" s="321"/>
      <c r="R64" s="321"/>
      <c r="S64" s="321"/>
      <c r="T64" s="321"/>
      <c r="U64" s="338"/>
      <c r="V64" s="338"/>
      <c r="W64" s="338"/>
      <c r="X64" s="338"/>
      <c r="Y64" s="338"/>
      <c r="Z64" s="338"/>
    </row>
    <row r="65" ht="12.75" customHeight="1">
      <c r="A65" s="321"/>
      <c r="B65" s="338"/>
      <c r="C65" s="338"/>
      <c r="D65" s="415"/>
      <c r="E65" s="338"/>
      <c r="F65" s="338"/>
      <c r="G65" s="338"/>
      <c r="H65" s="338"/>
      <c r="I65" s="338"/>
      <c r="J65" s="338"/>
      <c r="K65" s="338"/>
      <c r="L65" s="356"/>
      <c r="M65" s="356"/>
      <c r="N65" s="321"/>
      <c r="O65" s="338"/>
      <c r="P65" s="321"/>
      <c r="Q65" s="321"/>
      <c r="R65" s="321"/>
      <c r="S65" s="321"/>
      <c r="T65" s="321"/>
      <c r="U65" s="338"/>
      <c r="V65" s="338"/>
      <c r="W65" s="338"/>
      <c r="X65" s="338"/>
      <c r="Y65" s="338"/>
      <c r="Z65" s="338"/>
    </row>
    <row r="66" ht="12.75" customHeight="1">
      <c r="A66" s="321"/>
      <c r="B66" s="338"/>
      <c r="C66" s="338"/>
      <c r="D66" s="415"/>
      <c r="E66" s="338"/>
      <c r="F66" s="338"/>
      <c r="G66" s="338"/>
      <c r="H66" s="338"/>
      <c r="I66" s="338"/>
      <c r="J66" s="338"/>
      <c r="K66" s="338"/>
      <c r="L66" s="356"/>
      <c r="M66" s="356"/>
      <c r="N66" s="321"/>
      <c r="O66" s="338"/>
      <c r="P66" s="321"/>
      <c r="Q66" s="321"/>
      <c r="R66" s="321"/>
      <c r="S66" s="321"/>
      <c r="T66" s="321"/>
      <c r="U66" s="338"/>
      <c r="V66" s="338"/>
      <c r="W66" s="338"/>
      <c r="X66" s="338"/>
      <c r="Y66" s="338"/>
      <c r="Z66" s="338"/>
    </row>
    <row r="67" ht="12.75" customHeight="1">
      <c r="A67" s="321"/>
      <c r="B67" s="338"/>
      <c r="C67" s="338"/>
      <c r="D67" s="415"/>
      <c r="E67" s="338"/>
      <c r="F67" s="338"/>
      <c r="G67" s="338"/>
      <c r="H67" s="338"/>
      <c r="I67" s="338"/>
      <c r="J67" s="338"/>
      <c r="K67" s="338"/>
      <c r="L67" s="356"/>
      <c r="M67" s="356"/>
      <c r="N67" s="321"/>
      <c r="O67" s="338"/>
      <c r="P67" s="321"/>
      <c r="Q67" s="321"/>
      <c r="R67" s="321"/>
      <c r="S67" s="321"/>
      <c r="T67" s="321"/>
      <c r="U67" s="338"/>
      <c r="V67" s="338"/>
      <c r="W67" s="338"/>
      <c r="X67" s="338"/>
      <c r="Y67" s="338"/>
      <c r="Z67" s="338"/>
    </row>
    <row r="68" ht="12.75" customHeight="1">
      <c r="A68" s="321"/>
      <c r="B68" s="338"/>
      <c r="C68" s="338"/>
      <c r="D68" s="415"/>
      <c r="E68" s="338"/>
      <c r="F68" s="338"/>
      <c r="G68" s="338"/>
      <c r="H68" s="338"/>
      <c r="I68" s="338"/>
      <c r="J68" s="338"/>
      <c r="K68" s="338"/>
      <c r="L68" s="356"/>
      <c r="M68" s="356"/>
      <c r="N68" s="321"/>
      <c r="O68" s="338"/>
      <c r="P68" s="321"/>
      <c r="Q68" s="321"/>
      <c r="R68" s="321"/>
      <c r="S68" s="321"/>
      <c r="T68" s="321"/>
      <c r="U68" s="338"/>
      <c r="V68" s="338"/>
      <c r="W68" s="338"/>
      <c r="X68" s="338"/>
      <c r="Y68" s="338"/>
      <c r="Z68" s="338"/>
    </row>
    <row r="69" ht="12.75" customHeight="1">
      <c r="A69" s="321"/>
      <c r="B69" s="338"/>
      <c r="C69" s="338"/>
      <c r="D69" s="415"/>
      <c r="E69" s="338"/>
      <c r="F69" s="338"/>
      <c r="G69" s="338"/>
      <c r="H69" s="338"/>
      <c r="I69" s="338"/>
      <c r="J69" s="338"/>
      <c r="K69" s="338"/>
      <c r="L69" s="356"/>
      <c r="M69" s="356"/>
      <c r="N69" s="321"/>
      <c r="O69" s="338"/>
      <c r="P69" s="321"/>
      <c r="Q69" s="321"/>
      <c r="R69" s="321"/>
      <c r="S69" s="321"/>
      <c r="T69" s="321"/>
      <c r="U69" s="338"/>
      <c r="V69" s="338"/>
      <c r="W69" s="338"/>
      <c r="X69" s="338"/>
      <c r="Y69" s="338"/>
      <c r="Z69" s="338"/>
    </row>
    <row r="70" ht="12.75" customHeight="1">
      <c r="A70" s="321"/>
      <c r="B70" s="338"/>
      <c r="C70" s="338"/>
      <c r="D70" s="415"/>
      <c r="E70" s="338"/>
      <c r="F70" s="338"/>
      <c r="G70" s="338"/>
      <c r="H70" s="338"/>
      <c r="I70" s="338"/>
      <c r="J70" s="338"/>
      <c r="K70" s="338"/>
      <c r="L70" s="356"/>
      <c r="M70" s="356"/>
      <c r="N70" s="321"/>
      <c r="O70" s="338"/>
      <c r="P70" s="321"/>
      <c r="Q70" s="321"/>
      <c r="R70" s="321"/>
      <c r="S70" s="321"/>
      <c r="T70" s="321"/>
      <c r="U70" s="338"/>
      <c r="V70" s="338"/>
      <c r="W70" s="338"/>
      <c r="X70" s="338"/>
      <c r="Y70" s="338"/>
      <c r="Z70" s="338"/>
    </row>
    <row r="71" ht="12.75" customHeight="1">
      <c r="A71" s="321"/>
      <c r="B71" s="338"/>
      <c r="C71" s="338"/>
      <c r="D71" s="415"/>
      <c r="E71" s="338"/>
      <c r="F71" s="338"/>
      <c r="G71" s="338"/>
      <c r="H71" s="338"/>
      <c r="I71" s="338"/>
      <c r="J71" s="338"/>
      <c r="K71" s="338"/>
      <c r="L71" s="356"/>
      <c r="M71" s="356"/>
      <c r="N71" s="321"/>
      <c r="O71" s="338"/>
      <c r="P71" s="321"/>
      <c r="Q71" s="321"/>
      <c r="R71" s="321"/>
      <c r="S71" s="321"/>
      <c r="T71" s="321"/>
      <c r="U71" s="338"/>
      <c r="V71" s="338"/>
      <c r="W71" s="338"/>
      <c r="X71" s="338"/>
      <c r="Y71" s="338"/>
      <c r="Z71" s="338"/>
    </row>
    <row r="72" ht="12.75" customHeight="1">
      <c r="A72" s="321"/>
      <c r="B72" s="338"/>
      <c r="C72" s="338"/>
      <c r="D72" s="415"/>
      <c r="E72" s="338"/>
      <c r="F72" s="338"/>
      <c r="G72" s="338"/>
      <c r="H72" s="338"/>
      <c r="I72" s="338"/>
      <c r="J72" s="338"/>
      <c r="K72" s="338"/>
      <c r="L72" s="356"/>
      <c r="M72" s="356"/>
      <c r="N72" s="321"/>
      <c r="O72" s="338"/>
      <c r="P72" s="321"/>
      <c r="Q72" s="321"/>
      <c r="R72" s="321"/>
      <c r="S72" s="321"/>
      <c r="T72" s="321"/>
      <c r="U72" s="338"/>
      <c r="V72" s="338"/>
      <c r="W72" s="338"/>
      <c r="X72" s="338"/>
      <c r="Y72" s="338"/>
      <c r="Z72" s="338"/>
    </row>
    <row r="73" ht="12.75" customHeight="1">
      <c r="A73" s="321"/>
      <c r="B73" s="338"/>
      <c r="C73" s="338"/>
      <c r="D73" s="415"/>
      <c r="E73" s="338"/>
      <c r="F73" s="338"/>
      <c r="G73" s="338"/>
      <c r="H73" s="338"/>
      <c r="I73" s="338"/>
      <c r="J73" s="338"/>
      <c r="K73" s="338"/>
      <c r="L73" s="356"/>
      <c r="M73" s="356"/>
      <c r="N73" s="321"/>
      <c r="O73" s="338"/>
      <c r="P73" s="321"/>
      <c r="Q73" s="321"/>
      <c r="R73" s="321"/>
      <c r="S73" s="321"/>
      <c r="T73" s="321"/>
      <c r="U73" s="338"/>
      <c r="V73" s="338"/>
      <c r="W73" s="338"/>
      <c r="X73" s="338"/>
      <c r="Y73" s="338"/>
      <c r="Z73" s="338"/>
    </row>
    <row r="74" ht="12.75" customHeight="1">
      <c r="A74" s="321"/>
      <c r="B74" s="338"/>
      <c r="C74" s="338"/>
      <c r="D74" s="415"/>
      <c r="E74" s="338"/>
      <c r="F74" s="338"/>
      <c r="G74" s="338"/>
      <c r="H74" s="338"/>
      <c r="I74" s="338"/>
      <c r="J74" s="338"/>
      <c r="K74" s="338"/>
      <c r="L74" s="356"/>
      <c r="M74" s="356"/>
      <c r="N74" s="321"/>
      <c r="O74" s="338"/>
      <c r="P74" s="321"/>
      <c r="Q74" s="321"/>
      <c r="R74" s="321"/>
      <c r="S74" s="321"/>
      <c r="T74" s="321"/>
      <c r="U74" s="338"/>
      <c r="V74" s="338"/>
      <c r="W74" s="338"/>
      <c r="X74" s="338"/>
      <c r="Y74" s="338"/>
      <c r="Z74" s="338"/>
    </row>
    <row r="75" ht="12.75" customHeight="1">
      <c r="A75" s="321"/>
      <c r="B75" s="338"/>
      <c r="C75" s="338"/>
      <c r="D75" s="415"/>
      <c r="E75" s="338"/>
      <c r="F75" s="338"/>
      <c r="G75" s="338"/>
      <c r="H75" s="338"/>
      <c r="I75" s="338"/>
      <c r="J75" s="338"/>
      <c r="K75" s="338"/>
      <c r="L75" s="356"/>
      <c r="M75" s="356"/>
      <c r="N75" s="321"/>
      <c r="O75" s="338"/>
      <c r="P75" s="321"/>
      <c r="Q75" s="321"/>
      <c r="R75" s="321"/>
      <c r="S75" s="321"/>
      <c r="T75" s="321"/>
      <c r="U75" s="338"/>
      <c r="V75" s="338"/>
      <c r="W75" s="338"/>
      <c r="X75" s="338"/>
      <c r="Y75" s="338"/>
      <c r="Z75" s="338"/>
    </row>
    <row r="76" ht="12.75" customHeight="1">
      <c r="A76" s="321"/>
      <c r="B76" s="338"/>
      <c r="C76" s="338"/>
      <c r="D76" s="415"/>
      <c r="E76" s="338"/>
      <c r="F76" s="338"/>
      <c r="G76" s="338"/>
      <c r="H76" s="338"/>
      <c r="I76" s="338"/>
      <c r="J76" s="338"/>
      <c r="K76" s="338"/>
      <c r="L76" s="356"/>
      <c r="M76" s="356"/>
      <c r="N76" s="321"/>
      <c r="O76" s="338"/>
      <c r="P76" s="321"/>
      <c r="Q76" s="321"/>
      <c r="R76" s="321"/>
      <c r="S76" s="321"/>
      <c r="T76" s="321"/>
      <c r="U76" s="338"/>
      <c r="V76" s="338"/>
      <c r="W76" s="338"/>
      <c r="X76" s="338"/>
      <c r="Y76" s="338"/>
      <c r="Z76" s="338"/>
    </row>
    <row r="77" ht="12.75" customHeight="1">
      <c r="A77" s="321"/>
      <c r="B77" s="338"/>
      <c r="C77" s="338"/>
      <c r="D77" s="415"/>
      <c r="E77" s="338"/>
      <c r="F77" s="338"/>
      <c r="G77" s="338"/>
      <c r="H77" s="338"/>
      <c r="I77" s="338"/>
      <c r="J77" s="338"/>
      <c r="K77" s="338"/>
      <c r="L77" s="356"/>
      <c r="M77" s="356"/>
      <c r="N77" s="321"/>
      <c r="O77" s="338"/>
      <c r="P77" s="321"/>
      <c r="Q77" s="321"/>
      <c r="R77" s="321"/>
      <c r="S77" s="321"/>
      <c r="T77" s="321"/>
      <c r="U77" s="338"/>
      <c r="V77" s="338"/>
      <c r="W77" s="338"/>
      <c r="X77" s="338"/>
      <c r="Y77" s="338"/>
      <c r="Z77" s="338"/>
    </row>
    <row r="78" ht="12.75" customHeight="1">
      <c r="A78" s="321"/>
      <c r="B78" s="338"/>
      <c r="C78" s="338"/>
      <c r="D78" s="415"/>
      <c r="E78" s="338"/>
      <c r="F78" s="338"/>
      <c r="G78" s="338"/>
      <c r="H78" s="338"/>
      <c r="I78" s="338"/>
      <c r="J78" s="338"/>
      <c r="K78" s="338"/>
      <c r="L78" s="356"/>
      <c r="M78" s="356"/>
      <c r="N78" s="321"/>
      <c r="O78" s="338"/>
      <c r="P78" s="321"/>
      <c r="Q78" s="321"/>
      <c r="R78" s="321"/>
      <c r="S78" s="321"/>
      <c r="T78" s="321"/>
      <c r="U78" s="338"/>
      <c r="V78" s="338"/>
      <c r="W78" s="338"/>
      <c r="X78" s="338"/>
      <c r="Y78" s="338"/>
      <c r="Z78" s="338"/>
    </row>
    <row r="79" ht="12.75" customHeight="1">
      <c r="A79" s="321"/>
      <c r="B79" s="338"/>
      <c r="C79" s="338"/>
      <c r="D79" s="415"/>
      <c r="E79" s="338"/>
      <c r="F79" s="338"/>
      <c r="G79" s="338"/>
      <c r="H79" s="338"/>
      <c r="I79" s="338"/>
      <c r="J79" s="338"/>
      <c r="K79" s="338"/>
      <c r="L79" s="356"/>
      <c r="M79" s="356"/>
      <c r="N79" s="321"/>
      <c r="O79" s="338"/>
      <c r="P79" s="321"/>
      <c r="Q79" s="321"/>
      <c r="R79" s="321"/>
      <c r="S79" s="321"/>
      <c r="T79" s="321"/>
      <c r="U79" s="338"/>
      <c r="V79" s="338"/>
      <c r="W79" s="338"/>
      <c r="X79" s="338"/>
      <c r="Y79" s="338"/>
      <c r="Z79" s="338"/>
    </row>
    <row r="80" ht="12.75" customHeight="1">
      <c r="A80" s="321"/>
      <c r="B80" s="338"/>
      <c r="C80" s="338"/>
      <c r="D80" s="415"/>
      <c r="E80" s="338"/>
      <c r="F80" s="338"/>
      <c r="G80" s="338"/>
      <c r="H80" s="338"/>
      <c r="I80" s="338"/>
      <c r="J80" s="338"/>
      <c r="K80" s="338"/>
      <c r="L80" s="356"/>
      <c r="M80" s="356"/>
      <c r="N80" s="321"/>
      <c r="O80" s="338"/>
      <c r="P80" s="321"/>
      <c r="Q80" s="321"/>
      <c r="R80" s="321"/>
      <c r="S80" s="321"/>
      <c r="T80" s="321"/>
      <c r="U80" s="338"/>
      <c r="V80" s="338"/>
      <c r="W80" s="338"/>
      <c r="X80" s="338"/>
      <c r="Y80" s="338"/>
      <c r="Z80" s="338"/>
    </row>
    <row r="81" ht="12.75" customHeight="1">
      <c r="A81" s="321"/>
      <c r="B81" s="338"/>
      <c r="C81" s="338"/>
      <c r="D81" s="415"/>
      <c r="E81" s="338"/>
      <c r="F81" s="338"/>
      <c r="G81" s="338"/>
      <c r="H81" s="338"/>
      <c r="I81" s="338"/>
      <c r="J81" s="338"/>
      <c r="K81" s="338"/>
      <c r="L81" s="356"/>
      <c r="M81" s="356"/>
      <c r="N81" s="321"/>
      <c r="O81" s="338"/>
      <c r="P81" s="321"/>
      <c r="Q81" s="321"/>
      <c r="R81" s="321"/>
      <c r="S81" s="321"/>
      <c r="T81" s="321"/>
      <c r="U81" s="338"/>
      <c r="V81" s="338"/>
      <c r="W81" s="338"/>
      <c r="X81" s="338"/>
      <c r="Y81" s="338"/>
      <c r="Z81" s="338"/>
    </row>
    <row r="82" ht="12.75" customHeight="1">
      <c r="A82" s="321"/>
      <c r="B82" s="338"/>
      <c r="C82" s="338"/>
      <c r="D82" s="415"/>
      <c r="E82" s="338"/>
      <c r="F82" s="338"/>
      <c r="G82" s="338"/>
      <c r="H82" s="338"/>
      <c r="I82" s="338"/>
      <c r="J82" s="338"/>
      <c r="K82" s="338"/>
      <c r="L82" s="356"/>
      <c r="M82" s="356"/>
      <c r="N82" s="321"/>
      <c r="O82" s="338"/>
      <c r="P82" s="321"/>
      <c r="Q82" s="321"/>
      <c r="R82" s="321"/>
      <c r="S82" s="321"/>
      <c r="T82" s="321"/>
      <c r="U82" s="338"/>
      <c r="V82" s="338"/>
      <c r="W82" s="338"/>
      <c r="X82" s="338"/>
      <c r="Y82" s="338"/>
      <c r="Z82" s="338"/>
    </row>
    <row r="83" ht="12.75" customHeight="1">
      <c r="A83" s="321"/>
      <c r="B83" s="338"/>
      <c r="C83" s="338"/>
      <c r="D83" s="415"/>
      <c r="E83" s="338"/>
      <c r="F83" s="338"/>
      <c r="G83" s="338"/>
      <c r="H83" s="338"/>
      <c r="I83" s="338"/>
      <c r="J83" s="338"/>
      <c r="K83" s="338"/>
      <c r="L83" s="356"/>
      <c r="M83" s="356"/>
      <c r="N83" s="321"/>
      <c r="O83" s="338"/>
      <c r="P83" s="321"/>
      <c r="Q83" s="321"/>
      <c r="R83" s="321"/>
      <c r="S83" s="321"/>
      <c r="T83" s="321"/>
      <c r="U83" s="338"/>
      <c r="V83" s="338"/>
      <c r="W83" s="338"/>
      <c r="X83" s="338"/>
      <c r="Y83" s="338"/>
      <c r="Z83" s="338"/>
    </row>
    <row r="84" ht="12.75" customHeight="1">
      <c r="A84" s="321"/>
      <c r="B84" s="338"/>
      <c r="C84" s="338"/>
      <c r="D84" s="415"/>
      <c r="E84" s="338"/>
      <c r="F84" s="338"/>
      <c r="G84" s="338"/>
      <c r="H84" s="338"/>
      <c r="I84" s="338"/>
      <c r="J84" s="338"/>
      <c r="K84" s="338"/>
      <c r="L84" s="356"/>
      <c r="M84" s="356"/>
      <c r="N84" s="321"/>
      <c r="O84" s="338"/>
      <c r="P84" s="321"/>
      <c r="Q84" s="321"/>
      <c r="R84" s="321"/>
      <c r="S84" s="321"/>
      <c r="T84" s="321"/>
      <c r="U84" s="338"/>
      <c r="V84" s="338"/>
      <c r="W84" s="338"/>
      <c r="X84" s="338"/>
      <c r="Y84" s="338"/>
      <c r="Z84" s="338"/>
    </row>
    <row r="85" ht="12.75" customHeight="1">
      <c r="A85" s="321"/>
      <c r="B85" s="338"/>
      <c r="C85" s="338"/>
      <c r="D85" s="415"/>
      <c r="E85" s="338"/>
      <c r="F85" s="338"/>
      <c r="G85" s="338"/>
      <c r="H85" s="338"/>
      <c r="I85" s="338"/>
      <c r="J85" s="338"/>
      <c r="K85" s="338"/>
      <c r="L85" s="356"/>
      <c r="M85" s="356"/>
      <c r="N85" s="321"/>
      <c r="O85" s="338"/>
      <c r="P85" s="321"/>
      <c r="Q85" s="321"/>
      <c r="R85" s="321"/>
      <c r="S85" s="321"/>
      <c r="T85" s="321"/>
      <c r="U85" s="338"/>
      <c r="V85" s="338"/>
      <c r="W85" s="338"/>
      <c r="X85" s="338"/>
      <c r="Y85" s="338"/>
      <c r="Z85" s="338"/>
    </row>
    <row r="86" ht="12.75" customHeight="1">
      <c r="A86" s="321"/>
      <c r="B86" s="338"/>
      <c r="C86" s="338"/>
      <c r="D86" s="415"/>
      <c r="E86" s="338"/>
      <c r="F86" s="338"/>
      <c r="G86" s="338">
        <v>249.0</v>
      </c>
      <c r="H86" s="338"/>
      <c r="I86" s="338"/>
      <c r="J86" s="338"/>
      <c r="K86" s="338"/>
      <c r="L86" s="356"/>
      <c r="M86" s="356"/>
      <c r="N86" s="321"/>
      <c r="O86" s="338"/>
      <c r="P86" s="321"/>
      <c r="Q86" s="321"/>
      <c r="R86" s="321"/>
      <c r="S86" s="321"/>
      <c r="T86" s="321"/>
      <c r="U86" s="338"/>
      <c r="V86" s="338"/>
      <c r="W86" s="338"/>
      <c r="X86" s="338"/>
      <c r="Y86" s="338"/>
      <c r="Z86" s="338"/>
    </row>
    <row r="87" ht="12.75" customHeight="1">
      <c r="A87" s="321"/>
      <c r="B87" s="338"/>
      <c r="C87" s="338"/>
      <c r="D87" s="415"/>
      <c r="E87" s="338"/>
      <c r="F87" s="338"/>
      <c r="G87" s="338"/>
      <c r="H87" s="338"/>
      <c r="I87" s="338"/>
      <c r="J87" s="338"/>
      <c r="K87" s="338"/>
      <c r="L87" s="356"/>
      <c r="M87" s="356"/>
      <c r="N87" s="321"/>
      <c r="O87" s="338"/>
      <c r="P87" s="321"/>
      <c r="Q87" s="321"/>
      <c r="R87" s="321"/>
      <c r="S87" s="321"/>
      <c r="T87" s="321"/>
      <c r="U87" s="338"/>
      <c r="V87" s="338"/>
      <c r="W87" s="338"/>
      <c r="X87" s="338"/>
      <c r="Y87" s="338"/>
      <c r="Z87" s="338"/>
    </row>
    <row r="88" ht="12.75" customHeight="1">
      <c r="A88" s="321"/>
      <c r="B88" s="338"/>
      <c r="C88" s="338"/>
      <c r="D88" s="415"/>
      <c r="E88" s="338"/>
      <c r="F88" s="338"/>
      <c r="G88" s="338"/>
      <c r="H88" s="338"/>
      <c r="I88" s="338"/>
      <c r="J88" s="338"/>
      <c r="K88" s="338"/>
      <c r="L88" s="356"/>
      <c r="M88" s="356"/>
      <c r="N88" s="321"/>
      <c r="O88" s="338"/>
      <c r="P88" s="321"/>
      <c r="Q88" s="321"/>
      <c r="R88" s="321"/>
      <c r="S88" s="321"/>
      <c r="T88" s="321"/>
      <c r="U88" s="338"/>
      <c r="V88" s="338"/>
      <c r="W88" s="338"/>
      <c r="X88" s="338"/>
      <c r="Y88" s="338"/>
      <c r="Z88" s="338"/>
    </row>
    <row r="89" ht="12.75" customHeight="1">
      <c r="A89" s="321"/>
      <c r="B89" s="338"/>
      <c r="C89" s="338"/>
      <c r="D89" s="415"/>
      <c r="E89" s="338"/>
      <c r="F89" s="338"/>
      <c r="G89" s="338"/>
      <c r="H89" s="338"/>
      <c r="I89" s="338"/>
      <c r="J89" s="338"/>
      <c r="K89" s="338"/>
      <c r="L89" s="356"/>
      <c r="M89" s="356"/>
      <c r="N89" s="321"/>
      <c r="O89" s="338"/>
      <c r="P89" s="321"/>
      <c r="Q89" s="321"/>
      <c r="R89" s="321"/>
      <c r="S89" s="321"/>
      <c r="T89" s="321"/>
      <c r="U89" s="338"/>
      <c r="V89" s="338"/>
      <c r="W89" s="338"/>
      <c r="X89" s="338"/>
      <c r="Y89" s="338"/>
      <c r="Z89" s="338"/>
    </row>
    <row r="90" ht="12.75" customHeight="1">
      <c r="A90" s="321"/>
      <c r="B90" s="338"/>
      <c r="C90" s="338"/>
      <c r="D90" s="415"/>
      <c r="E90" s="338"/>
      <c r="F90" s="338"/>
      <c r="G90" s="338"/>
      <c r="H90" s="338"/>
      <c r="I90" s="338"/>
      <c r="J90" s="338"/>
      <c r="K90" s="338"/>
      <c r="L90" s="356"/>
      <c r="M90" s="356"/>
      <c r="N90" s="321"/>
      <c r="O90" s="338"/>
      <c r="P90" s="321"/>
      <c r="Q90" s="321"/>
      <c r="R90" s="321"/>
      <c r="S90" s="321"/>
      <c r="T90" s="321"/>
      <c r="U90" s="338"/>
      <c r="V90" s="338"/>
      <c r="W90" s="338"/>
      <c r="X90" s="338"/>
      <c r="Y90" s="338"/>
      <c r="Z90" s="338"/>
    </row>
    <row r="91" ht="12.75" customHeight="1">
      <c r="A91" s="321"/>
      <c r="B91" s="338"/>
      <c r="C91" s="338"/>
      <c r="D91" s="415"/>
      <c r="E91" s="338"/>
      <c r="F91" s="338"/>
      <c r="G91" s="338"/>
      <c r="H91" s="338"/>
      <c r="I91" s="338"/>
      <c r="J91" s="338"/>
      <c r="K91" s="338"/>
      <c r="L91" s="356"/>
      <c r="M91" s="356"/>
      <c r="N91" s="321"/>
      <c r="O91" s="338"/>
      <c r="P91" s="321"/>
      <c r="Q91" s="321"/>
      <c r="R91" s="321"/>
      <c r="S91" s="321"/>
      <c r="T91" s="321"/>
      <c r="U91" s="338"/>
      <c r="V91" s="338"/>
      <c r="W91" s="338"/>
      <c r="X91" s="338"/>
      <c r="Y91" s="338"/>
      <c r="Z91" s="338"/>
    </row>
    <row r="92" ht="12.75" customHeight="1">
      <c r="A92" s="321"/>
      <c r="B92" s="338"/>
      <c r="C92" s="338"/>
      <c r="D92" s="415"/>
      <c r="E92" s="338"/>
      <c r="F92" s="338"/>
      <c r="G92" s="338"/>
      <c r="H92" s="338"/>
      <c r="I92" s="338"/>
      <c r="J92" s="338"/>
      <c r="K92" s="338"/>
      <c r="L92" s="356"/>
      <c r="M92" s="356"/>
      <c r="N92" s="321"/>
      <c r="O92" s="338"/>
      <c r="P92" s="321"/>
      <c r="Q92" s="321"/>
      <c r="R92" s="321"/>
      <c r="S92" s="321"/>
      <c r="T92" s="321"/>
      <c r="U92" s="338"/>
      <c r="V92" s="338"/>
      <c r="W92" s="338"/>
      <c r="X92" s="338"/>
      <c r="Y92" s="338"/>
      <c r="Z92" s="338"/>
    </row>
    <row r="93" ht="12.75" customHeight="1">
      <c r="A93" s="321"/>
      <c r="B93" s="338"/>
      <c r="C93" s="338"/>
      <c r="D93" s="415"/>
      <c r="E93" s="338"/>
      <c r="F93" s="338"/>
      <c r="G93" s="338"/>
      <c r="H93" s="338"/>
      <c r="I93" s="338"/>
      <c r="J93" s="338"/>
      <c r="K93" s="338"/>
      <c r="L93" s="356"/>
      <c r="M93" s="356"/>
      <c r="N93" s="321"/>
      <c r="O93" s="338"/>
      <c r="P93" s="321"/>
      <c r="Q93" s="321"/>
      <c r="R93" s="321"/>
      <c r="S93" s="321"/>
      <c r="T93" s="321"/>
      <c r="U93" s="338"/>
      <c r="V93" s="338"/>
      <c r="W93" s="338"/>
      <c r="X93" s="338"/>
      <c r="Y93" s="338"/>
      <c r="Z93" s="338"/>
    </row>
    <row r="94" ht="12.75" customHeight="1">
      <c r="A94" s="321"/>
      <c r="B94" s="338"/>
      <c r="C94" s="338"/>
      <c r="D94" s="415"/>
      <c r="E94" s="338"/>
      <c r="F94" s="338"/>
      <c r="G94" s="338"/>
      <c r="H94" s="338"/>
      <c r="I94" s="338"/>
      <c r="J94" s="338"/>
      <c r="K94" s="338"/>
      <c r="L94" s="356"/>
      <c r="M94" s="356"/>
      <c r="N94" s="321"/>
      <c r="O94" s="338"/>
      <c r="P94" s="321"/>
      <c r="Q94" s="321"/>
      <c r="R94" s="321"/>
      <c r="S94" s="321"/>
      <c r="T94" s="321"/>
      <c r="U94" s="338"/>
      <c r="V94" s="338"/>
      <c r="W94" s="338"/>
      <c r="X94" s="338"/>
      <c r="Y94" s="338"/>
      <c r="Z94" s="338"/>
    </row>
    <row r="95" ht="12.75" customHeight="1">
      <c r="A95" s="321"/>
      <c r="B95" s="338"/>
      <c r="C95" s="338"/>
      <c r="D95" s="415"/>
      <c r="E95" s="338"/>
      <c r="F95" s="338"/>
      <c r="G95" s="338"/>
      <c r="H95" s="338"/>
      <c r="I95" s="338"/>
      <c r="J95" s="338"/>
      <c r="K95" s="338"/>
      <c r="L95" s="356"/>
      <c r="M95" s="356"/>
      <c r="N95" s="321"/>
      <c r="O95" s="338"/>
      <c r="P95" s="321"/>
      <c r="Q95" s="321"/>
      <c r="R95" s="321"/>
      <c r="S95" s="321"/>
      <c r="T95" s="321"/>
      <c r="U95" s="338"/>
      <c r="V95" s="338"/>
      <c r="W95" s="338"/>
      <c r="X95" s="338"/>
      <c r="Y95" s="338"/>
      <c r="Z95" s="338"/>
    </row>
    <row r="96" ht="12.75" customHeight="1">
      <c r="A96" s="321"/>
      <c r="B96" s="338"/>
      <c r="C96" s="338"/>
      <c r="D96" s="415"/>
      <c r="E96" s="338"/>
      <c r="F96" s="338"/>
      <c r="G96" s="338"/>
      <c r="H96" s="338"/>
      <c r="I96" s="338"/>
      <c r="J96" s="338"/>
      <c r="K96" s="338"/>
      <c r="L96" s="356"/>
      <c r="M96" s="356"/>
      <c r="N96" s="321"/>
      <c r="O96" s="338"/>
      <c r="P96" s="321"/>
      <c r="Q96" s="321"/>
      <c r="R96" s="321"/>
      <c r="S96" s="321"/>
      <c r="T96" s="321"/>
      <c r="U96" s="338"/>
      <c r="V96" s="338"/>
      <c r="W96" s="338"/>
      <c r="X96" s="338"/>
      <c r="Y96" s="338"/>
      <c r="Z96" s="338"/>
    </row>
    <row r="97" ht="12.75" customHeight="1">
      <c r="A97" s="321"/>
      <c r="B97" s="338"/>
      <c r="C97" s="338"/>
      <c r="D97" s="415"/>
      <c r="E97" s="338"/>
      <c r="F97" s="338"/>
      <c r="G97" s="338"/>
      <c r="H97" s="338"/>
      <c r="I97" s="338"/>
      <c r="J97" s="338"/>
      <c r="K97" s="338"/>
      <c r="L97" s="356"/>
      <c r="M97" s="356"/>
      <c r="N97" s="321"/>
      <c r="O97" s="338"/>
      <c r="P97" s="321"/>
      <c r="Q97" s="321"/>
      <c r="R97" s="321"/>
      <c r="S97" s="321"/>
      <c r="T97" s="321"/>
      <c r="U97" s="338"/>
      <c r="V97" s="338"/>
      <c r="W97" s="338"/>
      <c r="X97" s="338"/>
      <c r="Y97" s="338"/>
      <c r="Z97" s="338"/>
    </row>
    <row r="98" ht="12.75" customHeight="1">
      <c r="A98" s="321"/>
      <c r="B98" s="338"/>
      <c r="C98" s="338"/>
      <c r="D98" s="415"/>
      <c r="E98" s="338"/>
      <c r="F98" s="338"/>
      <c r="G98" s="338"/>
      <c r="H98" s="338"/>
      <c r="I98" s="338"/>
      <c r="J98" s="338"/>
      <c r="K98" s="338"/>
      <c r="L98" s="356"/>
      <c r="M98" s="356"/>
      <c r="N98" s="321"/>
      <c r="O98" s="338"/>
      <c r="P98" s="321"/>
      <c r="Q98" s="321"/>
      <c r="R98" s="321"/>
      <c r="S98" s="321"/>
      <c r="T98" s="321"/>
      <c r="U98" s="338"/>
      <c r="V98" s="338"/>
      <c r="W98" s="338"/>
      <c r="X98" s="338"/>
      <c r="Y98" s="338"/>
      <c r="Z98" s="338"/>
    </row>
    <row r="99" ht="12.75" customHeight="1">
      <c r="A99" s="321"/>
      <c r="B99" s="338"/>
      <c r="C99" s="338"/>
      <c r="D99" s="415"/>
      <c r="E99" s="338"/>
      <c r="F99" s="338"/>
      <c r="G99" s="338"/>
      <c r="H99" s="338"/>
      <c r="I99" s="338"/>
      <c r="J99" s="338"/>
      <c r="K99" s="338"/>
      <c r="L99" s="356"/>
      <c r="M99" s="356"/>
      <c r="N99" s="321"/>
      <c r="O99" s="338"/>
      <c r="P99" s="321"/>
      <c r="Q99" s="321"/>
      <c r="R99" s="321"/>
      <c r="S99" s="321"/>
      <c r="T99" s="321"/>
      <c r="U99" s="338"/>
      <c r="V99" s="338"/>
      <c r="W99" s="338"/>
      <c r="X99" s="338"/>
      <c r="Y99" s="338"/>
      <c r="Z99" s="338"/>
    </row>
    <row r="100" ht="12.75" customHeight="1">
      <c r="A100" s="321"/>
      <c r="B100" s="338"/>
      <c r="C100" s="338"/>
      <c r="D100" s="415"/>
      <c r="E100" s="338"/>
      <c r="F100" s="338"/>
      <c r="G100" s="338"/>
      <c r="H100" s="338"/>
      <c r="I100" s="338"/>
      <c r="J100" s="338"/>
      <c r="K100" s="338"/>
      <c r="L100" s="356"/>
      <c r="M100" s="356"/>
      <c r="N100" s="321"/>
      <c r="O100" s="338"/>
      <c r="P100" s="321"/>
      <c r="Q100" s="321"/>
      <c r="R100" s="321"/>
      <c r="S100" s="321"/>
      <c r="T100" s="321"/>
      <c r="U100" s="338"/>
      <c r="V100" s="338"/>
      <c r="W100" s="338"/>
      <c r="X100" s="338"/>
      <c r="Y100" s="338"/>
      <c r="Z100" s="338"/>
    </row>
    <row r="101" ht="12.75" customHeight="1">
      <c r="A101" s="321"/>
      <c r="B101" s="338"/>
      <c r="C101" s="338"/>
      <c r="D101" s="415"/>
      <c r="E101" s="338"/>
      <c r="F101" s="338"/>
      <c r="G101" s="338"/>
      <c r="H101" s="338"/>
      <c r="I101" s="338"/>
      <c r="J101" s="338"/>
      <c r="K101" s="338"/>
      <c r="L101" s="356"/>
      <c r="M101" s="356"/>
      <c r="N101" s="321"/>
      <c r="O101" s="338"/>
      <c r="P101" s="321"/>
      <c r="Q101" s="321"/>
      <c r="R101" s="321"/>
      <c r="S101" s="321"/>
      <c r="T101" s="321"/>
      <c r="U101" s="338"/>
      <c r="V101" s="338"/>
      <c r="W101" s="338"/>
      <c r="X101" s="338"/>
      <c r="Y101" s="338"/>
      <c r="Z101" s="338"/>
    </row>
    <row r="102" ht="12.75" customHeight="1">
      <c r="A102" s="321"/>
      <c r="B102" s="338"/>
      <c r="C102" s="338"/>
      <c r="D102" s="415"/>
      <c r="E102" s="338"/>
      <c r="F102" s="338"/>
      <c r="G102" s="338"/>
      <c r="H102" s="338"/>
      <c r="I102" s="338"/>
      <c r="J102" s="338"/>
      <c r="K102" s="338"/>
      <c r="L102" s="356"/>
      <c r="M102" s="356"/>
      <c r="N102" s="321"/>
      <c r="O102" s="338"/>
      <c r="P102" s="321"/>
      <c r="Q102" s="321"/>
      <c r="R102" s="321"/>
      <c r="S102" s="321"/>
      <c r="T102" s="321"/>
      <c r="U102" s="338"/>
      <c r="V102" s="338"/>
      <c r="W102" s="338"/>
      <c r="X102" s="338"/>
      <c r="Y102" s="338"/>
      <c r="Z102" s="338"/>
    </row>
    <row r="103" ht="12.75" customHeight="1">
      <c r="A103" s="321"/>
      <c r="B103" s="338"/>
      <c r="C103" s="338"/>
      <c r="D103" s="415"/>
      <c r="E103" s="338"/>
      <c r="F103" s="338"/>
      <c r="G103" s="338"/>
      <c r="H103" s="338"/>
      <c r="I103" s="338"/>
      <c r="J103" s="338"/>
      <c r="K103" s="338"/>
      <c r="L103" s="356"/>
      <c r="M103" s="356"/>
      <c r="N103" s="321"/>
      <c r="O103" s="338"/>
      <c r="P103" s="321"/>
      <c r="Q103" s="321"/>
      <c r="R103" s="321"/>
      <c r="S103" s="321"/>
      <c r="T103" s="321"/>
      <c r="U103" s="338"/>
      <c r="V103" s="338"/>
      <c r="W103" s="338"/>
      <c r="X103" s="338"/>
      <c r="Y103" s="338"/>
      <c r="Z103" s="338"/>
    </row>
    <row r="104" ht="12.75" customHeight="1">
      <c r="A104" s="321"/>
      <c r="B104" s="338"/>
      <c r="C104" s="338"/>
      <c r="D104" s="415"/>
      <c r="E104" s="338"/>
      <c r="F104" s="338"/>
      <c r="G104" s="338"/>
      <c r="H104" s="338"/>
      <c r="I104" s="338"/>
      <c r="J104" s="338"/>
      <c r="K104" s="338"/>
      <c r="L104" s="356"/>
      <c r="M104" s="356"/>
      <c r="N104" s="321"/>
      <c r="O104" s="338"/>
      <c r="P104" s="321"/>
      <c r="Q104" s="321"/>
      <c r="R104" s="321"/>
      <c r="S104" s="321"/>
      <c r="T104" s="321"/>
      <c r="U104" s="338"/>
      <c r="V104" s="338"/>
      <c r="W104" s="338"/>
      <c r="X104" s="338"/>
      <c r="Y104" s="338"/>
      <c r="Z104" s="338"/>
    </row>
    <row r="105" ht="12.75" customHeight="1">
      <c r="A105" s="321"/>
      <c r="B105" s="338"/>
      <c r="C105" s="338"/>
      <c r="D105" s="415"/>
      <c r="E105" s="338"/>
      <c r="F105" s="338"/>
      <c r="G105" s="338"/>
      <c r="H105" s="338"/>
      <c r="I105" s="338"/>
      <c r="J105" s="338"/>
      <c r="K105" s="338"/>
      <c r="L105" s="356"/>
      <c r="M105" s="356"/>
      <c r="N105" s="321"/>
      <c r="O105" s="338"/>
      <c r="P105" s="321"/>
      <c r="Q105" s="321"/>
      <c r="R105" s="321"/>
      <c r="S105" s="321"/>
      <c r="T105" s="321"/>
      <c r="U105" s="338"/>
      <c r="V105" s="338"/>
      <c r="W105" s="338"/>
      <c r="X105" s="338"/>
      <c r="Y105" s="338"/>
      <c r="Z105" s="338"/>
    </row>
    <row r="106" ht="12.75" customHeight="1">
      <c r="A106" s="321"/>
      <c r="B106" s="338"/>
      <c r="C106" s="338"/>
      <c r="D106" s="415"/>
      <c r="E106" s="338"/>
      <c r="F106" s="338"/>
      <c r="G106" s="338"/>
      <c r="H106" s="338"/>
      <c r="I106" s="338"/>
      <c r="J106" s="338"/>
      <c r="K106" s="338"/>
      <c r="L106" s="356"/>
      <c r="M106" s="356"/>
      <c r="N106" s="321"/>
      <c r="O106" s="338"/>
      <c r="P106" s="321"/>
      <c r="Q106" s="321"/>
      <c r="R106" s="321"/>
      <c r="S106" s="321"/>
      <c r="T106" s="321"/>
      <c r="U106" s="338"/>
      <c r="V106" s="338"/>
      <c r="W106" s="338"/>
      <c r="X106" s="338"/>
      <c r="Y106" s="338"/>
      <c r="Z106" s="338"/>
    </row>
    <row r="107" ht="12.75" customHeight="1">
      <c r="A107" s="321"/>
      <c r="B107" s="338"/>
      <c r="C107" s="338"/>
      <c r="D107" s="415"/>
      <c r="E107" s="338"/>
      <c r="F107" s="338"/>
      <c r="G107" s="338"/>
      <c r="H107" s="338"/>
      <c r="I107" s="338"/>
      <c r="J107" s="338"/>
      <c r="K107" s="338"/>
      <c r="L107" s="356"/>
      <c r="M107" s="356"/>
      <c r="N107" s="321"/>
      <c r="O107" s="338"/>
      <c r="P107" s="321"/>
      <c r="Q107" s="321"/>
      <c r="R107" s="321"/>
      <c r="S107" s="321"/>
      <c r="T107" s="321"/>
      <c r="U107" s="338"/>
      <c r="V107" s="338"/>
      <c r="W107" s="338"/>
      <c r="X107" s="338"/>
      <c r="Y107" s="338"/>
      <c r="Z107" s="338"/>
    </row>
    <row r="108" ht="12.75" customHeight="1">
      <c r="A108" s="321"/>
      <c r="B108" s="338"/>
      <c r="C108" s="338"/>
      <c r="D108" s="415"/>
      <c r="E108" s="338"/>
      <c r="F108" s="338"/>
      <c r="G108" s="338"/>
      <c r="H108" s="338"/>
      <c r="I108" s="338"/>
      <c r="J108" s="338"/>
      <c r="K108" s="338"/>
      <c r="L108" s="356"/>
      <c r="M108" s="356"/>
      <c r="N108" s="321"/>
      <c r="O108" s="338"/>
      <c r="P108" s="321"/>
      <c r="Q108" s="321"/>
      <c r="R108" s="321"/>
      <c r="S108" s="321"/>
      <c r="T108" s="321"/>
      <c r="U108" s="338"/>
      <c r="V108" s="338"/>
      <c r="W108" s="338"/>
      <c r="X108" s="338"/>
      <c r="Y108" s="338"/>
      <c r="Z108" s="338"/>
    </row>
    <row r="109" ht="12.75" customHeight="1">
      <c r="A109" s="321"/>
      <c r="B109" s="338"/>
      <c r="C109" s="338"/>
      <c r="D109" s="415"/>
      <c r="E109" s="338"/>
      <c r="F109" s="338"/>
      <c r="G109" s="338"/>
      <c r="H109" s="338"/>
      <c r="I109" s="338"/>
      <c r="J109" s="338"/>
      <c r="K109" s="338"/>
      <c r="L109" s="356"/>
      <c r="M109" s="356"/>
      <c r="N109" s="321"/>
      <c r="O109" s="338"/>
      <c r="P109" s="321"/>
      <c r="Q109" s="321"/>
      <c r="R109" s="321"/>
      <c r="S109" s="321"/>
      <c r="T109" s="321"/>
      <c r="U109" s="338"/>
      <c r="V109" s="338"/>
      <c r="W109" s="338"/>
      <c r="X109" s="338"/>
      <c r="Y109" s="338"/>
      <c r="Z109" s="338"/>
    </row>
    <row r="110" ht="12.75" customHeight="1">
      <c r="A110" s="321"/>
      <c r="B110" s="338"/>
      <c r="C110" s="338"/>
      <c r="D110" s="415"/>
      <c r="E110" s="338"/>
      <c r="F110" s="338"/>
      <c r="G110" s="338"/>
      <c r="H110" s="338"/>
      <c r="I110" s="338"/>
      <c r="J110" s="338"/>
      <c r="K110" s="338"/>
      <c r="L110" s="356"/>
      <c r="M110" s="356"/>
      <c r="N110" s="321"/>
      <c r="O110" s="338"/>
      <c r="P110" s="321"/>
      <c r="Q110" s="321"/>
      <c r="R110" s="321"/>
      <c r="S110" s="321"/>
      <c r="T110" s="321"/>
      <c r="U110" s="338"/>
      <c r="V110" s="338"/>
      <c r="W110" s="338"/>
      <c r="X110" s="338"/>
      <c r="Y110" s="338"/>
      <c r="Z110" s="338"/>
    </row>
    <row r="111" ht="12.75" customHeight="1">
      <c r="A111" s="321"/>
      <c r="B111" s="338"/>
      <c r="C111" s="338"/>
      <c r="D111" s="415"/>
      <c r="E111" s="338"/>
      <c r="F111" s="338"/>
      <c r="G111" s="338"/>
      <c r="H111" s="338"/>
      <c r="I111" s="338"/>
      <c r="J111" s="338"/>
      <c r="K111" s="338"/>
      <c r="L111" s="356"/>
      <c r="M111" s="356"/>
      <c r="N111" s="321"/>
      <c r="O111" s="338"/>
      <c r="P111" s="321"/>
      <c r="Q111" s="321"/>
      <c r="R111" s="321"/>
      <c r="S111" s="321"/>
      <c r="T111" s="321"/>
      <c r="U111" s="338"/>
      <c r="V111" s="338"/>
      <c r="W111" s="338"/>
      <c r="X111" s="338"/>
      <c r="Y111" s="338"/>
      <c r="Z111" s="338"/>
    </row>
    <row r="112" ht="12.75" customHeight="1">
      <c r="A112" s="321"/>
      <c r="B112" s="338"/>
      <c r="C112" s="338"/>
      <c r="D112" s="415"/>
      <c r="E112" s="338"/>
      <c r="F112" s="338"/>
      <c r="G112" s="338"/>
      <c r="H112" s="338"/>
      <c r="I112" s="338"/>
      <c r="J112" s="338"/>
      <c r="K112" s="338"/>
      <c r="L112" s="356"/>
      <c r="M112" s="356"/>
      <c r="N112" s="321"/>
      <c r="O112" s="338"/>
      <c r="P112" s="321"/>
      <c r="Q112" s="321"/>
      <c r="R112" s="321"/>
      <c r="S112" s="321"/>
      <c r="T112" s="321"/>
      <c r="U112" s="338"/>
      <c r="V112" s="338"/>
      <c r="W112" s="338"/>
      <c r="X112" s="338"/>
      <c r="Y112" s="338"/>
      <c r="Z112" s="338"/>
    </row>
    <row r="113" ht="12.75" customHeight="1">
      <c r="A113" s="321"/>
      <c r="B113" s="338"/>
      <c r="C113" s="338"/>
      <c r="D113" s="415"/>
      <c r="E113" s="338"/>
      <c r="F113" s="338"/>
      <c r="G113" s="338"/>
      <c r="H113" s="338"/>
      <c r="I113" s="338"/>
      <c r="J113" s="338"/>
      <c r="K113" s="338"/>
      <c r="L113" s="356"/>
      <c r="M113" s="356"/>
      <c r="N113" s="321"/>
      <c r="O113" s="338"/>
      <c r="P113" s="321"/>
      <c r="Q113" s="321"/>
      <c r="R113" s="321"/>
      <c r="S113" s="321"/>
      <c r="T113" s="321"/>
      <c r="U113" s="338"/>
      <c r="V113" s="338"/>
      <c r="W113" s="338"/>
      <c r="X113" s="338"/>
      <c r="Y113" s="338"/>
      <c r="Z113" s="338"/>
    </row>
    <row r="114" ht="12.75" customHeight="1">
      <c r="A114" s="321"/>
      <c r="B114" s="338"/>
      <c r="C114" s="338"/>
      <c r="D114" s="415"/>
      <c r="E114" s="338"/>
      <c r="F114" s="338"/>
      <c r="G114" s="338"/>
      <c r="H114" s="338"/>
      <c r="I114" s="338"/>
      <c r="J114" s="338"/>
      <c r="K114" s="338"/>
      <c r="L114" s="356"/>
      <c r="M114" s="356"/>
      <c r="N114" s="321"/>
      <c r="O114" s="338"/>
      <c r="P114" s="321"/>
      <c r="Q114" s="321"/>
      <c r="R114" s="321"/>
      <c r="S114" s="321"/>
      <c r="T114" s="321"/>
      <c r="U114" s="338"/>
      <c r="V114" s="338"/>
      <c r="W114" s="338"/>
      <c r="X114" s="338"/>
      <c r="Y114" s="338"/>
      <c r="Z114" s="338"/>
    </row>
    <row r="115" ht="12.75" customHeight="1">
      <c r="A115" s="321"/>
      <c r="B115" s="338"/>
      <c r="C115" s="338"/>
      <c r="D115" s="415"/>
      <c r="E115" s="338"/>
      <c r="F115" s="338"/>
      <c r="G115" s="338"/>
      <c r="H115" s="338"/>
      <c r="I115" s="338"/>
      <c r="J115" s="338"/>
      <c r="K115" s="338"/>
      <c r="L115" s="356"/>
      <c r="M115" s="356"/>
      <c r="N115" s="321"/>
      <c r="O115" s="338"/>
      <c r="P115" s="321"/>
      <c r="Q115" s="321"/>
      <c r="R115" s="321"/>
      <c r="S115" s="321"/>
      <c r="T115" s="321"/>
      <c r="U115" s="338"/>
      <c r="V115" s="338"/>
      <c r="W115" s="338"/>
      <c r="X115" s="338"/>
      <c r="Y115" s="338"/>
      <c r="Z115" s="338"/>
    </row>
    <row r="116" ht="12.75" customHeight="1">
      <c r="A116" s="321"/>
      <c r="B116" s="338"/>
      <c r="C116" s="338"/>
      <c r="D116" s="415"/>
      <c r="E116" s="338"/>
      <c r="F116" s="338"/>
      <c r="G116" s="338"/>
      <c r="H116" s="338"/>
      <c r="I116" s="338"/>
      <c r="J116" s="338"/>
      <c r="K116" s="338"/>
      <c r="L116" s="356"/>
      <c r="M116" s="356"/>
      <c r="N116" s="321"/>
      <c r="O116" s="338"/>
      <c r="P116" s="338"/>
      <c r="Q116" s="338"/>
      <c r="R116" s="338"/>
      <c r="S116" s="338"/>
      <c r="T116" s="338"/>
      <c r="U116" s="338"/>
      <c r="V116" s="338"/>
      <c r="W116" s="338"/>
      <c r="X116" s="338"/>
      <c r="Y116" s="338"/>
      <c r="Z116" s="338"/>
    </row>
    <row r="117" ht="12.75" customHeight="1">
      <c r="A117" s="321"/>
      <c r="B117" s="338"/>
      <c r="C117" s="338"/>
      <c r="D117" s="415"/>
      <c r="E117" s="338"/>
      <c r="F117" s="338"/>
      <c r="G117" s="338"/>
      <c r="H117" s="338"/>
      <c r="I117" s="338"/>
      <c r="J117" s="338"/>
      <c r="K117" s="338"/>
      <c r="L117" s="356"/>
      <c r="M117" s="356"/>
      <c r="N117" s="321"/>
      <c r="O117" s="338"/>
      <c r="P117" s="338"/>
      <c r="Q117" s="338"/>
      <c r="R117" s="338"/>
      <c r="S117" s="338"/>
      <c r="T117" s="338"/>
      <c r="U117" s="338"/>
      <c r="V117" s="338"/>
      <c r="W117" s="338"/>
      <c r="X117" s="338"/>
      <c r="Y117" s="338"/>
      <c r="Z117" s="338"/>
    </row>
    <row r="118" ht="12.75" customHeight="1">
      <c r="A118" s="321"/>
      <c r="B118" s="338"/>
      <c r="C118" s="338"/>
      <c r="D118" s="415"/>
      <c r="E118" s="338"/>
      <c r="F118" s="338"/>
      <c r="G118" s="338"/>
      <c r="H118" s="338"/>
      <c r="I118" s="338"/>
      <c r="J118" s="338"/>
      <c r="K118" s="338"/>
      <c r="L118" s="356"/>
      <c r="M118" s="356"/>
      <c r="N118" s="321"/>
      <c r="O118" s="338"/>
      <c r="P118" s="338"/>
      <c r="Q118" s="338"/>
      <c r="R118" s="338"/>
      <c r="S118" s="338"/>
      <c r="T118" s="338"/>
      <c r="U118" s="338"/>
      <c r="V118" s="338"/>
      <c r="W118" s="338"/>
      <c r="X118" s="338"/>
      <c r="Y118" s="338"/>
      <c r="Z118" s="338"/>
    </row>
    <row r="119" ht="12.75" customHeight="1">
      <c r="A119" s="321"/>
      <c r="B119" s="338"/>
      <c r="C119" s="338"/>
      <c r="D119" s="415"/>
      <c r="E119" s="338"/>
      <c r="F119" s="338"/>
      <c r="G119" s="338"/>
      <c r="H119" s="338"/>
      <c r="I119" s="338"/>
      <c r="J119" s="338"/>
      <c r="K119" s="338"/>
      <c r="L119" s="356"/>
      <c r="M119" s="356"/>
      <c r="N119" s="321"/>
      <c r="O119" s="338"/>
      <c r="P119" s="338"/>
      <c r="Q119" s="338"/>
      <c r="R119" s="338"/>
      <c r="S119" s="338"/>
      <c r="T119" s="338"/>
      <c r="U119" s="338"/>
      <c r="V119" s="338"/>
      <c r="W119" s="338"/>
      <c r="X119" s="338"/>
      <c r="Y119" s="338"/>
      <c r="Z119" s="338"/>
    </row>
    <row r="120" ht="12.75" customHeight="1">
      <c r="A120" s="321"/>
      <c r="B120" s="338"/>
      <c r="C120" s="338"/>
      <c r="D120" s="415"/>
      <c r="E120" s="338"/>
      <c r="F120" s="338"/>
      <c r="G120" s="338"/>
      <c r="H120" s="338"/>
      <c r="I120" s="338"/>
      <c r="J120" s="338"/>
      <c r="K120" s="338"/>
      <c r="L120" s="356"/>
      <c r="M120" s="356"/>
      <c r="N120" s="321"/>
      <c r="O120" s="338"/>
      <c r="P120" s="338"/>
      <c r="Q120" s="338"/>
      <c r="R120" s="338"/>
      <c r="S120" s="338"/>
      <c r="T120" s="338"/>
      <c r="U120" s="338"/>
      <c r="V120" s="338"/>
      <c r="W120" s="338"/>
      <c r="X120" s="338"/>
      <c r="Y120" s="338"/>
      <c r="Z120" s="338"/>
    </row>
    <row r="121" ht="12.75" customHeight="1">
      <c r="A121" s="321"/>
      <c r="B121" s="338"/>
      <c r="C121" s="338"/>
      <c r="D121" s="415"/>
      <c r="E121" s="338"/>
      <c r="F121" s="338"/>
      <c r="G121" s="338"/>
      <c r="H121" s="338"/>
      <c r="I121" s="338"/>
      <c r="J121" s="338"/>
      <c r="K121" s="338"/>
      <c r="L121" s="356"/>
      <c r="M121" s="356"/>
      <c r="N121" s="321"/>
      <c r="O121" s="338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</row>
    <row r="122" ht="12.75" customHeight="1">
      <c r="A122" s="321"/>
      <c r="B122" s="338"/>
      <c r="C122" s="338"/>
      <c r="D122" s="415"/>
      <c r="E122" s="338"/>
      <c r="F122" s="338"/>
      <c r="G122" s="338"/>
      <c r="H122" s="338"/>
      <c r="I122" s="338"/>
      <c r="J122" s="338"/>
      <c r="K122" s="338"/>
      <c r="L122" s="356"/>
      <c r="M122" s="356"/>
      <c r="N122" s="321"/>
      <c r="O122" s="338"/>
      <c r="P122" s="338"/>
      <c r="Q122" s="338"/>
      <c r="R122" s="338"/>
      <c r="S122" s="338"/>
      <c r="T122" s="338"/>
      <c r="U122" s="338"/>
      <c r="V122" s="338"/>
      <c r="W122" s="338"/>
      <c r="X122" s="338"/>
      <c r="Y122" s="338"/>
      <c r="Z122" s="338"/>
    </row>
    <row r="123" ht="12.75" customHeight="1">
      <c r="A123" s="321"/>
      <c r="B123" s="338"/>
      <c r="C123" s="338"/>
      <c r="D123" s="415"/>
      <c r="E123" s="338"/>
      <c r="F123" s="338"/>
      <c r="G123" s="338"/>
      <c r="H123" s="338"/>
      <c r="I123" s="338"/>
      <c r="J123" s="338"/>
      <c r="K123" s="338"/>
      <c r="L123" s="356"/>
      <c r="M123" s="356"/>
      <c r="N123" s="321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</row>
    <row r="124" ht="12.75" customHeight="1">
      <c r="A124" s="321"/>
      <c r="B124" s="338"/>
      <c r="C124" s="338"/>
      <c r="D124" s="415"/>
      <c r="E124" s="338"/>
      <c r="F124" s="338"/>
      <c r="G124" s="338"/>
      <c r="H124" s="338"/>
      <c r="I124" s="338"/>
      <c r="J124" s="338"/>
      <c r="K124" s="338"/>
      <c r="L124" s="356"/>
      <c r="M124" s="356"/>
      <c r="N124" s="321"/>
      <c r="O124" s="338"/>
      <c r="P124" s="338"/>
      <c r="Q124" s="338"/>
      <c r="R124" s="338"/>
      <c r="S124" s="338"/>
      <c r="T124" s="338"/>
      <c r="U124" s="338"/>
      <c r="V124" s="338"/>
      <c r="W124" s="338"/>
      <c r="X124" s="338"/>
      <c r="Y124" s="338"/>
      <c r="Z124" s="338"/>
    </row>
    <row r="125" ht="12.75" customHeight="1">
      <c r="A125" s="321"/>
      <c r="B125" s="338"/>
      <c r="C125" s="338"/>
      <c r="D125" s="415"/>
      <c r="E125" s="338"/>
      <c r="F125" s="338"/>
      <c r="G125" s="338"/>
      <c r="H125" s="338"/>
      <c r="I125" s="338"/>
      <c r="J125" s="338"/>
      <c r="K125" s="338"/>
      <c r="L125" s="356"/>
      <c r="M125" s="356"/>
      <c r="N125" s="321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</row>
    <row r="126" ht="12.75" customHeight="1">
      <c r="A126" s="321"/>
      <c r="B126" s="338"/>
      <c r="C126" s="338"/>
      <c r="D126" s="415"/>
      <c r="E126" s="338"/>
      <c r="F126" s="338"/>
      <c r="G126" s="338"/>
      <c r="H126" s="338"/>
      <c r="I126" s="338"/>
      <c r="J126" s="338"/>
      <c r="K126" s="338"/>
      <c r="L126" s="356"/>
      <c r="M126" s="356"/>
      <c r="N126" s="321"/>
      <c r="O126" s="338"/>
      <c r="P126" s="338"/>
      <c r="Q126" s="338"/>
      <c r="R126" s="338"/>
      <c r="S126" s="338"/>
      <c r="T126" s="338"/>
      <c r="U126" s="338"/>
      <c r="V126" s="338"/>
      <c r="W126" s="338"/>
      <c r="X126" s="338"/>
      <c r="Y126" s="338"/>
      <c r="Z126" s="338"/>
    </row>
    <row r="127" ht="12.75" customHeight="1">
      <c r="A127" s="321"/>
      <c r="B127" s="338"/>
      <c r="C127" s="338"/>
      <c r="D127" s="415"/>
      <c r="E127" s="338"/>
      <c r="F127" s="338"/>
      <c r="G127" s="338"/>
      <c r="H127" s="338"/>
      <c r="I127" s="338"/>
      <c r="J127" s="338"/>
      <c r="K127" s="338"/>
      <c r="L127" s="356"/>
      <c r="M127" s="356"/>
      <c r="N127" s="321"/>
      <c r="O127" s="338"/>
      <c r="P127" s="338"/>
      <c r="Q127" s="338"/>
      <c r="R127" s="338"/>
      <c r="S127" s="338"/>
      <c r="T127" s="338"/>
      <c r="U127" s="338"/>
      <c r="V127" s="338"/>
      <c r="W127" s="338"/>
      <c r="X127" s="338"/>
      <c r="Y127" s="338"/>
      <c r="Z127" s="338"/>
    </row>
    <row r="128" ht="12.75" customHeight="1">
      <c r="A128" s="321"/>
      <c r="B128" s="338"/>
      <c r="C128" s="338"/>
      <c r="D128" s="415"/>
      <c r="E128" s="338"/>
      <c r="F128" s="338"/>
      <c r="G128" s="338"/>
      <c r="H128" s="338"/>
      <c r="I128" s="338"/>
      <c r="J128" s="338"/>
      <c r="K128" s="338"/>
      <c r="L128" s="356"/>
      <c r="M128" s="356"/>
      <c r="N128" s="321"/>
      <c r="O128" s="338"/>
      <c r="P128" s="338"/>
      <c r="Q128" s="338"/>
      <c r="R128" s="338"/>
      <c r="S128" s="338"/>
      <c r="T128" s="338"/>
      <c r="U128" s="338"/>
      <c r="V128" s="338"/>
      <c r="W128" s="338"/>
      <c r="X128" s="338"/>
      <c r="Y128" s="338"/>
      <c r="Z128" s="338"/>
    </row>
    <row r="129" ht="12.75" customHeight="1">
      <c r="A129" s="321"/>
      <c r="B129" s="338"/>
      <c r="C129" s="338"/>
      <c r="D129" s="415"/>
      <c r="E129" s="338"/>
      <c r="F129" s="338"/>
      <c r="G129" s="338"/>
      <c r="H129" s="338"/>
      <c r="I129" s="338"/>
      <c r="J129" s="338"/>
      <c r="K129" s="338"/>
      <c r="L129" s="356"/>
      <c r="M129" s="356"/>
      <c r="N129" s="321"/>
      <c r="O129" s="338"/>
      <c r="P129" s="338"/>
      <c r="Q129" s="338"/>
      <c r="R129" s="338"/>
      <c r="S129" s="338"/>
      <c r="T129" s="338"/>
      <c r="U129" s="338"/>
      <c r="V129" s="338"/>
      <c r="W129" s="338"/>
      <c r="X129" s="338"/>
      <c r="Y129" s="338"/>
      <c r="Z129" s="338"/>
    </row>
    <row r="130" ht="12.75" customHeight="1">
      <c r="A130" s="321"/>
      <c r="B130" s="338"/>
      <c r="C130" s="338"/>
      <c r="D130" s="415"/>
      <c r="E130" s="338"/>
      <c r="F130" s="338"/>
      <c r="G130" s="338"/>
      <c r="H130" s="338"/>
      <c r="I130" s="338"/>
      <c r="J130" s="338"/>
      <c r="K130" s="338"/>
      <c r="L130" s="356"/>
      <c r="M130" s="356"/>
      <c r="N130" s="321"/>
      <c r="O130" s="338"/>
      <c r="P130" s="338"/>
      <c r="Q130" s="338"/>
      <c r="R130" s="338"/>
      <c r="S130" s="338"/>
      <c r="T130" s="338"/>
      <c r="U130" s="338"/>
      <c r="V130" s="338"/>
      <c r="W130" s="338"/>
      <c r="X130" s="338"/>
      <c r="Y130" s="338"/>
      <c r="Z130" s="338"/>
    </row>
    <row r="131" ht="12.75" customHeight="1">
      <c r="A131" s="321"/>
      <c r="B131" s="338"/>
      <c r="C131" s="338"/>
      <c r="D131" s="415"/>
      <c r="E131" s="338"/>
      <c r="F131" s="338"/>
      <c r="G131" s="338"/>
      <c r="H131" s="338"/>
      <c r="I131" s="338"/>
      <c r="J131" s="338"/>
      <c r="K131" s="338"/>
      <c r="L131" s="356"/>
      <c r="M131" s="356"/>
      <c r="N131" s="321"/>
      <c r="O131" s="338"/>
      <c r="P131" s="338"/>
      <c r="Q131" s="338"/>
      <c r="R131" s="338"/>
      <c r="S131" s="338"/>
      <c r="T131" s="338"/>
      <c r="U131" s="338"/>
      <c r="V131" s="338"/>
      <c r="W131" s="338"/>
      <c r="X131" s="338"/>
      <c r="Y131" s="338"/>
      <c r="Z131" s="338"/>
    </row>
    <row r="132" ht="12.75" customHeight="1">
      <c r="A132" s="321"/>
      <c r="B132" s="338"/>
      <c r="C132" s="338"/>
      <c r="D132" s="415"/>
      <c r="E132" s="338"/>
      <c r="F132" s="338"/>
      <c r="G132" s="338"/>
      <c r="H132" s="338"/>
      <c r="I132" s="338"/>
      <c r="J132" s="338"/>
      <c r="K132" s="338"/>
      <c r="L132" s="356"/>
      <c r="M132" s="356"/>
      <c r="N132" s="321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</row>
    <row r="133" ht="12.75" customHeight="1">
      <c r="A133" s="321"/>
      <c r="B133" s="338"/>
      <c r="C133" s="338"/>
      <c r="D133" s="415"/>
      <c r="E133" s="338"/>
      <c r="F133" s="338"/>
      <c r="G133" s="338"/>
      <c r="H133" s="338"/>
      <c r="I133" s="338"/>
      <c r="J133" s="338"/>
      <c r="K133" s="338"/>
      <c r="L133" s="356"/>
      <c r="M133" s="356"/>
      <c r="N133" s="321"/>
      <c r="O133" s="338"/>
      <c r="P133" s="338"/>
      <c r="Q133" s="338"/>
      <c r="R133" s="338"/>
      <c r="S133" s="338"/>
      <c r="T133" s="338"/>
      <c r="U133" s="338"/>
      <c r="V133" s="338"/>
      <c r="W133" s="338"/>
      <c r="X133" s="338"/>
      <c r="Y133" s="338"/>
      <c r="Z133" s="338"/>
    </row>
    <row r="134" ht="12.75" customHeight="1">
      <c r="A134" s="321"/>
      <c r="B134" s="338"/>
      <c r="C134" s="338"/>
      <c r="D134" s="415"/>
      <c r="E134" s="338"/>
      <c r="F134" s="338"/>
      <c r="G134" s="338"/>
      <c r="H134" s="338"/>
      <c r="I134" s="338"/>
      <c r="J134" s="338"/>
      <c r="K134" s="338"/>
      <c r="L134" s="356"/>
      <c r="M134" s="356"/>
      <c r="N134" s="321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</row>
    <row r="135" ht="12.75" customHeight="1">
      <c r="A135" s="321"/>
      <c r="B135" s="338"/>
      <c r="C135" s="338"/>
      <c r="D135" s="415"/>
      <c r="E135" s="338"/>
      <c r="F135" s="338"/>
      <c r="G135" s="338"/>
      <c r="H135" s="338"/>
      <c r="I135" s="338"/>
      <c r="J135" s="338"/>
      <c r="K135" s="338"/>
      <c r="L135" s="356"/>
      <c r="M135" s="356"/>
      <c r="N135" s="321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</row>
    <row r="136" ht="12.75" customHeight="1">
      <c r="A136" s="321"/>
      <c r="B136" s="338"/>
      <c r="C136" s="338"/>
      <c r="D136" s="415"/>
      <c r="E136" s="338"/>
      <c r="F136" s="338"/>
      <c r="G136" s="338"/>
      <c r="H136" s="338"/>
      <c r="I136" s="338"/>
      <c r="J136" s="338"/>
      <c r="K136" s="338"/>
      <c r="L136" s="356"/>
      <c r="M136" s="356"/>
      <c r="N136" s="321"/>
      <c r="O136" s="338"/>
      <c r="P136" s="338"/>
      <c r="Q136" s="338"/>
      <c r="R136" s="338"/>
      <c r="S136" s="338"/>
      <c r="T136" s="338"/>
      <c r="U136" s="338"/>
      <c r="V136" s="338"/>
      <c r="W136" s="338"/>
      <c r="X136" s="338"/>
      <c r="Y136" s="338"/>
      <c r="Z136" s="338"/>
    </row>
    <row r="137" ht="12.75" customHeight="1">
      <c r="A137" s="321"/>
      <c r="B137" s="338"/>
      <c r="C137" s="338"/>
      <c r="D137" s="415"/>
      <c r="E137" s="338"/>
      <c r="F137" s="338"/>
      <c r="G137" s="338"/>
      <c r="H137" s="338"/>
      <c r="I137" s="338"/>
      <c r="J137" s="338"/>
      <c r="K137" s="338"/>
      <c r="L137" s="356"/>
      <c r="M137" s="356"/>
      <c r="N137" s="321"/>
      <c r="O137" s="338"/>
      <c r="P137" s="338"/>
      <c r="Q137" s="338"/>
      <c r="R137" s="338"/>
      <c r="S137" s="338"/>
      <c r="T137" s="338"/>
      <c r="U137" s="338"/>
      <c r="V137" s="338"/>
      <c r="W137" s="338"/>
      <c r="X137" s="338"/>
      <c r="Y137" s="338"/>
      <c r="Z137" s="338"/>
    </row>
    <row r="138" ht="12.75" customHeight="1">
      <c r="A138" s="321"/>
      <c r="B138" s="338"/>
      <c r="C138" s="338"/>
      <c r="D138" s="415"/>
      <c r="E138" s="338"/>
      <c r="F138" s="338"/>
      <c r="G138" s="338"/>
      <c r="H138" s="338"/>
      <c r="I138" s="338"/>
      <c r="J138" s="338"/>
      <c r="K138" s="338"/>
      <c r="L138" s="356"/>
      <c r="M138" s="356"/>
      <c r="N138" s="321"/>
      <c r="O138" s="338"/>
      <c r="P138" s="338"/>
      <c r="Q138" s="338"/>
      <c r="R138" s="338"/>
      <c r="S138" s="338"/>
      <c r="T138" s="338"/>
      <c r="U138" s="338"/>
      <c r="V138" s="338"/>
      <c r="W138" s="338"/>
      <c r="X138" s="338"/>
      <c r="Y138" s="338"/>
      <c r="Z138" s="338"/>
    </row>
    <row r="139" ht="12.75" customHeight="1">
      <c r="A139" s="321"/>
      <c r="B139" s="338"/>
      <c r="C139" s="338"/>
      <c r="D139" s="415"/>
      <c r="E139" s="338"/>
      <c r="F139" s="338"/>
      <c r="G139" s="338"/>
      <c r="H139" s="338"/>
      <c r="I139" s="338"/>
      <c r="J139" s="338"/>
      <c r="K139" s="338"/>
      <c r="L139" s="356"/>
      <c r="M139" s="356"/>
      <c r="N139" s="321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8"/>
      <c r="Z139" s="338"/>
    </row>
    <row r="140" ht="12.75" customHeight="1">
      <c r="A140" s="321"/>
      <c r="B140" s="338"/>
      <c r="C140" s="338"/>
      <c r="D140" s="415"/>
      <c r="E140" s="338"/>
      <c r="F140" s="338"/>
      <c r="G140" s="338"/>
      <c r="H140" s="338"/>
      <c r="I140" s="338"/>
      <c r="J140" s="338"/>
      <c r="K140" s="338"/>
      <c r="L140" s="356"/>
      <c r="M140" s="356"/>
      <c r="N140" s="321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</row>
    <row r="141" ht="12.75" customHeight="1">
      <c r="A141" s="321"/>
      <c r="B141" s="338"/>
      <c r="C141" s="338"/>
      <c r="D141" s="415"/>
      <c r="E141" s="338"/>
      <c r="F141" s="338"/>
      <c r="G141" s="338"/>
      <c r="H141" s="338"/>
      <c r="I141" s="338"/>
      <c r="J141" s="338"/>
      <c r="K141" s="338"/>
      <c r="L141" s="356"/>
      <c r="M141" s="356"/>
      <c r="N141" s="321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</row>
    <row r="142" ht="12.75" customHeight="1">
      <c r="A142" s="321"/>
      <c r="B142" s="338"/>
      <c r="C142" s="338"/>
      <c r="D142" s="415"/>
      <c r="E142" s="338"/>
      <c r="F142" s="338"/>
      <c r="G142" s="338"/>
      <c r="H142" s="338"/>
      <c r="I142" s="338"/>
      <c r="J142" s="338"/>
      <c r="K142" s="338"/>
      <c r="L142" s="356"/>
      <c r="M142" s="356"/>
      <c r="N142" s="321"/>
      <c r="O142" s="338"/>
      <c r="P142" s="338"/>
      <c r="Q142" s="338"/>
      <c r="R142" s="338"/>
      <c r="S142" s="338"/>
      <c r="T142" s="338"/>
      <c r="U142" s="338"/>
      <c r="V142" s="338"/>
      <c r="W142" s="338"/>
      <c r="X142" s="338"/>
      <c r="Y142" s="338"/>
      <c r="Z142" s="338"/>
    </row>
    <row r="143" ht="12.75" customHeight="1">
      <c r="A143" s="321"/>
      <c r="B143" s="338"/>
      <c r="C143" s="338"/>
      <c r="D143" s="415"/>
      <c r="E143" s="338"/>
      <c r="F143" s="338"/>
      <c r="G143" s="338"/>
      <c r="H143" s="338"/>
      <c r="I143" s="338"/>
      <c r="J143" s="338"/>
      <c r="K143" s="338"/>
      <c r="L143" s="356"/>
      <c r="M143" s="356"/>
      <c r="N143" s="321"/>
      <c r="O143" s="338"/>
      <c r="P143" s="338"/>
      <c r="Q143" s="338"/>
      <c r="R143" s="338"/>
      <c r="S143" s="338"/>
      <c r="T143" s="338"/>
      <c r="U143" s="338"/>
      <c r="V143" s="338"/>
      <c r="W143" s="338"/>
      <c r="X143" s="338"/>
      <c r="Y143" s="338"/>
      <c r="Z143" s="338"/>
    </row>
    <row r="144" ht="12.75" customHeight="1">
      <c r="A144" s="321"/>
      <c r="B144" s="338"/>
      <c r="C144" s="338"/>
      <c r="D144" s="415"/>
      <c r="E144" s="338"/>
      <c r="F144" s="338"/>
      <c r="G144" s="338"/>
      <c r="H144" s="338"/>
      <c r="I144" s="338"/>
      <c r="J144" s="338"/>
      <c r="K144" s="338"/>
      <c r="L144" s="356"/>
      <c r="M144" s="356"/>
      <c r="N144" s="321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</row>
    <row r="145" ht="12.75" customHeight="1">
      <c r="A145" s="321"/>
      <c r="B145" s="338"/>
      <c r="C145" s="338"/>
      <c r="D145" s="415"/>
      <c r="E145" s="338"/>
      <c r="F145" s="338"/>
      <c r="G145" s="338"/>
      <c r="H145" s="338"/>
      <c r="I145" s="338"/>
      <c r="J145" s="338"/>
      <c r="K145" s="338"/>
      <c r="L145" s="356"/>
      <c r="M145" s="356"/>
      <c r="N145" s="321"/>
      <c r="O145" s="338"/>
      <c r="P145" s="338"/>
      <c r="Q145" s="338"/>
      <c r="R145" s="338"/>
      <c r="S145" s="338"/>
      <c r="T145" s="338"/>
      <c r="U145" s="338"/>
      <c r="V145" s="338"/>
      <c r="W145" s="338"/>
      <c r="X145" s="338"/>
      <c r="Y145" s="338"/>
      <c r="Z145" s="338"/>
    </row>
    <row r="146" ht="12.75" customHeight="1">
      <c r="A146" s="321"/>
      <c r="B146" s="338"/>
      <c r="C146" s="338"/>
      <c r="D146" s="415"/>
      <c r="E146" s="338"/>
      <c r="F146" s="338"/>
      <c r="G146" s="338"/>
      <c r="H146" s="338"/>
      <c r="I146" s="338"/>
      <c r="J146" s="338"/>
      <c r="K146" s="338"/>
      <c r="L146" s="356"/>
      <c r="M146" s="356"/>
      <c r="N146" s="321"/>
      <c r="O146" s="338"/>
      <c r="P146" s="338"/>
      <c r="Q146" s="338"/>
      <c r="R146" s="338"/>
      <c r="S146" s="338"/>
      <c r="T146" s="338"/>
      <c r="U146" s="338"/>
      <c r="V146" s="338"/>
      <c r="W146" s="338"/>
      <c r="X146" s="338"/>
      <c r="Y146" s="338"/>
      <c r="Z146" s="338"/>
    </row>
    <row r="147" ht="12.75" customHeight="1">
      <c r="A147" s="321"/>
      <c r="B147" s="338"/>
      <c r="C147" s="338"/>
      <c r="D147" s="415"/>
      <c r="E147" s="338"/>
      <c r="F147" s="338"/>
      <c r="G147" s="338"/>
      <c r="H147" s="338"/>
      <c r="I147" s="338"/>
      <c r="J147" s="338"/>
      <c r="K147" s="338"/>
      <c r="L147" s="356"/>
      <c r="M147" s="356"/>
      <c r="N147" s="321"/>
      <c r="O147" s="338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</row>
    <row r="148" ht="12.75" customHeight="1">
      <c r="A148" s="321"/>
      <c r="B148" s="338"/>
      <c r="C148" s="338"/>
      <c r="D148" s="415"/>
      <c r="E148" s="338"/>
      <c r="F148" s="338"/>
      <c r="G148" s="338"/>
      <c r="H148" s="338"/>
      <c r="I148" s="338"/>
      <c r="J148" s="338"/>
      <c r="K148" s="338"/>
      <c r="L148" s="356"/>
      <c r="M148" s="356"/>
      <c r="N148" s="321"/>
      <c r="O148" s="338"/>
      <c r="P148" s="338"/>
      <c r="Q148" s="338"/>
      <c r="R148" s="338"/>
      <c r="S148" s="338"/>
      <c r="T148" s="338"/>
      <c r="U148" s="338"/>
      <c r="V148" s="338"/>
      <c r="W148" s="338"/>
      <c r="X148" s="338"/>
      <c r="Y148" s="338"/>
      <c r="Z148" s="338"/>
    </row>
    <row r="149" ht="12.75" customHeight="1">
      <c r="A149" s="321"/>
      <c r="B149" s="338"/>
      <c r="C149" s="338"/>
      <c r="D149" s="415"/>
      <c r="E149" s="338"/>
      <c r="F149" s="338"/>
      <c r="G149" s="338"/>
      <c r="H149" s="338"/>
      <c r="I149" s="338"/>
      <c r="J149" s="338"/>
      <c r="K149" s="338"/>
      <c r="L149" s="356"/>
      <c r="M149" s="356"/>
      <c r="N149" s="321"/>
      <c r="O149" s="338"/>
      <c r="P149" s="338"/>
      <c r="Q149" s="338"/>
      <c r="R149" s="338"/>
      <c r="S149" s="338"/>
      <c r="T149" s="338"/>
      <c r="U149" s="338"/>
      <c r="V149" s="338"/>
      <c r="W149" s="338"/>
      <c r="X149" s="338"/>
      <c r="Y149" s="338"/>
      <c r="Z149" s="338"/>
    </row>
    <row r="150" ht="12.75" customHeight="1">
      <c r="A150" s="321"/>
      <c r="B150" s="338"/>
      <c r="C150" s="338"/>
      <c r="D150" s="415"/>
      <c r="E150" s="338"/>
      <c r="F150" s="338"/>
      <c r="G150" s="338"/>
      <c r="H150" s="338"/>
      <c r="I150" s="338"/>
      <c r="J150" s="338"/>
      <c r="K150" s="338"/>
      <c r="L150" s="356"/>
      <c r="M150" s="356"/>
      <c r="N150" s="321"/>
      <c r="O150" s="338"/>
      <c r="P150" s="338"/>
      <c r="Q150" s="338"/>
      <c r="R150" s="338"/>
      <c r="S150" s="338"/>
      <c r="T150" s="338"/>
      <c r="U150" s="338"/>
      <c r="V150" s="338"/>
      <c r="W150" s="338"/>
      <c r="X150" s="338"/>
      <c r="Y150" s="338"/>
      <c r="Z150" s="338"/>
    </row>
    <row r="151" ht="12.75" customHeight="1">
      <c r="A151" s="321"/>
      <c r="B151" s="338"/>
      <c r="C151" s="338"/>
      <c r="D151" s="415"/>
      <c r="E151" s="338"/>
      <c r="F151" s="338"/>
      <c r="G151" s="338"/>
      <c r="H151" s="338"/>
      <c r="I151" s="338"/>
      <c r="J151" s="338"/>
      <c r="K151" s="338"/>
      <c r="L151" s="356"/>
      <c r="M151" s="356"/>
      <c r="N151" s="321"/>
      <c r="O151" s="338"/>
      <c r="P151" s="338"/>
      <c r="Q151" s="338"/>
      <c r="R151" s="338"/>
      <c r="S151" s="338"/>
      <c r="T151" s="338"/>
      <c r="U151" s="338"/>
      <c r="V151" s="338"/>
      <c r="W151" s="338"/>
      <c r="X151" s="338"/>
      <c r="Y151" s="338"/>
      <c r="Z151" s="338"/>
    </row>
    <row r="152" ht="12.75" customHeight="1">
      <c r="A152" s="321"/>
      <c r="B152" s="338"/>
      <c r="C152" s="338"/>
      <c r="D152" s="415"/>
      <c r="E152" s="338"/>
      <c r="F152" s="338"/>
      <c r="G152" s="338"/>
      <c r="H152" s="338"/>
      <c r="I152" s="338"/>
      <c r="J152" s="338"/>
      <c r="K152" s="338"/>
      <c r="L152" s="356"/>
      <c r="M152" s="356"/>
      <c r="N152" s="321"/>
      <c r="O152" s="338"/>
      <c r="P152" s="338"/>
      <c r="Q152" s="338"/>
      <c r="R152" s="338"/>
      <c r="S152" s="338"/>
      <c r="T152" s="338"/>
      <c r="U152" s="338"/>
      <c r="V152" s="338"/>
      <c r="W152" s="338"/>
      <c r="X152" s="338"/>
      <c r="Y152" s="338"/>
      <c r="Z152" s="338"/>
    </row>
    <row r="153" ht="12.75" customHeight="1">
      <c r="A153" s="321"/>
      <c r="B153" s="338"/>
      <c r="C153" s="338"/>
      <c r="D153" s="415"/>
      <c r="E153" s="338"/>
      <c r="F153" s="338"/>
      <c r="G153" s="338"/>
      <c r="H153" s="338"/>
      <c r="I153" s="338"/>
      <c r="J153" s="338"/>
      <c r="K153" s="338"/>
      <c r="L153" s="356"/>
      <c r="M153" s="356"/>
      <c r="N153" s="321"/>
      <c r="O153" s="338"/>
      <c r="P153" s="338"/>
      <c r="Q153" s="338"/>
      <c r="R153" s="338"/>
      <c r="S153" s="338"/>
      <c r="T153" s="338"/>
      <c r="U153" s="338"/>
      <c r="V153" s="338"/>
      <c r="W153" s="338"/>
      <c r="X153" s="338"/>
      <c r="Y153" s="338"/>
      <c r="Z153" s="338"/>
    </row>
    <row r="154" ht="12.75" customHeight="1">
      <c r="A154" s="321"/>
      <c r="B154" s="338"/>
      <c r="C154" s="338"/>
      <c r="D154" s="415"/>
      <c r="E154" s="338"/>
      <c r="F154" s="338"/>
      <c r="G154" s="338"/>
      <c r="H154" s="338"/>
      <c r="I154" s="338"/>
      <c r="J154" s="338"/>
      <c r="K154" s="338"/>
      <c r="L154" s="356"/>
      <c r="M154" s="356"/>
      <c r="N154" s="321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</row>
    <row r="155" ht="12.75" customHeight="1">
      <c r="A155" s="321"/>
      <c r="B155" s="338"/>
      <c r="C155" s="338"/>
      <c r="D155" s="415"/>
      <c r="E155" s="338"/>
      <c r="F155" s="338"/>
      <c r="G155" s="338"/>
      <c r="H155" s="338"/>
      <c r="I155" s="338"/>
      <c r="J155" s="338"/>
      <c r="K155" s="338"/>
      <c r="L155" s="356"/>
      <c r="M155" s="356"/>
      <c r="N155" s="321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</row>
    <row r="156" ht="12.75" customHeight="1">
      <c r="A156" s="321"/>
      <c r="B156" s="338"/>
      <c r="C156" s="338"/>
      <c r="D156" s="415"/>
      <c r="E156" s="338"/>
      <c r="F156" s="338"/>
      <c r="G156" s="338"/>
      <c r="H156" s="338"/>
      <c r="I156" s="338"/>
      <c r="J156" s="338"/>
      <c r="K156" s="338"/>
      <c r="L156" s="356"/>
      <c r="M156" s="356"/>
      <c r="N156" s="321"/>
      <c r="O156" s="338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</row>
    <row r="157" ht="12.75" customHeight="1">
      <c r="A157" s="321"/>
      <c r="B157" s="338"/>
      <c r="C157" s="338"/>
      <c r="D157" s="415"/>
      <c r="E157" s="338"/>
      <c r="F157" s="338"/>
      <c r="G157" s="338"/>
      <c r="H157" s="338"/>
      <c r="I157" s="338"/>
      <c r="J157" s="338"/>
      <c r="K157" s="338"/>
      <c r="L157" s="356"/>
      <c r="M157" s="356"/>
      <c r="N157" s="321"/>
      <c r="O157" s="338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</row>
    <row r="158" ht="12.75" customHeight="1">
      <c r="A158" s="321"/>
      <c r="B158" s="338"/>
      <c r="C158" s="338"/>
      <c r="D158" s="415"/>
      <c r="E158" s="338"/>
      <c r="F158" s="338"/>
      <c r="G158" s="338"/>
      <c r="H158" s="338"/>
      <c r="I158" s="338"/>
      <c r="J158" s="338"/>
      <c r="K158" s="338"/>
      <c r="L158" s="356"/>
      <c r="M158" s="356"/>
      <c r="N158" s="321"/>
      <c r="O158" s="338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</row>
    <row r="159" ht="12.75" customHeight="1">
      <c r="A159" s="321"/>
      <c r="B159" s="338"/>
      <c r="C159" s="338"/>
      <c r="D159" s="415"/>
      <c r="E159" s="338"/>
      <c r="F159" s="338"/>
      <c r="G159" s="338"/>
      <c r="H159" s="338"/>
      <c r="I159" s="338"/>
      <c r="J159" s="338"/>
      <c r="K159" s="338"/>
      <c r="L159" s="356"/>
      <c r="M159" s="356"/>
      <c r="N159" s="321"/>
      <c r="O159" s="338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</row>
    <row r="160" ht="12.75" customHeight="1">
      <c r="A160" s="321"/>
      <c r="B160" s="338"/>
      <c r="C160" s="338"/>
      <c r="D160" s="415"/>
      <c r="E160" s="338"/>
      <c r="F160" s="338"/>
      <c r="G160" s="338"/>
      <c r="H160" s="338"/>
      <c r="I160" s="338"/>
      <c r="J160" s="338"/>
      <c r="K160" s="338"/>
      <c r="L160" s="356"/>
      <c r="M160" s="356"/>
      <c r="N160" s="321"/>
      <c r="O160" s="338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</row>
    <row r="161" ht="12.75" customHeight="1">
      <c r="A161" s="321"/>
      <c r="B161" s="338"/>
      <c r="C161" s="338"/>
      <c r="D161" s="415"/>
      <c r="E161" s="338"/>
      <c r="F161" s="338"/>
      <c r="G161" s="338"/>
      <c r="H161" s="338"/>
      <c r="I161" s="338"/>
      <c r="J161" s="338"/>
      <c r="K161" s="338"/>
      <c r="L161" s="356"/>
      <c r="M161" s="356"/>
      <c r="N161" s="321"/>
      <c r="O161" s="338"/>
      <c r="P161" s="338"/>
      <c r="Q161" s="338"/>
      <c r="R161" s="338"/>
      <c r="S161" s="338"/>
      <c r="T161" s="338"/>
      <c r="U161" s="338"/>
      <c r="V161" s="338"/>
      <c r="W161" s="338"/>
      <c r="X161" s="338"/>
      <c r="Y161" s="338"/>
      <c r="Z161" s="338"/>
    </row>
    <row r="162" ht="12.75" customHeight="1">
      <c r="A162" s="321"/>
      <c r="B162" s="338"/>
      <c r="C162" s="338"/>
      <c r="D162" s="415"/>
      <c r="E162" s="338"/>
      <c r="F162" s="338"/>
      <c r="G162" s="338"/>
      <c r="H162" s="338"/>
      <c r="I162" s="338"/>
      <c r="J162" s="338"/>
      <c r="K162" s="338"/>
      <c r="L162" s="356"/>
      <c r="M162" s="356"/>
      <c r="N162" s="321"/>
      <c r="O162" s="338"/>
      <c r="P162" s="338"/>
      <c r="Q162" s="338"/>
      <c r="R162" s="338"/>
      <c r="S162" s="338"/>
      <c r="T162" s="338"/>
      <c r="U162" s="338"/>
      <c r="V162" s="338"/>
      <c r="W162" s="338"/>
      <c r="X162" s="338"/>
      <c r="Y162" s="338"/>
      <c r="Z162" s="338"/>
    </row>
    <row r="163" ht="12.75" customHeight="1">
      <c r="A163" s="321"/>
      <c r="B163" s="338"/>
      <c r="C163" s="338"/>
      <c r="D163" s="415"/>
      <c r="E163" s="338"/>
      <c r="F163" s="338"/>
      <c r="G163" s="338"/>
      <c r="H163" s="338"/>
      <c r="I163" s="338"/>
      <c r="J163" s="338"/>
      <c r="K163" s="338"/>
      <c r="L163" s="356"/>
      <c r="M163" s="356"/>
      <c r="N163" s="321"/>
      <c r="O163" s="338"/>
      <c r="P163" s="338"/>
      <c r="Q163" s="338"/>
      <c r="R163" s="338"/>
      <c r="S163" s="338"/>
      <c r="T163" s="338"/>
      <c r="U163" s="338"/>
      <c r="V163" s="338"/>
      <c r="W163" s="338"/>
      <c r="X163" s="338"/>
      <c r="Y163" s="338"/>
      <c r="Z163" s="338"/>
    </row>
    <row r="164" ht="12.75" customHeight="1">
      <c r="A164" s="321"/>
      <c r="B164" s="338"/>
      <c r="C164" s="338"/>
      <c r="D164" s="415"/>
      <c r="E164" s="338"/>
      <c r="F164" s="338"/>
      <c r="G164" s="338"/>
      <c r="H164" s="338"/>
      <c r="I164" s="338"/>
      <c r="J164" s="338"/>
      <c r="K164" s="338"/>
      <c r="L164" s="356"/>
      <c r="M164" s="356"/>
      <c r="N164" s="321"/>
      <c r="O164" s="338"/>
      <c r="P164" s="338"/>
      <c r="Q164" s="338"/>
      <c r="R164" s="338"/>
      <c r="S164" s="338"/>
      <c r="T164" s="338"/>
      <c r="U164" s="338"/>
      <c r="V164" s="338"/>
      <c r="W164" s="338"/>
      <c r="X164" s="338"/>
      <c r="Y164" s="338"/>
      <c r="Z164" s="338"/>
    </row>
    <row r="165" ht="12.75" customHeight="1">
      <c r="A165" s="321"/>
      <c r="B165" s="338"/>
      <c r="C165" s="338"/>
      <c r="D165" s="415"/>
      <c r="E165" s="338"/>
      <c r="F165" s="338"/>
      <c r="G165" s="338"/>
      <c r="H165" s="338"/>
      <c r="I165" s="338"/>
      <c r="J165" s="338"/>
      <c r="K165" s="338"/>
      <c r="L165" s="356"/>
      <c r="M165" s="356"/>
      <c r="N165" s="321"/>
      <c r="O165" s="338"/>
      <c r="P165" s="338"/>
      <c r="Q165" s="338"/>
      <c r="R165" s="338"/>
      <c r="S165" s="338"/>
      <c r="T165" s="338"/>
      <c r="U165" s="338"/>
      <c r="V165" s="338"/>
      <c r="W165" s="338"/>
      <c r="X165" s="338"/>
      <c r="Y165" s="338"/>
      <c r="Z165" s="338"/>
    </row>
    <row r="166" ht="12.75" customHeight="1">
      <c r="A166" s="321"/>
      <c r="B166" s="338"/>
      <c r="C166" s="338"/>
      <c r="D166" s="415"/>
      <c r="E166" s="338"/>
      <c r="F166" s="338"/>
      <c r="G166" s="338"/>
      <c r="H166" s="338"/>
      <c r="I166" s="338"/>
      <c r="J166" s="338"/>
      <c r="K166" s="338"/>
      <c r="L166" s="356"/>
      <c r="M166" s="356"/>
      <c r="N166" s="321"/>
      <c r="O166" s="338"/>
      <c r="P166" s="338"/>
      <c r="Q166" s="338"/>
      <c r="R166" s="338"/>
      <c r="S166" s="338"/>
      <c r="T166" s="338"/>
      <c r="U166" s="338"/>
      <c r="V166" s="338"/>
      <c r="W166" s="338"/>
      <c r="X166" s="338"/>
      <c r="Y166" s="338"/>
      <c r="Z166" s="338"/>
    </row>
    <row r="167" ht="12.75" customHeight="1">
      <c r="A167" s="321"/>
      <c r="B167" s="338"/>
      <c r="C167" s="338"/>
      <c r="D167" s="415"/>
      <c r="E167" s="338"/>
      <c r="F167" s="338"/>
      <c r="G167" s="338"/>
      <c r="H167" s="338"/>
      <c r="I167" s="338"/>
      <c r="J167" s="338"/>
      <c r="K167" s="338"/>
      <c r="L167" s="356"/>
      <c r="M167" s="356"/>
      <c r="N167" s="321"/>
      <c r="O167" s="338"/>
      <c r="P167" s="338"/>
      <c r="Q167" s="338"/>
      <c r="R167" s="338"/>
      <c r="S167" s="338"/>
      <c r="T167" s="338"/>
      <c r="U167" s="338"/>
      <c r="V167" s="338"/>
      <c r="W167" s="338"/>
      <c r="X167" s="338"/>
      <c r="Y167" s="338"/>
      <c r="Z167" s="338"/>
    </row>
    <row r="168" ht="12.75" customHeight="1">
      <c r="A168" s="321"/>
      <c r="B168" s="338"/>
      <c r="C168" s="338"/>
      <c r="D168" s="415"/>
      <c r="E168" s="338"/>
      <c r="F168" s="338"/>
      <c r="G168" s="338"/>
      <c r="H168" s="338"/>
      <c r="I168" s="338"/>
      <c r="J168" s="338"/>
      <c r="K168" s="338"/>
      <c r="L168" s="356"/>
      <c r="M168" s="356"/>
      <c r="N168" s="321"/>
      <c r="O168" s="338"/>
      <c r="P168" s="338"/>
      <c r="Q168" s="338"/>
      <c r="R168" s="338"/>
      <c r="S168" s="338"/>
      <c r="T168" s="338"/>
      <c r="U168" s="338"/>
      <c r="V168" s="338"/>
      <c r="W168" s="338"/>
      <c r="X168" s="338"/>
      <c r="Y168" s="338"/>
      <c r="Z168" s="338"/>
    </row>
    <row r="169" ht="12.75" customHeight="1">
      <c r="A169" s="321"/>
      <c r="B169" s="338"/>
      <c r="C169" s="338"/>
      <c r="D169" s="415"/>
      <c r="E169" s="338"/>
      <c r="F169" s="338"/>
      <c r="G169" s="338"/>
      <c r="H169" s="338"/>
      <c r="I169" s="338"/>
      <c r="J169" s="338"/>
      <c r="K169" s="338"/>
      <c r="L169" s="356"/>
      <c r="M169" s="356"/>
      <c r="N169" s="321"/>
      <c r="O169" s="338"/>
      <c r="P169" s="338"/>
      <c r="Q169" s="338"/>
      <c r="R169" s="338"/>
      <c r="S169" s="338"/>
      <c r="T169" s="338"/>
      <c r="U169" s="338"/>
      <c r="V169" s="338"/>
      <c r="W169" s="338"/>
      <c r="X169" s="338"/>
      <c r="Y169" s="338"/>
      <c r="Z169" s="338"/>
    </row>
    <row r="170" ht="12.75" customHeight="1">
      <c r="A170" s="321"/>
      <c r="B170" s="338"/>
      <c r="C170" s="338"/>
      <c r="D170" s="415"/>
      <c r="E170" s="338"/>
      <c r="F170" s="338"/>
      <c r="G170" s="338"/>
      <c r="H170" s="338"/>
      <c r="I170" s="338"/>
      <c r="J170" s="338"/>
      <c r="K170" s="338"/>
      <c r="L170" s="356"/>
      <c r="M170" s="356"/>
      <c r="N170" s="321"/>
      <c r="O170" s="338"/>
      <c r="P170" s="338"/>
      <c r="Q170" s="338"/>
      <c r="R170" s="338"/>
      <c r="S170" s="338"/>
      <c r="T170" s="338"/>
      <c r="U170" s="338"/>
      <c r="V170" s="338"/>
      <c r="W170" s="338"/>
      <c r="X170" s="338"/>
      <c r="Y170" s="338"/>
      <c r="Z170" s="338"/>
    </row>
    <row r="171" ht="12.75" customHeight="1">
      <c r="A171" s="321"/>
      <c r="B171" s="338"/>
      <c r="C171" s="338"/>
      <c r="D171" s="415"/>
      <c r="E171" s="338"/>
      <c r="F171" s="338"/>
      <c r="G171" s="338"/>
      <c r="H171" s="338"/>
      <c r="I171" s="338"/>
      <c r="J171" s="338"/>
      <c r="K171" s="338"/>
      <c r="L171" s="356"/>
      <c r="M171" s="356"/>
      <c r="N171" s="321"/>
      <c r="O171" s="338"/>
      <c r="P171" s="338"/>
      <c r="Q171" s="338"/>
      <c r="R171" s="338"/>
      <c r="S171" s="338"/>
      <c r="T171" s="338"/>
      <c r="U171" s="338"/>
      <c r="V171" s="338"/>
      <c r="W171" s="338"/>
      <c r="X171" s="338"/>
      <c r="Y171" s="338"/>
      <c r="Z171" s="338"/>
    </row>
    <row r="172" ht="12.75" customHeight="1">
      <c r="A172" s="321"/>
      <c r="B172" s="338"/>
      <c r="C172" s="338"/>
      <c r="D172" s="415"/>
      <c r="E172" s="338"/>
      <c r="F172" s="338"/>
      <c r="G172" s="338"/>
      <c r="H172" s="338"/>
      <c r="I172" s="338"/>
      <c r="J172" s="338"/>
      <c r="K172" s="338"/>
      <c r="L172" s="356"/>
      <c r="M172" s="356"/>
      <c r="N172" s="321"/>
      <c r="O172" s="338"/>
      <c r="P172" s="338"/>
      <c r="Q172" s="338"/>
      <c r="R172" s="338"/>
      <c r="S172" s="338"/>
      <c r="T172" s="338"/>
      <c r="U172" s="338"/>
      <c r="V172" s="338"/>
      <c r="W172" s="338"/>
      <c r="X172" s="338"/>
      <c r="Y172" s="338"/>
      <c r="Z172" s="338"/>
    </row>
    <row r="173" ht="12.75" customHeight="1">
      <c r="A173" s="321"/>
      <c r="B173" s="338"/>
      <c r="C173" s="338"/>
      <c r="D173" s="415"/>
      <c r="E173" s="338"/>
      <c r="F173" s="338"/>
      <c r="G173" s="338"/>
      <c r="H173" s="338"/>
      <c r="I173" s="338"/>
      <c r="J173" s="338"/>
      <c r="K173" s="338"/>
      <c r="L173" s="356"/>
      <c r="M173" s="356"/>
      <c r="N173" s="321"/>
      <c r="O173" s="338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</row>
    <row r="174" ht="12.75" customHeight="1">
      <c r="A174" s="321"/>
      <c r="B174" s="338"/>
      <c r="C174" s="338"/>
      <c r="D174" s="415"/>
      <c r="E174" s="338"/>
      <c r="F174" s="338"/>
      <c r="G174" s="338"/>
      <c r="H174" s="338"/>
      <c r="I174" s="338"/>
      <c r="J174" s="338"/>
      <c r="K174" s="338"/>
      <c r="L174" s="356"/>
      <c r="M174" s="356"/>
      <c r="N174" s="321"/>
      <c r="O174" s="338"/>
      <c r="P174" s="338"/>
      <c r="Q174" s="338"/>
      <c r="R174" s="338"/>
      <c r="S174" s="338"/>
      <c r="T174" s="338"/>
      <c r="U174" s="338"/>
      <c r="V174" s="338"/>
      <c r="W174" s="338"/>
      <c r="X174" s="338"/>
      <c r="Y174" s="338"/>
      <c r="Z174" s="338"/>
    </row>
    <row r="175" ht="12.75" customHeight="1">
      <c r="A175" s="321"/>
      <c r="B175" s="338"/>
      <c r="C175" s="338"/>
      <c r="D175" s="415"/>
      <c r="E175" s="338"/>
      <c r="F175" s="338"/>
      <c r="G175" s="338"/>
      <c r="H175" s="338"/>
      <c r="I175" s="338"/>
      <c r="J175" s="338"/>
      <c r="K175" s="338"/>
      <c r="L175" s="356"/>
      <c r="M175" s="356"/>
      <c r="N175" s="321"/>
      <c r="O175" s="338"/>
      <c r="P175" s="338"/>
      <c r="Q175" s="338"/>
      <c r="R175" s="338"/>
      <c r="S175" s="338"/>
      <c r="T175" s="338"/>
      <c r="U175" s="338"/>
      <c r="V175" s="338"/>
      <c r="W175" s="338"/>
      <c r="X175" s="338"/>
      <c r="Y175" s="338"/>
      <c r="Z175" s="338"/>
    </row>
    <row r="176" ht="12.75" customHeight="1">
      <c r="A176" s="321"/>
      <c r="B176" s="338"/>
      <c r="C176" s="338"/>
      <c r="D176" s="415"/>
      <c r="E176" s="338"/>
      <c r="F176" s="338"/>
      <c r="G176" s="338"/>
      <c r="H176" s="338"/>
      <c r="I176" s="338"/>
      <c r="J176" s="338"/>
      <c r="K176" s="338"/>
      <c r="L176" s="356"/>
      <c r="M176" s="356"/>
      <c r="N176" s="321"/>
      <c r="O176" s="338"/>
      <c r="P176" s="338"/>
      <c r="Q176" s="338"/>
      <c r="R176" s="338"/>
      <c r="S176" s="338"/>
      <c r="T176" s="338"/>
      <c r="U176" s="338"/>
      <c r="V176" s="338"/>
      <c r="W176" s="338"/>
      <c r="X176" s="338"/>
      <c r="Y176" s="338"/>
      <c r="Z176" s="338"/>
    </row>
    <row r="177" ht="12.75" customHeight="1">
      <c r="A177" s="321"/>
      <c r="B177" s="338"/>
      <c r="C177" s="338"/>
      <c r="D177" s="415"/>
      <c r="E177" s="338"/>
      <c r="F177" s="338"/>
      <c r="G177" s="338"/>
      <c r="H177" s="338"/>
      <c r="I177" s="338"/>
      <c r="J177" s="338"/>
      <c r="K177" s="338"/>
      <c r="L177" s="356"/>
      <c r="M177" s="356"/>
      <c r="N177" s="321"/>
      <c r="O177" s="338"/>
      <c r="P177" s="338"/>
      <c r="Q177" s="338"/>
      <c r="R177" s="338"/>
      <c r="S177" s="338"/>
      <c r="T177" s="338"/>
      <c r="U177" s="338"/>
      <c r="V177" s="338"/>
      <c r="W177" s="338"/>
      <c r="X177" s="338"/>
      <c r="Y177" s="338"/>
      <c r="Z177" s="338"/>
    </row>
    <row r="178" ht="12.75" customHeight="1">
      <c r="A178" s="321"/>
      <c r="B178" s="338"/>
      <c r="C178" s="338"/>
      <c r="D178" s="415"/>
      <c r="E178" s="338"/>
      <c r="F178" s="338"/>
      <c r="G178" s="338"/>
      <c r="H178" s="338"/>
      <c r="I178" s="338"/>
      <c r="J178" s="338"/>
      <c r="K178" s="338"/>
      <c r="L178" s="356"/>
      <c r="M178" s="356"/>
      <c r="N178" s="321"/>
      <c r="O178" s="338"/>
      <c r="P178" s="338"/>
      <c r="Q178" s="338"/>
      <c r="R178" s="338"/>
      <c r="S178" s="338"/>
      <c r="T178" s="338"/>
      <c r="U178" s="338"/>
      <c r="V178" s="338"/>
      <c r="W178" s="338"/>
      <c r="X178" s="338"/>
      <c r="Y178" s="338"/>
      <c r="Z178" s="338"/>
    </row>
    <row r="179" ht="12.75" customHeight="1">
      <c r="A179" s="321"/>
      <c r="B179" s="338"/>
      <c r="C179" s="338"/>
      <c r="D179" s="415"/>
      <c r="E179" s="338"/>
      <c r="F179" s="338"/>
      <c r="G179" s="338"/>
      <c r="H179" s="338"/>
      <c r="I179" s="338"/>
      <c r="J179" s="338"/>
      <c r="K179" s="338"/>
      <c r="L179" s="356"/>
      <c r="M179" s="356"/>
      <c r="N179" s="321"/>
      <c r="O179" s="338"/>
      <c r="P179" s="338"/>
      <c r="Q179" s="338"/>
      <c r="R179" s="338"/>
      <c r="S179" s="338"/>
      <c r="T179" s="338"/>
      <c r="U179" s="338"/>
      <c r="V179" s="338"/>
      <c r="W179" s="338"/>
      <c r="X179" s="338"/>
      <c r="Y179" s="338"/>
      <c r="Z179" s="338"/>
    </row>
    <row r="180" ht="12.75" customHeight="1">
      <c r="A180" s="321"/>
      <c r="B180" s="338"/>
      <c r="C180" s="338"/>
      <c r="D180" s="415"/>
      <c r="E180" s="338"/>
      <c r="F180" s="338"/>
      <c r="G180" s="338"/>
      <c r="H180" s="338"/>
      <c r="I180" s="338"/>
      <c r="J180" s="338"/>
      <c r="K180" s="338"/>
      <c r="L180" s="356"/>
      <c r="M180" s="356"/>
      <c r="N180" s="321"/>
      <c r="O180" s="338"/>
      <c r="P180" s="338"/>
      <c r="Q180" s="338"/>
      <c r="R180" s="338"/>
      <c r="S180" s="338"/>
      <c r="T180" s="338"/>
      <c r="U180" s="338"/>
      <c r="V180" s="338"/>
      <c r="W180" s="338"/>
      <c r="X180" s="338"/>
      <c r="Y180" s="338"/>
      <c r="Z180" s="338"/>
    </row>
    <row r="181" ht="12.75" customHeight="1">
      <c r="A181" s="321"/>
      <c r="B181" s="338"/>
      <c r="C181" s="338"/>
      <c r="D181" s="415"/>
      <c r="E181" s="338"/>
      <c r="F181" s="338"/>
      <c r="G181" s="338"/>
      <c r="H181" s="338"/>
      <c r="I181" s="338"/>
      <c r="J181" s="338"/>
      <c r="K181" s="338"/>
      <c r="L181" s="356"/>
      <c r="M181" s="356"/>
      <c r="N181" s="321"/>
      <c r="O181" s="338"/>
      <c r="P181" s="338"/>
      <c r="Q181" s="338"/>
      <c r="R181" s="338"/>
      <c r="S181" s="338"/>
      <c r="T181" s="338"/>
      <c r="U181" s="338"/>
      <c r="V181" s="338"/>
      <c r="W181" s="338"/>
      <c r="X181" s="338"/>
      <c r="Y181" s="338"/>
      <c r="Z181" s="338"/>
    </row>
    <row r="182" ht="12.75" customHeight="1">
      <c r="A182" s="321"/>
      <c r="B182" s="338"/>
      <c r="C182" s="338"/>
      <c r="D182" s="415"/>
      <c r="E182" s="338"/>
      <c r="F182" s="338"/>
      <c r="G182" s="338"/>
      <c r="H182" s="338"/>
      <c r="I182" s="338"/>
      <c r="J182" s="338"/>
      <c r="K182" s="338"/>
      <c r="L182" s="356"/>
      <c r="M182" s="356"/>
      <c r="N182" s="321"/>
      <c r="O182" s="338"/>
      <c r="P182" s="338"/>
      <c r="Q182" s="338"/>
      <c r="R182" s="338"/>
      <c r="S182" s="338"/>
      <c r="T182" s="338"/>
      <c r="U182" s="338"/>
      <c r="V182" s="338"/>
      <c r="W182" s="338"/>
      <c r="X182" s="338"/>
      <c r="Y182" s="338"/>
      <c r="Z182" s="338"/>
    </row>
    <row r="183" ht="12.75" customHeight="1">
      <c r="A183" s="321"/>
      <c r="B183" s="338"/>
      <c r="C183" s="338"/>
      <c r="D183" s="415"/>
      <c r="E183" s="338"/>
      <c r="F183" s="338"/>
      <c r="G183" s="338"/>
      <c r="H183" s="338"/>
      <c r="I183" s="338"/>
      <c r="J183" s="338"/>
      <c r="K183" s="338"/>
      <c r="L183" s="356"/>
      <c r="M183" s="356"/>
      <c r="N183" s="321"/>
      <c r="O183" s="338"/>
      <c r="P183" s="338"/>
      <c r="Q183" s="338"/>
      <c r="R183" s="338"/>
      <c r="S183" s="338"/>
      <c r="T183" s="338"/>
      <c r="U183" s="338"/>
      <c r="V183" s="338"/>
      <c r="W183" s="338"/>
      <c r="X183" s="338"/>
      <c r="Y183" s="338"/>
      <c r="Z183" s="338"/>
    </row>
    <row r="184" ht="12.75" customHeight="1">
      <c r="A184" s="321"/>
      <c r="B184" s="338"/>
      <c r="C184" s="338"/>
      <c r="D184" s="415"/>
      <c r="E184" s="338"/>
      <c r="F184" s="338"/>
      <c r="G184" s="338"/>
      <c r="H184" s="338"/>
      <c r="I184" s="338"/>
      <c r="J184" s="338"/>
      <c r="K184" s="338"/>
      <c r="L184" s="356"/>
      <c r="M184" s="356"/>
      <c r="N184" s="321"/>
      <c r="O184" s="338"/>
      <c r="P184" s="338"/>
      <c r="Q184" s="338"/>
      <c r="R184" s="338"/>
      <c r="S184" s="338"/>
      <c r="T184" s="338"/>
      <c r="U184" s="338"/>
      <c r="V184" s="338"/>
      <c r="W184" s="338"/>
      <c r="X184" s="338"/>
      <c r="Y184" s="338"/>
      <c r="Z184" s="338"/>
    </row>
    <row r="185" ht="12.75" customHeight="1">
      <c r="A185" s="321"/>
      <c r="B185" s="338"/>
      <c r="C185" s="338"/>
      <c r="D185" s="415"/>
      <c r="E185" s="338"/>
      <c r="F185" s="338"/>
      <c r="G185" s="338"/>
      <c r="H185" s="338"/>
      <c r="I185" s="338"/>
      <c r="J185" s="338"/>
      <c r="K185" s="338"/>
      <c r="L185" s="356"/>
      <c r="M185" s="356"/>
      <c r="N185" s="321"/>
      <c r="O185" s="338"/>
      <c r="P185" s="338"/>
      <c r="Q185" s="338"/>
      <c r="R185" s="338"/>
      <c r="S185" s="338"/>
      <c r="T185" s="338"/>
      <c r="U185" s="338"/>
      <c r="V185" s="338"/>
      <c r="W185" s="338"/>
      <c r="X185" s="338"/>
      <c r="Y185" s="338"/>
      <c r="Z185" s="338"/>
    </row>
    <row r="186" ht="12.75" customHeight="1">
      <c r="A186" s="321"/>
      <c r="B186" s="338"/>
      <c r="C186" s="338"/>
      <c r="D186" s="415"/>
      <c r="E186" s="338"/>
      <c r="F186" s="338"/>
      <c r="G186" s="338"/>
      <c r="H186" s="338"/>
      <c r="I186" s="338"/>
      <c r="J186" s="338"/>
      <c r="K186" s="338"/>
      <c r="L186" s="356"/>
      <c r="M186" s="356"/>
      <c r="N186" s="321"/>
      <c r="O186" s="338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</row>
    <row r="187" ht="12.75" customHeight="1">
      <c r="A187" s="321"/>
      <c r="B187" s="338"/>
      <c r="C187" s="338"/>
      <c r="D187" s="415"/>
      <c r="E187" s="338"/>
      <c r="F187" s="338"/>
      <c r="G187" s="338"/>
      <c r="H187" s="338"/>
      <c r="I187" s="338"/>
      <c r="J187" s="338"/>
      <c r="K187" s="338"/>
      <c r="L187" s="356"/>
      <c r="M187" s="356"/>
      <c r="N187" s="321"/>
      <c r="O187" s="338"/>
      <c r="P187" s="338"/>
      <c r="Q187" s="338"/>
      <c r="R187" s="338"/>
      <c r="S187" s="338"/>
      <c r="T187" s="338"/>
      <c r="U187" s="338"/>
      <c r="V187" s="338"/>
      <c r="W187" s="338"/>
      <c r="X187" s="338"/>
      <c r="Y187" s="338"/>
      <c r="Z187" s="338"/>
    </row>
    <row r="188" ht="12.75" customHeight="1">
      <c r="A188" s="321"/>
      <c r="B188" s="338"/>
      <c r="C188" s="338"/>
      <c r="D188" s="415"/>
      <c r="E188" s="338"/>
      <c r="F188" s="338"/>
      <c r="G188" s="338"/>
      <c r="H188" s="338"/>
      <c r="I188" s="338"/>
      <c r="J188" s="338"/>
      <c r="K188" s="338"/>
      <c r="L188" s="356"/>
      <c r="M188" s="356"/>
      <c r="N188" s="321"/>
      <c r="O188" s="338"/>
      <c r="P188" s="338"/>
      <c r="Q188" s="338"/>
      <c r="R188" s="338"/>
      <c r="S188" s="338"/>
      <c r="T188" s="338"/>
      <c r="U188" s="338"/>
      <c r="V188" s="338"/>
      <c r="W188" s="338"/>
      <c r="X188" s="338"/>
      <c r="Y188" s="338"/>
      <c r="Z188" s="338"/>
    </row>
    <row r="189" ht="12.75" customHeight="1">
      <c r="A189" s="321"/>
      <c r="B189" s="338"/>
      <c r="C189" s="338"/>
      <c r="D189" s="415"/>
      <c r="E189" s="338"/>
      <c r="F189" s="338"/>
      <c r="G189" s="338"/>
      <c r="H189" s="338"/>
      <c r="I189" s="338"/>
      <c r="J189" s="338"/>
      <c r="K189" s="338"/>
      <c r="L189" s="356"/>
      <c r="M189" s="356"/>
      <c r="N189" s="321"/>
      <c r="O189" s="338"/>
      <c r="P189" s="338"/>
      <c r="Q189" s="338"/>
      <c r="R189" s="338"/>
      <c r="S189" s="338"/>
      <c r="T189" s="338"/>
      <c r="U189" s="338"/>
      <c r="V189" s="338"/>
      <c r="W189" s="338"/>
      <c r="X189" s="338"/>
      <c r="Y189" s="338"/>
      <c r="Z189" s="338"/>
    </row>
    <row r="190" ht="12.75" customHeight="1">
      <c r="A190" s="321"/>
      <c r="B190" s="338"/>
      <c r="C190" s="338"/>
      <c r="D190" s="415"/>
      <c r="E190" s="338"/>
      <c r="F190" s="338"/>
      <c r="G190" s="338"/>
      <c r="H190" s="338"/>
      <c r="I190" s="338"/>
      <c r="J190" s="338"/>
      <c r="K190" s="338"/>
      <c r="L190" s="356"/>
      <c r="M190" s="356"/>
      <c r="N190" s="321"/>
      <c r="O190" s="338"/>
      <c r="P190" s="338"/>
      <c r="Q190" s="338"/>
      <c r="R190" s="338"/>
      <c r="S190" s="338"/>
      <c r="T190" s="338"/>
      <c r="U190" s="338"/>
      <c r="V190" s="338"/>
      <c r="W190" s="338"/>
      <c r="X190" s="338"/>
      <c r="Y190" s="338"/>
      <c r="Z190" s="338"/>
    </row>
    <row r="191" ht="12.75" customHeight="1">
      <c r="A191" s="321"/>
      <c r="B191" s="338"/>
      <c r="C191" s="338"/>
      <c r="D191" s="415"/>
      <c r="E191" s="338"/>
      <c r="F191" s="338"/>
      <c r="G191" s="338"/>
      <c r="H191" s="338"/>
      <c r="I191" s="338"/>
      <c r="J191" s="338"/>
      <c r="K191" s="338"/>
      <c r="L191" s="356"/>
      <c r="M191" s="356"/>
      <c r="N191" s="321"/>
      <c r="O191" s="338"/>
      <c r="P191" s="338"/>
      <c r="Q191" s="338"/>
      <c r="R191" s="338"/>
      <c r="S191" s="338"/>
      <c r="T191" s="338"/>
      <c r="U191" s="338"/>
      <c r="V191" s="338"/>
      <c r="W191" s="338"/>
      <c r="X191" s="338"/>
      <c r="Y191" s="338"/>
      <c r="Z191" s="338"/>
    </row>
    <row r="192" ht="12.75" customHeight="1">
      <c r="A192" s="321"/>
      <c r="B192" s="338"/>
      <c r="C192" s="338"/>
      <c r="D192" s="415"/>
      <c r="E192" s="338"/>
      <c r="F192" s="338"/>
      <c r="G192" s="338"/>
      <c r="H192" s="338"/>
      <c r="I192" s="338"/>
      <c r="J192" s="338"/>
      <c r="K192" s="338"/>
      <c r="L192" s="356"/>
      <c r="M192" s="356"/>
      <c r="N192" s="321"/>
      <c r="O192" s="338"/>
      <c r="P192" s="338"/>
      <c r="Q192" s="338"/>
      <c r="R192" s="338"/>
      <c r="S192" s="338"/>
      <c r="T192" s="338"/>
      <c r="U192" s="338"/>
      <c r="V192" s="338"/>
      <c r="W192" s="338"/>
      <c r="X192" s="338"/>
      <c r="Y192" s="338"/>
      <c r="Z192" s="338"/>
    </row>
    <row r="193" ht="12.75" customHeight="1">
      <c r="A193" s="321"/>
      <c r="B193" s="338"/>
      <c r="C193" s="338"/>
      <c r="D193" s="415"/>
      <c r="E193" s="338"/>
      <c r="F193" s="338"/>
      <c r="G193" s="338"/>
      <c r="H193" s="338"/>
      <c r="I193" s="338"/>
      <c r="J193" s="338"/>
      <c r="K193" s="338"/>
      <c r="L193" s="356"/>
      <c r="M193" s="356"/>
      <c r="N193" s="321"/>
      <c r="O193" s="338"/>
      <c r="P193" s="338"/>
      <c r="Q193" s="338"/>
      <c r="R193" s="338"/>
      <c r="S193" s="338"/>
      <c r="T193" s="338"/>
      <c r="U193" s="338"/>
      <c r="V193" s="338"/>
      <c r="W193" s="338"/>
      <c r="X193" s="338"/>
      <c r="Y193" s="338"/>
      <c r="Z193" s="338"/>
    </row>
    <row r="194" ht="12.75" customHeight="1">
      <c r="A194" s="321"/>
      <c r="B194" s="338"/>
      <c r="C194" s="338"/>
      <c r="D194" s="415"/>
      <c r="E194" s="338"/>
      <c r="F194" s="338"/>
      <c r="G194" s="338"/>
      <c r="H194" s="338"/>
      <c r="I194" s="338"/>
      <c r="J194" s="338"/>
      <c r="K194" s="338"/>
      <c r="L194" s="356"/>
      <c r="M194" s="356"/>
      <c r="N194" s="321"/>
      <c r="O194" s="338"/>
      <c r="P194" s="338"/>
      <c r="Q194" s="338"/>
      <c r="R194" s="338"/>
      <c r="S194" s="338"/>
      <c r="T194" s="338"/>
      <c r="U194" s="338"/>
      <c r="V194" s="338"/>
      <c r="W194" s="338"/>
      <c r="X194" s="338"/>
      <c r="Y194" s="338"/>
      <c r="Z194" s="338"/>
    </row>
    <row r="195" ht="12.75" customHeight="1">
      <c r="A195" s="321"/>
      <c r="B195" s="338"/>
      <c r="C195" s="338"/>
      <c r="D195" s="415"/>
      <c r="E195" s="338"/>
      <c r="F195" s="338"/>
      <c r="G195" s="338"/>
      <c r="H195" s="338"/>
      <c r="I195" s="338"/>
      <c r="J195" s="338"/>
      <c r="K195" s="338"/>
      <c r="L195" s="356"/>
      <c r="M195" s="356"/>
      <c r="N195" s="321"/>
      <c r="O195" s="338"/>
      <c r="P195" s="338"/>
      <c r="Q195" s="338"/>
      <c r="R195" s="338"/>
      <c r="S195" s="338"/>
      <c r="T195" s="338"/>
      <c r="U195" s="338"/>
      <c r="V195" s="338"/>
      <c r="W195" s="338"/>
      <c r="X195" s="338"/>
      <c r="Y195" s="338"/>
      <c r="Z195" s="338"/>
    </row>
    <row r="196" ht="12.75" customHeight="1">
      <c r="A196" s="321"/>
      <c r="B196" s="338"/>
      <c r="C196" s="338"/>
      <c r="D196" s="415"/>
      <c r="E196" s="338"/>
      <c r="F196" s="338"/>
      <c r="G196" s="338"/>
      <c r="H196" s="338"/>
      <c r="I196" s="338"/>
      <c r="J196" s="338"/>
      <c r="K196" s="338"/>
      <c r="L196" s="356"/>
      <c r="M196" s="356"/>
      <c r="N196" s="321"/>
      <c r="O196" s="338"/>
      <c r="P196" s="338"/>
      <c r="Q196" s="338"/>
      <c r="R196" s="338"/>
      <c r="S196" s="338"/>
      <c r="T196" s="338"/>
      <c r="U196" s="338"/>
      <c r="V196" s="338"/>
      <c r="W196" s="338"/>
      <c r="X196" s="338"/>
      <c r="Y196" s="338"/>
      <c r="Z196" s="338"/>
    </row>
    <row r="197" ht="12.75" customHeight="1">
      <c r="A197" s="321"/>
      <c r="B197" s="338"/>
      <c r="C197" s="338"/>
      <c r="D197" s="415"/>
      <c r="E197" s="338"/>
      <c r="F197" s="338"/>
      <c r="G197" s="338"/>
      <c r="H197" s="338"/>
      <c r="I197" s="338"/>
      <c r="J197" s="338"/>
      <c r="K197" s="338"/>
      <c r="L197" s="356"/>
      <c r="M197" s="356"/>
      <c r="N197" s="321"/>
      <c r="O197" s="338"/>
      <c r="P197" s="338"/>
      <c r="Q197" s="338"/>
      <c r="R197" s="338"/>
      <c r="S197" s="338"/>
      <c r="T197" s="338"/>
      <c r="U197" s="338"/>
      <c r="V197" s="338"/>
      <c r="W197" s="338"/>
      <c r="X197" s="338"/>
      <c r="Y197" s="338"/>
      <c r="Z197" s="338"/>
    </row>
    <row r="198" ht="12.75" customHeight="1">
      <c r="A198" s="321"/>
      <c r="B198" s="338"/>
      <c r="C198" s="338"/>
      <c r="D198" s="415"/>
      <c r="E198" s="338"/>
      <c r="F198" s="338"/>
      <c r="G198" s="338"/>
      <c r="H198" s="338"/>
      <c r="I198" s="338"/>
      <c r="J198" s="338"/>
      <c r="K198" s="338"/>
      <c r="L198" s="356"/>
      <c r="M198" s="356"/>
      <c r="N198" s="321"/>
      <c r="O198" s="338"/>
      <c r="P198" s="338"/>
      <c r="Q198" s="338"/>
      <c r="R198" s="338"/>
      <c r="S198" s="338"/>
      <c r="T198" s="338"/>
      <c r="U198" s="338"/>
      <c r="V198" s="338"/>
      <c r="W198" s="338"/>
      <c r="X198" s="338"/>
      <c r="Y198" s="338"/>
      <c r="Z198" s="338"/>
    </row>
    <row r="199" ht="12.75" customHeight="1">
      <c r="A199" s="321"/>
      <c r="B199" s="338"/>
      <c r="C199" s="338"/>
      <c r="D199" s="415"/>
      <c r="E199" s="338"/>
      <c r="F199" s="338"/>
      <c r="G199" s="338"/>
      <c r="H199" s="338"/>
      <c r="I199" s="338"/>
      <c r="J199" s="338"/>
      <c r="K199" s="338"/>
      <c r="L199" s="356"/>
      <c r="M199" s="356"/>
      <c r="N199" s="321"/>
      <c r="O199" s="338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</row>
    <row r="200" ht="12.75" customHeight="1">
      <c r="A200" s="321"/>
      <c r="B200" s="338"/>
      <c r="C200" s="338"/>
      <c r="D200" s="415"/>
      <c r="E200" s="338"/>
      <c r="F200" s="338"/>
      <c r="G200" s="338"/>
      <c r="H200" s="338"/>
      <c r="I200" s="338"/>
      <c r="J200" s="338"/>
      <c r="K200" s="338"/>
      <c r="L200" s="356"/>
      <c r="M200" s="356"/>
      <c r="N200" s="321"/>
      <c r="O200" s="338"/>
      <c r="P200" s="338"/>
      <c r="Q200" s="338"/>
      <c r="R200" s="338"/>
      <c r="S200" s="338"/>
      <c r="T200" s="338"/>
      <c r="U200" s="338"/>
      <c r="V200" s="338"/>
      <c r="W200" s="338"/>
      <c r="X200" s="338"/>
      <c r="Y200" s="338"/>
      <c r="Z200" s="338"/>
    </row>
    <row r="201" ht="12.75" customHeight="1">
      <c r="A201" s="321"/>
      <c r="B201" s="338"/>
      <c r="C201" s="338"/>
      <c r="D201" s="415"/>
      <c r="E201" s="338"/>
      <c r="F201" s="338"/>
      <c r="G201" s="338"/>
      <c r="H201" s="338"/>
      <c r="I201" s="338"/>
      <c r="J201" s="338"/>
      <c r="K201" s="338"/>
      <c r="L201" s="356"/>
      <c r="M201" s="356"/>
      <c r="N201" s="321"/>
      <c r="O201" s="338"/>
      <c r="P201" s="338"/>
      <c r="Q201" s="338"/>
      <c r="R201" s="338"/>
      <c r="S201" s="338"/>
      <c r="T201" s="338"/>
      <c r="U201" s="338"/>
      <c r="V201" s="338"/>
      <c r="W201" s="338"/>
      <c r="X201" s="338"/>
      <c r="Y201" s="338"/>
      <c r="Z201" s="338"/>
    </row>
    <row r="202" ht="12.75" customHeight="1">
      <c r="A202" s="321"/>
      <c r="B202" s="338"/>
      <c r="C202" s="338"/>
      <c r="D202" s="415"/>
      <c r="E202" s="338"/>
      <c r="F202" s="338"/>
      <c r="G202" s="338"/>
      <c r="H202" s="338"/>
      <c r="I202" s="338"/>
      <c r="J202" s="338"/>
      <c r="K202" s="338"/>
      <c r="L202" s="356"/>
      <c r="M202" s="356"/>
      <c r="N202" s="321"/>
      <c r="O202" s="338"/>
      <c r="P202" s="338"/>
      <c r="Q202" s="338"/>
      <c r="R202" s="338"/>
      <c r="S202" s="338"/>
      <c r="T202" s="338"/>
      <c r="U202" s="338"/>
      <c r="V202" s="338"/>
      <c r="W202" s="338"/>
      <c r="X202" s="338"/>
      <c r="Y202" s="338"/>
      <c r="Z202" s="338"/>
    </row>
    <row r="203" ht="12.75" customHeight="1">
      <c r="A203" s="321"/>
      <c r="B203" s="338"/>
      <c r="C203" s="338"/>
      <c r="D203" s="415"/>
      <c r="E203" s="338"/>
      <c r="F203" s="338"/>
      <c r="G203" s="338"/>
      <c r="H203" s="338"/>
      <c r="I203" s="338"/>
      <c r="J203" s="338"/>
      <c r="K203" s="338"/>
      <c r="L203" s="356"/>
      <c r="M203" s="356"/>
      <c r="N203" s="321"/>
      <c r="O203" s="338"/>
      <c r="P203" s="338"/>
      <c r="Q203" s="338"/>
      <c r="R203" s="338"/>
      <c r="S203" s="338"/>
      <c r="T203" s="338"/>
      <c r="U203" s="338"/>
      <c r="V203" s="338"/>
      <c r="W203" s="338"/>
      <c r="X203" s="338"/>
      <c r="Y203" s="338"/>
      <c r="Z203" s="338"/>
    </row>
    <row r="204" ht="12.75" customHeight="1">
      <c r="A204" s="321"/>
      <c r="B204" s="338"/>
      <c r="C204" s="338"/>
      <c r="D204" s="415"/>
      <c r="E204" s="338"/>
      <c r="F204" s="338"/>
      <c r="G204" s="338"/>
      <c r="H204" s="338"/>
      <c r="I204" s="338"/>
      <c r="J204" s="338"/>
      <c r="K204" s="338"/>
      <c r="L204" s="356"/>
      <c r="M204" s="356"/>
      <c r="N204" s="321"/>
      <c r="O204" s="338"/>
      <c r="P204" s="338"/>
      <c r="Q204" s="338"/>
      <c r="R204" s="338"/>
      <c r="S204" s="338"/>
      <c r="T204" s="338"/>
      <c r="U204" s="338"/>
      <c r="V204" s="338"/>
      <c r="W204" s="338"/>
      <c r="X204" s="338"/>
      <c r="Y204" s="338"/>
      <c r="Z204" s="338"/>
    </row>
    <row r="205" ht="12.75" customHeight="1">
      <c r="A205" s="321"/>
      <c r="B205" s="338"/>
      <c r="C205" s="338"/>
      <c r="D205" s="415"/>
      <c r="E205" s="338"/>
      <c r="F205" s="338"/>
      <c r="G205" s="338"/>
      <c r="H205" s="338"/>
      <c r="I205" s="338"/>
      <c r="J205" s="338"/>
      <c r="K205" s="338"/>
      <c r="L205" s="356"/>
      <c r="M205" s="356"/>
      <c r="N205" s="321"/>
      <c r="O205" s="338"/>
      <c r="P205" s="338"/>
      <c r="Q205" s="338"/>
      <c r="R205" s="338"/>
      <c r="S205" s="338"/>
      <c r="T205" s="338"/>
      <c r="U205" s="338"/>
      <c r="V205" s="338"/>
      <c r="W205" s="338"/>
      <c r="X205" s="338"/>
      <c r="Y205" s="338"/>
      <c r="Z205" s="338"/>
    </row>
    <row r="206" ht="12.75" customHeight="1">
      <c r="A206" s="321"/>
      <c r="B206" s="338"/>
      <c r="C206" s="338"/>
      <c r="D206" s="415"/>
      <c r="E206" s="338"/>
      <c r="F206" s="338"/>
      <c r="G206" s="338"/>
      <c r="H206" s="338"/>
      <c r="I206" s="338"/>
      <c r="J206" s="338"/>
      <c r="K206" s="338"/>
      <c r="L206" s="356"/>
      <c r="M206" s="356"/>
      <c r="N206" s="321"/>
      <c r="O206" s="338"/>
      <c r="P206" s="338"/>
      <c r="Q206" s="338"/>
      <c r="R206" s="338"/>
      <c r="S206" s="338"/>
      <c r="T206" s="338"/>
      <c r="U206" s="338"/>
      <c r="V206" s="338"/>
      <c r="W206" s="338"/>
      <c r="X206" s="338"/>
      <c r="Y206" s="338"/>
      <c r="Z206" s="338"/>
    </row>
    <row r="207" ht="12.75" customHeight="1">
      <c r="A207" s="321"/>
      <c r="B207" s="338"/>
      <c r="C207" s="338"/>
      <c r="D207" s="415"/>
      <c r="E207" s="338"/>
      <c r="F207" s="338"/>
      <c r="G207" s="338"/>
      <c r="H207" s="338"/>
      <c r="I207" s="338"/>
      <c r="J207" s="338"/>
      <c r="K207" s="338"/>
      <c r="L207" s="356"/>
      <c r="M207" s="356"/>
      <c r="N207" s="321"/>
      <c r="O207" s="338"/>
      <c r="P207" s="338"/>
      <c r="Q207" s="338"/>
      <c r="R207" s="338"/>
      <c r="S207" s="338"/>
      <c r="T207" s="338"/>
      <c r="U207" s="338"/>
      <c r="V207" s="338"/>
      <c r="W207" s="338"/>
      <c r="X207" s="338"/>
      <c r="Y207" s="338"/>
      <c r="Z207" s="338"/>
    </row>
    <row r="208" ht="12.75" customHeight="1">
      <c r="A208" s="321"/>
      <c r="B208" s="338"/>
      <c r="C208" s="338"/>
      <c r="D208" s="415"/>
      <c r="E208" s="338"/>
      <c r="F208" s="338"/>
      <c r="G208" s="338"/>
      <c r="H208" s="338"/>
      <c r="I208" s="338"/>
      <c r="J208" s="338"/>
      <c r="K208" s="338"/>
      <c r="L208" s="356"/>
      <c r="M208" s="356"/>
      <c r="N208" s="321"/>
      <c r="O208" s="338"/>
      <c r="P208" s="338"/>
      <c r="Q208" s="338"/>
      <c r="R208" s="338"/>
      <c r="S208" s="338"/>
      <c r="T208" s="338"/>
      <c r="U208" s="338"/>
      <c r="V208" s="338"/>
      <c r="W208" s="338"/>
      <c r="X208" s="338"/>
      <c r="Y208" s="338"/>
      <c r="Z208" s="338"/>
    </row>
    <row r="209" ht="12.75" customHeight="1">
      <c r="A209" s="321"/>
      <c r="B209" s="338"/>
      <c r="C209" s="338"/>
      <c r="D209" s="415"/>
      <c r="E209" s="338"/>
      <c r="F209" s="338"/>
      <c r="G209" s="338"/>
      <c r="H209" s="338"/>
      <c r="I209" s="338"/>
      <c r="J209" s="338"/>
      <c r="K209" s="338"/>
      <c r="L209" s="356"/>
      <c r="M209" s="356"/>
      <c r="N209" s="321"/>
      <c r="O209" s="338"/>
      <c r="P209" s="338"/>
      <c r="Q209" s="338"/>
      <c r="R209" s="338"/>
      <c r="S209" s="338"/>
      <c r="T209" s="338"/>
      <c r="U209" s="338"/>
      <c r="V209" s="338"/>
      <c r="W209" s="338"/>
      <c r="X209" s="338"/>
      <c r="Y209" s="338"/>
      <c r="Z209" s="338"/>
    </row>
    <row r="210" ht="12.75" customHeight="1">
      <c r="A210" s="321"/>
      <c r="B210" s="338"/>
      <c r="C210" s="338"/>
      <c r="D210" s="415"/>
      <c r="E210" s="338"/>
      <c r="F210" s="338"/>
      <c r="G210" s="338"/>
      <c r="H210" s="338"/>
      <c r="I210" s="338"/>
      <c r="J210" s="338"/>
      <c r="K210" s="338"/>
      <c r="L210" s="356"/>
      <c r="M210" s="356"/>
      <c r="N210" s="321"/>
      <c r="O210" s="338"/>
      <c r="P210" s="338"/>
      <c r="Q210" s="338"/>
      <c r="R210" s="338"/>
      <c r="S210" s="338"/>
      <c r="T210" s="338"/>
      <c r="U210" s="338"/>
      <c r="V210" s="338"/>
      <c r="W210" s="338"/>
      <c r="X210" s="338"/>
      <c r="Y210" s="338"/>
      <c r="Z210" s="338"/>
    </row>
    <row r="211" ht="12.75" customHeight="1">
      <c r="A211" s="321"/>
      <c r="B211" s="338"/>
      <c r="C211" s="338"/>
      <c r="D211" s="415"/>
      <c r="E211" s="338"/>
      <c r="F211" s="338"/>
      <c r="G211" s="338"/>
      <c r="H211" s="338"/>
      <c r="I211" s="338"/>
      <c r="J211" s="338"/>
      <c r="K211" s="338"/>
      <c r="L211" s="356"/>
      <c r="M211" s="356"/>
      <c r="N211" s="321"/>
      <c r="O211" s="338"/>
      <c r="P211" s="338"/>
      <c r="Q211" s="338"/>
      <c r="R211" s="338"/>
      <c r="S211" s="338"/>
      <c r="T211" s="338"/>
      <c r="U211" s="338"/>
      <c r="V211" s="338"/>
      <c r="W211" s="338"/>
      <c r="X211" s="338"/>
      <c r="Y211" s="338"/>
      <c r="Z211" s="338"/>
    </row>
    <row r="212" ht="12.75" customHeight="1">
      <c r="A212" s="321"/>
      <c r="B212" s="338"/>
      <c r="C212" s="338"/>
      <c r="D212" s="415"/>
      <c r="E212" s="338"/>
      <c r="F212" s="338"/>
      <c r="G212" s="338"/>
      <c r="H212" s="338"/>
      <c r="I212" s="338"/>
      <c r="J212" s="338"/>
      <c r="K212" s="338"/>
      <c r="L212" s="356"/>
      <c r="M212" s="356"/>
      <c r="N212" s="321"/>
      <c r="O212" s="338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</row>
    <row r="213" ht="12.75" customHeight="1">
      <c r="A213" s="321"/>
      <c r="B213" s="338"/>
      <c r="C213" s="338"/>
      <c r="D213" s="415"/>
      <c r="E213" s="338"/>
      <c r="F213" s="338"/>
      <c r="G213" s="338"/>
      <c r="H213" s="338"/>
      <c r="I213" s="338"/>
      <c r="J213" s="338"/>
      <c r="K213" s="338"/>
      <c r="L213" s="356"/>
      <c r="M213" s="356"/>
      <c r="N213" s="321"/>
      <c r="O213" s="338"/>
      <c r="P213" s="338"/>
      <c r="Q213" s="338"/>
      <c r="R213" s="338"/>
      <c r="S213" s="338"/>
      <c r="T213" s="338"/>
      <c r="U213" s="338"/>
      <c r="V213" s="338"/>
      <c r="W213" s="338"/>
      <c r="X213" s="338"/>
      <c r="Y213" s="338"/>
      <c r="Z213" s="338"/>
    </row>
    <row r="214" ht="12.75" customHeight="1">
      <c r="A214" s="321"/>
      <c r="B214" s="338"/>
      <c r="C214" s="338"/>
      <c r="D214" s="415"/>
      <c r="E214" s="338"/>
      <c r="F214" s="338"/>
      <c r="G214" s="338"/>
      <c r="H214" s="338"/>
      <c r="I214" s="338"/>
      <c r="J214" s="338"/>
      <c r="K214" s="338"/>
      <c r="L214" s="356"/>
      <c r="M214" s="356"/>
      <c r="N214" s="321"/>
      <c r="O214" s="338"/>
      <c r="P214" s="338"/>
      <c r="Q214" s="338"/>
      <c r="R214" s="338"/>
      <c r="S214" s="338"/>
      <c r="T214" s="338"/>
      <c r="U214" s="338"/>
      <c r="V214" s="338"/>
      <c r="W214" s="338"/>
      <c r="X214" s="338"/>
      <c r="Y214" s="338"/>
      <c r="Z214" s="338"/>
    </row>
    <row r="215" ht="12.75" customHeight="1">
      <c r="A215" s="321"/>
      <c r="B215" s="338"/>
      <c r="C215" s="338"/>
      <c r="D215" s="415"/>
      <c r="E215" s="338"/>
      <c r="F215" s="338"/>
      <c r="G215" s="338"/>
      <c r="H215" s="338"/>
      <c r="I215" s="338"/>
      <c r="J215" s="338"/>
      <c r="K215" s="338"/>
      <c r="L215" s="356"/>
      <c r="M215" s="356"/>
      <c r="N215" s="321"/>
      <c r="O215" s="338"/>
      <c r="P215" s="338"/>
      <c r="Q215" s="338"/>
      <c r="R215" s="338"/>
      <c r="S215" s="338"/>
      <c r="T215" s="338"/>
      <c r="U215" s="338"/>
      <c r="V215" s="338"/>
      <c r="W215" s="338"/>
      <c r="X215" s="338"/>
      <c r="Y215" s="338"/>
      <c r="Z215" s="338"/>
    </row>
    <row r="216" ht="12.75" customHeight="1">
      <c r="A216" s="321"/>
      <c r="B216" s="338"/>
      <c r="C216" s="338"/>
      <c r="D216" s="415"/>
      <c r="E216" s="338"/>
      <c r="F216" s="338"/>
      <c r="G216" s="338"/>
      <c r="H216" s="338"/>
      <c r="I216" s="338"/>
      <c r="J216" s="338"/>
      <c r="K216" s="338"/>
      <c r="L216" s="356"/>
      <c r="M216" s="356"/>
      <c r="N216" s="321"/>
      <c r="O216" s="338"/>
      <c r="P216" s="338"/>
      <c r="Q216" s="338"/>
      <c r="R216" s="338"/>
      <c r="S216" s="338"/>
      <c r="T216" s="338"/>
      <c r="U216" s="338"/>
      <c r="V216" s="338"/>
      <c r="W216" s="338"/>
      <c r="X216" s="338"/>
      <c r="Y216" s="338"/>
      <c r="Z216" s="338"/>
    </row>
    <row r="217" ht="12.75" customHeight="1">
      <c r="A217" s="321"/>
      <c r="B217" s="338"/>
      <c r="C217" s="338"/>
      <c r="D217" s="415"/>
      <c r="E217" s="338"/>
      <c r="F217" s="338"/>
      <c r="G217" s="338"/>
      <c r="H217" s="338"/>
      <c r="I217" s="338"/>
      <c r="J217" s="338"/>
      <c r="K217" s="338"/>
      <c r="L217" s="356"/>
      <c r="M217" s="356"/>
      <c r="N217" s="321"/>
      <c r="O217" s="338"/>
      <c r="P217" s="338"/>
      <c r="Q217" s="338"/>
      <c r="R217" s="338"/>
      <c r="S217" s="338"/>
      <c r="T217" s="338"/>
      <c r="U217" s="338"/>
      <c r="V217" s="338"/>
      <c r="W217" s="338"/>
      <c r="X217" s="338"/>
      <c r="Y217" s="338"/>
      <c r="Z217" s="338"/>
    </row>
    <row r="218" ht="12.75" customHeight="1">
      <c r="A218" s="321"/>
      <c r="B218" s="338"/>
      <c r="C218" s="338"/>
      <c r="D218" s="415"/>
      <c r="E218" s="338"/>
      <c r="F218" s="338"/>
      <c r="G218" s="338"/>
      <c r="H218" s="338"/>
      <c r="I218" s="338"/>
      <c r="J218" s="338"/>
      <c r="K218" s="338"/>
      <c r="L218" s="356"/>
      <c r="M218" s="356"/>
      <c r="N218" s="321"/>
      <c r="O218" s="338"/>
      <c r="P218" s="338"/>
      <c r="Q218" s="338"/>
      <c r="R218" s="338"/>
      <c r="S218" s="338"/>
      <c r="T218" s="338"/>
      <c r="U218" s="338"/>
      <c r="V218" s="338"/>
      <c r="W218" s="338"/>
      <c r="X218" s="338"/>
      <c r="Y218" s="338"/>
      <c r="Z218" s="338"/>
    </row>
    <row r="219" ht="12.75" customHeight="1">
      <c r="A219" s="321"/>
      <c r="B219" s="338"/>
      <c r="C219" s="338"/>
      <c r="D219" s="415"/>
      <c r="E219" s="338"/>
      <c r="F219" s="338"/>
      <c r="G219" s="338"/>
      <c r="H219" s="338"/>
      <c r="I219" s="338"/>
      <c r="J219" s="338"/>
      <c r="K219" s="338"/>
      <c r="L219" s="356"/>
      <c r="M219" s="356"/>
      <c r="N219" s="321"/>
      <c r="O219" s="338"/>
      <c r="P219" s="338"/>
      <c r="Q219" s="338"/>
      <c r="R219" s="338"/>
      <c r="S219" s="338"/>
      <c r="T219" s="338"/>
      <c r="U219" s="338"/>
      <c r="V219" s="338"/>
      <c r="W219" s="338"/>
      <c r="X219" s="338"/>
      <c r="Y219" s="338"/>
      <c r="Z219" s="338"/>
    </row>
    <row r="220" ht="12.75" customHeight="1">
      <c r="A220" s="321"/>
      <c r="B220" s="338"/>
      <c r="C220" s="338"/>
      <c r="D220" s="415"/>
      <c r="E220" s="338"/>
      <c r="F220" s="338"/>
      <c r="G220" s="338"/>
      <c r="H220" s="338"/>
      <c r="I220" s="338"/>
      <c r="J220" s="338"/>
      <c r="K220" s="338"/>
      <c r="L220" s="356"/>
      <c r="M220" s="356"/>
      <c r="N220" s="321"/>
      <c r="O220" s="338"/>
      <c r="P220" s="338"/>
      <c r="Q220" s="338"/>
      <c r="R220" s="338"/>
      <c r="S220" s="338"/>
      <c r="T220" s="338"/>
      <c r="U220" s="338"/>
      <c r="V220" s="338"/>
      <c r="W220" s="338"/>
      <c r="X220" s="338"/>
      <c r="Y220" s="338"/>
      <c r="Z220" s="338"/>
    </row>
    <row r="221" ht="12.75" customHeight="1">
      <c r="A221" s="321"/>
      <c r="B221" s="338"/>
      <c r="C221" s="338"/>
      <c r="D221" s="415"/>
      <c r="E221" s="338"/>
      <c r="F221" s="338"/>
      <c r="G221" s="338"/>
      <c r="H221" s="338"/>
      <c r="I221" s="338"/>
      <c r="J221" s="338"/>
      <c r="K221" s="338"/>
      <c r="L221" s="356"/>
      <c r="M221" s="356"/>
      <c r="N221" s="321"/>
      <c r="O221" s="338"/>
      <c r="P221" s="338"/>
      <c r="Q221" s="338"/>
      <c r="R221" s="338"/>
      <c r="S221" s="338"/>
      <c r="T221" s="338"/>
      <c r="U221" s="338"/>
      <c r="V221" s="338"/>
      <c r="W221" s="338"/>
      <c r="X221" s="338"/>
      <c r="Y221" s="338"/>
      <c r="Z221" s="338"/>
    </row>
    <row r="222" ht="12.75" customHeight="1">
      <c r="A222" s="321"/>
      <c r="B222" s="338"/>
      <c r="C222" s="338"/>
      <c r="D222" s="415"/>
      <c r="E222" s="338"/>
      <c r="F222" s="338"/>
      <c r="G222" s="338"/>
      <c r="H222" s="338"/>
      <c r="I222" s="338"/>
      <c r="J222" s="338"/>
      <c r="K222" s="338"/>
      <c r="L222" s="356"/>
      <c r="M222" s="356"/>
      <c r="N222" s="321"/>
      <c r="O222" s="338"/>
      <c r="P222" s="338"/>
      <c r="Q222" s="338"/>
      <c r="R222" s="338"/>
      <c r="S222" s="338"/>
      <c r="T222" s="338"/>
      <c r="U222" s="338"/>
      <c r="V222" s="338"/>
      <c r="W222" s="338"/>
      <c r="X222" s="338"/>
      <c r="Y222" s="338"/>
      <c r="Z222" s="338"/>
    </row>
    <row r="223" ht="12.75" customHeight="1">
      <c r="A223" s="321"/>
      <c r="B223" s="338"/>
      <c r="C223" s="338"/>
      <c r="D223" s="415"/>
      <c r="E223" s="338"/>
      <c r="F223" s="338"/>
      <c r="G223" s="338"/>
      <c r="H223" s="338"/>
      <c r="I223" s="338"/>
      <c r="J223" s="338"/>
      <c r="K223" s="338"/>
      <c r="L223" s="356"/>
      <c r="M223" s="356"/>
      <c r="N223" s="321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</row>
    <row r="224" ht="12.75" customHeight="1">
      <c r="A224" s="321"/>
      <c r="B224" s="338"/>
      <c r="C224" s="338"/>
      <c r="D224" s="415"/>
      <c r="E224" s="338"/>
      <c r="F224" s="338"/>
      <c r="G224" s="338"/>
      <c r="H224" s="338"/>
      <c r="I224" s="338"/>
      <c r="J224" s="338"/>
      <c r="K224" s="338"/>
      <c r="L224" s="356"/>
      <c r="M224" s="356"/>
      <c r="N224" s="321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</row>
    <row r="225" ht="12.75" customHeight="1">
      <c r="A225" s="321"/>
      <c r="B225" s="338"/>
      <c r="C225" s="338"/>
      <c r="D225" s="415"/>
      <c r="E225" s="338"/>
      <c r="F225" s="338"/>
      <c r="G225" s="338"/>
      <c r="H225" s="338"/>
      <c r="I225" s="338"/>
      <c r="J225" s="338"/>
      <c r="K225" s="338"/>
      <c r="L225" s="356"/>
      <c r="M225" s="356"/>
      <c r="N225" s="321"/>
      <c r="O225" s="338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</row>
    <row r="226" ht="12.75" customHeight="1">
      <c r="A226" s="321"/>
      <c r="B226" s="338"/>
      <c r="C226" s="338"/>
      <c r="D226" s="415"/>
      <c r="E226" s="338"/>
      <c r="F226" s="338"/>
      <c r="G226" s="338"/>
      <c r="H226" s="338"/>
      <c r="I226" s="338"/>
      <c r="J226" s="338"/>
      <c r="K226" s="338"/>
      <c r="L226" s="356"/>
      <c r="M226" s="356"/>
      <c r="N226" s="321"/>
      <c r="O226" s="338"/>
      <c r="P226" s="338"/>
      <c r="Q226" s="338"/>
      <c r="R226" s="338"/>
      <c r="S226" s="338"/>
      <c r="T226" s="338"/>
      <c r="U226" s="338"/>
      <c r="V226" s="338"/>
      <c r="W226" s="338"/>
      <c r="X226" s="338"/>
      <c r="Y226" s="338"/>
      <c r="Z226" s="338"/>
    </row>
    <row r="227" ht="12.75" customHeight="1">
      <c r="A227" s="321"/>
      <c r="B227" s="338"/>
      <c r="C227" s="338"/>
      <c r="D227" s="415"/>
      <c r="E227" s="338"/>
      <c r="F227" s="338"/>
      <c r="G227" s="338"/>
      <c r="H227" s="338"/>
      <c r="I227" s="338"/>
      <c r="J227" s="338"/>
      <c r="K227" s="338"/>
      <c r="L227" s="356"/>
      <c r="M227" s="356"/>
      <c r="N227" s="321"/>
      <c r="O227" s="338"/>
      <c r="P227" s="338"/>
      <c r="Q227" s="338"/>
      <c r="R227" s="338"/>
      <c r="S227" s="338"/>
      <c r="T227" s="338"/>
      <c r="U227" s="338"/>
      <c r="V227" s="338"/>
      <c r="W227" s="338"/>
      <c r="X227" s="338"/>
      <c r="Y227" s="338"/>
      <c r="Z227" s="338"/>
    </row>
    <row r="228" ht="12.75" customHeight="1">
      <c r="A228" s="321"/>
      <c r="B228" s="338"/>
      <c r="C228" s="338"/>
      <c r="D228" s="415"/>
      <c r="E228" s="338"/>
      <c r="F228" s="338"/>
      <c r="G228" s="338"/>
      <c r="H228" s="338"/>
      <c r="I228" s="338"/>
      <c r="J228" s="338"/>
      <c r="K228" s="338"/>
      <c r="L228" s="356"/>
      <c r="M228" s="356"/>
      <c r="N228" s="321"/>
      <c r="O228" s="338"/>
      <c r="P228" s="338"/>
      <c r="Q228" s="338"/>
      <c r="R228" s="338"/>
      <c r="S228" s="338"/>
      <c r="T228" s="338"/>
      <c r="U228" s="338"/>
      <c r="V228" s="338"/>
      <c r="W228" s="338"/>
      <c r="X228" s="338"/>
      <c r="Y228" s="338"/>
      <c r="Z228" s="338"/>
    </row>
    <row r="229" ht="12.75" customHeight="1">
      <c r="A229" s="321"/>
      <c r="B229" s="338"/>
      <c r="C229" s="338"/>
      <c r="D229" s="415"/>
      <c r="E229" s="338"/>
      <c r="F229" s="338"/>
      <c r="G229" s="338"/>
      <c r="H229" s="338"/>
      <c r="I229" s="338"/>
      <c r="J229" s="338"/>
      <c r="K229" s="338"/>
      <c r="L229" s="356"/>
      <c r="M229" s="356"/>
      <c r="N229" s="321"/>
      <c r="O229" s="338"/>
      <c r="P229" s="338"/>
      <c r="Q229" s="338"/>
      <c r="R229" s="338"/>
      <c r="S229" s="338"/>
      <c r="T229" s="338"/>
      <c r="U229" s="338"/>
      <c r="V229" s="338"/>
      <c r="W229" s="338"/>
      <c r="X229" s="338"/>
      <c r="Y229" s="338"/>
      <c r="Z229" s="338"/>
    </row>
    <row r="230" ht="12.75" customHeight="1">
      <c r="A230" s="321"/>
      <c r="B230" s="338"/>
      <c r="C230" s="338"/>
      <c r="D230" s="415"/>
      <c r="E230" s="338"/>
      <c r="F230" s="338"/>
      <c r="G230" s="338"/>
      <c r="H230" s="338"/>
      <c r="I230" s="338"/>
      <c r="J230" s="338"/>
      <c r="K230" s="338"/>
      <c r="L230" s="356"/>
      <c r="M230" s="356"/>
      <c r="N230" s="321"/>
      <c r="O230" s="338"/>
      <c r="P230" s="338"/>
      <c r="Q230" s="338"/>
      <c r="R230" s="338"/>
      <c r="S230" s="338"/>
      <c r="T230" s="338"/>
      <c r="U230" s="338"/>
      <c r="V230" s="338"/>
      <c r="W230" s="338"/>
      <c r="X230" s="338"/>
      <c r="Y230" s="338"/>
      <c r="Z230" s="338"/>
    </row>
    <row r="231" ht="12.75" customHeight="1">
      <c r="A231" s="321"/>
      <c r="B231" s="338"/>
      <c r="C231" s="338"/>
      <c r="D231" s="415"/>
      <c r="E231" s="338"/>
      <c r="F231" s="338"/>
      <c r="G231" s="338"/>
      <c r="H231" s="338"/>
      <c r="I231" s="338"/>
      <c r="J231" s="338"/>
      <c r="K231" s="338"/>
      <c r="L231" s="356"/>
      <c r="M231" s="356"/>
      <c r="N231" s="321"/>
      <c r="O231" s="338"/>
      <c r="P231" s="338"/>
      <c r="Q231" s="338"/>
      <c r="R231" s="338"/>
      <c r="S231" s="338"/>
      <c r="T231" s="338"/>
      <c r="U231" s="338"/>
      <c r="V231" s="338"/>
      <c r="W231" s="338"/>
      <c r="X231" s="338"/>
      <c r="Y231" s="338"/>
      <c r="Z231" s="338"/>
    </row>
    <row r="232" ht="12.75" customHeight="1">
      <c r="A232" s="321"/>
      <c r="B232" s="338"/>
      <c r="C232" s="338"/>
      <c r="D232" s="415"/>
      <c r="E232" s="338"/>
      <c r="F232" s="338"/>
      <c r="G232" s="338"/>
      <c r="H232" s="338"/>
      <c r="I232" s="338"/>
      <c r="J232" s="338"/>
      <c r="K232" s="338"/>
      <c r="L232" s="356"/>
      <c r="M232" s="356"/>
      <c r="N232" s="321"/>
      <c r="O232" s="338"/>
      <c r="P232" s="338"/>
      <c r="Q232" s="338"/>
      <c r="R232" s="338"/>
      <c r="S232" s="338"/>
      <c r="T232" s="338"/>
      <c r="U232" s="338"/>
      <c r="V232" s="338"/>
      <c r="W232" s="338"/>
      <c r="X232" s="338"/>
      <c r="Y232" s="338"/>
      <c r="Z232" s="338"/>
    </row>
    <row r="233" ht="12.75" customHeight="1">
      <c r="A233" s="321"/>
      <c r="B233" s="338"/>
      <c r="C233" s="338"/>
      <c r="D233" s="415"/>
      <c r="E233" s="338"/>
      <c r="F233" s="338"/>
      <c r="G233" s="338"/>
      <c r="H233" s="338"/>
      <c r="I233" s="338"/>
      <c r="J233" s="338"/>
      <c r="K233" s="338"/>
      <c r="L233" s="356"/>
      <c r="M233" s="356"/>
      <c r="N233" s="321"/>
      <c r="O233" s="338"/>
      <c r="P233" s="338"/>
      <c r="Q233" s="338"/>
      <c r="R233" s="338"/>
      <c r="S233" s="338"/>
      <c r="T233" s="338"/>
      <c r="U233" s="338"/>
      <c r="V233" s="338"/>
      <c r="W233" s="338"/>
      <c r="X233" s="338"/>
      <c r="Y233" s="338"/>
      <c r="Z233" s="338"/>
    </row>
    <row r="234" ht="12.75" customHeight="1">
      <c r="A234" s="321"/>
      <c r="B234" s="338"/>
      <c r="C234" s="338"/>
      <c r="D234" s="415"/>
      <c r="E234" s="338"/>
      <c r="F234" s="338"/>
      <c r="G234" s="338"/>
      <c r="H234" s="338"/>
      <c r="I234" s="338"/>
      <c r="J234" s="338"/>
      <c r="K234" s="338"/>
      <c r="L234" s="356"/>
      <c r="M234" s="356"/>
      <c r="N234" s="321"/>
      <c r="O234" s="338"/>
      <c r="P234" s="338"/>
      <c r="Q234" s="338"/>
      <c r="R234" s="338"/>
      <c r="S234" s="338"/>
      <c r="T234" s="338"/>
      <c r="U234" s="338"/>
      <c r="V234" s="338"/>
      <c r="W234" s="338"/>
      <c r="X234" s="338"/>
      <c r="Y234" s="338"/>
      <c r="Z234" s="338"/>
    </row>
    <row r="235" ht="12.75" customHeight="1">
      <c r="A235" s="321"/>
      <c r="B235" s="338"/>
      <c r="C235" s="338"/>
      <c r="D235" s="415"/>
      <c r="E235" s="338"/>
      <c r="F235" s="338"/>
      <c r="G235" s="338"/>
      <c r="H235" s="338"/>
      <c r="I235" s="338"/>
      <c r="J235" s="338"/>
      <c r="K235" s="338"/>
      <c r="L235" s="356"/>
      <c r="M235" s="356"/>
      <c r="N235" s="321"/>
      <c r="O235" s="338"/>
      <c r="P235" s="338"/>
      <c r="Q235" s="338"/>
      <c r="R235" s="338"/>
      <c r="S235" s="338"/>
      <c r="T235" s="338"/>
      <c r="U235" s="338"/>
      <c r="V235" s="338"/>
      <c r="W235" s="338"/>
      <c r="X235" s="338"/>
      <c r="Y235" s="338"/>
      <c r="Z235" s="338"/>
    </row>
    <row r="236" ht="12.75" customHeight="1">
      <c r="A236" s="321"/>
      <c r="B236" s="338"/>
      <c r="C236" s="338"/>
      <c r="D236" s="415"/>
      <c r="E236" s="338"/>
      <c r="F236" s="338"/>
      <c r="G236" s="338"/>
      <c r="H236" s="338"/>
      <c r="I236" s="338"/>
      <c r="J236" s="338"/>
      <c r="K236" s="338"/>
      <c r="L236" s="356"/>
      <c r="M236" s="356"/>
      <c r="N236" s="321"/>
      <c r="O236" s="338"/>
      <c r="P236" s="338"/>
      <c r="Q236" s="338"/>
      <c r="R236" s="338"/>
      <c r="S236" s="338"/>
      <c r="T236" s="338"/>
      <c r="U236" s="338"/>
      <c r="V236" s="338"/>
      <c r="W236" s="338"/>
      <c r="X236" s="338"/>
      <c r="Y236" s="338"/>
      <c r="Z236" s="338"/>
    </row>
    <row r="237" ht="12.75" customHeight="1">
      <c r="A237" s="321"/>
      <c r="B237" s="338"/>
      <c r="C237" s="338"/>
      <c r="D237" s="415"/>
      <c r="E237" s="338"/>
      <c r="F237" s="338"/>
      <c r="G237" s="338"/>
      <c r="H237" s="338"/>
      <c r="I237" s="338"/>
      <c r="J237" s="338"/>
      <c r="K237" s="338"/>
      <c r="L237" s="356"/>
      <c r="M237" s="356"/>
      <c r="N237" s="321"/>
      <c r="O237" s="338"/>
      <c r="P237" s="338"/>
      <c r="Q237" s="338"/>
      <c r="R237" s="338"/>
      <c r="S237" s="338"/>
      <c r="T237" s="338"/>
      <c r="U237" s="338"/>
      <c r="V237" s="338"/>
      <c r="W237" s="338"/>
      <c r="X237" s="338"/>
      <c r="Y237" s="338"/>
      <c r="Z237" s="338"/>
    </row>
    <row r="238" ht="12.75" customHeight="1">
      <c r="A238" s="321"/>
      <c r="B238" s="338"/>
      <c r="C238" s="338"/>
      <c r="D238" s="415"/>
      <c r="E238" s="338"/>
      <c r="F238" s="338"/>
      <c r="G238" s="338"/>
      <c r="H238" s="338"/>
      <c r="I238" s="338"/>
      <c r="J238" s="338"/>
      <c r="K238" s="338"/>
      <c r="L238" s="356"/>
      <c r="M238" s="356"/>
      <c r="N238" s="321"/>
      <c r="O238" s="338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</row>
    <row r="239" ht="12.75" customHeight="1">
      <c r="A239" s="321"/>
      <c r="B239" s="338"/>
      <c r="C239" s="338"/>
      <c r="D239" s="415"/>
      <c r="E239" s="338"/>
      <c r="F239" s="338"/>
      <c r="G239" s="338"/>
      <c r="H239" s="338"/>
      <c r="I239" s="338"/>
      <c r="J239" s="338"/>
      <c r="K239" s="338"/>
      <c r="L239" s="356"/>
      <c r="M239" s="356"/>
      <c r="N239" s="321"/>
      <c r="O239" s="338"/>
      <c r="P239" s="338"/>
      <c r="Q239" s="338"/>
      <c r="R239" s="338"/>
      <c r="S239" s="338"/>
      <c r="T239" s="338"/>
      <c r="U239" s="338"/>
      <c r="V239" s="338"/>
      <c r="W239" s="338"/>
      <c r="X239" s="338"/>
      <c r="Y239" s="338"/>
      <c r="Z239" s="338"/>
    </row>
    <row r="240" ht="12.75" customHeight="1">
      <c r="A240" s="321"/>
      <c r="B240" s="338"/>
      <c r="C240" s="338"/>
      <c r="D240" s="415"/>
      <c r="E240" s="338"/>
      <c r="F240" s="338"/>
      <c r="G240" s="338"/>
      <c r="H240" s="338"/>
      <c r="I240" s="338"/>
      <c r="J240" s="338"/>
      <c r="K240" s="338"/>
      <c r="L240" s="356"/>
      <c r="M240" s="356"/>
      <c r="N240" s="321"/>
      <c r="O240" s="338"/>
      <c r="P240" s="338"/>
      <c r="Q240" s="338"/>
      <c r="R240" s="338"/>
      <c r="S240" s="338"/>
      <c r="T240" s="338"/>
      <c r="U240" s="338"/>
      <c r="V240" s="338"/>
      <c r="W240" s="338"/>
      <c r="X240" s="338"/>
      <c r="Y240" s="338"/>
      <c r="Z240" s="338"/>
    </row>
    <row r="241" ht="12.75" customHeight="1">
      <c r="A241" s="321"/>
      <c r="B241" s="338"/>
      <c r="C241" s="338"/>
      <c r="D241" s="415"/>
      <c r="E241" s="338"/>
      <c r="F241" s="338"/>
      <c r="G241" s="338"/>
      <c r="H241" s="338"/>
      <c r="I241" s="338"/>
      <c r="J241" s="338"/>
      <c r="K241" s="338"/>
      <c r="L241" s="356"/>
      <c r="M241" s="356"/>
      <c r="N241" s="321"/>
      <c r="O241" s="338"/>
      <c r="P241" s="338"/>
      <c r="Q241" s="338"/>
      <c r="R241" s="338"/>
      <c r="S241" s="338"/>
      <c r="T241" s="338"/>
      <c r="U241" s="338"/>
      <c r="V241" s="338"/>
      <c r="W241" s="338"/>
      <c r="X241" s="338"/>
      <c r="Y241" s="338"/>
      <c r="Z241" s="338"/>
    </row>
    <row r="242" ht="12.75" customHeight="1">
      <c r="A242" s="321"/>
      <c r="B242" s="338"/>
      <c r="C242" s="338"/>
      <c r="D242" s="415"/>
      <c r="E242" s="338"/>
      <c r="F242" s="338"/>
      <c r="G242" s="338"/>
      <c r="H242" s="338"/>
      <c r="I242" s="338"/>
      <c r="J242" s="338"/>
      <c r="K242" s="338"/>
      <c r="L242" s="356"/>
      <c r="M242" s="356"/>
      <c r="N242" s="321"/>
      <c r="O242" s="338"/>
      <c r="P242" s="338"/>
      <c r="Q242" s="338"/>
      <c r="R242" s="338"/>
      <c r="S242" s="338"/>
      <c r="T242" s="338"/>
      <c r="U242" s="338"/>
      <c r="V242" s="338"/>
      <c r="W242" s="338"/>
      <c r="X242" s="338"/>
      <c r="Y242" s="338"/>
      <c r="Z242" s="338"/>
    </row>
    <row r="243" ht="12.75" customHeight="1">
      <c r="A243" s="321"/>
      <c r="B243" s="338"/>
      <c r="C243" s="338"/>
      <c r="D243" s="415"/>
      <c r="E243" s="338"/>
      <c r="F243" s="338"/>
      <c r="G243" s="338"/>
      <c r="H243" s="338"/>
      <c r="I243" s="338"/>
      <c r="J243" s="338"/>
      <c r="K243" s="338"/>
      <c r="L243" s="356"/>
      <c r="M243" s="356"/>
      <c r="N243" s="321"/>
      <c r="O243" s="338"/>
      <c r="P243" s="338"/>
      <c r="Q243" s="338"/>
      <c r="R243" s="338"/>
      <c r="S243" s="338"/>
      <c r="T243" s="338"/>
      <c r="U243" s="338"/>
      <c r="V243" s="338"/>
      <c r="W243" s="338"/>
      <c r="X243" s="338"/>
      <c r="Y243" s="338"/>
      <c r="Z243" s="338"/>
    </row>
    <row r="244" ht="12.75" customHeight="1">
      <c r="A244" s="321"/>
      <c r="B244" s="338"/>
      <c r="C244" s="338"/>
      <c r="D244" s="415"/>
      <c r="E244" s="338"/>
      <c r="F244" s="338"/>
      <c r="G244" s="338"/>
      <c r="H244" s="338"/>
      <c r="I244" s="338"/>
      <c r="J244" s="338"/>
      <c r="K244" s="338"/>
      <c r="L244" s="356"/>
      <c r="M244" s="356"/>
      <c r="N244" s="321"/>
      <c r="O244" s="338"/>
      <c r="P244" s="338"/>
      <c r="Q244" s="338"/>
      <c r="R244" s="338"/>
      <c r="S244" s="338"/>
      <c r="T244" s="338"/>
      <c r="U244" s="338"/>
      <c r="V244" s="338"/>
      <c r="W244" s="338"/>
      <c r="X244" s="338"/>
      <c r="Y244" s="338"/>
      <c r="Z244" s="338"/>
    </row>
    <row r="245" ht="12.75" customHeight="1">
      <c r="A245" s="321"/>
      <c r="B245" s="338"/>
      <c r="C245" s="338"/>
      <c r="D245" s="415"/>
      <c r="E245" s="338"/>
      <c r="F245" s="338"/>
      <c r="G245" s="338"/>
      <c r="H245" s="338"/>
      <c r="I245" s="338"/>
      <c r="J245" s="338"/>
      <c r="K245" s="338"/>
      <c r="L245" s="356"/>
      <c r="M245" s="356"/>
      <c r="N245" s="321"/>
      <c r="O245" s="338"/>
      <c r="P245" s="338"/>
      <c r="Q245" s="338"/>
      <c r="R245" s="338"/>
      <c r="S245" s="338"/>
      <c r="T245" s="338"/>
      <c r="U245" s="338"/>
      <c r="V245" s="338"/>
      <c r="W245" s="338"/>
      <c r="X245" s="338"/>
      <c r="Y245" s="338"/>
      <c r="Z245" s="338"/>
    </row>
    <row r="246" ht="12.75" customHeight="1">
      <c r="A246" s="321"/>
      <c r="B246" s="338"/>
      <c r="C246" s="338"/>
      <c r="D246" s="415"/>
      <c r="E246" s="338"/>
      <c r="F246" s="338"/>
      <c r="G246" s="338"/>
      <c r="H246" s="338"/>
      <c r="I246" s="338"/>
      <c r="J246" s="338"/>
      <c r="K246" s="338"/>
      <c r="L246" s="356"/>
      <c r="M246" s="356"/>
      <c r="N246" s="321"/>
      <c r="O246" s="338"/>
      <c r="P246" s="338"/>
      <c r="Q246" s="338"/>
      <c r="R246" s="338"/>
      <c r="S246" s="338"/>
      <c r="T246" s="338"/>
      <c r="U246" s="338"/>
      <c r="V246" s="338"/>
      <c r="W246" s="338"/>
      <c r="X246" s="338"/>
      <c r="Y246" s="338"/>
      <c r="Z246" s="338"/>
    </row>
    <row r="247" ht="12.75" customHeight="1">
      <c r="A247" s="321"/>
      <c r="B247" s="338"/>
      <c r="C247" s="338"/>
      <c r="D247" s="415"/>
      <c r="E247" s="338"/>
      <c r="F247" s="338"/>
      <c r="G247" s="338"/>
      <c r="H247" s="338"/>
      <c r="I247" s="338"/>
      <c r="J247" s="338"/>
      <c r="K247" s="338"/>
      <c r="L247" s="356"/>
      <c r="M247" s="356"/>
      <c r="N247" s="321"/>
      <c r="O247" s="338"/>
      <c r="P247" s="338"/>
      <c r="Q247" s="338"/>
      <c r="R247" s="338"/>
      <c r="S247" s="338"/>
      <c r="T247" s="338"/>
      <c r="U247" s="338"/>
      <c r="V247" s="338"/>
      <c r="W247" s="338"/>
      <c r="X247" s="338"/>
      <c r="Y247" s="338"/>
      <c r="Z247" s="338"/>
    </row>
    <row r="248" ht="12.75" customHeight="1">
      <c r="A248" s="321"/>
      <c r="B248" s="338"/>
      <c r="C248" s="338"/>
      <c r="D248" s="415"/>
      <c r="E248" s="338"/>
      <c r="F248" s="338"/>
      <c r="G248" s="338"/>
      <c r="H248" s="338"/>
      <c r="I248" s="338"/>
      <c r="J248" s="338"/>
      <c r="K248" s="338"/>
      <c r="L248" s="356"/>
      <c r="M248" s="356"/>
      <c r="N248" s="321"/>
      <c r="O248" s="338"/>
      <c r="P248" s="338"/>
      <c r="Q248" s="338"/>
      <c r="R248" s="338"/>
      <c r="S248" s="338"/>
      <c r="T248" s="338"/>
      <c r="U248" s="338"/>
      <c r="V248" s="338"/>
      <c r="W248" s="338"/>
      <c r="X248" s="338"/>
      <c r="Y248" s="338"/>
      <c r="Z248" s="338"/>
    </row>
    <row r="249" ht="12.75" customHeight="1">
      <c r="A249" s="321"/>
      <c r="B249" s="338"/>
      <c r="C249" s="338"/>
      <c r="D249" s="415"/>
      <c r="E249" s="338"/>
      <c r="F249" s="338"/>
      <c r="G249" s="338"/>
      <c r="H249" s="338"/>
      <c r="I249" s="338"/>
      <c r="J249" s="338"/>
      <c r="K249" s="338"/>
      <c r="L249" s="356"/>
      <c r="M249" s="356"/>
      <c r="N249" s="321"/>
      <c r="O249" s="338"/>
      <c r="P249" s="338"/>
      <c r="Q249" s="338"/>
      <c r="R249" s="338"/>
      <c r="S249" s="338"/>
      <c r="T249" s="338"/>
      <c r="U249" s="338"/>
      <c r="V249" s="338"/>
      <c r="W249" s="338"/>
      <c r="X249" s="338"/>
      <c r="Y249" s="338"/>
      <c r="Z249" s="338"/>
    </row>
    <row r="250" ht="12.75" customHeight="1">
      <c r="A250" s="321"/>
      <c r="B250" s="338"/>
      <c r="C250" s="338"/>
      <c r="D250" s="415"/>
      <c r="E250" s="338"/>
      <c r="F250" s="338"/>
      <c r="G250" s="338"/>
      <c r="H250" s="338"/>
      <c r="I250" s="338"/>
      <c r="J250" s="338"/>
      <c r="K250" s="338"/>
      <c r="L250" s="356"/>
      <c r="M250" s="356"/>
      <c r="N250" s="321"/>
      <c r="O250" s="338"/>
      <c r="P250" s="338"/>
      <c r="Q250" s="338"/>
      <c r="R250" s="338"/>
      <c r="S250" s="338"/>
      <c r="T250" s="338"/>
      <c r="U250" s="338"/>
      <c r="V250" s="338"/>
      <c r="W250" s="338"/>
      <c r="X250" s="338"/>
      <c r="Y250" s="338"/>
      <c r="Z250" s="338"/>
    </row>
    <row r="251" ht="12.75" customHeight="1">
      <c r="A251" s="321"/>
      <c r="B251" s="338"/>
      <c r="C251" s="338"/>
      <c r="D251" s="415"/>
      <c r="E251" s="338"/>
      <c r="F251" s="338"/>
      <c r="G251" s="338"/>
      <c r="H251" s="338"/>
      <c r="I251" s="338"/>
      <c r="J251" s="338"/>
      <c r="K251" s="338"/>
      <c r="L251" s="356"/>
      <c r="M251" s="356"/>
      <c r="N251" s="321"/>
      <c r="O251" s="338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</row>
    <row r="252" ht="12.75" customHeight="1">
      <c r="A252" s="321"/>
      <c r="B252" s="338"/>
      <c r="C252" s="338"/>
      <c r="D252" s="415"/>
      <c r="E252" s="338"/>
      <c r="F252" s="338"/>
      <c r="G252" s="338"/>
      <c r="H252" s="338"/>
      <c r="I252" s="338"/>
      <c r="J252" s="338"/>
      <c r="K252" s="338"/>
      <c r="L252" s="356"/>
      <c r="M252" s="356"/>
      <c r="N252" s="321"/>
      <c r="O252" s="338"/>
      <c r="P252" s="338"/>
      <c r="Q252" s="338"/>
      <c r="R252" s="338"/>
      <c r="S252" s="338"/>
      <c r="T252" s="338"/>
      <c r="U252" s="338"/>
      <c r="V252" s="338"/>
      <c r="W252" s="338"/>
      <c r="X252" s="338"/>
      <c r="Y252" s="338"/>
      <c r="Z252" s="338"/>
    </row>
    <row r="253" ht="12.75" customHeight="1">
      <c r="A253" s="321"/>
      <c r="B253" s="338"/>
      <c r="C253" s="338"/>
      <c r="D253" s="415"/>
      <c r="E253" s="338"/>
      <c r="F253" s="338"/>
      <c r="G253" s="338"/>
      <c r="H253" s="338"/>
      <c r="I253" s="338"/>
      <c r="J253" s="338"/>
      <c r="K253" s="338"/>
      <c r="L253" s="356"/>
      <c r="M253" s="356"/>
      <c r="N253" s="321"/>
      <c r="O253" s="338"/>
      <c r="P253" s="338"/>
      <c r="Q253" s="338"/>
      <c r="R253" s="338"/>
      <c r="S253" s="338"/>
      <c r="T253" s="338"/>
      <c r="U253" s="338"/>
      <c r="V253" s="338"/>
      <c r="W253" s="338"/>
      <c r="X253" s="338"/>
      <c r="Y253" s="338"/>
      <c r="Z253" s="338"/>
    </row>
    <row r="254" ht="12.75" customHeight="1">
      <c r="A254" s="321"/>
      <c r="B254" s="338"/>
      <c r="C254" s="338"/>
      <c r="D254" s="415"/>
      <c r="E254" s="338"/>
      <c r="F254" s="338"/>
      <c r="G254" s="338"/>
      <c r="H254" s="338"/>
      <c r="I254" s="338"/>
      <c r="J254" s="338"/>
      <c r="K254" s="338"/>
      <c r="L254" s="356"/>
      <c r="M254" s="356"/>
      <c r="N254" s="321"/>
      <c r="O254" s="338"/>
      <c r="P254" s="338"/>
      <c r="Q254" s="338"/>
      <c r="R254" s="338"/>
      <c r="S254" s="338"/>
      <c r="T254" s="338"/>
      <c r="U254" s="338"/>
      <c r="V254" s="338"/>
      <c r="W254" s="338"/>
      <c r="X254" s="338"/>
      <c r="Y254" s="338"/>
      <c r="Z254" s="338"/>
    </row>
    <row r="255" ht="12.75" customHeight="1">
      <c r="A255" s="321"/>
      <c r="B255" s="338"/>
      <c r="C255" s="338"/>
      <c r="D255" s="415"/>
      <c r="E255" s="338"/>
      <c r="F255" s="338"/>
      <c r="G255" s="338"/>
      <c r="H255" s="338"/>
      <c r="I255" s="338"/>
      <c r="J255" s="338"/>
      <c r="K255" s="338"/>
      <c r="L255" s="356"/>
      <c r="M255" s="356"/>
      <c r="N255" s="321"/>
      <c r="O255" s="338"/>
      <c r="P255" s="338"/>
      <c r="Q255" s="338"/>
      <c r="R255" s="338"/>
      <c r="S255" s="338"/>
      <c r="T255" s="338"/>
      <c r="U255" s="338"/>
      <c r="V255" s="338"/>
      <c r="W255" s="338"/>
      <c r="X255" s="338"/>
      <c r="Y255" s="338"/>
      <c r="Z255" s="338"/>
    </row>
    <row r="256" ht="12.75" customHeight="1">
      <c r="A256" s="321"/>
      <c r="B256" s="338"/>
      <c r="C256" s="338"/>
      <c r="D256" s="415"/>
      <c r="E256" s="338"/>
      <c r="F256" s="338"/>
      <c r="G256" s="338"/>
      <c r="H256" s="338"/>
      <c r="I256" s="338"/>
      <c r="J256" s="338"/>
      <c r="K256" s="338"/>
      <c r="L256" s="356"/>
      <c r="M256" s="356"/>
      <c r="N256" s="321"/>
      <c r="O256" s="338"/>
      <c r="P256" s="338"/>
      <c r="Q256" s="338"/>
      <c r="R256" s="338"/>
      <c r="S256" s="338"/>
      <c r="T256" s="338"/>
      <c r="U256" s="338"/>
      <c r="V256" s="338"/>
      <c r="W256" s="338"/>
      <c r="X256" s="338"/>
      <c r="Y256" s="338"/>
      <c r="Z256" s="338"/>
    </row>
    <row r="257" ht="12.75" customHeight="1">
      <c r="A257" s="321"/>
      <c r="B257" s="338"/>
      <c r="C257" s="338"/>
      <c r="D257" s="415"/>
      <c r="E257" s="338"/>
      <c r="F257" s="338"/>
      <c r="G257" s="338"/>
      <c r="H257" s="338"/>
      <c r="I257" s="338"/>
      <c r="J257" s="338"/>
      <c r="K257" s="338"/>
      <c r="L257" s="356"/>
      <c r="M257" s="356"/>
      <c r="N257" s="321"/>
      <c r="O257" s="338"/>
      <c r="P257" s="338"/>
      <c r="Q257" s="338"/>
      <c r="R257" s="338"/>
      <c r="S257" s="338"/>
      <c r="T257" s="338"/>
      <c r="U257" s="338"/>
      <c r="V257" s="338"/>
      <c r="W257" s="338"/>
      <c r="X257" s="338"/>
      <c r="Y257" s="338"/>
      <c r="Z257" s="338"/>
    </row>
    <row r="258" ht="12.75" customHeight="1">
      <c r="A258" s="321"/>
      <c r="B258" s="338"/>
      <c r="C258" s="338"/>
      <c r="D258" s="415"/>
      <c r="E258" s="338"/>
      <c r="F258" s="338"/>
      <c r="G258" s="338"/>
      <c r="H258" s="338"/>
      <c r="I258" s="338"/>
      <c r="J258" s="338"/>
      <c r="K258" s="338"/>
      <c r="L258" s="356"/>
      <c r="M258" s="356"/>
      <c r="N258" s="321"/>
      <c r="O258" s="338"/>
      <c r="P258" s="338"/>
      <c r="Q258" s="338"/>
      <c r="R258" s="338"/>
      <c r="S258" s="338"/>
      <c r="T258" s="338"/>
      <c r="U258" s="338"/>
      <c r="V258" s="338"/>
      <c r="W258" s="338"/>
      <c r="X258" s="338"/>
      <c r="Y258" s="338"/>
      <c r="Z258" s="338"/>
    </row>
    <row r="259" ht="12.75" customHeight="1">
      <c r="A259" s="321"/>
      <c r="B259" s="338"/>
      <c r="C259" s="338"/>
      <c r="D259" s="415"/>
      <c r="E259" s="338"/>
      <c r="F259" s="338"/>
      <c r="G259" s="338"/>
      <c r="H259" s="338"/>
      <c r="I259" s="338"/>
      <c r="J259" s="338"/>
      <c r="K259" s="338"/>
      <c r="L259" s="356"/>
      <c r="M259" s="356"/>
      <c r="N259" s="321"/>
      <c r="O259" s="338"/>
      <c r="P259" s="338"/>
      <c r="Q259" s="338"/>
      <c r="R259" s="338"/>
      <c r="S259" s="338"/>
      <c r="T259" s="338"/>
      <c r="U259" s="338"/>
      <c r="V259" s="338"/>
      <c r="W259" s="338"/>
      <c r="X259" s="338"/>
      <c r="Y259" s="338"/>
      <c r="Z259" s="338"/>
    </row>
    <row r="260" ht="12.75" customHeight="1">
      <c r="A260" s="321"/>
      <c r="B260" s="338"/>
      <c r="C260" s="338"/>
      <c r="D260" s="415"/>
      <c r="E260" s="338"/>
      <c r="F260" s="338"/>
      <c r="G260" s="338"/>
      <c r="H260" s="338"/>
      <c r="I260" s="338"/>
      <c r="J260" s="338"/>
      <c r="K260" s="338"/>
      <c r="L260" s="356"/>
      <c r="M260" s="356"/>
      <c r="N260" s="321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</row>
    <row r="261" ht="12.75" customHeight="1">
      <c r="A261" s="321"/>
      <c r="B261" s="338"/>
      <c r="C261" s="338"/>
      <c r="D261" s="415"/>
      <c r="E261" s="338"/>
      <c r="F261" s="338"/>
      <c r="G261" s="338"/>
      <c r="H261" s="338"/>
      <c r="I261" s="338"/>
      <c r="J261" s="338"/>
      <c r="K261" s="338"/>
      <c r="L261" s="356"/>
      <c r="M261" s="356"/>
      <c r="N261" s="321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</row>
    <row r="262" ht="12.75" customHeight="1">
      <c r="A262" s="321"/>
      <c r="B262" s="338"/>
      <c r="C262" s="338"/>
      <c r="D262" s="415"/>
      <c r="E262" s="338"/>
      <c r="F262" s="338"/>
      <c r="G262" s="338"/>
      <c r="H262" s="338"/>
      <c r="I262" s="338"/>
      <c r="J262" s="338"/>
      <c r="K262" s="338"/>
      <c r="L262" s="356"/>
      <c r="M262" s="356"/>
      <c r="N262" s="321"/>
      <c r="O262" s="338"/>
      <c r="P262" s="338"/>
      <c r="Q262" s="338"/>
      <c r="R262" s="338"/>
      <c r="S262" s="338"/>
      <c r="T262" s="338"/>
      <c r="U262" s="338"/>
      <c r="V262" s="338"/>
      <c r="W262" s="338"/>
      <c r="X262" s="338"/>
      <c r="Y262" s="338"/>
      <c r="Z262" s="338"/>
    </row>
    <row r="263" ht="12.75" customHeight="1">
      <c r="A263" s="321"/>
      <c r="B263" s="338"/>
      <c r="C263" s="338"/>
      <c r="D263" s="415"/>
      <c r="E263" s="338"/>
      <c r="F263" s="338"/>
      <c r="G263" s="338"/>
      <c r="H263" s="338"/>
      <c r="I263" s="338"/>
      <c r="J263" s="338"/>
      <c r="K263" s="338"/>
      <c r="L263" s="356"/>
      <c r="M263" s="356"/>
      <c r="N263" s="321"/>
      <c r="O263" s="338"/>
      <c r="P263" s="338"/>
      <c r="Q263" s="338"/>
      <c r="R263" s="338"/>
      <c r="S263" s="338"/>
      <c r="T263" s="338"/>
      <c r="U263" s="338"/>
      <c r="V263" s="338"/>
      <c r="W263" s="338"/>
      <c r="X263" s="338"/>
      <c r="Y263" s="338"/>
      <c r="Z263" s="338"/>
    </row>
    <row r="264" ht="12.75" customHeight="1">
      <c r="A264" s="321"/>
      <c r="B264" s="338"/>
      <c r="C264" s="338"/>
      <c r="D264" s="415"/>
      <c r="E264" s="338"/>
      <c r="F264" s="338"/>
      <c r="G264" s="338"/>
      <c r="H264" s="338"/>
      <c r="I264" s="338"/>
      <c r="J264" s="338"/>
      <c r="K264" s="338"/>
      <c r="L264" s="356"/>
      <c r="M264" s="356"/>
      <c r="N264" s="321"/>
      <c r="O264" s="338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</row>
    <row r="265" ht="12.75" customHeight="1">
      <c r="A265" s="321"/>
      <c r="B265" s="338"/>
      <c r="C265" s="338"/>
      <c r="D265" s="415"/>
      <c r="E265" s="338"/>
      <c r="F265" s="338"/>
      <c r="G265" s="338"/>
      <c r="H265" s="338"/>
      <c r="I265" s="338"/>
      <c r="J265" s="338"/>
      <c r="K265" s="338"/>
      <c r="L265" s="356"/>
      <c r="M265" s="356"/>
      <c r="N265" s="321"/>
      <c r="O265" s="338"/>
      <c r="P265" s="338"/>
      <c r="Q265" s="338"/>
      <c r="R265" s="338"/>
      <c r="S265" s="338"/>
      <c r="T265" s="338"/>
      <c r="U265" s="338"/>
      <c r="V265" s="338"/>
      <c r="W265" s="338"/>
      <c r="X265" s="338"/>
      <c r="Y265" s="338"/>
      <c r="Z265" s="338"/>
    </row>
    <row r="266" ht="12.75" customHeight="1">
      <c r="A266" s="321"/>
      <c r="B266" s="338"/>
      <c r="C266" s="338"/>
      <c r="D266" s="415"/>
      <c r="E266" s="338"/>
      <c r="F266" s="338"/>
      <c r="G266" s="338"/>
      <c r="H266" s="338"/>
      <c r="I266" s="338"/>
      <c r="J266" s="338"/>
      <c r="K266" s="338"/>
      <c r="L266" s="356"/>
      <c r="M266" s="356"/>
      <c r="N266" s="321"/>
      <c r="O266" s="338"/>
      <c r="P266" s="338"/>
      <c r="Q266" s="338"/>
      <c r="R266" s="338"/>
      <c r="S266" s="338"/>
      <c r="T266" s="338"/>
      <c r="U266" s="338"/>
      <c r="V266" s="338"/>
      <c r="W266" s="338"/>
      <c r="X266" s="338"/>
      <c r="Y266" s="338"/>
      <c r="Z266" s="338"/>
    </row>
    <row r="267" ht="12.75" customHeight="1">
      <c r="A267" s="321"/>
      <c r="B267" s="338"/>
      <c r="C267" s="338"/>
      <c r="D267" s="415"/>
      <c r="E267" s="338"/>
      <c r="F267" s="338"/>
      <c r="G267" s="338"/>
      <c r="H267" s="338"/>
      <c r="I267" s="338"/>
      <c r="J267" s="338"/>
      <c r="K267" s="338"/>
      <c r="L267" s="356"/>
      <c r="M267" s="356"/>
      <c r="N267" s="321"/>
      <c r="O267" s="338"/>
      <c r="P267" s="338"/>
      <c r="Q267" s="338"/>
      <c r="R267" s="338"/>
      <c r="S267" s="338"/>
      <c r="T267" s="338"/>
      <c r="U267" s="338"/>
      <c r="V267" s="338"/>
      <c r="W267" s="338"/>
      <c r="X267" s="338"/>
      <c r="Y267" s="338"/>
      <c r="Z267" s="338"/>
    </row>
    <row r="268" ht="12.75" customHeight="1">
      <c r="A268" s="321"/>
      <c r="B268" s="338"/>
      <c r="C268" s="338"/>
      <c r="D268" s="415"/>
      <c r="E268" s="338"/>
      <c r="F268" s="338"/>
      <c r="G268" s="338"/>
      <c r="H268" s="338"/>
      <c r="I268" s="338"/>
      <c r="J268" s="338"/>
      <c r="K268" s="338"/>
      <c r="L268" s="356"/>
      <c r="M268" s="356"/>
      <c r="N268" s="321"/>
      <c r="O268" s="338"/>
      <c r="P268" s="338"/>
      <c r="Q268" s="338"/>
      <c r="R268" s="338"/>
      <c r="S268" s="338"/>
      <c r="T268" s="338"/>
      <c r="U268" s="338"/>
      <c r="V268" s="338"/>
      <c r="W268" s="338"/>
      <c r="X268" s="338"/>
      <c r="Y268" s="338"/>
      <c r="Z268" s="338"/>
    </row>
    <row r="269" ht="12.75" customHeight="1">
      <c r="A269" s="321"/>
      <c r="B269" s="338"/>
      <c r="C269" s="338"/>
      <c r="D269" s="415"/>
      <c r="E269" s="338"/>
      <c r="F269" s="338"/>
      <c r="G269" s="338"/>
      <c r="H269" s="338"/>
      <c r="I269" s="338"/>
      <c r="J269" s="338"/>
      <c r="K269" s="338"/>
      <c r="L269" s="356"/>
      <c r="M269" s="356"/>
      <c r="N269" s="321"/>
      <c r="O269" s="338"/>
      <c r="P269" s="338"/>
      <c r="Q269" s="338"/>
      <c r="R269" s="338"/>
      <c r="S269" s="338"/>
      <c r="T269" s="338"/>
      <c r="U269" s="338"/>
      <c r="V269" s="338"/>
      <c r="W269" s="338"/>
      <c r="X269" s="338"/>
      <c r="Y269" s="338"/>
      <c r="Z269" s="338"/>
    </row>
    <row r="270" ht="12.75" customHeight="1">
      <c r="A270" s="321"/>
      <c r="B270" s="338"/>
      <c r="C270" s="338"/>
      <c r="D270" s="415"/>
      <c r="E270" s="338"/>
      <c r="F270" s="338"/>
      <c r="G270" s="338"/>
      <c r="H270" s="338"/>
      <c r="I270" s="338"/>
      <c r="J270" s="338"/>
      <c r="K270" s="338"/>
      <c r="L270" s="356"/>
      <c r="M270" s="356"/>
      <c r="N270" s="321"/>
      <c r="O270" s="338"/>
      <c r="P270" s="338"/>
      <c r="Q270" s="338"/>
      <c r="R270" s="338"/>
      <c r="S270" s="338"/>
      <c r="T270" s="338"/>
      <c r="U270" s="338"/>
      <c r="V270" s="338"/>
      <c r="W270" s="338"/>
      <c r="X270" s="338"/>
      <c r="Y270" s="338"/>
      <c r="Z270" s="338"/>
    </row>
    <row r="271" ht="12.75" customHeight="1">
      <c r="A271" s="321"/>
      <c r="B271" s="338"/>
      <c r="C271" s="338"/>
      <c r="D271" s="415"/>
      <c r="E271" s="338"/>
      <c r="F271" s="338"/>
      <c r="G271" s="338"/>
      <c r="H271" s="338"/>
      <c r="I271" s="338"/>
      <c r="J271" s="338"/>
      <c r="K271" s="338"/>
      <c r="L271" s="356"/>
      <c r="M271" s="356"/>
      <c r="N271" s="321"/>
      <c r="O271" s="338"/>
      <c r="P271" s="338"/>
      <c r="Q271" s="338"/>
      <c r="R271" s="338"/>
      <c r="S271" s="338"/>
      <c r="T271" s="338"/>
      <c r="U271" s="338"/>
      <c r="V271" s="338"/>
      <c r="W271" s="338"/>
      <c r="X271" s="338"/>
      <c r="Y271" s="338"/>
      <c r="Z271" s="338"/>
    </row>
    <row r="272" ht="12.75" customHeight="1">
      <c r="A272" s="321"/>
      <c r="B272" s="338"/>
      <c r="C272" s="338"/>
      <c r="D272" s="415"/>
      <c r="E272" s="338"/>
      <c r="F272" s="338"/>
      <c r="G272" s="338"/>
      <c r="H272" s="338"/>
      <c r="I272" s="338"/>
      <c r="J272" s="338"/>
      <c r="K272" s="338"/>
      <c r="L272" s="356"/>
      <c r="M272" s="356"/>
      <c r="N272" s="321"/>
      <c r="O272" s="338"/>
      <c r="P272" s="338"/>
      <c r="Q272" s="338"/>
      <c r="R272" s="338"/>
      <c r="S272" s="338"/>
      <c r="T272" s="338"/>
      <c r="U272" s="338"/>
      <c r="V272" s="338"/>
      <c r="W272" s="338"/>
      <c r="X272" s="338"/>
      <c r="Y272" s="338"/>
      <c r="Z272" s="338"/>
    </row>
    <row r="273" ht="12.75" customHeight="1">
      <c r="A273" s="321"/>
      <c r="B273" s="338"/>
      <c r="C273" s="338"/>
      <c r="D273" s="415"/>
      <c r="E273" s="338"/>
      <c r="F273" s="338"/>
      <c r="G273" s="338"/>
      <c r="H273" s="338"/>
      <c r="I273" s="338"/>
      <c r="J273" s="338"/>
      <c r="K273" s="338"/>
      <c r="L273" s="356"/>
      <c r="M273" s="356"/>
      <c r="N273" s="321"/>
      <c r="O273" s="338"/>
      <c r="P273" s="338"/>
      <c r="Q273" s="338"/>
      <c r="R273" s="338"/>
      <c r="S273" s="338"/>
      <c r="T273" s="338"/>
      <c r="U273" s="338"/>
      <c r="V273" s="338"/>
      <c r="W273" s="338"/>
      <c r="X273" s="338"/>
      <c r="Y273" s="338"/>
      <c r="Z273" s="338"/>
    </row>
    <row r="274" ht="12.75" customHeight="1">
      <c r="A274" s="321"/>
      <c r="B274" s="338"/>
      <c r="C274" s="338"/>
      <c r="D274" s="415"/>
      <c r="E274" s="338"/>
      <c r="F274" s="338"/>
      <c r="G274" s="338"/>
      <c r="H274" s="338"/>
      <c r="I274" s="338"/>
      <c r="J274" s="338"/>
      <c r="K274" s="338"/>
      <c r="L274" s="356"/>
      <c r="M274" s="356"/>
      <c r="N274" s="321"/>
      <c r="O274" s="338"/>
      <c r="P274" s="338"/>
      <c r="Q274" s="338"/>
      <c r="R274" s="338"/>
      <c r="S274" s="338"/>
      <c r="T274" s="338"/>
      <c r="U274" s="338"/>
      <c r="V274" s="338"/>
      <c r="W274" s="338"/>
      <c r="X274" s="338"/>
      <c r="Y274" s="338"/>
      <c r="Z274" s="338"/>
    </row>
    <row r="275" ht="12.75" customHeight="1">
      <c r="A275" s="321"/>
      <c r="B275" s="338"/>
      <c r="C275" s="338"/>
      <c r="D275" s="415"/>
      <c r="E275" s="338"/>
      <c r="F275" s="338"/>
      <c r="G275" s="338"/>
      <c r="H275" s="338"/>
      <c r="I275" s="338"/>
      <c r="J275" s="338"/>
      <c r="K275" s="338"/>
      <c r="L275" s="356"/>
      <c r="M275" s="356"/>
      <c r="N275" s="321"/>
      <c r="O275" s="338"/>
      <c r="P275" s="338"/>
      <c r="Q275" s="338"/>
      <c r="R275" s="338"/>
      <c r="S275" s="338"/>
      <c r="T275" s="338"/>
      <c r="U275" s="338"/>
      <c r="V275" s="338"/>
      <c r="W275" s="338"/>
      <c r="X275" s="338"/>
      <c r="Y275" s="338"/>
      <c r="Z275" s="338"/>
    </row>
    <row r="276" ht="12.75" customHeight="1">
      <c r="A276" s="321"/>
      <c r="B276" s="338"/>
      <c r="C276" s="338"/>
      <c r="D276" s="415"/>
      <c r="E276" s="338"/>
      <c r="F276" s="338"/>
      <c r="G276" s="338"/>
      <c r="H276" s="338"/>
      <c r="I276" s="338"/>
      <c r="J276" s="338"/>
      <c r="K276" s="338"/>
      <c r="L276" s="356"/>
      <c r="M276" s="356"/>
      <c r="N276" s="321"/>
      <c r="O276" s="338"/>
      <c r="P276" s="338"/>
      <c r="Q276" s="338"/>
      <c r="R276" s="338"/>
      <c r="S276" s="338"/>
      <c r="T276" s="338"/>
      <c r="U276" s="338"/>
      <c r="V276" s="338"/>
      <c r="W276" s="338"/>
      <c r="X276" s="338"/>
      <c r="Y276" s="338"/>
      <c r="Z276" s="338"/>
    </row>
    <row r="277" ht="12.75" customHeight="1">
      <c r="A277" s="321"/>
      <c r="B277" s="338"/>
      <c r="C277" s="338"/>
      <c r="D277" s="415"/>
      <c r="E277" s="338"/>
      <c r="F277" s="338"/>
      <c r="G277" s="338"/>
      <c r="H277" s="338"/>
      <c r="I277" s="338"/>
      <c r="J277" s="338"/>
      <c r="K277" s="338"/>
      <c r="L277" s="356"/>
      <c r="M277" s="356"/>
      <c r="N277" s="321"/>
      <c r="O277" s="338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</row>
    <row r="278" ht="12.75" customHeight="1">
      <c r="A278" s="321"/>
      <c r="B278" s="338"/>
      <c r="C278" s="338"/>
      <c r="D278" s="415"/>
      <c r="E278" s="338"/>
      <c r="F278" s="338"/>
      <c r="G278" s="338"/>
      <c r="H278" s="338"/>
      <c r="I278" s="338"/>
      <c r="J278" s="338"/>
      <c r="K278" s="338"/>
      <c r="L278" s="356"/>
      <c r="M278" s="356"/>
      <c r="N278" s="321"/>
      <c r="O278" s="338"/>
      <c r="P278" s="338"/>
      <c r="Q278" s="338"/>
      <c r="R278" s="338"/>
      <c r="S278" s="338"/>
      <c r="T278" s="338"/>
      <c r="U278" s="338"/>
      <c r="V278" s="338"/>
      <c r="W278" s="338"/>
      <c r="X278" s="338"/>
      <c r="Y278" s="338"/>
      <c r="Z278" s="338"/>
    </row>
    <row r="279" ht="12.75" customHeight="1">
      <c r="A279" s="321"/>
      <c r="B279" s="338"/>
      <c r="C279" s="338"/>
      <c r="D279" s="415"/>
      <c r="E279" s="338"/>
      <c r="F279" s="338"/>
      <c r="G279" s="338"/>
      <c r="H279" s="338"/>
      <c r="I279" s="338"/>
      <c r="J279" s="338"/>
      <c r="K279" s="338"/>
      <c r="L279" s="356"/>
      <c r="M279" s="356"/>
      <c r="N279" s="321"/>
      <c r="O279" s="338"/>
      <c r="P279" s="338"/>
      <c r="Q279" s="338"/>
      <c r="R279" s="338"/>
      <c r="S279" s="338"/>
      <c r="T279" s="338"/>
      <c r="U279" s="338"/>
      <c r="V279" s="338"/>
      <c r="W279" s="338"/>
      <c r="X279" s="338"/>
      <c r="Y279" s="338"/>
      <c r="Z279" s="338"/>
    </row>
    <row r="280" ht="12.75" customHeight="1">
      <c r="A280" s="321"/>
      <c r="B280" s="338"/>
      <c r="C280" s="338"/>
      <c r="D280" s="415"/>
      <c r="E280" s="338"/>
      <c r="F280" s="338"/>
      <c r="G280" s="338"/>
      <c r="H280" s="338"/>
      <c r="I280" s="338"/>
      <c r="J280" s="338"/>
      <c r="K280" s="338"/>
      <c r="L280" s="356"/>
      <c r="M280" s="356"/>
      <c r="N280" s="321"/>
      <c r="O280" s="338"/>
      <c r="P280" s="338"/>
      <c r="Q280" s="338"/>
      <c r="R280" s="338"/>
      <c r="S280" s="338"/>
      <c r="T280" s="338"/>
      <c r="U280" s="338"/>
      <c r="V280" s="338"/>
      <c r="W280" s="338"/>
      <c r="X280" s="338"/>
      <c r="Y280" s="338"/>
      <c r="Z280" s="338"/>
    </row>
    <row r="281" ht="12.75" customHeight="1">
      <c r="A281" s="321"/>
      <c r="B281" s="338"/>
      <c r="C281" s="338"/>
      <c r="D281" s="415"/>
      <c r="E281" s="338"/>
      <c r="F281" s="338"/>
      <c r="G281" s="338"/>
      <c r="H281" s="338"/>
      <c r="I281" s="338"/>
      <c r="J281" s="338"/>
      <c r="K281" s="338"/>
      <c r="L281" s="356"/>
      <c r="M281" s="356"/>
      <c r="N281" s="321"/>
      <c r="O281" s="338"/>
      <c r="P281" s="338"/>
      <c r="Q281" s="338"/>
      <c r="R281" s="338"/>
      <c r="S281" s="338"/>
      <c r="T281" s="338"/>
      <c r="U281" s="338"/>
      <c r="V281" s="338"/>
      <c r="W281" s="338"/>
      <c r="X281" s="338"/>
      <c r="Y281" s="338"/>
      <c r="Z281" s="338"/>
    </row>
    <row r="282" ht="12.75" customHeight="1">
      <c r="A282" s="321"/>
      <c r="B282" s="338"/>
      <c r="C282" s="338"/>
      <c r="D282" s="415"/>
      <c r="E282" s="338"/>
      <c r="F282" s="338"/>
      <c r="G282" s="338"/>
      <c r="H282" s="338"/>
      <c r="I282" s="338"/>
      <c r="J282" s="338"/>
      <c r="K282" s="338"/>
      <c r="L282" s="356"/>
      <c r="M282" s="356"/>
      <c r="N282" s="321"/>
      <c r="O282" s="338"/>
      <c r="P282" s="338"/>
      <c r="Q282" s="338"/>
      <c r="R282" s="338"/>
      <c r="S282" s="338"/>
      <c r="T282" s="338"/>
      <c r="U282" s="338"/>
      <c r="V282" s="338"/>
      <c r="W282" s="338"/>
      <c r="X282" s="338"/>
      <c r="Y282" s="338"/>
      <c r="Z282" s="338"/>
    </row>
    <row r="283" ht="12.75" customHeight="1">
      <c r="A283" s="321"/>
      <c r="B283" s="338"/>
      <c r="C283" s="338"/>
      <c r="D283" s="415"/>
      <c r="E283" s="338"/>
      <c r="F283" s="338"/>
      <c r="G283" s="338"/>
      <c r="H283" s="338"/>
      <c r="I283" s="338"/>
      <c r="J283" s="338"/>
      <c r="K283" s="338"/>
      <c r="L283" s="356"/>
      <c r="M283" s="356"/>
      <c r="N283" s="321"/>
      <c r="O283" s="338"/>
      <c r="P283" s="338"/>
      <c r="Q283" s="338"/>
      <c r="R283" s="338"/>
      <c r="S283" s="338"/>
      <c r="T283" s="338"/>
      <c r="U283" s="338"/>
      <c r="V283" s="338"/>
      <c r="W283" s="338"/>
      <c r="X283" s="338"/>
      <c r="Y283" s="338"/>
      <c r="Z283" s="338"/>
    </row>
    <row r="284" ht="12.75" customHeight="1">
      <c r="A284" s="321"/>
      <c r="B284" s="338"/>
      <c r="C284" s="338"/>
      <c r="D284" s="415"/>
      <c r="E284" s="338"/>
      <c r="F284" s="338"/>
      <c r="G284" s="338"/>
      <c r="H284" s="338"/>
      <c r="I284" s="338"/>
      <c r="J284" s="338"/>
      <c r="K284" s="338"/>
      <c r="L284" s="356"/>
      <c r="M284" s="356"/>
      <c r="N284" s="321"/>
      <c r="O284" s="338"/>
      <c r="P284" s="338"/>
      <c r="Q284" s="338"/>
      <c r="R284" s="338"/>
      <c r="S284" s="338"/>
      <c r="T284" s="338"/>
      <c r="U284" s="338"/>
      <c r="V284" s="338"/>
      <c r="W284" s="338"/>
      <c r="X284" s="338"/>
      <c r="Y284" s="338"/>
      <c r="Z284" s="338"/>
    </row>
    <row r="285" ht="12.75" customHeight="1">
      <c r="A285" s="321"/>
      <c r="B285" s="338"/>
      <c r="C285" s="338"/>
      <c r="D285" s="415"/>
      <c r="E285" s="338"/>
      <c r="F285" s="338"/>
      <c r="G285" s="338"/>
      <c r="H285" s="338"/>
      <c r="I285" s="338"/>
      <c r="J285" s="338"/>
      <c r="K285" s="338"/>
      <c r="L285" s="356"/>
      <c r="M285" s="356"/>
      <c r="N285" s="321"/>
      <c r="O285" s="338"/>
      <c r="P285" s="338"/>
      <c r="Q285" s="338"/>
      <c r="R285" s="338"/>
      <c r="S285" s="338"/>
      <c r="T285" s="338"/>
      <c r="U285" s="338"/>
      <c r="V285" s="338"/>
      <c r="W285" s="338"/>
      <c r="X285" s="338"/>
      <c r="Y285" s="338"/>
      <c r="Z285" s="338"/>
    </row>
    <row r="286" ht="12.75" customHeight="1">
      <c r="A286" s="321"/>
      <c r="B286" s="338"/>
      <c r="C286" s="338"/>
      <c r="D286" s="415"/>
      <c r="E286" s="338"/>
      <c r="F286" s="338"/>
      <c r="G286" s="338"/>
      <c r="H286" s="338"/>
      <c r="I286" s="338"/>
      <c r="J286" s="338"/>
      <c r="K286" s="338"/>
      <c r="L286" s="356"/>
      <c r="M286" s="356"/>
      <c r="N286" s="321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8"/>
      <c r="Z286" s="338"/>
    </row>
    <row r="287" ht="12.75" customHeight="1">
      <c r="A287" s="321"/>
      <c r="B287" s="338"/>
      <c r="C287" s="338"/>
      <c r="D287" s="415"/>
      <c r="E287" s="338"/>
      <c r="F287" s="338"/>
      <c r="G287" s="338"/>
      <c r="H287" s="338"/>
      <c r="I287" s="338"/>
      <c r="J287" s="338"/>
      <c r="K287" s="338"/>
      <c r="L287" s="356"/>
      <c r="M287" s="356"/>
      <c r="N287" s="321"/>
      <c r="O287" s="338"/>
      <c r="P287" s="338"/>
      <c r="Q287" s="338"/>
      <c r="R287" s="338"/>
      <c r="S287" s="338"/>
      <c r="T287" s="338"/>
      <c r="U287" s="338"/>
      <c r="V287" s="338"/>
      <c r="W287" s="338"/>
      <c r="X287" s="338"/>
      <c r="Y287" s="338"/>
      <c r="Z287" s="338"/>
    </row>
    <row r="288" ht="12.75" customHeight="1">
      <c r="A288" s="321"/>
      <c r="B288" s="338"/>
      <c r="C288" s="338"/>
      <c r="D288" s="415"/>
      <c r="E288" s="338"/>
      <c r="F288" s="338"/>
      <c r="G288" s="338"/>
      <c r="H288" s="338"/>
      <c r="I288" s="338"/>
      <c r="J288" s="338"/>
      <c r="K288" s="338"/>
      <c r="L288" s="356"/>
      <c r="M288" s="356"/>
      <c r="N288" s="321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</row>
    <row r="289" ht="12.75" customHeight="1">
      <c r="A289" s="321"/>
      <c r="B289" s="338"/>
      <c r="C289" s="338"/>
      <c r="D289" s="415"/>
      <c r="E289" s="338"/>
      <c r="F289" s="338"/>
      <c r="G289" s="338"/>
      <c r="H289" s="338"/>
      <c r="I289" s="338"/>
      <c r="J289" s="338"/>
      <c r="K289" s="338"/>
      <c r="L289" s="356"/>
      <c r="M289" s="356"/>
      <c r="N289" s="321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</row>
    <row r="290" ht="12.75" customHeight="1">
      <c r="A290" s="321"/>
      <c r="B290" s="338"/>
      <c r="C290" s="338"/>
      <c r="D290" s="415"/>
      <c r="E290" s="338"/>
      <c r="F290" s="338"/>
      <c r="G290" s="338"/>
      <c r="H290" s="338"/>
      <c r="I290" s="338"/>
      <c r="J290" s="338"/>
      <c r="K290" s="338"/>
      <c r="L290" s="356"/>
      <c r="M290" s="356"/>
      <c r="N290" s="321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</row>
    <row r="291" ht="12.75" customHeight="1">
      <c r="A291" s="321"/>
      <c r="B291" s="338"/>
      <c r="C291" s="338"/>
      <c r="D291" s="415"/>
      <c r="E291" s="338"/>
      <c r="F291" s="338"/>
      <c r="G291" s="338"/>
      <c r="H291" s="338"/>
      <c r="I291" s="338"/>
      <c r="J291" s="338"/>
      <c r="K291" s="338"/>
      <c r="L291" s="356"/>
      <c r="M291" s="356"/>
      <c r="N291" s="321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</row>
    <row r="292" ht="12.75" customHeight="1">
      <c r="A292" s="321"/>
      <c r="B292" s="338"/>
      <c r="C292" s="338"/>
      <c r="D292" s="415"/>
      <c r="E292" s="338"/>
      <c r="F292" s="338"/>
      <c r="G292" s="338"/>
      <c r="H292" s="338"/>
      <c r="I292" s="338"/>
      <c r="J292" s="338"/>
      <c r="K292" s="338"/>
      <c r="L292" s="356"/>
      <c r="M292" s="356"/>
      <c r="N292" s="321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</row>
    <row r="293" ht="12.75" customHeight="1">
      <c r="A293" s="321"/>
      <c r="B293" s="338"/>
      <c r="C293" s="338"/>
      <c r="D293" s="415"/>
      <c r="E293" s="338"/>
      <c r="F293" s="338"/>
      <c r="G293" s="338"/>
      <c r="H293" s="338"/>
      <c r="I293" s="338"/>
      <c r="J293" s="338"/>
      <c r="K293" s="338"/>
      <c r="L293" s="356"/>
      <c r="M293" s="356"/>
      <c r="N293" s="321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</row>
    <row r="294" ht="12.75" customHeight="1">
      <c r="A294" s="321"/>
      <c r="B294" s="338"/>
      <c r="C294" s="338"/>
      <c r="D294" s="415"/>
      <c r="E294" s="338"/>
      <c r="F294" s="338"/>
      <c r="G294" s="338"/>
      <c r="H294" s="338"/>
      <c r="I294" s="338"/>
      <c r="J294" s="338"/>
      <c r="K294" s="338"/>
      <c r="L294" s="356"/>
      <c r="M294" s="356"/>
      <c r="N294" s="321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</row>
    <row r="295" ht="12.75" customHeight="1">
      <c r="A295" s="321"/>
      <c r="B295" s="338"/>
      <c r="C295" s="338"/>
      <c r="D295" s="415"/>
      <c r="E295" s="338"/>
      <c r="F295" s="338"/>
      <c r="G295" s="338"/>
      <c r="H295" s="338"/>
      <c r="I295" s="338"/>
      <c r="J295" s="338"/>
      <c r="K295" s="338"/>
      <c r="L295" s="356"/>
      <c r="M295" s="356"/>
      <c r="N295" s="321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</row>
    <row r="296" ht="12.75" customHeight="1">
      <c r="A296" s="321"/>
      <c r="B296" s="338"/>
      <c r="C296" s="338"/>
      <c r="D296" s="415"/>
      <c r="E296" s="338"/>
      <c r="F296" s="338"/>
      <c r="G296" s="338"/>
      <c r="H296" s="338"/>
      <c r="I296" s="338"/>
      <c r="J296" s="338"/>
      <c r="K296" s="338"/>
      <c r="L296" s="356"/>
      <c r="M296" s="356"/>
      <c r="N296" s="321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</row>
    <row r="297" ht="12.75" customHeight="1">
      <c r="A297" s="321"/>
      <c r="B297" s="338"/>
      <c r="C297" s="338"/>
      <c r="D297" s="415"/>
      <c r="E297" s="338"/>
      <c r="F297" s="338"/>
      <c r="G297" s="338"/>
      <c r="H297" s="338"/>
      <c r="I297" s="338"/>
      <c r="J297" s="338"/>
      <c r="K297" s="338"/>
      <c r="L297" s="356"/>
      <c r="M297" s="356"/>
      <c r="N297" s="321"/>
      <c r="O297" s="338"/>
      <c r="P297" s="338"/>
      <c r="Q297" s="338"/>
      <c r="R297" s="338"/>
      <c r="S297" s="338"/>
      <c r="T297" s="338"/>
      <c r="U297" s="338"/>
      <c r="V297" s="338"/>
      <c r="W297" s="338"/>
      <c r="X297" s="338"/>
      <c r="Y297" s="338"/>
      <c r="Z297" s="338"/>
    </row>
    <row r="298" ht="12.75" customHeight="1">
      <c r="A298" s="321"/>
      <c r="B298" s="338"/>
      <c r="C298" s="338"/>
      <c r="D298" s="415"/>
      <c r="E298" s="338"/>
      <c r="F298" s="338"/>
      <c r="G298" s="338"/>
      <c r="H298" s="338"/>
      <c r="I298" s="338"/>
      <c r="J298" s="338"/>
      <c r="K298" s="338"/>
      <c r="L298" s="356"/>
      <c r="M298" s="356"/>
      <c r="N298" s="321"/>
      <c r="O298" s="338"/>
      <c r="P298" s="338"/>
      <c r="Q298" s="338"/>
      <c r="R298" s="338"/>
      <c r="S298" s="338"/>
      <c r="T298" s="338"/>
      <c r="U298" s="338"/>
      <c r="V298" s="338"/>
      <c r="W298" s="338"/>
      <c r="X298" s="338"/>
      <c r="Y298" s="338"/>
      <c r="Z298" s="338"/>
    </row>
    <row r="299" ht="12.75" customHeight="1">
      <c r="A299" s="321"/>
      <c r="B299" s="338"/>
      <c r="C299" s="338"/>
      <c r="D299" s="415"/>
      <c r="E299" s="338"/>
      <c r="F299" s="338"/>
      <c r="G299" s="338"/>
      <c r="H299" s="338"/>
      <c r="I299" s="338"/>
      <c r="J299" s="338"/>
      <c r="K299" s="338"/>
      <c r="L299" s="356"/>
      <c r="M299" s="356"/>
      <c r="N299" s="321"/>
      <c r="O299" s="338"/>
      <c r="P299" s="338"/>
      <c r="Q299" s="338"/>
      <c r="R299" s="338"/>
      <c r="S299" s="338"/>
      <c r="T299" s="338"/>
      <c r="U299" s="338"/>
      <c r="V299" s="338"/>
      <c r="W299" s="338"/>
      <c r="X299" s="338"/>
      <c r="Y299" s="338"/>
      <c r="Z299" s="338"/>
    </row>
    <row r="300" ht="12.75" customHeight="1">
      <c r="A300" s="321"/>
      <c r="B300" s="338"/>
      <c r="C300" s="338"/>
      <c r="D300" s="415"/>
      <c r="E300" s="338"/>
      <c r="F300" s="338"/>
      <c r="G300" s="338"/>
      <c r="H300" s="338"/>
      <c r="I300" s="338"/>
      <c r="J300" s="338"/>
      <c r="K300" s="338"/>
      <c r="L300" s="356"/>
      <c r="M300" s="356"/>
      <c r="N300" s="321"/>
      <c r="O300" s="338"/>
      <c r="P300" s="338"/>
      <c r="Q300" s="338"/>
      <c r="R300" s="338"/>
      <c r="S300" s="338"/>
      <c r="T300" s="338"/>
      <c r="U300" s="338"/>
      <c r="V300" s="338"/>
      <c r="W300" s="338"/>
      <c r="X300" s="338"/>
      <c r="Y300" s="338"/>
      <c r="Z300" s="338"/>
    </row>
    <row r="301" ht="12.75" customHeight="1">
      <c r="A301" s="321"/>
      <c r="B301" s="338"/>
      <c r="C301" s="338"/>
      <c r="D301" s="415"/>
      <c r="E301" s="338"/>
      <c r="F301" s="338"/>
      <c r="G301" s="338"/>
      <c r="H301" s="338"/>
      <c r="I301" s="338"/>
      <c r="J301" s="338"/>
      <c r="K301" s="338"/>
      <c r="L301" s="356"/>
      <c r="M301" s="356"/>
      <c r="N301" s="321"/>
      <c r="O301" s="338"/>
      <c r="P301" s="338"/>
      <c r="Q301" s="338"/>
      <c r="R301" s="338"/>
      <c r="S301" s="338"/>
      <c r="T301" s="338"/>
      <c r="U301" s="338"/>
      <c r="V301" s="338"/>
      <c r="W301" s="338"/>
      <c r="X301" s="338"/>
      <c r="Y301" s="338"/>
      <c r="Z301" s="338"/>
    </row>
    <row r="302" ht="12.75" customHeight="1">
      <c r="A302" s="321"/>
      <c r="B302" s="338"/>
      <c r="C302" s="338"/>
      <c r="D302" s="415"/>
      <c r="E302" s="338"/>
      <c r="F302" s="338"/>
      <c r="G302" s="338"/>
      <c r="H302" s="338"/>
      <c r="I302" s="338"/>
      <c r="J302" s="338"/>
      <c r="K302" s="338"/>
      <c r="L302" s="356"/>
      <c r="M302" s="356"/>
      <c r="N302" s="321"/>
      <c r="O302" s="338"/>
      <c r="P302" s="338"/>
      <c r="Q302" s="338"/>
      <c r="R302" s="338"/>
      <c r="S302" s="338"/>
      <c r="T302" s="338"/>
      <c r="U302" s="338"/>
      <c r="V302" s="338"/>
      <c r="W302" s="338"/>
      <c r="X302" s="338"/>
      <c r="Y302" s="338"/>
      <c r="Z302" s="338"/>
    </row>
    <row r="303" ht="12.75" customHeight="1">
      <c r="A303" s="321"/>
      <c r="B303" s="338"/>
      <c r="C303" s="338"/>
      <c r="D303" s="415"/>
      <c r="E303" s="338"/>
      <c r="F303" s="338"/>
      <c r="G303" s="338"/>
      <c r="H303" s="338"/>
      <c r="I303" s="338"/>
      <c r="J303" s="338"/>
      <c r="K303" s="338"/>
      <c r="L303" s="356"/>
      <c r="M303" s="356"/>
      <c r="N303" s="321"/>
      <c r="O303" s="338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</row>
    <row r="304" ht="12.75" customHeight="1">
      <c r="A304" s="321"/>
      <c r="B304" s="338"/>
      <c r="C304" s="338"/>
      <c r="D304" s="415"/>
      <c r="E304" s="338"/>
      <c r="F304" s="338"/>
      <c r="G304" s="338"/>
      <c r="H304" s="338"/>
      <c r="I304" s="338"/>
      <c r="J304" s="338"/>
      <c r="K304" s="338"/>
      <c r="L304" s="356"/>
      <c r="M304" s="356"/>
      <c r="N304" s="321"/>
      <c r="O304" s="338"/>
      <c r="P304" s="338"/>
      <c r="Q304" s="338"/>
      <c r="R304" s="338"/>
      <c r="S304" s="338"/>
      <c r="T304" s="338"/>
      <c r="U304" s="338"/>
      <c r="V304" s="338"/>
      <c r="W304" s="338"/>
      <c r="X304" s="338"/>
      <c r="Y304" s="338"/>
      <c r="Z304" s="338"/>
    </row>
    <row r="305" ht="12.75" customHeight="1">
      <c r="A305" s="321"/>
      <c r="B305" s="338"/>
      <c r="C305" s="338"/>
      <c r="D305" s="415"/>
      <c r="E305" s="338"/>
      <c r="F305" s="338"/>
      <c r="G305" s="338"/>
      <c r="H305" s="338"/>
      <c r="I305" s="338"/>
      <c r="J305" s="338"/>
      <c r="K305" s="338"/>
      <c r="L305" s="356"/>
      <c r="M305" s="356"/>
      <c r="N305" s="321"/>
      <c r="O305" s="338"/>
      <c r="P305" s="338"/>
      <c r="Q305" s="338"/>
      <c r="R305" s="338"/>
      <c r="S305" s="338"/>
      <c r="T305" s="338"/>
      <c r="U305" s="338"/>
      <c r="V305" s="338"/>
      <c r="W305" s="338"/>
      <c r="X305" s="338"/>
      <c r="Y305" s="338"/>
      <c r="Z305" s="338"/>
    </row>
    <row r="306" ht="12.75" customHeight="1">
      <c r="A306" s="321"/>
      <c r="B306" s="338"/>
      <c r="C306" s="338"/>
      <c r="D306" s="415"/>
      <c r="E306" s="338"/>
      <c r="F306" s="338"/>
      <c r="G306" s="338"/>
      <c r="H306" s="338"/>
      <c r="I306" s="338"/>
      <c r="J306" s="338"/>
      <c r="K306" s="338"/>
      <c r="L306" s="356"/>
      <c r="M306" s="356"/>
      <c r="N306" s="321"/>
      <c r="O306" s="338"/>
      <c r="P306" s="338"/>
      <c r="Q306" s="338"/>
      <c r="R306" s="338"/>
      <c r="S306" s="338"/>
      <c r="T306" s="338"/>
      <c r="U306" s="338"/>
      <c r="V306" s="338"/>
      <c r="W306" s="338"/>
      <c r="X306" s="338"/>
      <c r="Y306" s="338"/>
      <c r="Z306" s="338"/>
    </row>
    <row r="307" ht="12.75" customHeight="1">
      <c r="A307" s="321"/>
      <c r="B307" s="338"/>
      <c r="C307" s="338"/>
      <c r="D307" s="415"/>
      <c r="E307" s="338"/>
      <c r="F307" s="338"/>
      <c r="G307" s="338"/>
      <c r="H307" s="338"/>
      <c r="I307" s="338"/>
      <c r="J307" s="338"/>
      <c r="K307" s="338"/>
      <c r="L307" s="356"/>
      <c r="M307" s="356"/>
      <c r="N307" s="321"/>
      <c r="O307" s="338"/>
      <c r="P307" s="338"/>
      <c r="Q307" s="338"/>
      <c r="R307" s="338"/>
      <c r="S307" s="338"/>
      <c r="T307" s="338"/>
      <c r="U307" s="338"/>
      <c r="V307" s="338"/>
      <c r="W307" s="338"/>
      <c r="X307" s="338"/>
      <c r="Y307" s="338"/>
      <c r="Z307" s="338"/>
    </row>
    <row r="308" ht="12.75" customHeight="1">
      <c r="A308" s="321"/>
      <c r="B308" s="338"/>
      <c r="C308" s="338"/>
      <c r="D308" s="415"/>
      <c r="E308" s="338"/>
      <c r="F308" s="338"/>
      <c r="G308" s="338"/>
      <c r="H308" s="338"/>
      <c r="I308" s="338"/>
      <c r="J308" s="338"/>
      <c r="K308" s="338"/>
      <c r="L308" s="356"/>
      <c r="M308" s="356"/>
      <c r="N308" s="321"/>
      <c r="O308" s="338"/>
      <c r="P308" s="338"/>
      <c r="Q308" s="338"/>
      <c r="R308" s="338"/>
      <c r="S308" s="338"/>
      <c r="T308" s="338"/>
      <c r="U308" s="338"/>
      <c r="V308" s="338"/>
      <c r="W308" s="338"/>
      <c r="X308" s="338"/>
      <c r="Y308" s="338"/>
      <c r="Z308" s="338"/>
    </row>
    <row r="309" ht="12.75" customHeight="1">
      <c r="A309" s="321"/>
      <c r="B309" s="338"/>
      <c r="C309" s="338"/>
      <c r="D309" s="415"/>
      <c r="E309" s="338"/>
      <c r="F309" s="338"/>
      <c r="G309" s="338"/>
      <c r="H309" s="338"/>
      <c r="I309" s="338"/>
      <c r="J309" s="338"/>
      <c r="K309" s="338"/>
      <c r="L309" s="356"/>
      <c r="M309" s="356"/>
      <c r="N309" s="321"/>
      <c r="O309" s="338"/>
      <c r="P309" s="338"/>
      <c r="Q309" s="338"/>
      <c r="R309" s="338"/>
      <c r="S309" s="338"/>
      <c r="T309" s="338"/>
      <c r="U309" s="338"/>
      <c r="V309" s="338"/>
      <c r="W309" s="338"/>
      <c r="X309" s="338"/>
      <c r="Y309" s="338"/>
      <c r="Z309" s="338"/>
    </row>
    <row r="310" ht="12.75" customHeight="1">
      <c r="A310" s="321"/>
      <c r="B310" s="338"/>
      <c r="C310" s="338"/>
      <c r="D310" s="415"/>
      <c r="E310" s="338"/>
      <c r="F310" s="338"/>
      <c r="G310" s="338"/>
      <c r="H310" s="338"/>
      <c r="I310" s="338"/>
      <c r="J310" s="338"/>
      <c r="K310" s="338"/>
      <c r="L310" s="356"/>
      <c r="M310" s="356"/>
      <c r="N310" s="321"/>
      <c r="O310" s="338"/>
      <c r="P310" s="338"/>
      <c r="Q310" s="338"/>
      <c r="R310" s="338"/>
      <c r="S310" s="338"/>
      <c r="T310" s="338"/>
      <c r="U310" s="338"/>
      <c r="V310" s="338"/>
      <c r="W310" s="338"/>
      <c r="X310" s="338"/>
      <c r="Y310" s="338"/>
      <c r="Z310" s="338"/>
    </row>
    <row r="311" ht="12.75" customHeight="1">
      <c r="A311" s="321"/>
      <c r="B311" s="338"/>
      <c r="C311" s="338"/>
      <c r="D311" s="415"/>
      <c r="E311" s="338"/>
      <c r="F311" s="338"/>
      <c r="G311" s="338"/>
      <c r="H311" s="338"/>
      <c r="I311" s="338"/>
      <c r="J311" s="338"/>
      <c r="K311" s="338"/>
      <c r="L311" s="356"/>
      <c r="M311" s="356"/>
      <c r="N311" s="321"/>
      <c r="O311" s="338"/>
      <c r="P311" s="338"/>
      <c r="Q311" s="338"/>
      <c r="R311" s="338"/>
      <c r="S311" s="338"/>
      <c r="T311" s="338"/>
      <c r="U311" s="338"/>
      <c r="V311" s="338"/>
      <c r="W311" s="338"/>
      <c r="X311" s="338"/>
      <c r="Y311" s="338"/>
      <c r="Z311" s="338"/>
    </row>
    <row r="312" ht="12.75" customHeight="1">
      <c r="A312" s="321"/>
      <c r="B312" s="338"/>
      <c r="C312" s="338"/>
      <c r="D312" s="415"/>
      <c r="E312" s="338"/>
      <c r="F312" s="338"/>
      <c r="G312" s="338"/>
      <c r="H312" s="338"/>
      <c r="I312" s="338"/>
      <c r="J312" s="338"/>
      <c r="K312" s="338"/>
      <c r="L312" s="356"/>
      <c r="M312" s="356"/>
      <c r="N312" s="321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</row>
    <row r="313" ht="12.75" customHeight="1">
      <c r="A313" s="321"/>
      <c r="B313" s="338"/>
      <c r="C313" s="338"/>
      <c r="D313" s="415"/>
      <c r="E313" s="338"/>
      <c r="F313" s="338"/>
      <c r="G313" s="338"/>
      <c r="H313" s="338"/>
      <c r="I313" s="338"/>
      <c r="J313" s="338"/>
      <c r="K313" s="338"/>
      <c r="L313" s="356"/>
      <c r="M313" s="356"/>
      <c r="N313" s="321"/>
      <c r="O313" s="338"/>
      <c r="P313" s="338"/>
      <c r="Q313" s="338"/>
      <c r="R313" s="338"/>
      <c r="S313" s="338"/>
      <c r="T313" s="338"/>
      <c r="U313" s="338"/>
      <c r="V313" s="338"/>
      <c r="W313" s="338"/>
      <c r="X313" s="338"/>
      <c r="Y313" s="338"/>
      <c r="Z313" s="338"/>
    </row>
    <row r="314" ht="12.75" customHeight="1">
      <c r="A314" s="321"/>
      <c r="B314" s="338"/>
      <c r="C314" s="338"/>
      <c r="D314" s="415"/>
      <c r="E314" s="338"/>
      <c r="F314" s="338"/>
      <c r="G314" s="338"/>
      <c r="H314" s="338"/>
      <c r="I314" s="338"/>
      <c r="J314" s="338"/>
      <c r="K314" s="338"/>
      <c r="L314" s="356"/>
      <c r="M314" s="356"/>
      <c r="N314" s="321"/>
      <c r="O314" s="338"/>
      <c r="P314" s="338"/>
      <c r="Q314" s="338"/>
      <c r="R314" s="338"/>
      <c r="S314" s="338"/>
      <c r="T314" s="338"/>
      <c r="U314" s="338"/>
      <c r="V314" s="338"/>
      <c r="W314" s="338"/>
      <c r="X314" s="338"/>
      <c r="Y314" s="338"/>
      <c r="Z314" s="338"/>
    </row>
    <row r="315" ht="12.75" customHeight="1">
      <c r="A315" s="321"/>
      <c r="B315" s="338"/>
      <c r="C315" s="338"/>
      <c r="D315" s="415"/>
      <c r="E315" s="338"/>
      <c r="F315" s="338"/>
      <c r="G315" s="338"/>
      <c r="H315" s="338"/>
      <c r="I315" s="338"/>
      <c r="J315" s="338"/>
      <c r="K315" s="338"/>
      <c r="L315" s="356"/>
      <c r="M315" s="356"/>
      <c r="N315" s="321"/>
      <c r="O315" s="338"/>
      <c r="P315" s="338"/>
      <c r="Q315" s="338"/>
      <c r="R315" s="338"/>
      <c r="S315" s="338"/>
      <c r="T315" s="338"/>
      <c r="U315" s="338"/>
      <c r="V315" s="338"/>
      <c r="W315" s="338"/>
      <c r="X315" s="338"/>
      <c r="Y315" s="338"/>
      <c r="Z315" s="338"/>
    </row>
    <row r="316" ht="12.75" customHeight="1">
      <c r="A316" s="321"/>
      <c r="B316" s="338"/>
      <c r="C316" s="338"/>
      <c r="D316" s="415"/>
      <c r="E316" s="338"/>
      <c r="F316" s="338"/>
      <c r="G316" s="338"/>
      <c r="H316" s="338"/>
      <c r="I316" s="338"/>
      <c r="J316" s="338"/>
      <c r="K316" s="338"/>
      <c r="L316" s="356"/>
      <c r="M316" s="356"/>
      <c r="N316" s="321"/>
      <c r="O316" s="338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</row>
    <row r="317" ht="12.75" customHeight="1">
      <c r="A317" s="321"/>
      <c r="B317" s="338"/>
      <c r="C317" s="338"/>
      <c r="D317" s="415"/>
      <c r="E317" s="338"/>
      <c r="F317" s="338"/>
      <c r="G317" s="338"/>
      <c r="H317" s="338"/>
      <c r="I317" s="338"/>
      <c r="J317" s="338"/>
      <c r="K317" s="338"/>
      <c r="L317" s="356"/>
      <c r="M317" s="356"/>
      <c r="N317" s="321"/>
      <c r="O317" s="338"/>
      <c r="P317" s="338"/>
      <c r="Q317" s="338"/>
      <c r="R317" s="338"/>
      <c r="S317" s="338"/>
      <c r="T317" s="338"/>
      <c r="U317" s="338"/>
      <c r="V317" s="338"/>
      <c r="W317" s="338"/>
      <c r="X317" s="338"/>
      <c r="Y317" s="338"/>
      <c r="Z317" s="338"/>
    </row>
    <row r="318" ht="12.75" customHeight="1">
      <c r="A318" s="321"/>
      <c r="B318" s="338"/>
      <c r="C318" s="338"/>
      <c r="D318" s="415"/>
      <c r="E318" s="338"/>
      <c r="F318" s="338"/>
      <c r="G318" s="338"/>
      <c r="H318" s="338"/>
      <c r="I318" s="338"/>
      <c r="J318" s="338"/>
      <c r="K318" s="338"/>
      <c r="L318" s="356"/>
      <c r="M318" s="356"/>
      <c r="N318" s="321"/>
      <c r="O318" s="338"/>
      <c r="P318" s="338"/>
      <c r="Q318" s="338"/>
      <c r="R318" s="338"/>
      <c r="S318" s="338"/>
      <c r="T318" s="338"/>
      <c r="U318" s="338"/>
      <c r="V318" s="338"/>
      <c r="W318" s="338"/>
      <c r="X318" s="338"/>
      <c r="Y318" s="338"/>
      <c r="Z318" s="338"/>
    </row>
    <row r="319" ht="12.75" customHeight="1">
      <c r="A319" s="321"/>
      <c r="B319" s="338"/>
      <c r="C319" s="338"/>
      <c r="D319" s="415"/>
      <c r="E319" s="338"/>
      <c r="F319" s="338"/>
      <c r="G319" s="338"/>
      <c r="H319" s="338"/>
      <c r="I319" s="338"/>
      <c r="J319" s="338"/>
      <c r="K319" s="338"/>
      <c r="L319" s="356"/>
      <c r="M319" s="356"/>
      <c r="N319" s="321"/>
      <c r="O319" s="338"/>
      <c r="P319" s="338"/>
      <c r="Q319" s="338"/>
      <c r="R319" s="338"/>
      <c r="S319" s="338"/>
      <c r="T319" s="338"/>
      <c r="U319" s="338"/>
      <c r="V319" s="338"/>
      <c r="W319" s="338"/>
      <c r="X319" s="338"/>
      <c r="Y319" s="338"/>
      <c r="Z319" s="338"/>
    </row>
    <row r="320" ht="12.75" customHeight="1">
      <c r="A320" s="321"/>
      <c r="B320" s="338"/>
      <c r="C320" s="338"/>
      <c r="D320" s="415"/>
      <c r="E320" s="338"/>
      <c r="F320" s="338"/>
      <c r="G320" s="338"/>
      <c r="H320" s="338"/>
      <c r="I320" s="338"/>
      <c r="J320" s="338"/>
      <c r="K320" s="338"/>
      <c r="L320" s="356"/>
      <c r="M320" s="356"/>
      <c r="N320" s="321"/>
      <c r="O320" s="338"/>
      <c r="P320" s="338"/>
      <c r="Q320" s="338"/>
      <c r="R320" s="338"/>
      <c r="S320" s="338"/>
      <c r="T320" s="338"/>
      <c r="U320" s="338"/>
      <c r="V320" s="338"/>
      <c r="W320" s="338"/>
      <c r="X320" s="338"/>
      <c r="Y320" s="338"/>
      <c r="Z320" s="338"/>
    </row>
    <row r="321" ht="12.75" customHeight="1">
      <c r="A321" s="321"/>
      <c r="B321" s="338"/>
      <c r="C321" s="338"/>
      <c r="D321" s="415"/>
      <c r="E321" s="338"/>
      <c r="F321" s="338"/>
      <c r="G321" s="338"/>
      <c r="H321" s="338"/>
      <c r="I321" s="338"/>
      <c r="J321" s="338"/>
      <c r="K321" s="338"/>
      <c r="L321" s="356"/>
      <c r="M321" s="356"/>
      <c r="N321" s="321"/>
      <c r="O321" s="338"/>
      <c r="P321" s="338"/>
      <c r="Q321" s="338"/>
      <c r="R321" s="338"/>
      <c r="S321" s="338"/>
      <c r="T321" s="338"/>
      <c r="U321" s="338"/>
      <c r="V321" s="338"/>
      <c r="W321" s="338"/>
      <c r="X321" s="338"/>
      <c r="Y321" s="338"/>
      <c r="Z321" s="338"/>
    </row>
    <row r="322" ht="12.75" customHeight="1">
      <c r="A322" s="321"/>
      <c r="B322" s="338"/>
      <c r="C322" s="338"/>
      <c r="D322" s="415"/>
      <c r="E322" s="338"/>
      <c r="F322" s="338"/>
      <c r="G322" s="338"/>
      <c r="H322" s="338"/>
      <c r="I322" s="338"/>
      <c r="J322" s="338"/>
      <c r="K322" s="338"/>
      <c r="L322" s="356"/>
      <c r="M322" s="356"/>
      <c r="N322" s="321"/>
      <c r="O322" s="338"/>
      <c r="P322" s="338"/>
      <c r="Q322" s="338"/>
      <c r="R322" s="338"/>
      <c r="S322" s="338"/>
      <c r="T322" s="338"/>
      <c r="U322" s="338"/>
      <c r="V322" s="338"/>
      <c r="W322" s="338"/>
      <c r="X322" s="338"/>
      <c r="Y322" s="338"/>
      <c r="Z322" s="338"/>
    </row>
    <row r="323" ht="12.75" customHeight="1">
      <c r="A323" s="321"/>
      <c r="B323" s="338"/>
      <c r="C323" s="338"/>
      <c r="D323" s="415"/>
      <c r="E323" s="338"/>
      <c r="F323" s="338"/>
      <c r="G323" s="338"/>
      <c r="H323" s="338"/>
      <c r="I323" s="338"/>
      <c r="J323" s="338"/>
      <c r="K323" s="338"/>
      <c r="L323" s="356"/>
      <c r="M323" s="356"/>
      <c r="N323" s="321"/>
      <c r="O323" s="338"/>
      <c r="P323" s="338"/>
      <c r="Q323" s="338"/>
      <c r="R323" s="338"/>
      <c r="S323" s="338"/>
      <c r="T323" s="338"/>
      <c r="U323" s="338"/>
      <c r="V323" s="338"/>
      <c r="W323" s="338"/>
      <c r="X323" s="338"/>
      <c r="Y323" s="338"/>
      <c r="Z323" s="338"/>
    </row>
    <row r="324" ht="12.75" customHeight="1">
      <c r="A324" s="321"/>
      <c r="B324" s="338"/>
      <c r="C324" s="338"/>
      <c r="D324" s="415"/>
      <c r="E324" s="338"/>
      <c r="F324" s="338"/>
      <c r="G324" s="338"/>
      <c r="H324" s="338"/>
      <c r="I324" s="338"/>
      <c r="J324" s="338"/>
      <c r="K324" s="338"/>
      <c r="L324" s="356"/>
      <c r="M324" s="356"/>
      <c r="N324" s="321"/>
      <c r="O324" s="338"/>
      <c r="P324" s="338"/>
      <c r="Q324" s="338"/>
      <c r="R324" s="338"/>
      <c r="S324" s="338"/>
      <c r="T324" s="338"/>
      <c r="U324" s="338"/>
      <c r="V324" s="338"/>
      <c r="W324" s="338"/>
      <c r="X324" s="338"/>
      <c r="Y324" s="338"/>
      <c r="Z324" s="338"/>
    </row>
    <row r="325" ht="12.75" customHeight="1">
      <c r="A325" s="321"/>
      <c r="B325" s="338"/>
      <c r="C325" s="338"/>
      <c r="D325" s="415"/>
      <c r="E325" s="338"/>
      <c r="F325" s="338"/>
      <c r="G325" s="338"/>
      <c r="H325" s="338"/>
      <c r="I325" s="338"/>
      <c r="J325" s="338"/>
      <c r="K325" s="338"/>
      <c r="L325" s="356"/>
      <c r="M325" s="356"/>
      <c r="N325" s="321"/>
      <c r="O325" s="338"/>
      <c r="P325" s="338"/>
      <c r="Q325" s="338"/>
      <c r="R325" s="338"/>
      <c r="S325" s="338"/>
      <c r="T325" s="338"/>
      <c r="U325" s="338"/>
      <c r="V325" s="338"/>
      <c r="W325" s="338"/>
      <c r="X325" s="338"/>
      <c r="Y325" s="338"/>
      <c r="Z325" s="338"/>
    </row>
    <row r="326" ht="12.75" customHeight="1">
      <c r="A326" s="321"/>
      <c r="B326" s="338"/>
      <c r="C326" s="338"/>
      <c r="D326" s="415"/>
      <c r="E326" s="338"/>
      <c r="F326" s="338"/>
      <c r="G326" s="338"/>
      <c r="H326" s="338"/>
      <c r="I326" s="338"/>
      <c r="J326" s="338"/>
      <c r="K326" s="338"/>
      <c r="L326" s="356"/>
      <c r="M326" s="356"/>
      <c r="N326" s="321"/>
      <c r="O326" s="338"/>
      <c r="P326" s="338"/>
      <c r="Q326" s="338"/>
      <c r="R326" s="338"/>
      <c r="S326" s="338"/>
      <c r="T326" s="338"/>
      <c r="U326" s="338"/>
      <c r="V326" s="338"/>
      <c r="W326" s="338"/>
      <c r="X326" s="338"/>
      <c r="Y326" s="338"/>
      <c r="Z326" s="338"/>
    </row>
    <row r="327" ht="12.75" customHeight="1">
      <c r="A327" s="321"/>
      <c r="B327" s="338"/>
      <c r="C327" s="338"/>
      <c r="D327" s="415"/>
      <c r="E327" s="338"/>
      <c r="F327" s="338"/>
      <c r="G327" s="338"/>
      <c r="H327" s="338"/>
      <c r="I327" s="338"/>
      <c r="J327" s="338"/>
      <c r="K327" s="338"/>
      <c r="L327" s="356"/>
      <c r="M327" s="356"/>
      <c r="N327" s="321"/>
      <c r="O327" s="338"/>
      <c r="P327" s="338"/>
      <c r="Q327" s="338"/>
      <c r="R327" s="338"/>
      <c r="S327" s="338"/>
      <c r="T327" s="338"/>
      <c r="U327" s="338"/>
      <c r="V327" s="338"/>
      <c r="W327" s="338"/>
      <c r="X327" s="338"/>
      <c r="Y327" s="338"/>
      <c r="Z327" s="338"/>
    </row>
    <row r="328" ht="12.75" customHeight="1">
      <c r="A328" s="321"/>
      <c r="B328" s="338"/>
      <c r="C328" s="338"/>
      <c r="D328" s="415"/>
      <c r="E328" s="338"/>
      <c r="F328" s="338"/>
      <c r="G328" s="338"/>
      <c r="H328" s="338"/>
      <c r="I328" s="338"/>
      <c r="J328" s="338"/>
      <c r="K328" s="338"/>
      <c r="L328" s="356"/>
      <c r="M328" s="356"/>
      <c r="N328" s="321"/>
      <c r="O328" s="338"/>
      <c r="P328" s="338"/>
      <c r="Q328" s="338"/>
      <c r="R328" s="338"/>
      <c r="S328" s="338"/>
      <c r="T328" s="338"/>
      <c r="U328" s="338"/>
      <c r="V328" s="338"/>
      <c r="W328" s="338"/>
      <c r="X328" s="338"/>
      <c r="Y328" s="338"/>
      <c r="Z328" s="338"/>
    </row>
    <row r="329" ht="12.75" customHeight="1">
      <c r="A329" s="321"/>
      <c r="B329" s="338"/>
      <c r="C329" s="338"/>
      <c r="D329" s="415"/>
      <c r="E329" s="338"/>
      <c r="F329" s="338"/>
      <c r="G329" s="338"/>
      <c r="H329" s="338"/>
      <c r="I329" s="338"/>
      <c r="J329" s="338"/>
      <c r="K329" s="338"/>
      <c r="L329" s="356"/>
      <c r="M329" s="356"/>
      <c r="N329" s="321"/>
      <c r="O329" s="338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</row>
    <row r="330" ht="12.75" customHeight="1">
      <c r="A330" s="321"/>
      <c r="B330" s="338"/>
      <c r="C330" s="338"/>
      <c r="D330" s="415"/>
      <c r="E330" s="338"/>
      <c r="F330" s="338"/>
      <c r="G330" s="338"/>
      <c r="H330" s="338"/>
      <c r="I330" s="338"/>
      <c r="J330" s="338"/>
      <c r="K330" s="338"/>
      <c r="L330" s="356"/>
      <c r="M330" s="356"/>
      <c r="N330" s="321"/>
      <c r="O330" s="338"/>
      <c r="P330" s="338"/>
      <c r="Q330" s="338"/>
      <c r="R330" s="338"/>
      <c r="S330" s="338"/>
      <c r="T330" s="338"/>
      <c r="U330" s="338"/>
      <c r="V330" s="338"/>
      <c r="W330" s="338"/>
      <c r="X330" s="338"/>
      <c r="Y330" s="338"/>
      <c r="Z330" s="338"/>
    </row>
    <row r="331" ht="12.75" customHeight="1">
      <c r="A331" s="321"/>
      <c r="B331" s="338"/>
      <c r="C331" s="338"/>
      <c r="D331" s="415"/>
      <c r="E331" s="338"/>
      <c r="F331" s="338"/>
      <c r="G331" s="338"/>
      <c r="H331" s="338"/>
      <c r="I331" s="338"/>
      <c r="J331" s="338"/>
      <c r="K331" s="338"/>
      <c r="L331" s="356"/>
      <c r="M331" s="356"/>
      <c r="N331" s="321"/>
      <c r="O331" s="338"/>
      <c r="P331" s="338"/>
      <c r="Q331" s="338"/>
      <c r="R331" s="338"/>
      <c r="S331" s="338"/>
      <c r="T331" s="338"/>
      <c r="U331" s="338"/>
      <c r="V331" s="338"/>
      <c r="W331" s="338"/>
      <c r="X331" s="338"/>
      <c r="Y331" s="338"/>
      <c r="Z331" s="338"/>
    </row>
    <row r="332" ht="12.75" customHeight="1">
      <c r="A332" s="321"/>
      <c r="B332" s="338"/>
      <c r="C332" s="338"/>
      <c r="D332" s="415"/>
      <c r="E332" s="338"/>
      <c r="F332" s="338"/>
      <c r="G332" s="338"/>
      <c r="H332" s="338"/>
      <c r="I332" s="338"/>
      <c r="J332" s="338"/>
      <c r="K332" s="338"/>
      <c r="L332" s="356"/>
      <c r="M332" s="356"/>
      <c r="N332" s="321"/>
      <c r="O332" s="338"/>
      <c r="P332" s="338"/>
      <c r="Q332" s="338"/>
      <c r="R332" s="338"/>
      <c r="S332" s="338"/>
      <c r="T332" s="338"/>
      <c r="U332" s="338"/>
      <c r="V332" s="338"/>
      <c r="W332" s="338"/>
      <c r="X332" s="338"/>
      <c r="Y332" s="338"/>
      <c r="Z332" s="338"/>
    </row>
    <row r="333" ht="12.75" customHeight="1">
      <c r="A333" s="321"/>
      <c r="B333" s="338"/>
      <c r="C333" s="338"/>
      <c r="D333" s="415"/>
      <c r="E333" s="338"/>
      <c r="F333" s="338"/>
      <c r="G333" s="338"/>
      <c r="H333" s="338"/>
      <c r="I333" s="338"/>
      <c r="J333" s="338"/>
      <c r="K333" s="338"/>
      <c r="L333" s="356"/>
      <c r="M333" s="356"/>
      <c r="N333" s="321"/>
      <c r="O333" s="338"/>
      <c r="P333" s="338"/>
      <c r="Q333" s="338"/>
      <c r="R333" s="338"/>
      <c r="S333" s="338"/>
      <c r="T333" s="338"/>
      <c r="U333" s="338"/>
      <c r="V333" s="338"/>
      <c r="W333" s="338"/>
      <c r="X333" s="338"/>
      <c r="Y333" s="338"/>
      <c r="Z333" s="338"/>
    </row>
    <row r="334" ht="12.75" customHeight="1">
      <c r="A334" s="321"/>
      <c r="B334" s="338"/>
      <c r="C334" s="338"/>
      <c r="D334" s="415"/>
      <c r="E334" s="338"/>
      <c r="F334" s="338"/>
      <c r="G334" s="338"/>
      <c r="H334" s="338"/>
      <c r="I334" s="338"/>
      <c r="J334" s="338"/>
      <c r="K334" s="338"/>
      <c r="L334" s="356"/>
      <c r="M334" s="356"/>
      <c r="N334" s="321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</row>
    <row r="335" ht="12.75" customHeight="1">
      <c r="A335" s="321"/>
      <c r="B335" s="338"/>
      <c r="C335" s="338"/>
      <c r="D335" s="415"/>
      <c r="E335" s="338"/>
      <c r="F335" s="338"/>
      <c r="G335" s="338"/>
      <c r="H335" s="338"/>
      <c r="I335" s="338"/>
      <c r="J335" s="338"/>
      <c r="K335" s="338"/>
      <c r="L335" s="356"/>
      <c r="M335" s="356"/>
      <c r="N335" s="321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</row>
    <row r="336" ht="12.75" customHeight="1">
      <c r="A336" s="321"/>
      <c r="B336" s="338"/>
      <c r="C336" s="338"/>
      <c r="D336" s="415"/>
      <c r="E336" s="338"/>
      <c r="F336" s="338"/>
      <c r="G336" s="338"/>
      <c r="H336" s="338"/>
      <c r="I336" s="338"/>
      <c r="J336" s="338"/>
      <c r="K336" s="338"/>
      <c r="L336" s="356"/>
      <c r="M336" s="356"/>
      <c r="N336" s="321"/>
      <c r="O336" s="338"/>
      <c r="P336" s="338"/>
      <c r="Q336" s="338"/>
      <c r="R336" s="338"/>
      <c r="S336" s="338"/>
      <c r="T336" s="338"/>
      <c r="U336" s="338"/>
      <c r="V336" s="338"/>
      <c r="W336" s="338"/>
      <c r="X336" s="338"/>
      <c r="Y336" s="338"/>
      <c r="Z336" s="338"/>
    </row>
    <row r="337" ht="12.75" customHeight="1">
      <c r="A337" s="321"/>
      <c r="B337" s="338"/>
      <c r="C337" s="338"/>
      <c r="D337" s="415"/>
      <c r="E337" s="338"/>
      <c r="F337" s="338"/>
      <c r="G337" s="338"/>
      <c r="H337" s="338"/>
      <c r="I337" s="338"/>
      <c r="J337" s="338"/>
      <c r="K337" s="338"/>
      <c r="L337" s="356"/>
      <c r="M337" s="356"/>
      <c r="N337" s="321"/>
      <c r="O337" s="338"/>
      <c r="P337" s="338"/>
      <c r="Q337" s="338"/>
      <c r="R337" s="338"/>
      <c r="S337" s="338"/>
      <c r="T337" s="338"/>
      <c r="U337" s="338"/>
      <c r="V337" s="338"/>
      <c r="W337" s="338"/>
      <c r="X337" s="338"/>
      <c r="Y337" s="338"/>
      <c r="Z337" s="338"/>
    </row>
    <row r="338" ht="12.75" customHeight="1">
      <c r="A338" s="321"/>
      <c r="B338" s="338"/>
      <c r="C338" s="338"/>
      <c r="D338" s="415"/>
      <c r="E338" s="338"/>
      <c r="F338" s="338"/>
      <c r="G338" s="338"/>
      <c r="H338" s="338"/>
      <c r="I338" s="338"/>
      <c r="J338" s="338"/>
      <c r="K338" s="338"/>
      <c r="L338" s="356"/>
      <c r="M338" s="356"/>
      <c r="N338" s="321"/>
      <c r="O338" s="338"/>
      <c r="P338" s="338"/>
      <c r="Q338" s="338"/>
      <c r="R338" s="338"/>
      <c r="S338" s="338"/>
      <c r="T338" s="338"/>
      <c r="U338" s="338"/>
      <c r="V338" s="338"/>
      <c r="W338" s="338"/>
      <c r="X338" s="338"/>
      <c r="Y338" s="338"/>
      <c r="Z338" s="338"/>
    </row>
    <row r="339" ht="12.75" customHeight="1">
      <c r="A339" s="321"/>
      <c r="B339" s="338"/>
      <c r="C339" s="338"/>
      <c r="D339" s="415"/>
      <c r="E339" s="338"/>
      <c r="F339" s="338"/>
      <c r="G339" s="338"/>
      <c r="H339" s="338"/>
      <c r="I339" s="338"/>
      <c r="J339" s="338"/>
      <c r="K339" s="338"/>
      <c r="L339" s="356"/>
      <c r="M339" s="356"/>
      <c r="N339" s="321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</row>
    <row r="340" ht="12.75" customHeight="1">
      <c r="A340" s="321"/>
      <c r="B340" s="338"/>
      <c r="C340" s="338"/>
      <c r="D340" s="415"/>
      <c r="E340" s="338"/>
      <c r="F340" s="338"/>
      <c r="G340" s="338"/>
      <c r="H340" s="338"/>
      <c r="I340" s="338"/>
      <c r="J340" s="338"/>
      <c r="K340" s="338"/>
      <c r="L340" s="356"/>
      <c r="M340" s="356"/>
      <c r="N340" s="321"/>
      <c r="O340" s="338"/>
      <c r="P340" s="338"/>
      <c r="Q340" s="338"/>
      <c r="R340" s="338"/>
      <c r="S340" s="338"/>
      <c r="T340" s="338"/>
      <c r="U340" s="338"/>
      <c r="V340" s="338"/>
      <c r="W340" s="338"/>
      <c r="X340" s="338"/>
      <c r="Y340" s="338"/>
      <c r="Z340" s="338"/>
    </row>
    <row r="341" ht="12.75" customHeight="1">
      <c r="A341" s="321"/>
      <c r="B341" s="338"/>
      <c r="C341" s="338"/>
      <c r="D341" s="415"/>
      <c r="E341" s="338"/>
      <c r="F341" s="338"/>
      <c r="G341" s="338"/>
      <c r="H341" s="338"/>
      <c r="I341" s="338"/>
      <c r="J341" s="338"/>
      <c r="K341" s="338"/>
      <c r="L341" s="356"/>
      <c r="M341" s="356"/>
      <c r="N341" s="321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</row>
    <row r="342" ht="12.75" customHeight="1">
      <c r="A342" s="321"/>
      <c r="B342" s="338"/>
      <c r="C342" s="338"/>
      <c r="D342" s="415"/>
      <c r="E342" s="338"/>
      <c r="F342" s="338"/>
      <c r="G342" s="338"/>
      <c r="H342" s="338"/>
      <c r="I342" s="338"/>
      <c r="J342" s="338"/>
      <c r="K342" s="338"/>
      <c r="L342" s="356"/>
      <c r="M342" s="356"/>
      <c r="N342" s="321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</row>
    <row r="343" ht="12.75" customHeight="1">
      <c r="A343" s="321"/>
      <c r="B343" s="338"/>
      <c r="C343" s="338"/>
      <c r="D343" s="415"/>
      <c r="E343" s="338"/>
      <c r="F343" s="338"/>
      <c r="G343" s="338"/>
      <c r="H343" s="338"/>
      <c r="I343" s="338"/>
      <c r="J343" s="338"/>
      <c r="K343" s="338"/>
      <c r="L343" s="356"/>
      <c r="M343" s="356"/>
      <c r="N343" s="321"/>
      <c r="O343" s="338"/>
      <c r="P343" s="338"/>
      <c r="Q343" s="338"/>
      <c r="R343" s="338"/>
      <c r="S343" s="338"/>
      <c r="T343" s="338"/>
      <c r="U343" s="338"/>
      <c r="V343" s="338"/>
      <c r="W343" s="338"/>
      <c r="X343" s="338"/>
      <c r="Y343" s="338"/>
      <c r="Z343" s="338"/>
    </row>
    <row r="344" ht="12.75" customHeight="1">
      <c r="A344" s="321"/>
      <c r="B344" s="338"/>
      <c r="C344" s="338"/>
      <c r="D344" s="415"/>
      <c r="E344" s="338"/>
      <c r="F344" s="338"/>
      <c r="G344" s="338"/>
      <c r="H344" s="338"/>
      <c r="I344" s="338"/>
      <c r="J344" s="338"/>
      <c r="K344" s="338"/>
      <c r="L344" s="356"/>
      <c r="M344" s="356"/>
      <c r="N344" s="321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</row>
    <row r="345" ht="12.75" customHeight="1">
      <c r="A345" s="321"/>
      <c r="B345" s="338"/>
      <c r="C345" s="338"/>
      <c r="D345" s="415"/>
      <c r="E345" s="338"/>
      <c r="F345" s="338"/>
      <c r="G345" s="338"/>
      <c r="H345" s="338"/>
      <c r="I345" s="338"/>
      <c r="J345" s="338"/>
      <c r="K345" s="338"/>
      <c r="L345" s="356"/>
      <c r="M345" s="356"/>
      <c r="N345" s="321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</row>
    <row r="346" ht="12.75" customHeight="1">
      <c r="A346" s="321"/>
      <c r="B346" s="338"/>
      <c r="C346" s="338"/>
      <c r="D346" s="415"/>
      <c r="E346" s="338"/>
      <c r="F346" s="338"/>
      <c r="G346" s="338"/>
      <c r="H346" s="338"/>
      <c r="I346" s="338"/>
      <c r="J346" s="338"/>
      <c r="K346" s="338"/>
      <c r="L346" s="356"/>
      <c r="M346" s="356"/>
      <c r="N346" s="321"/>
      <c r="O346" s="338"/>
      <c r="P346" s="338"/>
      <c r="Q346" s="338"/>
      <c r="R346" s="338"/>
      <c r="S346" s="338"/>
      <c r="T346" s="338"/>
      <c r="U346" s="338"/>
      <c r="V346" s="338"/>
      <c r="W346" s="338"/>
      <c r="X346" s="338"/>
      <c r="Y346" s="338"/>
      <c r="Z346" s="338"/>
    </row>
    <row r="347" ht="12.75" customHeight="1">
      <c r="A347" s="321"/>
      <c r="B347" s="338"/>
      <c r="C347" s="338"/>
      <c r="D347" s="415"/>
      <c r="E347" s="338"/>
      <c r="F347" s="338"/>
      <c r="G347" s="338"/>
      <c r="H347" s="338"/>
      <c r="I347" s="338"/>
      <c r="J347" s="338"/>
      <c r="K347" s="338"/>
      <c r="L347" s="356"/>
      <c r="M347" s="356"/>
      <c r="N347" s="321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</row>
    <row r="348" ht="12.75" customHeight="1">
      <c r="A348" s="321"/>
      <c r="B348" s="338"/>
      <c r="C348" s="338"/>
      <c r="D348" s="415"/>
      <c r="E348" s="338"/>
      <c r="F348" s="338"/>
      <c r="G348" s="338"/>
      <c r="H348" s="338"/>
      <c r="I348" s="338"/>
      <c r="J348" s="338"/>
      <c r="K348" s="338"/>
      <c r="L348" s="356"/>
      <c r="M348" s="356"/>
      <c r="N348" s="321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</row>
    <row r="349" ht="12.75" customHeight="1">
      <c r="A349" s="321"/>
      <c r="B349" s="338"/>
      <c r="C349" s="338"/>
      <c r="D349" s="415"/>
      <c r="E349" s="338"/>
      <c r="F349" s="338"/>
      <c r="G349" s="338"/>
      <c r="H349" s="338"/>
      <c r="I349" s="338"/>
      <c r="J349" s="338"/>
      <c r="K349" s="338"/>
      <c r="L349" s="356"/>
      <c r="M349" s="356"/>
      <c r="N349" s="321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</row>
    <row r="350" ht="12.75" customHeight="1">
      <c r="A350" s="321"/>
      <c r="B350" s="338"/>
      <c r="C350" s="338"/>
      <c r="D350" s="415"/>
      <c r="E350" s="338"/>
      <c r="F350" s="338"/>
      <c r="G350" s="338"/>
      <c r="H350" s="338"/>
      <c r="I350" s="338"/>
      <c r="J350" s="338"/>
      <c r="K350" s="338"/>
      <c r="L350" s="356"/>
      <c r="M350" s="356"/>
      <c r="N350" s="321"/>
      <c r="O350" s="338"/>
      <c r="P350" s="338"/>
      <c r="Q350" s="338"/>
      <c r="R350" s="338"/>
      <c r="S350" s="338"/>
      <c r="T350" s="338"/>
      <c r="U350" s="338"/>
      <c r="V350" s="338"/>
      <c r="W350" s="338"/>
      <c r="X350" s="338"/>
      <c r="Y350" s="338"/>
      <c r="Z350" s="338"/>
    </row>
    <row r="351" ht="12.75" customHeight="1">
      <c r="A351" s="321"/>
      <c r="B351" s="338"/>
      <c r="C351" s="338"/>
      <c r="D351" s="415"/>
      <c r="E351" s="338"/>
      <c r="F351" s="338"/>
      <c r="G351" s="338"/>
      <c r="H351" s="338"/>
      <c r="I351" s="338"/>
      <c r="J351" s="338"/>
      <c r="K351" s="338"/>
      <c r="L351" s="356"/>
      <c r="M351" s="356"/>
      <c r="N351" s="321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</row>
    <row r="352" ht="12.75" customHeight="1">
      <c r="A352" s="321"/>
      <c r="B352" s="338"/>
      <c r="C352" s="338"/>
      <c r="D352" s="415"/>
      <c r="E352" s="338"/>
      <c r="F352" s="338"/>
      <c r="G352" s="338"/>
      <c r="H352" s="338"/>
      <c r="I352" s="338"/>
      <c r="J352" s="338"/>
      <c r="K352" s="338"/>
      <c r="L352" s="356"/>
      <c r="M352" s="356"/>
      <c r="N352" s="321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</row>
    <row r="353" ht="12.75" customHeight="1">
      <c r="A353" s="321"/>
      <c r="B353" s="338"/>
      <c r="C353" s="338"/>
      <c r="D353" s="415"/>
      <c r="E353" s="338"/>
      <c r="F353" s="338"/>
      <c r="G353" s="338"/>
      <c r="H353" s="338"/>
      <c r="I353" s="338"/>
      <c r="J353" s="338"/>
      <c r="K353" s="338"/>
      <c r="L353" s="356"/>
      <c r="M353" s="356"/>
      <c r="N353" s="321"/>
      <c r="O353" s="338"/>
      <c r="P353" s="338"/>
      <c r="Q353" s="338"/>
      <c r="R353" s="338"/>
      <c r="S353" s="338"/>
      <c r="T353" s="338"/>
      <c r="U353" s="338"/>
      <c r="V353" s="338"/>
      <c r="W353" s="338"/>
      <c r="X353" s="338"/>
      <c r="Y353" s="338"/>
      <c r="Z353" s="338"/>
    </row>
    <row r="354" ht="12.75" customHeight="1">
      <c r="A354" s="321"/>
      <c r="B354" s="338"/>
      <c r="C354" s="338"/>
      <c r="D354" s="415"/>
      <c r="E354" s="338"/>
      <c r="F354" s="338"/>
      <c r="G354" s="338"/>
      <c r="H354" s="338"/>
      <c r="I354" s="338"/>
      <c r="J354" s="338"/>
      <c r="K354" s="338"/>
      <c r="L354" s="356"/>
      <c r="M354" s="356"/>
      <c r="N354" s="321"/>
      <c r="O354" s="338"/>
      <c r="P354" s="338"/>
      <c r="Q354" s="338"/>
      <c r="R354" s="338"/>
      <c r="S354" s="338"/>
      <c r="T354" s="338"/>
      <c r="U354" s="338"/>
      <c r="V354" s="338"/>
      <c r="W354" s="338"/>
      <c r="X354" s="338"/>
      <c r="Y354" s="338"/>
      <c r="Z354" s="338"/>
    </row>
    <row r="355" ht="12.75" customHeight="1">
      <c r="A355" s="321"/>
      <c r="B355" s="338"/>
      <c r="C355" s="338"/>
      <c r="D355" s="415"/>
      <c r="E355" s="338"/>
      <c r="F355" s="338"/>
      <c r="G355" s="338"/>
      <c r="H355" s="338"/>
      <c r="I355" s="338"/>
      <c r="J355" s="338"/>
      <c r="K355" s="338"/>
      <c r="L355" s="356"/>
      <c r="M355" s="356"/>
      <c r="N355" s="321"/>
      <c r="O355" s="338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</row>
    <row r="356" ht="12.75" customHeight="1">
      <c r="A356" s="321"/>
      <c r="B356" s="338"/>
      <c r="C356" s="338"/>
      <c r="D356" s="415"/>
      <c r="E356" s="338"/>
      <c r="F356" s="338"/>
      <c r="G356" s="338"/>
      <c r="H356" s="338"/>
      <c r="I356" s="338"/>
      <c r="J356" s="338"/>
      <c r="K356" s="338"/>
      <c r="L356" s="356"/>
      <c r="M356" s="356"/>
      <c r="N356" s="321"/>
      <c r="O356" s="338"/>
      <c r="P356" s="338"/>
      <c r="Q356" s="338"/>
      <c r="R356" s="338"/>
      <c r="S356" s="338"/>
      <c r="T356" s="338"/>
      <c r="U356" s="338"/>
      <c r="V356" s="338"/>
      <c r="W356" s="338"/>
      <c r="X356" s="338"/>
      <c r="Y356" s="338"/>
      <c r="Z356" s="338"/>
    </row>
    <row r="357" ht="12.75" customHeight="1">
      <c r="A357" s="321"/>
      <c r="B357" s="338"/>
      <c r="C357" s="338"/>
      <c r="D357" s="415"/>
      <c r="E357" s="338"/>
      <c r="F357" s="338"/>
      <c r="G357" s="338"/>
      <c r="H357" s="338"/>
      <c r="I357" s="338"/>
      <c r="J357" s="338"/>
      <c r="K357" s="338"/>
      <c r="L357" s="356"/>
      <c r="M357" s="356"/>
      <c r="N357" s="321"/>
      <c r="O357" s="338"/>
      <c r="P357" s="338"/>
      <c r="Q357" s="338"/>
      <c r="R357" s="338"/>
      <c r="S357" s="338"/>
      <c r="T357" s="338"/>
      <c r="U357" s="338"/>
      <c r="V357" s="338"/>
      <c r="W357" s="338"/>
      <c r="X357" s="338"/>
      <c r="Y357" s="338"/>
      <c r="Z357" s="338"/>
    </row>
    <row r="358" ht="12.75" customHeight="1">
      <c r="A358" s="321"/>
      <c r="B358" s="338"/>
      <c r="C358" s="338"/>
      <c r="D358" s="415"/>
      <c r="E358" s="338"/>
      <c r="F358" s="338"/>
      <c r="G358" s="338"/>
      <c r="H358" s="338"/>
      <c r="I358" s="338"/>
      <c r="J358" s="338"/>
      <c r="K358" s="338"/>
      <c r="L358" s="356"/>
      <c r="M358" s="356"/>
      <c r="N358" s="321"/>
      <c r="O358" s="338"/>
      <c r="P358" s="338"/>
      <c r="Q358" s="338"/>
      <c r="R358" s="338"/>
      <c r="S358" s="338"/>
      <c r="T358" s="338"/>
      <c r="U358" s="338"/>
      <c r="V358" s="338"/>
      <c r="W358" s="338"/>
      <c r="X358" s="338"/>
      <c r="Y358" s="338"/>
      <c r="Z358" s="338"/>
    </row>
    <row r="359" ht="12.75" customHeight="1">
      <c r="A359" s="321"/>
      <c r="B359" s="338"/>
      <c r="C359" s="338"/>
      <c r="D359" s="415"/>
      <c r="E359" s="338"/>
      <c r="F359" s="338"/>
      <c r="G359" s="338"/>
      <c r="H359" s="338"/>
      <c r="I359" s="338"/>
      <c r="J359" s="338"/>
      <c r="K359" s="338"/>
      <c r="L359" s="356"/>
      <c r="M359" s="356"/>
      <c r="N359" s="321"/>
      <c r="O359" s="338"/>
      <c r="P359" s="338"/>
      <c r="Q359" s="338"/>
      <c r="R359" s="338"/>
      <c r="S359" s="338"/>
      <c r="T359" s="338"/>
      <c r="U359" s="338"/>
      <c r="V359" s="338"/>
      <c r="W359" s="338"/>
      <c r="X359" s="338"/>
      <c r="Y359" s="338"/>
      <c r="Z359" s="338"/>
    </row>
    <row r="360" ht="12.75" customHeight="1">
      <c r="A360" s="321"/>
      <c r="B360" s="338"/>
      <c r="C360" s="338"/>
      <c r="D360" s="415"/>
      <c r="E360" s="338"/>
      <c r="F360" s="338"/>
      <c r="G360" s="338"/>
      <c r="H360" s="338"/>
      <c r="I360" s="338"/>
      <c r="J360" s="338"/>
      <c r="K360" s="338"/>
      <c r="L360" s="356"/>
      <c r="M360" s="356"/>
      <c r="N360" s="321"/>
      <c r="O360" s="338"/>
      <c r="P360" s="338"/>
      <c r="Q360" s="338"/>
      <c r="R360" s="338"/>
      <c r="S360" s="338"/>
      <c r="T360" s="338"/>
      <c r="U360" s="338"/>
      <c r="V360" s="338"/>
      <c r="W360" s="338"/>
      <c r="X360" s="338"/>
      <c r="Y360" s="338"/>
      <c r="Z360" s="338"/>
    </row>
    <row r="361" ht="12.75" customHeight="1">
      <c r="A361" s="321"/>
      <c r="B361" s="338"/>
      <c r="C361" s="338"/>
      <c r="D361" s="415"/>
      <c r="E361" s="338"/>
      <c r="F361" s="338"/>
      <c r="G361" s="338"/>
      <c r="H361" s="338"/>
      <c r="I361" s="338"/>
      <c r="J361" s="338"/>
      <c r="K361" s="338"/>
      <c r="L361" s="356"/>
      <c r="M361" s="356"/>
      <c r="N361" s="321"/>
      <c r="O361" s="338"/>
      <c r="P361" s="338"/>
      <c r="Q361" s="338"/>
      <c r="R361" s="338"/>
      <c r="S361" s="338"/>
      <c r="T361" s="338"/>
      <c r="U361" s="338"/>
      <c r="V361" s="338"/>
      <c r="W361" s="338"/>
      <c r="X361" s="338"/>
      <c r="Y361" s="338"/>
      <c r="Z361" s="338"/>
    </row>
    <row r="362" ht="12.75" customHeight="1">
      <c r="A362" s="321"/>
      <c r="B362" s="338"/>
      <c r="C362" s="338"/>
      <c r="D362" s="415"/>
      <c r="E362" s="338"/>
      <c r="F362" s="338"/>
      <c r="G362" s="338"/>
      <c r="H362" s="338"/>
      <c r="I362" s="338"/>
      <c r="J362" s="338"/>
      <c r="K362" s="338"/>
      <c r="L362" s="356"/>
      <c r="M362" s="356"/>
      <c r="N362" s="321"/>
      <c r="O362" s="338"/>
      <c r="P362" s="338"/>
      <c r="Q362" s="338"/>
      <c r="R362" s="338"/>
      <c r="S362" s="338"/>
      <c r="T362" s="338"/>
      <c r="U362" s="338"/>
      <c r="V362" s="338"/>
      <c r="W362" s="338"/>
      <c r="X362" s="338"/>
      <c r="Y362" s="338"/>
      <c r="Z362" s="338"/>
    </row>
    <row r="363" ht="12.75" customHeight="1">
      <c r="A363" s="321"/>
      <c r="B363" s="338"/>
      <c r="C363" s="338"/>
      <c r="D363" s="415"/>
      <c r="E363" s="338"/>
      <c r="F363" s="338"/>
      <c r="G363" s="338"/>
      <c r="H363" s="338"/>
      <c r="I363" s="338"/>
      <c r="J363" s="338"/>
      <c r="K363" s="338"/>
      <c r="L363" s="356"/>
      <c r="M363" s="356"/>
      <c r="N363" s="321"/>
      <c r="O363" s="338"/>
      <c r="P363" s="338"/>
      <c r="Q363" s="338"/>
      <c r="R363" s="338"/>
      <c r="S363" s="338"/>
      <c r="T363" s="338"/>
      <c r="U363" s="338"/>
      <c r="V363" s="338"/>
      <c r="W363" s="338"/>
      <c r="X363" s="338"/>
      <c r="Y363" s="338"/>
      <c r="Z363" s="338"/>
    </row>
    <row r="364" ht="12.75" customHeight="1">
      <c r="A364" s="321"/>
      <c r="B364" s="338"/>
      <c r="C364" s="338"/>
      <c r="D364" s="415"/>
      <c r="E364" s="338"/>
      <c r="F364" s="338"/>
      <c r="G364" s="338"/>
      <c r="H364" s="338"/>
      <c r="I364" s="338"/>
      <c r="J364" s="338"/>
      <c r="K364" s="338"/>
      <c r="L364" s="356"/>
      <c r="M364" s="356"/>
      <c r="N364" s="321"/>
      <c r="O364" s="338"/>
      <c r="P364" s="338"/>
      <c r="Q364" s="338"/>
      <c r="R364" s="338"/>
      <c r="S364" s="338"/>
      <c r="T364" s="338"/>
      <c r="U364" s="338"/>
      <c r="V364" s="338"/>
      <c r="W364" s="338"/>
      <c r="X364" s="338"/>
      <c r="Y364" s="338"/>
      <c r="Z364" s="338"/>
    </row>
    <row r="365" ht="12.75" customHeight="1">
      <c r="A365" s="321"/>
      <c r="B365" s="338"/>
      <c r="C365" s="338"/>
      <c r="D365" s="415"/>
      <c r="E365" s="338"/>
      <c r="F365" s="338"/>
      <c r="G365" s="338"/>
      <c r="H365" s="338"/>
      <c r="I365" s="338"/>
      <c r="J365" s="338"/>
      <c r="K365" s="338"/>
      <c r="L365" s="356"/>
      <c r="M365" s="356"/>
      <c r="N365" s="321"/>
      <c r="O365" s="338"/>
      <c r="P365" s="338"/>
      <c r="Q365" s="338"/>
      <c r="R365" s="338"/>
      <c r="S365" s="338"/>
      <c r="T365" s="338"/>
      <c r="U365" s="338"/>
      <c r="V365" s="338"/>
      <c r="W365" s="338"/>
      <c r="X365" s="338"/>
      <c r="Y365" s="338"/>
      <c r="Z365" s="338"/>
    </row>
    <row r="366" ht="12.75" customHeight="1">
      <c r="A366" s="321"/>
      <c r="B366" s="338"/>
      <c r="C366" s="338"/>
      <c r="D366" s="415"/>
      <c r="E366" s="338"/>
      <c r="F366" s="338"/>
      <c r="G366" s="338"/>
      <c r="H366" s="338"/>
      <c r="I366" s="338"/>
      <c r="J366" s="338"/>
      <c r="K366" s="338"/>
      <c r="L366" s="356"/>
      <c r="M366" s="356"/>
      <c r="N366" s="321"/>
      <c r="O366" s="338"/>
      <c r="P366" s="338"/>
      <c r="Q366" s="338"/>
      <c r="R366" s="338"/>
      <c r="S366" s="338"/>
      <c r="T366" s="338"/>
      <c r="U366" s="338"/>
      <c r="V366" s="338"/>
      <c r="W366" s="338"/>
      <c r="X366" s="338"/>
      <c r="Y366" s="338"/>
      <c r="Z366" s="338"/>
    </row>
    <row r="367" ht="12.75" customHeight="1">
      <c r="A367" s="321"/>
      <c r="B367" s="338"/>
      <c r="C367" s="338"/>
      <c r="D367" s="415"/>
      <c r="E367" s="338"/>
      <c r="F367" s="338"/>
      <c r="G367" s="338"/>
      <c r="H367" s="338"/>
      <c r="I367" s="338"/>
      <c r="J367" s="338"/>
      <c r="K367" s="338"/>
      <c r="L367" s="356"/>
      <c r="M367" s="356"/>
      <c r="N367" s="321"/>
      <c r="O367" s="338"/>
      <c r="P367" s="338"/>
      <c r="Q367" s="338"/>
      <c r="R367" s="338"/>
      <c r="S367" s="338"/>
      <c r="T367" s="338"/>
      <c r="U367" s="338"/>
      <c r="V367" s="338"/>
      <c r="W367" s="338"/>
      <c r="X367" s="338"/>
      <c r="Y367" s="338"/>
      <c r="Z367" s="338"/>
    </row>
    <row r="368" ht="12.75" customHeight="1">
      <c r="A368" s="321"/>
      <c r="B368" s="338"/>
      <c r="C368" s="338"/>
      <c r="D368" s="415"/>
      <c r="E368" s="338"/>
      <c r="F368" s="338"/>
      <c r="G368" s="338"/>
      <c r="H368" s="338"/>
      <c r="I368" s="338"/>
      <c r="J368" s="338"/>
      <c r="K368" s="338"/>
      <c r="L368" s="356"/>
      <c r="M368" s="356"/>
      <c r="N368" s="321"/>
      <c r="O368" s="338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</row>
    <row r="369" ht="12.75" customHeight="1">
      <c r="A369" s="321"/>
      <c r="B369" s="338"/>
      <c r="C369" s="338"/>
      <c r="D369" s="415"/>
      <c r="E369" s="338"/>
      <c r="F369" s="338"/>
      <c r="G369" s="338"/>
      <c r="H369" s="338"/>
      <c r="I369" s="338"/>
      <c r="J369" s="338"/>
      <c r="K369" s="338"/>
      <c r="L369" s="356"/>
      <c r="M369" s="356"/>
      <c r="N369" s="321"/>
      <c r="O369" s="338"/>
      <c r="P369" s="338"/>
      <c r="Q369" s="338"/>
      <c r="R369" s="338"/>
      <c r="S369" s="338"/>
      <c r="T369" s="338"/>
      <c r="U369" s="338"/>
      <c r="V369" s="338"/>
      <c r="W369" s="338"/>
      <c r="X369" s="338"/>
      <c r="Y369" s="338"/>
      <c r="Z369" s="338"/>
    </row>
    <row r="370" ht="12.75" customHeight="1">
      <c r="A370" s="321"/>
      <c r="B370" s="338"/>
      <c r="C370" s="338"/>
      <c r="D370" s="415"/>
      <c r="E370" s="338"/>
      <c r="F370" s="338"/>
      <c r="G370" s="338"/>
      <c r="H370" s="338"/>
      <c r="I370" s="338"/>
      <c r="J370" s="338"/>
      <c r="K370" s="338"/>
      <c r="L370" s="356"/>
      <c r="M370" s="356"/>
      <c r="N370" s="321"/>
      <c r="O370" s="338"/>
      <c r="P370" s="338"/>
      <c r="Q370" s="338"/>
      <c r="R370" s="338"/>
      <c r="S370" s="338"/>
      <c r="T370" s="338"/>
      <c r="U370" s="338"/>
      <c r="V370" s="338"/>
      <c r="W370" s="338"/>
      <c r="X370" s="338"/>
      <c r="Y370" s="338"/>
      <c r="Z370" s="338"/>
    </row>
    <row r="371" ht="12.75" customHeight="1">
      <c r="A371" s="321"/>
      <c r="B371" s="338"/>
      <c r="C371" s="338"/>
      <c r="D371" s="415"/>
      <c r="E371" s="338"/>
      <c r="F371" s="338"/>
      <c r="G371" s="338"/>
      <c r="H371" s="338"/>
      <c r="I371" s="338"/>
      <c r="J371" s="338"/>
      <c r="K371" s="338"/>
      <c r="L371" s="356"/>
      <c r="M371" s="356"/>
      <c r="N371" s="321"/>
      <c r="O371" s="338"/>
      <c r="P371" s="338"/>
      <c r="Q371" s="338"/>
      <c r="R371" s="338"/>
      <c r="S371" s="338"/>
      <c r="T371" s="338"/>
      <c r="U371" s="338"/>
      <c r="V371" s="338"/>
      <c r="W371" s="338"/>
      <c r="X371" s="338"/>
      <c r="Y371" s="338"/>
      <c r="Z371" s="338"/>
    </row>
    <row r="372" ht="12.75" customHeight="1">
      <c r="A372" s="321"/>
      <c r="B372" s="338"/>
      <c r="C372" s="338"/>
      <c r="D372" s="415"/>
      <c r="E372" s="338"/>
      <c r="F372" s="338"/>
      <c r="G372" s="338"/>
      <c r="H372" s="338"/>
      <c r="I372" s="338"/>
      <c r="J372" s="338"/>
      <c r="K372" s="338"/>
      <c r="L372" s="356"/>
      <c r="M372" s="356"/>
      <c r="N372" s="321"/>
      <c r="O372" s="338"/>
      <c r="P372" s="338"/>
      <c r="Q372" s="338"/>
      <c r="R372" s="338"/>
      <c r="S372" s="338"/>
      <c r="T372" s="338"/>
      <c r="U372" s="338"/>
      <c r="V372" s="338"/>
      <c r="W372" s="338"/>
      <c r="X372" s="338"/>
      <c r="Y372" s="338"/>
      <c r="Z372" s="338"/>
    </row>
    <row r="373" ht="12.75" customHeight="1">
      <c r="A373" s="321"/>
      <c r="B373" s="338"/>
      <c r="C373" s="338"/>
      <c r="D373" s="415"/>
      <c r="E373" s="338"/>
      <c r="F373" s="338"/>
      <c r="G373" s="338"/>
      <c r="H373" s="338"/>
      <c r="I373" s="338"/>
      <c r="J373" s="338"/>
      <c r="K373" s="338"/>
      <c r="L373" s="356"/>
      <c r="M373" s="356"/>
      <c r="N373" s="321"/>
      <c r="O373" s="338"/>
      <c r="P373" s="338"/>
      <c r="Q373" s="338"/>
      <c r="R373" s="338"/>
      <c r="S373" s="338"/>
      <c r="T373" s="338"/>
      <c r="U373" s="338"/>
      <c r="V373" s="338"/>
      <c r="W373" s="338"/>
      <c r="X373" s="338"/>
      <c r="Y373" s="338"/>
      <c r="Z373" s="338"/>
    </row>
    <row r="374" ht="12.75" customHeight="1">
      <c r="A374" s="321"/>
      <c r="B374" s="338"/>
      <c r="C374" s="338"/>
      <c r="D374" s="415"/>
      <c r="E374" s="338"/>
      <c r="F374" s="338"/>
      <c r="G374" s="338"/>
      <c r="H374" s="338"/>
      <c r="I374" s="338"/>
      <c r="J374" s="338"/>
      <c r="K374" s="338"/>
      <c r="L374" s="356"/>
      <c r="M374" s="356"/>
      <c r="N374" s="321"/>
      <c r="O374" s="338"/>
      <c r="P374" s="338"/>
      <c r="Q374" s="338"/>
      <c r="R374" s="338"/>
      <c r="S374" s="338"/>
      <c r="T374" s="338"/>
      <c r="U374" s="338"/>
      <c r="V374" s="338"/>
      <c r="W374" s="338"/>
      <c r="X374" s="338"/>
      <c r="Y374" s="338"/>
      <c r="Z374" s="338"/>
    </row>
    <row r="375" ht="12.75" customHeight="1">
      <c r="A375" s="321"/>
      <c r="B375" s="338"/>
      <c r="C375" s="338"/>
      <c r="D375" s="415"/>
      <c r="E375" s="338"/>
      <c r="F375" s="338"/>
      <c r="G375" s="338"/>
      <c r="H375" s="338"/>
      <c r="I375" s="338"/>
      <c r="J375" s="338"/>
      <c r="K375" s="338"/>
      <c r="L375" s="356"/>
      <c r="M375" s="356"/>
      <c r="N375" s="321"/>
      <c r="O375" s="338"/>
      <c r="P375" s="338"/>
      <c r="Q375" s="338"/>
      <c r="R375" s="338"/>
      <c r="S375" s="338"/>
      <c r="T375" s="338"/>
      <c r="U375" s="338"/>
      <c r="V375" s="338"/>
      <c r="W375" s="338"/>
      <c r="X375" s="338"/>
      <c r="Y375" s="338"/>
      <c r="Z375" s="338"/>
    </row>
    <row r="376" ht="12.75" customHeight="1">
      <c r="A376" s="321"/>
      <c r="B376" s="338"/>
      <c r="C376" s="338"/>
      <c r="D376" s="415"/>
      <c r="E376" s="338"/>
      <c r="F376" s="338"/>
      <c r="G376" s="338"/>
      <c r="H376" s="338"/>
      <c r="I376" s="338"/>
      <c r="J376" s="338"/>
      <c r="K376" s="338"/>
      <c r="L376" s="356"/>
      <c r="M376" s="356"/>
      <c r="N376" s="321"/>
      <c r="O376" s="338"/>
      <c r="P376" s="338"/>
      <c r="Q376" s="338"/>
      <c r="R376" s="338"/>
      <c r="S376" s="338"/>
      <c r="T376" s="338"/>
      <c r="U376" s="338"/>
      <c r="V376" s="338"/>
      <c r="W376" s="338"/>
      <c r="X376" s="338"/>
      <c r="Y376" s="338"/>
      <c r="Z376" s="338"/>
    </row>
    <row r="377" ht="12.75" customHeight="1">
      <c r="A377" s="321"/>
      <c r="B377" s="338"/>
      <c r="C377" s="338"/>
      <c r="D377" s="415"/>
      <c r="E377" s="338"/>
      <c r="F377" s="338"/>
      <c r="G377" s="338"/>
      <c r="H377" s="338"/>
      <c r="I377" s="338"/>
      <c r="J377" s="338"/>
      <c r="K377" s="338"/>
      <c r="L377" s="356"/>
      <c r="M377" s="356"/>
      <c r="N377" s="321"/>
      <c r="O377" s="338"/>
      <c r="P377" s="338"/>
      <c r="Q377" s="338"/>
      <c r="R377" s="338"/>
      <c r="S377" s="338"/>
      <c r="T377" s="338"/>
      <c r="U377" s="338"/>
      <c r="V377" s="338"/>
      <c r="W377" s="338"/>
      <c r="X377" s="338"/>
      <c r="Y377" s="338"/>
      <c r="Z377" s="338"/>
    </row>
    <row r="378" ht="12.75" customHeight="1">
      <c r="A378" s="321"/>
      <c r="B378" s="338"/>
      <c r="C378" s="338"/>
      <c r="D378" s="415"/>
      <c r="E378" s="338"/>
      <c r="F378" s="338"/>
      <c r="G378" s="338"/>
      <c r="H378" s="338"/>
      <c r="I378" s="338"/>
      <c r="J378" s="338"/>
      <c r="K378" s="338"/>
      <c r="L378" s="356"/>
      <c r="M378" s="356"/>
      <c r="N378" s="321"/>
      <c r="O378" s="338"/>
      <c r="P378" s="338"/>
      <c r="Q378" s="338"/>
      <c r="R378" s="338"/>
      <c r="S378" s="338"/>
      <c r="T378" s="338"/>
      <c r="U378" s="338"/>
      <c r="V378" s="338"/>
      <c r="W378" s="338"/>
      <c r="X378" s="338"/>
      <c r="Y378" s="338"/>
      <c r="Z378" s="338"/>
    </row>
    <row r="379" ht="12.75" customHeight="1">
      <c r="A379" s="321"/>
      <c r="B379" s="338"/>
      <c r="C379" s="338"/>
      <c r="D379" s="415"/>
      <c r="E379" s="338"/>
      <c r="F379" s="338"/>
      <c r="G379" s="338"/>
      <c r="H379" s="338"/>
      <c r="I379" s="338"/>
      <c r="J379" s="338"/>
      <c r="K379" s="338"/>
      <c r="L379" s="356"/>
      <c r="M379" s="356"/>
      <c r="N379" s="321"/>
      <c r="O379" s="338"/>
      <c r="P379" s="338"/>
      <c r="Q379" s="338"/>
      <c r="R379" s="338"/>
      <c r="S379" s="338"/>
      <c r="T379" s="338"/>
      <c r="U379" s="338"/>
      <c r="V379" s="338"/>
      <c r="W379" s="338"/>
      <c r="X379" s="338"/>
      <c r="Y379" s="338"/>
      <c r="Z379" s="338"/>
    </row>
    <row r="380" ht="12.75" customHeight="1">
      <c r="A380" s="321"/>
      <c r="B380" s="338"/>
      <c r="C380" s="338"/>
      <c r="D380" s="415"/>
      <c r="E380" s="338"/>
      <c r="F380" s="338"/>
      <c r="G380" s="338"/>
      <c r="H380" s="338"/>
      <c r="I380" s="338"/>
      <c r="J380" s="338"/>
      <c r="K380" s="338"/>
      <c r="L380" s="356"/>
      <c r="M380" s="356"/>
      <c r="N380" s="321"/>
      <c r="O380" s="338"/>
      <c r="P380" s="338"/>
      <c r="Q380" s="338"/>
      <c r="R380" s="338"/>
      <c r="S380" s="338"/>
      <c r="T380" s="338"/>
      <c r="U380" s="338"/>
      <c r="V380" s="338"/>
      <c r="W380" s="338"/>
      <c r="X380" s="338"/>
      <c r="Y380" s="338"/>
      <c r="Z380" s="338"/>
    </row>
    <row r="381" ht="12.75" customHeight="1">
      <c r="A381" s="321"/>
      <c r="B381" s="338"/>
      <c r="C381" s="338"/>
      <c r="D381" s="415"/>
      <c r="E381" s="338"/>
      <c r="F381" s="338"/>
      <c r="G381" s="338"/>
      <c r="H381" s="338"/>
      <c r="I381" s="338"/>
      <c r="J381" s="338"/>
      <c r="K381" s="338"/>
      <c r="L381" s="356"/>
      <c r="M381" s="356"/>
      <c r="N381" s="321"/>
      <c r="O381" s="338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</row>
    <row r="382" ht="12.75" customHeight="1">
      <c r="A382" s="321"/>
      <c r="B382" s="338"/>
      <c r="C382" s="338"/>
      <c r="D382" s="415"/>
      <c r="E382" s="338"/>
      <c r="F382" s="338"/>
      <c r="G382" s="338"/>
      <c r="H382" s="338"/>
      <c r="I382" s="338"/>
      <c r="J382" s="338"/>
      <c r="K382" s="338"/>
      <c r="L382" s="356"/>
      <c r="M382" s="356"/>
      <c r="N382" s="321"/>
      <c r="O382" s="338"/>
      <c r="P382" s="338"/>
      <c r="Q382" s="338"/>
      <c r="R382" s="338"/>
      <c r="S382" s="338"/>
      <c r="T382" s="338"/>
      <c r="U382" s="338"/>
      <c r="V382" s="338"/>
      <c r="W382" s="338"/>
      <c r="X382" s="338"/>
      <c r="Y382" s="338"/>
      <c r="Z382" s="338"/>
    </row>
    <row r="383" ht="12.75" customHeight="1">
      <c r="A383" s="321"/>
      <c r="B383" s="338"/>
      <c r="C383" s="338"/>
      <c r="D383" s="415"/>
      <c r="E383" s="338"/>
      <c r="F383" s="338"/>
      <c r="G383" s="338"/>
      <c r="H383" s="338"/>
      <c r="I383" s="338"/>
      <c r="J383" s="338"/>
      <c r="K383" s="338"/>
      <c r="L383" s="356"/>
      <c r="M383" s="356"/>
      <c r="N383" s="321"/>
      <c r="O383" s="338"/>
      <c r="P383" s="338"/>
      <c r="Q383" s="338"/>
      <c r="R383" s="338"/>
      <c r="S383" s="338"/>
      <c r="T383" s="338"/>
      <c r="U383" s="338"/>
      <c r="V383" s="338"/>
      <c r="W383" s="338"/>
      <c r="X383" s="338"/>
      <c r="Y383" s="338"/>
      <c r="Z383" s="338"/>
    </row>
    <row r="384" ht="12.75" customHeight="1">
      <c r="A384" s="321"/>
      <c r="B384" s="338"/>
      <c r="C384" s="338"/>
      <c r="D384" s="415"/>
      <c r="E384" s="338"/>
      <c r="F384" s="338"/>
      <c r="G384" s="338"/>
      <c r="H384" s="338"/>
      <c r="I384" s="338"/>
      <c r="J384" s="338"/>
      <c r="K384" s="338"/>
      <c r="L384" s="356"/>
      <c r="M384" s="356"/>
      <c r="N384" s="321"/>
      <c r="O384" s="338"/>
      <c r="P384" s="338"/>
      <c r="Q384" s="338"/>
      <c r="R384" s="338"/>
      <c r="S384" s="338"/>
      <c r="T384" s="338"/>
      <c r="U384" s="338"/>
      <c r="V384" s="338"/>
      <c r="W384" s="338"/>
      <c r="X384" s="338"/>
      <c r="Y384" s="338"/>
      <c r="Z384" s="338"/>
    </row>
    <row r="385" ht="12.75" customHeight="1">
      <c r="A385" s="321"/>
      <c r="B385" s="338"/>
      <c r="C385" s="338"/>
      <c r="D385" s="415"/>
      <c r="E385" s="338"/>
      <c r="F385" s="338"/>
      <c r="G385" s="338"/>
      <c r="H385" s="338"/>
      <c r="I385" s="338"/>
      <c r="J385" s="338"/>
      <c r="K385" s="338"/>
      <c r="L385" s="356"/>
      <c r="M385" s="356"/>
      <c r="N385" s="321"/>
      <c r="O385" s="338"/>
      <c r="P385" s="338"/>
      <c r="Q385" s="338"/>
      <c r="R385" s="338"/>
      <c r="S385" s="338"/>
      <c r="T385" s="338"/>
      <c r="U385" s="338"/>
      <c r="V385" s="338"/>
      <c r="W385" s="338"/>
      <c r="X385" s="338"/>
      <c r="Y385" s="338"/>
      <c r="Z385" s="338"/>
    </row>
    <row r="386" ht="12.75" customHeight="1">
      <c r="A386" s="321"/>
      <c r="B386" s="338"/>
      <c r="C386" s="338"/>
      <c r="D386" s="415"/>
      <c r="E386" s="338"/>
      <c r="F386" s="338"/>
      <c r="G386" s="338"/>
      <c r="H386" s="338"/>
      <c r="I386" s="338"/>
      <c r="J386" s="338"/>
      <c r="K386" s="338"/>
      <c r="L386" s="356"/>
      <c r="M386" s="356"/>
      <c r="N386" s="321"/>
      <c r="O386" s="338"/>
      <c r="P386" s="338"/>
      <c r="Q386" s="338"/>
      <c r="R386" s="338"/>
      <c r="S386" s="338"/>
      <c r="T386" s="338"/>
      <c r="U386" s="338"/>
      <c r="V386" s="338"/>
      <c r="W386" s="338"/>
      <c r="X386" s="338"/>
      <c r="Y386" s="338"/>
      <c r="Z386" s="338"/>
    </row>
    <row r="387" ht="12.75" customHeight="1">
      <c r="A387" s="321"/>
      <c r="B387" s="338"/>
      <c r="C387" s="338"/>
      <c r="D387" s="415"/>
      <c r="E387" s="338"/>
      <c r="F387" s="338"/>
      <c r="G387" s="338"/>
      <c r="H387" s="338"/>
      <c r="I387" s="338"/>
      <c r="J387" s="338"/>
      <c r="K387" s="338"/>
      <c r="L387" s="356"/>
      <c r="M387" s="356"/>
      <c r="N387" s="321"/>
      <c r="O387" s="338"/>
      <c r="P387" s="338"/>
      <c r="Q387" s="338"/>
      <c r="R387" s="338"/>
      <c r="S387" s="338"/>
      <c r="T387" s="338"/>
      <c r="U387" s="338"/>
      <c r="V387" s="338"/>
      <c r="W387" s="338"/>
      <c r="X387" s="338"/>
      <c r="Y387" s="338"/>
      <c r="Z387" s="338"/>
    </row>
    <row r="388" ht="12.75" customHeight="1">
      <c r="A388" s="321"/>
      <c r="B388" s="338"/>
      <c r="C388" s="338"/>
      <c r="D388" s="415"/>
      <c r="E388" s="338"/>
      <c r="F388" s="338"/>
      <c r="G388" s="338"/>
      <c r="H388" s="338"/>
      <c r="I388" s="338"/>
      <c r="J388" s="338"/>
      <c r="K388" s="338"/>
      <c r="L388" s="356"/>
      <c r="M388" s="356"/>
      <c r="N388" s="321"/>
      <c r="O388" s="338"/>
      <c r="P388" s="338"/>
      <c r="Q388" s="338"/>
      <c r="R388" s="338"/>
      <c r="S388" s="338"/>
      <c r="T388" s="338"/>
      <c r="U388" s="338"/>
      <c r="V388" s="338"/>
      <c r="W388" s="338"/>
      <c r="X388" s="338"/>
      <c r="Y388" s="338"/>
      <c r="Z388" s="338"/>
    </row>
    <row r="389" ht="12.75" customHeight="1">
      <c r="A389" s="321"/>
      <c r="B389" s="338"/>
      <c r="C389" s="338"/>
      <c r="D389" s="415"/>
      <c r="E389" s="338"/>
      <c r="F389" s="338"/>
      <c r="G389" s="338"/>
      <c r="H389" s="338"/>
      <c r="I389" s="338"/>
      <c r="J389" s="338"/>
      <c r="K389" s="338"/>
      <c r="L389" s="356"/>
      <c r="M389" s="356"/>
      <c r="N389" s="321"/>
      <c r="O389" s="338"/>
      <c r="P389" s="338"/>
      <c r="Q389" s="338"/>
      <c r="R389" s="338"/>
      <c r="S389" s="338"/>
      <c r="T389" s="338"/>
      <c r="U389" s="338"/>
      <c r="V389" s="338"/>
      <c r="W389" s="338"/>
      <c r="X389" s="338"/>
      <c r="Y389" s="338"/>
      <c r="Z389" s="338"/>
    </row>
    <row r="390" ht="12.75" customHeight="1">
      <c r="A390" s="321"/>
      <c r="B390" s="338"/>
      <c r="C390" s="338"/>
      <c r="D390" s="415"/>
      <c r="E390" s="338"/>
      <c r="F390" s="338"/>
      <c r="G390" s="338"/>
      <c r="H390" s="338"/>
      <c r="I390" s="338"/>
      <c r="J390" s="338"/>
      <c r="K390" s="338"/>
      <c r="L390" s="356"/>
      <c r="M390" s="356"/>
      <c r="N390" s="321"/>
      <c r="O390" s="338"/>
      <c r="P390" s="338"/>
      <c r="Q390" s="338"/>
      <c r="R390" s="338"/>
      <c r="S390" s="338"/>
      <c r="T390" s="338"/>
      <c r="U390" s="338"/>
      <c r="V390" s="338"/>
      <c r="W390" s="338"/>
      <c r="X390" s="338"/>
      <c r="Y390" s="338"/>
      <c r="Z390" s="338"/>
    </row>
    <row r="391" ht="12.75" customHeight="1">
      <c r="A391" s="321"/>
      <c r="B391" s="338"/>
      <c r="C391" s="338"/>
      <c r="D391" s="415"/>
      <c r="E391" s="338"/>
      <c r="F391" s="338"/>
      <c r="G391" s="338"/>
      <c r="H391" s="338"/>
      <c r="I391" s="338"/>
      <c r="J391" s="338"/>
      <c r="K391" s="338"/>
      <c r="L391" s="356"/>
      <c r="M391" s="356"/>
      <c r="N391" s="321"/>
      <c r="O391" s="338"/>
      <c r="P391" s="338"/>
      <c r="Q391" s="338"/>
      <c r="R391" s="338"/>
      <c r="S391" s="338"/>
      <c r="T391" s="338"/>
      <c r="U391" s="338"/>
      <c r="V391" s="338"/>
      <c r="W391" s="338"/>
      <c r="X391" s="338"/>
      <c r="Y391" s="338"/>
      <c r="Z391" s="338"/>
    </row>
    <row r="392" ht="12.75" customHeight="1">
      <c r="A392" s="321"/>
      <c r="B392" s="338"/>
      <c r="C392" s="338"/>
      <c r="D392" s="415"/>
      <c r="E392" s="338"/>
      <c r="F392" s="338"/>
      <c r="G392" s="338"/>
      <c r="H392" s="338"/>
      <c r="I392" s="338"/>
      <c r="J392" s="338"/>
      <c r="K392" s="338"/>
      <c r="L392" s="356"/>
      <c r="M392" s="356"/>
      <c r="N392" s="321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</row>
    <row r="393" ht="12.75" customHeight="1">
      <c r="A393" s="321"/>
      <c r="B393" s="338"/>
      <c r="C393" s="338"/>
      <c r="D393" s="415"/>
      <c r="E393" s="338"/>
      <c r="F393" s="338"/>
      <c r="G393" s="338"/>
      <c r="H393" s="338"/>
      <c r="I393" s="338"/>
      <c r="J393" s="338"/>
      <c r="K393" s="338"/>
      <c r="L393" s="356"/>
      <c r="M393" s="356"/>
      <c r="N393" s="321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</row>
    <row r="394" ht="12.75" customHeight="1">
      <c r="A394" s="321"/>
      <c r="B394" s="338"/>
      <c r="C394" s="338"/>
      <c r="D394" s="415"/>
      <c r="E394" s="338"/>
      <c r="F394" s="338"/>
      <c r="G394" s="338"/>
      <c r="H394" s="338"/>
      <c r="I394" s="338"/>
      <c r="J394" s="338"/>
      <c r="K394" s="338"/>
      <c r="L394" s="356"/>
      <c r="M394" s="356"/>
      <c r="N394" s="321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</row>
    <row r="395" ht="12.75" customHeight="1">
      <c r="A395" s="321"/>
      <c r="B395" s="338"/>
      <c r="C395" s="338"/>
      <c r="D395" s="415"/>
      <c r="E395" s="338"/>
      <c r="F395" s="338"/>
      <c r="G395" s="338"/>
      <c r="H395" s="338"/>
      <c r="I395" s="338"/>
      <c r="J395" s="338"/>
      <c r="K395" s="338"/>
      <c r="L395" s="356"/>
      <c r="M395" s="356"/>
      <c r="N395" s="321"/>
      <c r="O395" s="338"/>
      <c r="P395" s="338"/>
      <c r="Q395" s="338"/>
      <c r="R395" s="338"/>
      <c r="S395" s="338"/>
      <c r="T395" s="338"/>
      <c r="U395" s="338"/>
      <c r="V395" s="338"/>
      <c r="W395" s="338"/>
      <c r="X395" s="338"/>
      <c r="Y395" s="338"/>
      <c r="Z395" s="338"/>
    </row>
    <row r="396" ht="12.75" customHeight="1">
      <c r="A396" s="321"/>
      <c r="B396" s="338"/>
      <c r="C396" s="338"/>
      <c r="D396" s="415"/>
      <c r="E396" s="338"/>
      <c r="F396" s="338"/>
      <c r="G396" s="338"/>
      <c r="H396" s="338"/>
      <c r="I396" s="338"/>
      <c r="J396" s="338"/>
      <c r="K396" s="338"/>
      <c r="L396" s="356"/>
      <c r="M396" s="356"/>
      <c r="N396" s="321"/>
      <c r="O396" s="338"/>
      <c r="P396" s="338"/>
      <c r="Q396" s="338"/>
      <c r="R396" s="338"/>
      <c r="S396" s="338"/>
      <c r="T396" s="338"/>
      <c r="U396" s="338"/>
      <c r="V396" s="338"/>
      <c r="W396" s="338"/>
      <c r="X396" s="338"/>
      <c r="Y396" s="338"/>
      <c r="Z396" s="338"/>
    </row>
    <row r="397" ht="12.75" customHeight="1">
      <c r="A397" s="321"/>
      <c r="B397" s="338"/>
      <c r="C397" s="338"/>
      <c r="D397" s="415"/>
      <c r="E397" s="338"/>
      <c r="F397" s="338"/>
      <c r="G397" s="338"/>
      <c r="H397" s="338"/>
      <c r="I397" s="338"/>
      <c r="J397" s="338"/>
      <c r="K397" s="338"/>
      <c r="L397" s="356"/>
      <c r="M397" s="356"/>
      <c r="N397" s="321"/>
      <c r="O397" s="338"/>
      <c r="P397" s="338"/>
      <c r="Q397" s="338"/>
      <c r="R397" s="338"/>
      <c r="S397" s="338"/>
      <c r="T397" s="338"/>
      <c r="U397" s="338"/>
      <c r="V397" s="338"/>
      <c r="W397" s="338"/>
      <c r="X397" s="338"/>
      <c r="Y397" s="338"/>
      <c r="Z397" s="338"/>
    </row>
    <row r="398" ht="12.75" customHeight="1">
      <c r="A398" s="321"/>
      <c r="B398" s="338"/>
      <c r="C398" s="338"/>
      <c r="D398" s="415"/>
      <c r="E398" s="338"/>
      <c r="F398" s="338"/>
      <c r="G398" s="338"/>
      <c r="H398" s="338"/>
      <c r="I398" s="338"/>
      <c r="J398" s="338"/>
      <c r="K398" s="338"/>
      <c r="L398" s="356"/>
      <c r="M398" s="356"/>
      <c r="N398" s="321"/>
      <c r="O398" s="338"/>
      <c r="P398" s="338"/>
      <c r="Q398" s="338"/>
      <c r="R398" s="338"/>
      <c r="S398" s="338"/>
      <c r="T398" s="338"/>
      <c r="U398" s="338"/>
      <c r="V398" s="338"/>
      <c r="W398" s="338"/>
      <c r="X398" s="338"/>
      <c r="Y398" s="338"/>
      <c r="Z398" s="338"/>
    </row>
    <row r="399" ht="12.75" customHeight="1">
      <c r="A399" s="321"/>
      <c r="B399" s="338"/>
      <c r="C399" s="338"/>
      <c r="D399" s="415"/>
      <c r="E399" s="338"/>
      <c r="F399" s="338"/>
      <c r="G399" s="338"/>
      <c r="H399" s="338"/>
      <c r="I399" s="338"/>
      <c r="J399" s="338"/>
      <c r="K399" s="338"/>
      <c r="L399" s="356"/>
      <c r="M399" s="356"/>
      <c r="N399" s="321"/>
      <c r="O399" s="338"/>
      <c r="P399" s="338"/>
      <c r="Q399" s="338"/>
      <c r="R399" s="338"/>
      <c r="S399" s="338"/>
      <c r="T399" s="338"/>
      <c r="U399" s="338"/>
      <c r="V399" s="338"/>
      <c r="W399" s="338"/>
      <c r="X399" s="338"/>
      <c r="Y399" s="338"/>
      <c r="Z399" s="338"/>
    </row>
    <row r="400" ht="12.75" customHeight="1">
      <c r="A400" s="321"/>
      <c r="B400" s="338"/>
      <c r="C400" s="338"/>
      <c r="D400" s="415"/>
      <c r="E400" s="338"/>
      <c r="F400" s="338"/>
      <c r="G400" s="338"/>
      <c r="H400" s="338"/>
      <c r="I400" s="338"/>
      <c r="J400" s="338"/>
      <c r="K400" s="338"/>
      <c r="L400" s="356"/>
      <c r="M400" s="356"/>
      <c r="N400" s="321"/>
      <c r="O400" s="338"/>
      <c r="P400" s="338"/>
      <c r="Q400" s="338"/>
      <c r="R400" s="338"/>
      <c r="S400" s="338"/>
      <c r="T400" s="338"/>
      <c r="U400" s="338"/>
      <c r="V400" s="338"/>
      <c r="W400" s="338"/>
      <c r="X400" s="338"/>
      <c r="Y400" s="338"/>
      <c r="Z400" s="338"/>
    </row>
    <row r="401" ht="12.75" customHeight="1">
      <c r="A401" s="321"/>
      <c r="B401" s="338"/>
      <c r="C401" s="338"/>
      <c r="D401" s="415"/>
      <c r="E401" s="338"/>
      <c r="F401" s="338"/>
      <c r="G401" s="338"/>
      <c r="H401" s="338"/>
      <c r="I401" s="338"/>
      <c r="J401" s="338"/>
      <c r="K401" s="338"/>
      <c r="L401" s="356"/>
      <c r="M401" s="356"/>
      <c r="N401" s="321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</row>
    <row r="402" ht="12.75" customHeight="1">
      <c r="A402" s="321"/>
      <c r="B402" s="338"/>
      <c r="C402" s="338"/>
      <c r="D402" s="415"/>
      <c r="E402" s="338"/>
      <c r="F402" s="338"/>
      <c r="G402" s="338"/>
      <c r="H402" s="338"/>
      <c r="I402" s="338"/>
      <c r="J402" s="338"/>
      <c r="K402" s="338"/>
      <c r="L402" s="356"/>
      <c r="M402" s="356"/>
      <c r="N402" s="321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</row>
    <row r="403" ht="12.75" customHeight="1">
      <c r="A403" s="321"/>
      <c r="B403" s="338"/>
      <c r="C403" s="338"/>
      <c r="D403" s="415"/>
      <c r="E403" s="338"/>
      <c r="F403" s="338"/>
      <c r="G403" s="338"/>
      <c r="H403" s="338"/>
      <c r="I403" s="338"/>
      <c r="J403" s="338"/>
      <c r="K403" s="338"/>
      <c r="L403" s="356"/>
      <c r="M403" s="356"/>
      <c r="N403" s="321"/>
      <c r="O403" s="338"/>
      <c r="P403" s="338"/>
      <c r="Q403" s="338"/>
      <c r="R403" s="338"/>
      <c r="S403" s="338"/>
      <c r="T403" s="338"/>
      <c r="U403" s="338"/>
      <c r="V403" s="338"/>
      <c r="W403" s="338"/>
      <c r="X403" s="338"/>
      <c r="Y403" s="338"/>
      <c r="Z403" s="338"/>
    </row>
    <row r="404" ht="12.75" customHeight="1">
      <c r="A404" s="321"/>
      <c r="B404" s="338"/>
      <c r="C404" s="338"/>
      <c r="D404" s="415"/>
      <c r="E404" s="338"/>
      <c r="F404" s="338"/>
      <c r="G404" s="338"/>
      <c r="H404" s="338"/>
      <c r="I404" s="338"/>
      <c r="J404" s="338"/>
      <c r="K404" s="338"/>
      <c r="L404" s="356"/>
      <c r="M404" s="356"/>
      <c r="N404" s="321"/>
      <c r="O404" s="338"/>
      <c r="P404" s="338"/>
      <c r="Q404" s="338"/>
      <c r="R404" s="338"/>
      <c r="S404" s="338"/>
      <c r="T404" s="338"/>
      <c r="U404" s="338"/>
      <c r="V404" s="338"/>
      <c r="W404" s="338"/>
      <c r="X404" s="338"/>
      <c r="Y404" s="338"/>
      <c r="Z404" s="338"/>
    </row>
    <row r="405" ht="12.75" customHeight="1">
      <c r="A405" s="321"/>
      <c r="B405" s="338"/>
      <c r="C405" s="338"/>
      <c r="D405" s="415"/>
      <c r="E405" s="338"/>
      <c r="F405" s="338"/>
      <c r="G405" s="338"/>
      <c r="H405" s="338"/>
      <c r="I405" s="338"/>
      <c r="J405" s="338"/>
      <c r="K405" s="338"/>
      <c r="L405" s="356"/>
      <c r="M405" s="356"/>
      <c r="N405" s="321"/>
      <c r="O405" s="338"/>
      <c r="P405" s="338"/>
      <c r="Q405" s="338"/>
      <c r="R405" s="338"/>
      <c r="S405" s="338"/>
      <c r="T405" s="338"/>
      <c r="U405" s="338"/>
      <c r="V405" s="338"/>
      <c r="W405" s="338"/>
      <c r="X405" s="338"/>
      <c r="Y405" s="338"/>
      <c r="Z405" s="338"/>
    </row>
    <row r="406" ht="12.75" customHeight="1">
      <c r="A406" s="321"/>
      <c r="B406" s="338"/>
      <c r="C406" s="338"/>
      <c r="D406" s="415"/>
      <c r="E406" s="338"/>
      <c r="F406" s="338"/>
      <c r="G406" s="338"/>
      <c r="H406" s="338"/>
      <c r="I406" s="338"/>
      <c r="J406" s="338"/>
      <c r="K406" s="338"/>
      <c r="L406" s="356"/>
      <c r="M406" s="356"/>
      <c r="N406" s="321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</row>
    <row r="407" ht="12.75" customHeight="1">
      <c r="A407" s="321"/>
      <c r="B407" s="338"/>
      <c r="C407" s="338"/>
      <c r="D407" s="415"/>
      <c r="E407" s="338"/>
      <c r="F407" s="338"/>
      <c r="G407" s="338"/>
      <c r="H407" s="338"/>
      <c r="I407" s="338"/>
      <c r="J407" s="338"/>
      <c r="K407" s="338"/>
      <c r="L407" s="356"/>
      <c r="M407" s="356"/>
      <c r="N407" s="321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</row>
    <row r="408" ht="12.75" customHeight="1">
      <c r="A408" s="321"/>
      <c r="B408" s="338"/>
      <c r="C408" s="338"/>
      <c r="D408" s="415"/>
      <c r="E408" s="338"/>
      <c r="F408" s="338"/>
      <c r="G408" s="338"/>
      <c r="H408" s="338"/>
      <c r="I408" s="338"/>
      <c r="J408" s="338"/>
      <c r="K408" s="338"/>
      <c r="L408" s="356"/>
      <c r="M408" s="356"/>
      <c r="N408" s="321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</row>
    <row r="409" ht="12.75" customHeight="1">
      <c r="A409" s="321"/>
      <c r="B409" s="338"/>
      <c r="C409" s="338"/>
      <c r="D409" s="415"/>
      <c r="E409" s="338"/>
      <c r="F409" s="338"/>
      <c r="G409" s="338"/>
      <c r="H409" s="338"/>
      <c r="I409" s="338"/>
      <c r="J409" s="338"/>
      <c r="K409" s="338"/>
      <c r="L409" s="356"/>
      <c r="M409" s="356"/>
      <c r="N409" s="321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</row>
    <row r="410" ht="12.75" customHeight="1">
      <c r="A410" s="321"/>
      <c r="B410" s="338"/>
      <c r="C410" s="338"/>
      <c r="D410" s="415"/>
      <c r="E410" s="338"/>
      <c r="F410" s="338"/>
      <c r="G410" s="338"/>
      <c r="H410" s="338"/>
      <c r="I410" s="338"/>
      <c r="J410" s="338"/>
      <c r="K410" s="338"/>
      <c r="L410" s="356"/>
      <c r="M410" s="356"/>
      <c r="N410" s="321"/>
      <c r="O410" s="338"/>
      <c r="P410" s="338"/>
      <c r="Q410" s="338"/>
      <c r="R410" s="338"/>
      <c r="S410" s="338"/>
      <c r="T410" s="338"/>
      <c r="U410" s="338"/>
      <c r="V410" s="338"/>
      <c r="W410" s="338"/>
      <c r="X410" s="338"/>
      <c r="Y410" s="338"/>
      <c r="Z410" s="338"/>
    </row>
    <row r="411" ht="12.75" customHeight="1">
      <c r="A411" s="321"/>
      <c r="B411" s="338"/>
      <c r="C411" s="338"/>
      <c r="D411" s="415"/>
      <c r="E411" s="338"/>
      <c r="F411" s="338"/>
      <c r="G411" s="338"/>
      <c r="H411" s="338"/>
      <c r="I411" s="338"/>
      <c r="J411" s="338"/>
      <c r="K411" s="338"/>
      <c r="L411" s="356"/>
      <c r="M411" s="356"/>
      <c r="N411" s="321"/>
      <c r="O411" s="338"/>
      <c r="P411" s="338"/>
      <c r="Q411" s="338"/>
      <c r="R411" s="338"/>
      <c r="S411" s="338"/>
      <c r="T411" s="338"/>
      <c r="U411" s="338"/>
      <c r="V411" s="338"/>
      <c r="W411" s="338"/>
      <c r="X411" s="338"/>
      <c r="Y411" s="338"/>
      <c r="Z411" s="338"/>
    </row>
    <row r="412" ht="12.75" customHeight="1">
      <c r="A412" s="321"/>
      <c r="B412" s="338"/>
      <c r="C412" s="338"/>
      <c r="D412" s="415"/>
      <c r="E412" s="338"/>
      <c r="F412" s="338"/>
      <c r="G412" s="338"/>
      <c r="H412" s="338"/>
      <c r="I412" s="338"/>
      <c r="J412" s="338"/>
      <c r="K412" s="338"/>
      <c r="L412" s="356"/>
      <c r="M412" s="356"/>
      <c r="N412" s="321"/>
      <c r="O412" s="338"/>
      <c r="P412" s="338"/>
      <c r="Q412" s="338"/>
      <c r="R412" s="338"/>
      <c r="S412" s="338"/>
      <c r="T412" s="338"/>
      <c r="U412" s="338"/>
      <c r="V412" s="338"/>
      <c r="W412" s="338"/>
      <c r="X412" s="338"/>
      <c r="Y412" s="338"/>
      <c r="Z412" s="338"/>
    </row>
    <row r="413" ht="12.75" customHeight="1">
      <c r="A413" s="321"/>
      <c r="B413" s="338"/>
      <c r="C413" s="338"/>
      <c r="D413" s="415"/>
      <c r="E413" s="338"/>
      <c r="F413" s="338"/>
      <c r="G413" s="338"/>
      <c r="H413" s="338"/>
      <c r="I413" s="338"/>
      <c r="J413" s="338"/>
      <c r="K413" s="338"/>
      <c r="L413" s="356"/>
      <c r="M413" s="356"/>
      <c r="N413" s="321"/>
      <c r="O413" s="338"/>
      <c r="P413" s="338"/>
      <c r="Q413" s="338"/>
      <c r="R413" s="338"/>
      <c r="S413" s="338"/>
      <c r="T413" s="338"/>
      <c r="U413" s="338"/>
      <c r="V413" s="338"/>
      <c r="W413" s="338"/>
      <c r="X413" s="338"/>
      <c r="Y413" s="338"/>
      <c r="Z413" s="338"/>
    </row>
    <row r="414" ht="12.75" customHeight="1">
      <c r="A414" s="321"/>
      <c r="B414" s="338"/>
      <c r="C414" s="338"/>
      <c r="D414" s="415"/>
      <c r="E414" s="338"/>
      <c r="F414" s="338"/>
      <c r="G414" s="338"/>
      <c r="H414" s="338"/>
      <c r="I414" s="338"/>
      <c r="J414" s="338"/>
      <c r="K414" s="338"/>
      <c r="L414" s="356"/>
      <c r="M414" s="356"/>
      <c r="N414" s="321"/>
      <c r="O414" s="338"/>
      <c r="P414" s="338"/>
      <c r="Q414" s="338"/>
      <c r="R414" s="338"/>
      <c r="S414" s="338"/>
      <c r="T414" s="338"/>
      <c r="U414" s="338"/>
      <c r="V414" s="338"/>
      <c r="W414" s="338"/>
      <c r="X414" s="338"/>
      <c r="Y414" s="338"/>
      <c r="Z414" s="338"/>
    </row>
    <row r="415" ht="12.75" customHeight="1">
      <c r="A415" s="321"/>
      <c r="B415" s="338"/>
      <c r="C415" s="338"/>
      <c r="D415" s="415"/>
      <c r="E415" s="338"/>
      <c r="F415" s="338"/>
      <c r="G415" s="338"/>
      <c r="H415" s="338"/>
      <c r="I415" s="338"/>
      <c r="J415" s="338"/>
      <c r="K415" s="338"/>
      <c r="L415" s="356"/>
      <c r="M415" s="356"/>
      <c r="N415" s="321"/>
      <c r="O415" s="338"/>
      <c r="P415" s="338"/>
      <c r="Q415" s="338"/>
      <c r="R415" s="338"/>
      <c r="S415" s="338"/>
      <c r="T415" s="338"/>
      <c r="U415" s="338"/>
      <c r="V415" s="338"/>
      <c r="W415" s="338"/>
      <c r="X415" s="338"/>
      <c r="Y415" s="338"/>
      <c r="Z415" s="338"/>
    </row>
    <row r="416" ht="12.75" customHeight="1">
      <c r="A416" s="321"/>
      <c r="B416" s="338"/>
      <c r="C416" s="338"/>
      <c r="D416" s="415"/>
      <c r="E416" s="338"/>
      <c r="F416" s="338"/>
      <c r="G416" s="338"/>
      <c r="H416" s="338"/>
      <c r="I416" s="338"/>
      <c r="J416" s="338"/>
      <c r="K416" s="338"/>
      <c r="L416" s="356"/>
      <c r="M416" s="356"/>
      <c r="N416" s="321"/>
      <c r="O416" s="338"/>
      <c r="P416" s="338"/>
      <c r="Q416" s="338"/>
      <c r="R416" s="338"/>
      <c r="S416" s="338"/>
      <c r="T416" s="338"/>
      <c r="U416" s="338"/>
      <c r="V416" s="338"/>
      <c r="W416" s="338"/>
      <c r="X416" s="338"/>
      <c r="Y416" s="338"/>
      <c r="Z416" s="338"/>
    </row>
    <row r="417" ht="12.75" customHeight="1">
      <c r="A417" s="321"/>
      <c r="B417" s="338"/>
      <c r="C417" s="338"/>
      <c r="D417" s="415"/>
      <c r="E417" s="338"/>
      <c r="F417" s="338"/>
      <c r="G417" s="338"/>
      <c r="H417" s="338"/>
      <c r="I417" s="338"/>
      <c r="J417" s="338"/>
      <c r="K417" s="338"/>
      <c r="L417" s="356"/>
      <c r="M417" s="356"/>
      <c r="N417" s="321"/>
      <c r="O417" s="338"/>
      <c r="P417" s="338"/>
      <c r="Q417" s="338"/>
      <c r="R417" s="338"/>
      <c r="S417" s="338"/>
      <c r="T417" s="338"/>
      <c r="U417" s="338"/>
      <c r="V417" s="338"/>
      <c r="W417" s="338"/>
      <c r="X417" s="338"/>
      <c r="Y417" s="338"/>
      <c r="Z417" s="338"/>
    </row>
    <row r="418" ht="12.75" customHeight="1">
      <c r="A418" s="321"/>
      <c r="B418" s="338"/>
      <c r="C418" s="338"/>
      <c r="D418" s="415"/>
      <c r="E418" s="338"/>
      <c r="F418" s="338"/>
      <c r="G418" s="338"/>
      <c r="H418" s="338"/>
      <c r="I418" s="338"/>
      <c r="J418" s="338"/>
      <c r="K418" s="338"/>
      <c r="L418" s="356"/>
      <c r="M418" s="356"/>
      <c r="N418" s="321"/>
      <c r="O418" s="338"/>
      <c r="P418" s="338"/>
      <c r="Q418" s="338"/>
      <c r="R418" s="338"/>
      <c r="S418" s="338"/>
      <c r="T418" s="338"/>
      <c r="U418" s="338"/>
      <c r="V418" s="338"/>
      <c r="W418" s="338"/>
      <c r="X418" s="338"/>
      <c r="Y418" s="338"/>
      <c r="Z418" s="338"/>
    </row>
    <row r="419" ht="12.75" customHeight="1">
      <c r="A419" s="321"/>
      <c r="B419" s="338"/>
      <c r="C419" s="338"/>
      <c r="D419" s="415"/>
      <c r="E419" s="338"/>
      <c r="F419" s="338"/>
      <c r="G419" s="338"/>
      <c r="H419" s="338"/>
      <c r="I419" s="338"/>
      <c r="J419" s="338"/>
      <c r="K419" s="338"/>
      <c r="L419" s="356"/>
      <c r="M419" s="356"/>
      <c r="N419" s="321"/>
      <c r="O419" s="338"/>
      <c r="P419" s="338"/>
      <c r="Q419" s="338"/>
      <c r="R419" s="338"/>
      <c r="S419" s="338"/>
      <c r="T419" s="338"/>
      <c r="U419" s="338"/>
      <c r="V419" s="338"/>
      <c r="W419" s="338"/>
      <c r="X419" s="338"/>
      <c r="Y419" s="338"/>
      <c r="Z419" s="338"/>
    </row>
    <row r="420" ht="12.75" customHeight="1">
      <c r="A420" s="321"/>
      <c r="B420" s="338"/>
      <c r="C420" s="338"/>
      <c r="D420" s="415"/>
      <c r="E420" s="338"/>
      <c r="F420" s="338"/>
      <c r="G420" s="338"/>
      <c r="H420" s="338"/>
      <c r="I420" s="338"/>
      <c r="J420" s="338"/>
      <c r="K420" s="338"/>
      <c r="L420" s="356"/>
      <c r="M420" s="356"/>
      <c r="N420" s="321"/>
      <c r="O420" s="338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</row>
    <row r="421" ht="12.75" customHeight="1">
      <c r="A421" s="321"/>
      <c r="B421" s="338"/>
      <c r="C421" s="338"/>
      <c r="D421" s="415"/>
      <c r="E421" s="338"/>
      <c r="F421" s="338"/>
      <c r="G421" s="338"/>
      <c r="H421" s="338"/>
      <c r="I421" s="338"/>
      <c r="J421" s="338"/>
      <c r="K421" s="338"/>
      <c r="L421" s="356"/>
      <c r="M421" s="356"/>
      <c r="N421" s="321"/>
      <c r="O421" s="338"/>
      <c r="P421" s="338"/>
      <c r="Q421" s="338"/>
      <c r="R421" s="338"/>
      <c r="S421" s="338"/>
      <c r="T421" s="338"/>
      <c r="U421" s="338"/>
      <c r="V421" s="338"/>
      <c r="W421" s="338"/>
      <c r="X421" s="338"/>
      <c r="Y421" s="338"/>
      <c r="Z421" s="338"/>
    </row>
    <row r="422" ht="12.75" customHeight="1">
      <c r="A422" s="321"/>
      <c r="B422" s="338"/>
      <c r="C422" s="338"/>
      <c r="D422" s="415"/>
      <c r="E422" s="338"/>
      <c r="F422" s="338"/>
      <c r="G422" s="338"/>
      <c r="H422" s="338"/>
      <c r="I422" s="338"/>
      <c r="J422" s="338"/>
      <c r="K422" s="338"/>
      <c r="L422" s="356"/>
      <c r="M422" s="356"/>
      <c r="N422" s="321"/>
      <c r="O422" s="338"/>
      <c r="P422" s="338"/>
      <c r="Q422" s="338"/>
      <c r="R422" s="338"/>
      <c r="S422" s="338"/>
      <c r="T422" s="338"/>
      <c r="U422" s="338"/>
      <c r="V422" s="338"/>
      <c r="W422" s="338"/>
      <c r="X422" s="338"/>
      <c r="Y422" s="338"/>
      <c r="Z422" s="338"/>
    </row>
    <row r="423" ht="12.75" customHeight="1">
      <c r="A423" s="321"/>
      <c r="B423" s="338"/>
      <c r="C423" s="338"/>
      <c r="D423" s="415"/>
      <c r="E423" s="338"/>
      <c r="F423" s="338"/>
      <c r="G423" s="338"/>
      <c r="H423" s="338"/>
      <c r="I423" s="338"/>
      <c r="J423" s="338"/>
      <c r="K423" s="338"/>
      <c r="L423" s="356"/>
      <c r="M423" s="356"/>
      <c r="N423" s="321"/>
      <c r="O423" s="338"/>
      <c r="P423" s="338"/>
      <c r="Q423" s="338"/>
      <c r="R423" s="338"/>
      <c r="S423" s="338"/>
      <c r="T423" s="338"/>
      <c r="U423" s="338"/>
      <c r="V423" s="338"/>
      <c r="W423" s="338"/>
      <c r="X423" s="338"/>
      <c r="Y423" s="338"/>
      <c r="Z423" s="338"/>
    </row>
    <row r="424" ht="12.75" customHeight="1">
      <c r="A424" s="321"/>
      <c r="B424" s="338"/>
      <c r="C424" s="338"/>
      <c r="D424" s="415"/>
      <c r="E424" s="338"/>
      <c r="F424" s="338"/>
      <c r="G424" s="338"/>
      <c r="H424" s="338"/>
      <c r="I424" s="338"/>
      <c r="J424" s="338"/>
      <c r="K424" s="338"/>
      <c r="L424" s="356"/>
      <c r="M424" s="356"/>
      <c r="N424" s="321"/>
      <c r="O424" s="338"/>
      <c r="P424" s="338"/>
      <c r="Q424" s="338"/>
      <c r="R424" s="338"/>
      <c r="S424" s="338"/>
      <c r="T424" s="338"/>
      <c r="U424" s="338"/>
      <c r="V424" s="338"/>
      <c r="W424" s="338"/>
      <c r="X424" s="338"/>
      <c r="Y424" s="338"/>
      <c r="Z424" s="338"/>
    </row>
    <row r="425" ht="12.75" customHeight="1">
      <c r="A425" s="321"/>
      <c r="B425" s="338"/>
      <c r="C425" s="338"/>
      <c r="D425" s="415"/>
      <c r="E425" s="338"/>
      <c r="F425" s="338"/>
      <c r="G425" s="338"/>
      <c r="H425" s="338"/>
      <c r="I425" s="338"/>
      <c r="J425" s="338"/>
      <c r="K425" s="338"/>
      <c r="L425" s="356"/>
      <c r="M425" s="356"/>
      <c r="N425" s="321"/>
      <c r="O425" s="338"/>
      <c r="P425" s="338"/>
      <c r="Q425" s="338"/>
      <c r="R425" s="338"/>
      <c r="S425" s="338"/>
      <c r="T425" s="338"/>
      <c r="U425" s="338"/>
      <c r="V425" s="338"/>
      <c r="W425" s="338"/>
      <c r="X425" s="338"/>
      <c r="Y425" s="338"/>
      <c r="Z425" s="338"/>
    </row>
    <row r="426" ht="12.75" customHeight="1">
      <c r="A426" s="321"/>
      <c r="B426" s="338"/>
      <c r="C426" s="338"/>
      <c r="D426" s="415"/>
      <c r="E426" s="338"/>
      <c r="F426" s="338"/>
      <c r="G426" s="338"/>
      <c r="H426" s="338"/>
      <c r="I426" s="338"/>
      <c r="J426" s="338"/>
      <c r="K426" s="338"/>
      <c r="L426" s="356"/>
      <c r="M426" s="356"/>
      <c r="N426" s="321"/>
      <c r="O426" s="338"/>
      <c r="P426" s="338"/>
      <c r="Q426" s="338"/>
      <c r="R426" s="338"/>
      <c r="S426" s="338"/>
      <c r="T426" s="338"/>
      <c r="U426" s="338"/>
      <c r="V426" s="338"/>
      <c r="W426" s="338"/>
      <c r="X426" s="338"/>
      <c r="Y426" s="338"/>
      <c r="Z426" s="338"/>
    </row>
    <row r="427" ht="12.75" customHeight="1">
      <c r="A427" s="321"/>
      <c r="B427" s="338"/>
      <c r="C427" s="338"/>
      <c r="D427" s="415"/>
      <c r="E427" s="338"/>
      <c r="F427" s="338"/>
      <c r="G427" s="338"/>
      <c r="H427" s="338"/>
      <c r="I427" s="338"/>
      <c r="J427" s="338"/>
      <c r="K427" s="338"/>
      <c r="L427" s="356"/>
      <c r="M427" s="356"/>
      <c r="N427" s="321"/>
      <c r="O427" s="338"/>
      <c r="P427" s="338"/>
      <c r="Q427" s="338"/>
      <c r="R427" s="338"/>
      <c r="S427" s="338"/>
      <c r="T427" s="338"/>
      <c r="U427" s="338"/>
      <c r="V427" s="338"/>
      <c r="W427" s="338"/>
      <c r="X427" s="338"/>
      <c r="Y427" s="338"/>
      <c r="Z427" s="338"/>
    </row>
    <row r="428" ht="12.75" customHeight="1">
      <c r="A428" s="321"/>
      <c r="B428" s="338"/>
      <c r="C428" s="338"/>
      <c r="D428" s="415"/>
      <c r="E428" s="338"/>
      <c r="F428" s="338"/>
      <c r="G428" s="338"/>
      <c r="H428" s="338"/>
      <c r="I428" s="338"/>
      <c r="J428" s="338"/>
      <c r="K428" s="338"/>
      <c r="L428" s="356"/>
      <c r="M428" s="356"/>
      <c r="N428" s="321"/>
      <c r="O428" s="338"/>
      <c r="P428" s="338"/>
      <c r="Q428" s="338"/>
      <c r="R428" s="338"/>
      <c r="S428" s="338"/>
      <c r="T428" s="338"/>
      <c r="U428" s="338"/>
      <c r="V428" s="338"/>
      <c r="W428" s="338"/>
      <c r="X428" s="338"/>
      <c r="Y428" s="338"/>
      <c r="Z428" s="338"/>
    </row>
    <row r="429" ht="12.75" customHeight="1">
      <c r="A429" s="321"/>
      <c r="B429" s="338"/>
      <c r="C429" s="338"/>
      <c r="D429" s="415"/>
      <c r="E429" s="338"/>
      <c r="F429" s="338"/>
      <c r="G429" s="338"/>
      <c r="H429" s="338"/>
      <c r="I429" s="338"/>
      <c r="J429" s="338"/>
      <c r="K429" s="338"/>
      <c r="L429" s="356"/>
      <c r="M429" s="356"/>
      <c r="N429" s="321"/>
      <c r="O429" s="338"/>
      <c r="P429" s="338"/>
      <c r="Q429" s="338"/>
      <c r="R429" s="338"/>
      <c r="S429" s="338"/>
      <c r="T429" s="338"/>
      <c r="U429" s="338"/>
      <c r="V429" s="338"/>
      <c r="W429" s="338"/>
      <c r="X429" s="338"/>
      <c r="Y429" s="338"/>
      <c r="Z429" s="338"/>
    </row>
    <row r="430" ht="12.75" customHeight="1">
      <c r="A430" s="321"/>
      <c r="B430" s="338"/>
      <c r="C430" s="338"/>
      <c r="D430" s="415"/>
      <c r="E430" s="338"/>
      <c r="F430" s="338"/>
      <c r="G430" s="338"/>
      <c r="H430" s="338"/>
      <c r="I430" s="338"/>
      <c r="J430" s="338"/>
      <c r="K430" s="338"/>
      <c r="L430" s="356"/>
      <c r="M430" s="356"/>
      <c r="N430" s="321"/>
      <c r="O430" s="338"/>
      <c r="P430" s="338"/>
      <c r="Q430" s="338"/>
      <c r="R430" s="338"/>
      <c r="S430" s="338"/>
      <c r="T430" s="338"/>
      <c r="U430" s="338"/>
      <c r="V430" s="338"/>
      <c r="W430" s="338"/>
      <c r="X430" s="338"/>
      <c r="Y430" s="338"/>
      <c r="Z430" s="338"/>
    </row>
    <row r="431" ht="12.75" customHeight="1">
      <c r="A431" s="321"/>
      <c r="B431" s="338"/>
      <c r="C431" s="338"/>
      <c r="D431" s="415"/>
      <c r="E431" s="338"/>
      <c r="F431" s="338"/>
      <c r="G431" s="338"/>
      <c r="H431" s="338"/>
      <c r="I431" s="338"/>
      <c r="J431" s="338"/>
      <c r="K431" s="338"/>
      <c r="L431" s="356"/>
      <c r="M431" s="356"/>
      <c r="N431" s="321"/>
      <c r="O431" s="338"/>
      <c r="P431" s="338"/>
      <c r="Q431" s="338"/>
      <c r="R431" s="338"/>
      <c r="S431" s="338"/>
      <c r="T431" s="338"/>
      <c r="U431" s="338"/>
      <c r="V431" s="338"/>
      <c r="W431" s="338"/>
      <c r="X431" s="338"/>
      <c r="Y431" s="338"/>
      <c r="Z431" s="338"/>
    </row>
    <row r="432" ht="12.75" customHeight="1">
      <c r="A432" s="321"/>
      <c r="B432" s="338"/>
      <c r="C432" s="338"/>
      <c r="D432" s="415"/>
      <c r="E432" s="338"/>
      <c r="F432" s="338"/>
      <c r="G432" s="338"/>
      <c r="H432" s="338"/>
      <c r="I432" s="338"/>
      <c r="J432" s="338"/>
      <c r="K432" s="338"/>
      <c r="L432" s="356"/>
      <c r="M432" s="356"/>
      <c r="N432" s="321"/>
      <c r="O432" s="338"/>
      <c r="P432" s="338"/>
      <c r="Q432" s="338"/>
      <c r="R432" s="338"/>
      <c r="S432" s="338"/>
      <c r="T432" s="338"/>
      <c r="U432" s="338"/>
      <c r="V432" s="338"/>
      <c r="W432" s="338"/>
      <c r="X432" s="338"/>
      <c r="Y432" s="338"/>
      <c r="Z432" s="338"/>
    </row>
    <row r="433" ht="12.75" customHeight="1">
      <c r="A433" s="321"/>
      <c r="B433" s="338"/>
      <c r="C433" s="338"/>
      <c r="D433" s="415"/>
      <c r="E433" s="338"/>
      <c r="F433" s="338"/>
      <c r="G433" s="338"/>
      <c r="H433" s="338"/>
      <c r="I433" s="338"/>
      <c r="J433" s="338"/>
      <c r="K433" s="338"/>
      <c r="L433" s="356"/>
      <c r="M433" s="356"/>
      <c r="N433" s="321"/>
      <c r="O433" s="338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</row>
    <row r="434" ht="12.75" customHeight="1">
      <c r="A434" s="321"/>
      <c r="B434" s="338"/>
      <c r="C434" s="338"/>
      <c r="D434" s="415"/>
      <c r="E434" s="338"/>
      <c r="F434" s="338"/>
      <c r="G434" s="338"/>
      <c r="H434" s="338"/>
      <c r="I434" s="338"/>
      <c r="J434" s="338"/>
      <c r="K434" s="338"/>
      <c r="L434" s="356"/>
      <c r="M434" s="356"/>
      <c r="N434" s="321"/>
      <c r="O434" s="338"/>
      <c r="P434" s="338"/>
      <c r="Q434" s="338"/>
      <c r="R434" s="338"/>
      <c r="S434" s="338"/>
      <c r="T434" s="338"/>
      <c r="U434" s="338"/>
      <c r="V434" s="338"/>
      <c r="W434" s="338"/>
      <c r="X434" s="338"/>
      <c r="Y434" s="338"/>
      <c r="Z434" s="338"/>
    </row>
    <row r="435" ht="12.75" customHeight="1">
      <c r="A435" s="321"/>
      <c r="B435" s="338"/>
      <c r="C435" s="338"/>
      <c r="D435" s="415"/>
      <c r="E435" s="338"/>
      <c r="F435" s="338"/>
      <c r="G435" s="338"/>
      <c r="H435" s="338"/>
      <c r="I435" s="338"/>
      <c r="J435" s="338"/>
      <c r="K435" s="338"/>
      <c r="L435" s="356"/>
      <c r="M435" s="356"/>
      <c r="N435" s="321"/>
      <c r="O435" s="338"/>
      <c r="P435" s="338"/>
      <c r="Q435" s="338"/>
      <c r="R435" s="338"/>
      <c r="S435" s="338"/>
      <c r="T435" s="338"/>
      <c r="U435" s="338"/>
      <c r="V435" s="338"/>
      <c r="W435" s="338"/>
      <c r="X435" s="338"/>
      <c r="Y435" s="338"/>
      <c r="Z435" s="338"/>
    </row>
    <row r="436" ht="12.75" customHeight="1">
      <c r="A436" s="321"/>
      <c r="B436" s="338"/>
      <c r="C436" s="338"/>
      <c r="D436" s="415"/>
      <c r="E436" s="338"/>
      <c r="F436" s="338"/>
      <c r="G436" s="338"/>
      <c r="H436" s="338"/>
      <c r="I436" s="338"/>
      <c r="J436" s="338"/>
      <c r="K436" s="338"/>
      <c r="L436" s="356"/>
      <c r="M436" s="356"/>
      <c r="N436" s="321"/>
      <c r="O436" s="338"/>
      <c r="P436" s="338"/>
      <c r="Q436" s="338"/>
      <c r="R436" s="338"/>
      <c r="S436" s="338"/>
      <c r="T436" s="338"/>
      <c r="U436" s="338"/>
      <c r="V436" s="338"/>
      <c r="W436" s="338"/>
      <c r="X436" s="338"/>
      <c r="Y436" s="338"/>
      <c r="Z436" s="338"/>
    </row>
    <row r="437" ht="12.75" customHeight="1">
      <c r="A437" s="321"/>
      <c r="B437" s="338"/>
      <c r="C437" s="338"/>
      <c r="D437" s="415"/>
      <c r="E437" s="338"/>
      <c r="F437" s="338"/>
      <c r="G437" s="338"/>
      <c r="H437" s="338"/>
      <c r="I437" s="338"/>
      <c r="J437" s="338"/>
      <c r="K437" s="338"/>
      <c r="L437" s="356"/>
      <c r="M437" s="356"/>
      <c r="N437" s="321"/>
      <c r="O437" s="338"/>
      <c r="P437" s="338"/>
      <c r="Q437" s="338"/>
      <c r="R437" s="338"/>
      <c r="S437" s="338"/>
      <c r="T437" s="338"/>
      <c r="U437" s="338"/>
      <c r="V437" s="338"/>
      <c r="W437" s="338"/>
      <c r="X437" s="338"/>
      <c r="Y437" s="338"/>
      <c r="Z437" s="338"/>
    </row>
    <row r="438" ht="12.75" customHeight="1">
      <c r="A438" s="321"/>
      <c r="B438" s="338"/>
      <c r="C438" s="338"/>
      <c r="D438" s="415"/>
      <c r="E438" s="338"/>
      <c r="F438" s="338"/>
      <c r="G438" s="338"/>
      <c r="H438" s="338"/>
      <c r="I438" s="338"/>
      <c r="J438" s="338"/>
      <c r="K438" s="338"/>
      <c r="L438" s="356"/>
      <c r="M438" s="356"/>
      <c r="N438" s="321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</row>
    <row r="439" ht="12.75" customHeight="1">
      <c r="A439" s="321"/>
      <c r="B439" s="338"/>
      <c r="C439" s="338"/>
      <c r="D439" s="415"/>
      <c r="E439" s="338"/>
      <c r="F439" s="338"/>
      <c r="G439" s="338"/>
      <c r="H439" s="338"/>
      <c r="I439" s="338"/>
      <c r="J439" s="338"/>
      <c r="K439" s="338"/>
      <c r="L439" s="356"/>
      <c r="M439" s="356"/>
      <c r="N439" s="321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</row>
    <row r="440" ht="12.75" customHeight="1">
      <c r="A440" s="321"/>
      <c r="B440" s="338"/>
      <c r="C440" s="338"/>
      <c r="D440" s="415"/>
      <c r="E440" s="338"/>
      <c r="F440" s="338"/>
      <c r="G440" s="338"/>
      <c r="H440" s="338"/>
      <c r="I440" s="338"/>
      <c r="J440" s="338"/>
      <c r="K440" s="338"/>
      <c r="L440" s="356"/>
      <c r="M440" s="356"/>
      <c r="N440" s="321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</row>
    <row r="441" ht="12.75" customHeight="1">
      <c r="A441" s="321"/>
      <c r="B441" s="338"/>
      <c r="C441" s="338"/>
      <c r="D441" s="415"/>
      <c r="E441" s="338"/>
      <c r="F441" s="338"/>
      <c r="G441" s="338"/>
      <c r="H441" s="338"/>
      <c r="I441" s="338"/>
      <c r="J441" s="338"/>
      <c r="K441" s="338"/>
      <c r="L441" s="356"/>
      <c r="M441" s="356"/>
      <c r="N441" s="321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</row>
    <row r="442" ht="12.75" customHeight="1">
      <c r="A442" s="321"/>
      <c r="B442" s="338"/>
      <c r="C442" s="338"/>
      <c r="D442" s="415"/>
      <c r="E442" s="338"/>
      <c r="F442" s="338"/>
      <c r="G442" s="338"/>
      <c r="H442" s="338"/>
      <c r="I442" s="338"/>
      <c r="J442" s="338"/>
      <c r="K442" s="338"/>
      <c r="L442" s="356"/>
      <c r="M442" s="356"/>
      <c r="N442" s="321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</row>
    <row r="443" ht="12.75" customHeight="1">
      <c r="A443" s="321"/>
      <c r="B443" s="338"/>
      <c r="C443" s="338"/>
      <c r="D443" s="415"/>
      <c r="E443" s="338"/>
      <c r="F443" s="338"/>
      <c r="G443" s="338"/>
      <c r="H443" s="338"/>
      <c r="I443" s="338"/>
      <c r="J443" s="338"/>
      <c r="K443" s="338"/>
      <c r="L443" s="356"/>
      <c r="M443" s="356"/>
      <c r="N443" s="321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</row>
    <row r="444" ht="12.75" customHeight="1">
      <c r="A444" s="321"/>
      <c r="B444" s="338"/>
      <c r="C444" s="338"/>
      <c r="D444" s="415"/>
      <c r="E444" s="338"/>
      <c r="F444" s="338"/>
      <c r="G444" s="338"/>
      <c r="H444" s="338"/>
      <c r="I444" s="338"/>
      <c r="J444" s="338"/>
      <c r="K444" s="338"/>
      <c r="L444" s="356"/>
      <c r="M444" s="356"/>
      <c r="N444" s="321"/>
      <c r="O444" s="338"/>
      <c r="P444" s="338"/>
      <c r="Q444" s="338"/>
      <c r="R444" s="338"/>
      <c r="S444" s="338"/>
      <c r="T444" s="338"/>
      <c r="U444" s="338"/>
      <c r="V444" s="338"/>
      <c r="W444" s="338"/>
      <c r="X444" s="338"/>
      <c r="Y444" s="338"/>
      <c r="Z444" s="338"/>
    </row>
    <row r="445" ht="12.75" customHeight="1">
      <c r="A445" s="321"/>
      <c r="B445" s="338"/>
      <c r="C445" s="338"/>
      <c r="D445" s="415"/>
      <c r="E445" s="338"/>
      <c r="F445" s="338"/>
      <c r="G445" s="338"/>
      <c r="H445" s="338"/>
      <c r="I445" s="338"/>
      <c r="J445" s="338"/>
      <c r="K445" s="338"/>
      <c r="L445" s="356"/>
      <c r="M445" s="356"/>
      <c r="N445" s="321"/>
      <c r="O445" s="338"/>
      <c r="P445" s="338"/>
      <c r="Q445" s="338"/>
      <c r="R445" s="338"/>
      <c r="S445" s="338"/>
      <c r="T445" s="338"/>
      <c r="U445" s="338"/>
      <c r="V445" s="338"/>
      <c r="W445" s="338"/>
      <c r="X445" s="338"/>
      <c r="Y445" s="338"/>
      <c r="Z445" s="338"/>
    </row>
    <row r="446" ht="12.75" customHeight="1">
      <c r="A446" s="321"/>
      <c r="B446" s="338"/>
      <c r="C446" s="338"/>
      <c r="D446" s="415"/>
      <c r="E446" s="338"/>
      <c r="F446" s="338"/>
      <c r="G446" s="338"/>
      <c r="H446" s="338"/>
      <c r="I446" s="338"/>
      <c r="J446" s="338"/>
      <c r="K446" s="338"/>
      <c r="L446" s="356"/>
      <c r="M446" s="356"/>
      <c r="N446" s="321"/>
      <c r="O446" s="338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</row>
    <row r="447" ht="12.75" customHeight="1">
      <c r="A447" s="321"/>
      <c r="B447" s="338"/>
      <c r="C447" s="338"/>
      <c r="D447" s="415"/>
      <c r="E447" s="338"/>
      <c r="F447" s="338"/>
      <c r="G447" s="338"/>
      <c r="H447" s="338"/>
      <c r="I447" s="338"/>
      <c r="J447" s="338"/>
      <c r="K447" s="338"/>
      <c r="L447" s="356"/>
      <c r="M447" s="356"/>
      <c r="N447" s="321"/>
      <c r="O447" s="338"/>
      <c r="P447" s="338"/>
      <c r="Q447" s="338"/>
      <c r="R447" s="338"/>
      <c r="S447" s="338"/>
      <c r="T447" s="338"/>
      <c r="U447" s="338"/>
      <c r="V447" s="338"/>
      <c r="W447" s="338"/>
      <c r="X447" s="338"/>
      <c r="Y447" s="338"/>
      <c r="Z447" s="338"/>
    </row>
    <row r="448" ht="12.75" customHeight="1">
      <c r="A448" s="321"/>
      <c r="B448" s="338"/>
      <c r="C448" s="338"/>
      <c r="D448" s="415"/>
      <c r="E448" s="338"/>
      <c r="F448" s="338"/>
      <c r="G448" s="338"/>
      <c r="H448" s="338"/>
      <c r="I448" s="338"/>
      <c r="J448" s="338"/>
      <c r="K448" s="338"/>
      <c r="L448" s="356"/>
      <c r="M448" s="356"/>
      <c r="N448" s="321"/>
      <c r="O448" s="338"/>
      <c r="P448" s="338"/>
      <c r="Q448" s="338"/>
      <c r="R448" s="338"/>
      <c r="S448" s="338"/>
      <c r="T448" s="338"/>
      <c r="U448" s="338"/>
      <c r="V448" s="338"/>
      <c r="W448" s="338"/>
      <c r="X448" s="338"/>
      <c r="Y448" s="338"/>
      <c r="Z448" s="338"/>
    </row>
    <row r="449" ht="12.75" customHeight="1">
      <c r="A449" s="321"/>
      <c r="B449" s="338"/>
      <c r="C449" s="338"/>
      <c r="D449" s="415"/>
      <c r="E449" s="338"/>
      <c r="F449" s="338"/>
      <c r="G449" s="338"/>
      <c r="H449" s="338"/>
      <c r="I449" s="338"/>
      <c r="J449" s="338"/>
      <c r="K449" s="338"/>
      <c r="L449" s="356"/>
      <c r="M449" s="356"/>
      <c r="N449" s="321"/>
      <c r="O449" s="338"/>
      <c r="P449" s="338"/>
      <c r="Q449" s="338"/>
      <c r="R449" s="338"/>
      <c r="S449" s="338"/>
      <c r="T449" s="338"/>
      <c r="U449" s="338"/>
      <c r="V449" s="338"/>
      <c r="W449" s="338"/>
      <c r="X449" s="338"/>
      <c r="Y449" s="338"/>
      <c r="Z449" s="338"/>
    </row>
    <row r="450" ht="12.75" customHeight="1">
      <c r="A450" s="321"/>
      <c r="B450" s="338"/>
      <c r="C450" s="338"/>
      <c r="D450" s="415"/>
      <c r="E450" s="338"/>
      <c r="F450" s="338"/>
      <c r="G450" s="338"/>
      <c r="H450" s="338"/>
      <c r="I450" s="338"/>
      <c r="J450" s="338"/>
      <c r="K450" s="338"/>
      <c r="L450" s="356"/>
      <c r="M450" s="356"/>
      <c r="N450" s="321"/>
      <c r="O450" s="338"/>
      <c r="P450" s="338"/>
      <c r="Q450" s="338"/>
      <c r="R450" s="338"/>
      <c r="S450" s="338"/>
      <c r="T450" s="338"/>
      <c r="U450" s="338"/>
      <c r="V450" s="338"/>
      <c r="W450" s="338"/>
      <c r="X450" s="338"/>
      <c r="Y450" s="338"/>
      <c r="Z450" s="338"/>
    </row>
    <row r="451" ht="12.75" customHeight="1">
      <c r="A451" s="321"/>
      <c r="B451" s="338"/>
      <c r="C451" s="338"/>
      <c r="D451" s="415"/>
      <c r="E451" s="338"/>
      <c r="F451" s="338"/>
      <c r="G451" s="338"/>
      <c r="H451" s="338"/>
      <c r="I451" s="338"/>
      <c r="J451" s="338"/>
      <c r="K451" s="338"/>
      <c r="L451" s="356"/>
      <c r="M451" s="356"/>
      <c r="N451" s="321"/>
      <c r="O451" s="338"/>
      <c r="P451" s="338"/>
      <c r="Q451" s="338"/>
      <c r="R451" s="338"/>
      <c r="S451" s="338"/>
      <c r="T451" s="338"/>
      <c r="U451" s="338"/>
      <c r="V451" s="338"/>
      <c r="W451" s="338"/>
      <c r="X451" s="338"/>
      <c r="Y451" s="338"/>
      <c r="Z451" s="338"/>
    </row>
    <row r="452" ht="12.75" customHeight="1">
      <c r="A452" s="321"/>
      <c r="B452" s="338"/>
      <c r="C452" s="338"/>
      <c r="D452" s="415"/>
      <c r="E452" s="338"/>
      <c r="F452" s="338"/>
      <c r="G452" s="338"/>
      <c r="H452" s="338"/>
      <c r="I452" s="338"/>
      <c r="J452" s="338"/>
      <c r="K452" s="338"/>
      <c r="L452" s="356"/>
      <c r="M452" s="356"/>
      <c r="N452" s="321"/>
      <c r="O452" s="338"/>
      <c r="P452" s="338"/>
      <c r="Q452" s="338"/>
      <c r="R452" s="338"/>
      <c r="S452" s="338"/>
      <c r="T452" s="338"/>
      <c r="U452" s="338"/>
      <c r="V452" s="338"/>
      <c r="W452" s="338"/>
      <c r="X452" s="338"/>
      <c r="Y452" s="338"/>
      <c r="Z452" s="338"/>
    </row>
    <row r="453" ht="12.75" customHeight="1">
      <c r="A453" s="321"/>
      <c r="B453" s="338"/>
      <c r="C453" s="338"/>
      <c r="D453" s="415"/>
      <c r="E453" s="338"/>
      <c r="F453" s="338"/>
      <c r="G453" s="338"/>
      <c r="H453" s="338"/>
      <c r="I453" s="338"/>
      <c r="J453" s="338"/>
      <c r="K453" s="338"/>
      <c r="L453" s="356"/>
      <c r="M453" s="356"/>
      <c r="N453" s="321"/>
      <c r="O453" s="338"/>
      <c r="P453" s="338"/>
      <c r="Q453" s="338"/>
      <c r="R453" s="338"/>
      <c r="S453" s="338"/>
      <c r="T453" s="338"/>
      <c r="U453" s="338"/>
      <c r="V453" s="338"/>
      <c r="W453" s="338"/>
      <c r="X453" s="338"/>
      <c r="Y453" s="338"/>
      <c r="Z453" s="338"/>
    </row>
    <row r="454" ht="12.75" customHeight="1">
      <c r="A454" s="321"/>
      <c r="B454" s="338"/>
      <c r="C454" s="338"/>
      <c r="D454" s="415"/>
      <c r="E454" s="338"/>
      <c r="F454" s="338"/>
      <c r="G454" s="338"/>
      <c r="H454" s="338"/>
      <c r="I454" s="338"/>
      <c r="J454" s="338"/>
      <c r="K454" s="338"/>
      <c r="L454" s="356"/>
      <c r="M454" s="356"/>
      <c r="N454" s="321"/>
      <c r="O454" s="338"/>
      <c r="P454" s="338"/>
      <c r="Q454" s="338"/>
      <c r="R454" s="338"/>
      <c r="S454" s="338"/>
      <c r="T454" s="338"/>
      <c r="U454" s="338"/>
      <c r="V454" s="338"/>
      <c r="W454" s="338"/>
      <c r="X454" s="338"/>
      <c r="Y454" s="338"/>
      <c r="Z454" s="338"/>
    </row>
    <row r="455" ht="12.75" customHeight="1">
      <c r="A455" s="321"/>
      <c r="B455" s="338"/>
      <c r="C455" s="338"/>
      <c r="D455" s="415"/>
      <c r="E455" s="338"/>
      <c r="F455" s="338"/>
      <c r="G455" s="338"/>
      <c r="H455" s="338"/>
      <c r="I455" s="338"/>
      <c r="J455" s="338"/>
      <c r="K455" s="338"/>
      <c r="L455" s="356"/>
      <c r="M455" s="356"/>
      <c r="N455" s="321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</row>
    <row r="456" ht="12.75" customHeight="1">
      <c r="A456" s="321"/>
      <c r="B456" s="338"/>
      <c r="C456" s="338"/>
      <c r="D456" s="415"/>
      <c r="E456" s="338"/>
      <c r="F456" s="338"/>
      <c r="G456" s="338"/>
      <c r="H456" s="338"/>
      <c r="I456" s="338"/>
      <c r="J456" s="338"/>
      <c r="K456" s="338"/>
      <c r="L456" s="356"/>
      <c r="M456" s="356"/>
      <c r="N456" s="321"/>
      <c r="O456" s="338"/>
      <c r="P456" s="338"/>
      <c r="Q456" s="338"/>
      <c r="R456" s="338"/>
      <c r="S456" s="338"/>
      <c r="T456" s="338"/>
      <c r="U456" s="338"/>
      <c r="V456" s="338"/>
      <c r="W456" s="338"/>
      <c r="X456" s="338"/>
      <c r="Y456" s="338"/>
      <c r="Z456" s="338"/>
    </row>
    <row r="457" ht="12.75" customHeight="1">
      <c r="A457" s="321"/>
      <c r="B457" s="338"/>
      <c r="C457" s="338"/>
      <c r="D457" s="415"/>
      <c r="E457" s="338"/>
      <c r="F457" s="338"/>
      <c r="G457" s="338"/>
      <c r="H457" s="338"/>
      <c r="I457" s="338"/>
      <c r="J457" s="338"/>
      <c r="K457" s="338"/>
      <c r="L457" s="356"/>
      <c r="M457" s="356"/>
      <c r="N457" s="321"/>
      <c r="O457" s="338"/>
      <c r="P457" s="338"/>
      <c r="Q457" s="338"/>
      <c r="R457" s="338"/>
      <c r="S457" s="338"/>
      <c r="T457" s="338"/>
      <c r="U457" s="338"/>
      <c r="V457" s="338"/>
      <c r="W457" s="338"/>
      <c r="X457" s="338"/>
      <c r="Y457" s="338"/>
      <c r="Z457" s="338"/>
    </row>
    <row r="458" ht="12.75" customHeight="1">
      <c r="A458" s="321"/>
      <c r="B458" s="338"/>
      <c r="C458" s="338"/>
      <c r="D458" s="415"/>
      <c r="E458" s="338"/>
      <c r="F458" s="338"/>
      <c r="G458" s="338"/>
      <c r="H458" s="338"/>
      <c r="I458" s="338"/>
      <c r="J458" s="338"/>
      <c r="K458" s="338"/>
      <c r="L458" s="356"/>
      <c r="M458" s="356"/>
      <c r="N458" s="321"/>
      <c r="O458" s="338"/>
      <c r="P458" s="338"/>
      <c r="Q458" s="338"/>
      <c r="R458" s="338"/>
      <c r="S458" s="338"/>
      <c r="T458" s="338"/>
      <c r="U458" s="338"/>
      <c r="V458" s="338"/>
      <c r="W458" s="338"/>
      <c r="X458" s="338"/>
      <c r="Y458" s="338"/>
      <c r="Z458" s="338"/>
    </row>
    <row r="459" ht="12.75" customHeight="1">
      <c r="A459" s="321"/>
      <c r="B459" s="338"/>
      <c r="C459" s="338"/>
      <c r="D459" s="415"/>
      <c r="E459" s="338"/>
      <c r="F459" s="338"/>
      <c r="G459" s="338"/>
      <c r="H459" s="338"/>
      <c r="I459" s="338"/>
      <c r="J459" s="338"/>
      <c r="K459" s="338"/>
      <c r="L459" s="356"/>
      <c r="M459" s="356"/>
      <c r="N459" s="321"/>
      <c r="O459" s="338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</row>
    <row r="460" ht="12.75" customHeight="1">
      <c r="A460" s="321"/>
      <c r="B460" s="338"/>
      <c r="C460" s="338"/>
      <c r="D460" s="415"/>
      <c r="E460" s="338"/>
      <c r="F460" s="338"/>
      <c r="G460" s="338"/>
      <c r="H460" s="338"/>
      <c r="I460" s="338"/>
      <c r="J460" s="338"/>
      <c r="K460" s="338"/>
      <c r="L460" s="356"/>
      <c r="M460" s="356"/>
      <c r="N460" s="321"/>
      <c r="O460" s="338"/>
      <c r="P460" s="338"/>
      <c r="Q460" s="338"/>
      <c r="R460" s="338"/>
      <c r="S460" s="338"/>
      <c r="T460" s="338"/>
      <c r="U460" s="338"/>
      <c r="V460" s="338"/>
      <c r="W460" s="338"/>
      <c r="X460" s="338"/>
      <c r="Y460" s="338"/>
      <c r="Z460" s="338"/>
    </row>
    <row r="461" ht="12.75" customHeight="1">
      <c r="A461" s="321"/>
      <c r="B461" s="338"/>
      <c r="C461" s="338"/>
      <c r="D461" s="415"/>
      <c r="E461" s="338"/>
      <c r="F461" s="338"/>
      <c r="G461" s="338"/>
      <c r="H461" s="338"/>
      <c r="I461" s="338"/>
      <c r="J461" s="338"/>
      <c r="K461" s="338"/>
      <c r="L461" s="356"/>
      <c r="M461" s="356"/>
      <c r="N461" s="321"/>
      <c r="O461" s="338"/>
      <c r="P461" s="338"/>
      <c r="Q461" s="338"/>
      <c r="R461" s="338"/>
      <c r="S461" s="338"/>
      <c r="T461" s="338"/>
      <c r="U461" s="338"/>
      <c r="V461" s="338"/>
      <c r="W461" s="338"/>
      <c r="X461" s="338"/>
      <c r="Y461" s="338"/>
      <c r="Z461" s="338"/>
    </row>
    <row r="462" ht="12.75" customHeight="1">
      <c r="A462" s="321"/>
      <c r="B462" s="338"/>
      <c r="C462" s="338"/>
      <c r="D462" s="415"/>
      <c r="E462" s="338"/>
      <c r="F462" s="338"/>
      <c r="G462" s="338"/>
      <c r="H462" s="338"/>
      <c r="I462" s="338"/>
      <c r="J462" s="338"/>
      <c r="K462" s="338"/>
      <c r="L462" s="356"/>
      <c r="M462" s="356"/>
      <c r="N462" s="321"/>
      <c r="O462" s="338"/>
      <c r="P462" s="338"/>
      <c r="Q462" s="338"/>
      <c r="R462" s="338"/>
      <c r="S462" s="338"/>
      <c r="T462" s="338"/>
      <c r="U462" s="338"/>
      <c r="V462" s="338"/>
      <c r="W462" s="338"/>
      <c r="X462" s="338"/>
      <c r="Y462" s="338"/>
      <c r="Z462" s="338"/>
    </row>
    <row r="463" ht="12.75" customHeight="1">
      <c r="A463" s="321"/>
      <c r="B463" s="338"/>
      <c r="C463" s="338"/>
      <c r="D463" s="415"/>
      <c r="E463" s="338"/>
      <c r="F463" s="338"/>
      <c r="G463" s="338"/>
      <c r="H463" s="338"/>
      <c r="I463" s="338"/>
      <c r="J463" s="338"/>
      <c r="K463" s="338"/>
      <c r="L463" s="356"/>
      <c r="M463" s="356"/>
      <c r="N463" s="321"/>
      <c r="O463" s="338"/>
      <c r="P463" s="338"/>
      <c r="Q463" s="338"/>
      <c r="R463" s="338"/>
      <c r="S463" s="338"/>
      <c r="T463" s="338"/>
      <c r="U463" s="338"/>
      <c r="V463" s="338"/>
      <c r="W463" s="338"/>
      <c r="X463" s="338"/>
      <c r="Y463" s="338"/>
      <c r="Z463" s="338"/>
    </row>
    <row r="464" ht="12.75" customHeight="1">
      <c r="A464" s="321"/>
      <c r="B464" s="338"/>
      <c r="C464" s="338"/>
      <c r="D464" s="415"/>
      <c r="E464" s="338"/>
      <c r="F464" s="338"/>
      <c r="G464" s="338"/>
      <c r="H464" s="338"/>
      <c r="I464" s="338"/>
      <c r="J464" s="338"/>
      <c r="K464" s="338"/>
      <c r="L464" s="356"/>
      <c r="M464" s="356"/>
      <c r="N464" s="321"/>
      <c r="O464" s="338"/>
      <c r="P464" s="338"/>
      <c r="Q464" s="338"/>
      <c r="R464" s="338"/>
      <c r="S464" s="338"/>
      <c r="T464" s="338"/>
      <c r="U464" s="338"/>
      <c r="V464" s="338"/>
      <c r="W464" s="338"/>
      <c r="X464" s="338"/>
      <c r="Y464" s="338"/>
      <c r="Z464" s="338"/>
    </row>
    <row r="465" ht="12.75" customHeight="1">
      <c r="A465" s="321"/>
      <c r="B465" s="338"/>
      <c r="C465" s="338"/>
      <c r="D465" s="415"/>
      <c r="E465" s="338"/>
      <c r="F465" s="338"/>
      <c r="G465" s="338"/>
      <c r="H465" s="338"/>
      <c r="I465" s="338"/>
      <c r="J465" s="338"/>
      <c r="K465" s="338"/>
      <c r="L465" s="356"/>
      <c r="M465" s="356"/>
      <c r="N465" s="321"/>
      <c r="O465" s="338"/>
      <c r="P465" s="338"/>
      <c r="Q465" s="338"/>
      <c r="R465" s="338"/>
      <c r="S465" s="338"/>
      <c r="T465" s="338"/>
      <c r="U465" s="338"/>
      <c r="V465" s="338"/>
      <c r="W465" s="338"/>
      <c r="X465" s="338"/>
      <c r="Y465" s="338"/>
      <c r="Z465" s="338"/>
    </row>
    <row r="466" ht="12.75" customHeight="1">
      <c r="A466" s="321"/>
      <c r="B466" s="338"/>
      <c r="C466" s="338"/>
      <c r="D466" s="415"/>
      <c r="E466" s="338"/>
      <c r="F466" s="338"/>
      <c r="G466" s="338"/>
      <c r="H466" s="338"/>
      <c r="I466" s="338"/>
      <c r="J466" s="338"/>
      <c r="K466" s="338"/>
      <c r="L466" s="356"/>
      <c r="M466" s="356"/>
      <c r="N466" s="321"/>
      <c r="O466" s="338"/>
      <c r="P466" s="338"/>
      <c r="Q466" s="338"/>
      <c r="R466" s="338"/>
      <c r="S466" s="338"/>
      <c r="T466" s="338"/>
      <c r="U466" s="338"/>
      <c r="V466" s="338"/>
      <c r="W466" s="338"/>
      <c r="X466" s="338"/>
      <c r="Y466" s="338"/>
      <c r="Z466" s="338"/>
    </row>
    <row r="467" ht="12.75" customHeight="1">
      <c r="A467" s="321"/>
      <c r="B467" s="338"/>
      <c r="C467" s="338"/>
      <c r="D467" s="415"/>
      <c r="E467" s="338"/>
      <c r="F467" s="338"/>
      <c r="G467" s="338"/>
      <c r="H467" s="338"/>
      <c r="I467" s="338"/>
      <c r="J467" s="338"/>
      <c r="K467" s="338"/>
      <c r="L467" s="356"/>
      <c r="M467" s="356"/>
      <c r="N467" s="321"/>
      <c r="O467" s="338"/>
      <c r="P467" s="338"/>
      <c r="Q467" s="338"/>
      <c r="R467" s="338"/>
      <c r="S467" s="338"/>
      <c r="T467" s="338"/>
      <c r="U467" s="338"/>
      <c r="V467" s="338"/>
      <c r="W467" s="338"/>
      <c r="X467" s="338"/>
      <c r="Y467" s="338"/>
      <c r="Z467" s="338"/>
    </row>
    <row r="468" ht="12.75" customHeight="1">
      <c r="A468" s="321"/>
      <c r="B468" s="338"/>
      <c r="C468" s="338"/>
      <c r="D468" s="415"/>
      <c r="E468" s="338"/>
      <c r="F468" s="338"/>
      <c r="G468" s="338"/>
      <c r="H468" s="338"/>
      <c r="I468" s="338"/>
      <c r="J468" s="338"/>
      <c r="K468" s="338"/>
      <c r="L468" s="356"/>
      <c r="M468" s="356"/>
      <c r="N468" s="321"/>
      <c r="O468" s="338"/>
      <c r="P468" s="338"/>
      <c r="Q468" s="338"/>
      <c r="R468" s="338"/>
      <c r="S468" s="338"/>
      <c r="T468" s="338"/>
      <c r="U468" s="338"/>
      <c r="V468" s="338"/>
      <c r="W468" s="338"/>
      <c r="X468" s="338"/>
      <c r="Y468" s="338"/>
      <c r="Z468" s="338"/>
    </row>
    <row r="469" ht="12.75" customHeight="1">
      <c r="A469" s="321"/>
      <c r="B469" s="338"/>
      <c r="C469" s="338"/>
      <c r="D469" s="415"/>
      <c r="E469" s="338"/>
      <c r="F469" s="338"/>
      <c r="G469" s="338"/>
      <c r="H469" s="338"/>
      <c r="I469" s="338"/>
      <c r="J469" s="338"/>
      <c r="K469" s="338"/>
      <c r="L469" s="356"/>
      <c r="M469" s="356"/>
      <c r="N469" s="321"/>
      <c r="O469" s="338"/>
      <c r="P469" s="338"/>
      <c r="Q469" s="338"/>
      <c r="R469" s="338"/>
      <c r="S469" s="338"/>
      <c r="T469" s="338"/>
      <c r="U469" s="338"/>
      <c r="V469" s="338"/>
      <c r="W469" s="338"/>
      <c r="X469" s="338"/>
      <c r="Y469" s="338"/>
      <c r="Z469" s="338"/>
    </row>
    <row r="470" ht="12.75" customHeight="1">
      <c r="A470" s="321"/>
      <c r="B470" s="338"/>
      <c r="C470" s="338"/>
      <c r="D470" s="415"/>
      <c r="E470" s="338"/>
      <c r="F470" s="338"/>
      <c r="G470" s="338"/>
      <c r="H470" s="338"/>
      <c r="I470" s="338"/>
      <c r="J470" s="338"/>
      <c r="K470" s="338"/>
      <c r="L470" s="356"/>
      <c r="M470" s="356"/>
      <c r="N470" s="321"/>
      <c r="O470" s="338"/>
      <c r="P470" s="338"/>
      <c r="Q470" s="338"/>
      <c r="R470" s="338"/>
      <c r="S470" s="338"/>
      <c r="T470" s="338"/>
      <c r="U470" s="338"/>
      <c r="V470" s="338"/>
      <c r="W470" s="338"/>
      <c r="X470" s="338"/>
      <c r="Y470" s="338"/>
      <c r="Z470" s="338"/>
    </row>
    <row r="471" ht="12.75" customHeight="1">
      <c r="A471" s="321"/>
      <c r="B471" s="338"/>
      <c r="C471" s="338"/>
      <c r="D471" s="415"/>
      <c r="E471" s="338"/>
      <c r="F471" s="338"/>
      <c r="G471" s="338"/>
      <c r="H471" s="338"/>
      <c r="I471" s="338"/>
      <c r="J471" s="338"/>
      <c r="K471" s="338"/>
      <c r="L471" s="356"/>
      <c r="M471" s="356"/>
      <c r="N471" s="321"/>
      <c r="O471" s="338"/>
      <c r="P471" s="338"/>
      <c r="Q471" s="338"/>
      <c r="R471" s="338"/>
      <c r="S471" s="338"/>
      <c r="T471" s="338"/>
      <c r="U471" s="338"/>
      <c r="V471" s="338"/>
      <c r="W471" s="338"/>
      <c r="X471" s="338"/>
      <c r="Y471" s="338"/>
      <c r="Z471" s="338"/>
    </row>
    <row r="472" ht="12.75" customHeight="1">
      <c r="A472" s="321"/>
      <c r="B472" s="338"/>
      <c r="C472" s="338"/>
      <c r="D472" s="415"/>
      <c r="E472" s="338"/>
      <c r="F472" s="338"/>
      <c r="G472" s="338"/>
      <c r="H472" s="338"/>
      <c r="I472" s="338"/>
      <c r="J472" s="338"/>
      <c r="K472" s="338"/>
      <c r="L472" s="356"/>
      <c r="M472" s="356"/>
      <c r="N472" s="321"/>
      <c r="O472" s="338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</row>
    <row r="473" ht="12.75" customHeight="1">
      <c r="A473" s="321"/>
      <c r="B473" s="338"/>
      <c r="C473" s="338"/>
      <c r="D473" s="415"/>
      <c r="E473" s="338"/>
      <c r="F473" s="338"/>
      <c r="G473" s="338"/>
      <c r="H473" s="338"/>
      <c r="I473" s="338"/>
      <c r="J473" s="338"/>
      <c r="K473" s="338"/>
      <c r="L473" s="356"/>
      <c r="M473" s="356"/>
      <c r="N473" s="321"/>
      <c r="O473" s="338"/>
      <c r="P473" s="338"/>
      <c r="Q473" s="338"/>
      <c r="R473" s="338"/>
      <c r="S473" s="338"/>
      <c r="T473" s="338"/>
      <c r="U473" s="338"/>
      <c r="V473" s="338"/>
      <c r="W473" s="338"/>
      <c r="X473" s="338"/>
      <c r="Y473" s="338"/>
      <c r="Z473" s="338"/>
    </row>
    <row r="474" ht="12.75" customHeight="1">
      <c r="A474" s="321"/>
      <c r="B474" s="338"/>
      <c r="C474" s="338"/>
      <c r="D474" s="415"/>
      <c r="E474" s="338"/>
      <c r="F474" s="338"/>
      <c r="G474" s="338"/>
      <c r="H474" s="338"/>
      <c r="I474" s="338"/>
      <c r="J474" s="338"/>
      <c r="K474" s="338"/>
      <c r="L474" s="356"/>
      <c r="M474" s="356"/>
      <c r="N474" s="321"/>
      <c r="O474" s="338"/>
      <c r="P474" s="338"/>
      <c r="Q474" s="338"/>
      <c r="R474" s="338"/>
      <c r="S474" s="338"/>
      <c r="T474" s="338"/>
      <c r="U474" s="338"/>
      <c r="V474" s="338"/>
      <c r="W474" s="338"/>
      <c r="X474" s="338"/>
      <c r="Y474" s="338"/>
      <c r="Z474" s="338"/>
    </row>
    <row r="475" ht="12.75" customHeight="1">
      <c r="A475" s="321"/>
      <c r="B475" s="338"/>
      <c r="C475" s="338"/>
      <c r="D475" s="415"/>
      <c r="E475" s="338"/>
      <c r="F475" s="338"/>
      <c r="G475" s="338"/>
      <c r="H475" s="338"/>
      <c r="I475" s="338"/>
      <c r="J475" s="338"/>
      <c r="K475" s="338"/>
      <c r="L475" s="356"/>
      <c r="M475" s="356"/>
      <c r="N475" s="321"/>
      <c r="O475" s="338"/>
      <c r="P475" s="338"/>
      <c r="Q475" s="338"/>
      <c r="R475" s="338"/>
      <c r="S475" s="338"/>
      <c r="T475" s="338"/>
      <c r="U475" s="338"/>
      <c r="V475" s="338"/>
      <c r="W475" s="338"/>
      <c r="X475" s="338"/>
      <c r="Y475" s="338"/>
      <c r="Z475" s="338"/>
    </row>
    <row r="476" ht="12.75" customHeight="1">
      <c r="A476" s="321"/>
      <c r="B476" s="338"/>
      <c r="C476" s="338"/>
      <c r="D476" s="415"/>
      <c r="E476" s="338"/>
      <c r="F476" s="338"/>
      <c r="G476" s="338"/>
      <c r="H476" s="338"/>
      <c r="I476" s="338"/>
      <c r="J476" s="338"/>
      <c r="K476" s="338"/>
      <c r="L476" s="356"/>
      <c r="M476" s="356"/>
      <c r="N476" s="321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</row>
    <row r="477" ht="12.75" customHeight="1">
      <c r="A477" s="321"/>
      <c r="B477" s="338"/>
      <c r="C477" s="338"/>
      <c r="D477" s="415"/>
      <c r="E477" s="338"/>
      <c r="F477" s="338"/>
      <c r="G477" s="338"/>
      <c r="H477" s="338"/>
      <c r="I477" s="338"/>
      <c r="J477" s="338"/>
      <c r="K477" s="338"/>
      <c r="L477" s="356"/>
      <c r="M477" s="356"/>
      <c r="N477" s="321"/>
      <c r="O477" s="338"/>
      <c r="P477" s="338"/>
      <c r="Q477" s="338"/>
      <c r="R477" s="338"/>
      <c r="S477" s="338"/>
      <c r="T477" s="338"/>
      <c r="U477" s="338"/>
      <c r="V477" s="338"/>
      <c r="W477" s="338"/>
      <c r="X477" s="338"/>
      <c r="Y477" s="338"/>
      <c r="Z477" s="338"/>
    </row>
    <row r="478" ht="12.75" customHeight="1">
      <c r="A478" s="321"/>
      <c r="B478" s="338"/>
      <c r="C478" s="338"/>
      <c r="D478" s="415"/>
      <c r="E478" s="338"/>
      <c r="F478" s="338"/>
      <c r="G478" s="338"/>
      <c r="H478" s="338"/>
      <c r="I478" s="338"/>
      <c r="J478" s="338"/>
      <c r="K478" s="338"/>
      <c r="L478" s="356"/>
      <c r="M478" s="356"/>
      <c r="N478" s="321"/>
      <c r="O478" s="338"/>
      <c r="P478" s="338"/>
      <c r="Q478" s="338"/>
      <c r="R478" s="338"/>
      <c r="S478" s="338"/>
      <c r="T478" s="338"/>
      <c r="U478" s="338"/>
      <c r="V478" s="338"/>
      <c r="W478" s="338"/>
      <c r="X478" s="338"/>
      <c r="Y478" s="338"/>
      <c r="Z478" s="338"/>
    </row>
    <row r="479" ht="12.75" customHeight="1">
      <c r="A479" s="321"/>
      <c r="B479" s="338"/>
      <c r="C479" s="338"/>
      <c r="D479" s="415"/>
      <c r="E479" s="338"/>
      <c r="F479" s="338"/>
      <c r="G479" s="338"/>
      <c r="H479" s="338"/>
      <c r="I479" s="338"/>
      <c r="J479" s="338"/>
      <c r="K479" s="338"/>
      <c r="L479" s="356"/>
      <c r="M479" s="356"/>
      <c r="N479" s="321"/>
      <c r="O479" s="338"/>
      <c r="P479" s="338"/>
      <c r="Q479" s="338"/>
      <c r="R479" s="338"/>
      <c r="S479" s="338"/>
      <c r="T479" s="338"/>
      <c r="U479" s="338"/>
      <c r="V479" s="338"/>
      <c r="W479" s="338"/>
      <c r="X479" s="338"/>
      <c r="Y479" s="338"/>
      <c r="Z479" s="338"/>
    </row>
    <row r="480" ht="12.75" customHeight="1">
      <c r="A480" s="321"/>
      <c r="B480" s="338"/>
      <c r="C480" s="338"/>
      <c r="D480" s="415"/>
      <c r="E480" s="338"/>
      <c r="F480" s="338"/>
      <c r="G480" s="338"/>
      <c r="H480" s="338"/>
      <c r="I480" s="338"/>
      <c r="J480" s="338"/>
      <c r="K480" s="338"/>
      <c r="L480" s="356"/>
      <c r="M480" s="356"/>
      <c r="N480" s="321"/>
      <c r="O480" s="338"/>
      <c r="P480" s="338"/>
      <c r="Q480" s="338"/>
      <c r="R480" s="338"/>
      <c r="S480" s="338"/>
      <c r="T480" s="338"/>
      <c r="U480" s="338"/>
      <c r="V480" s="338"/>
      <c r="W480" s="338"/>
      <c r="X480" s="338"/>
      <c r="Y480" s="338"/>
      <c r="Z480" s="338"/>
    </row>
    <row r="481" ht="12.75" customHeight="1">
      <c r="A481" s="321"/>
      <c r="B481" s="338"/>
      <c r="C481" s="338"/>
      <c r="D481" s="415"/>
      <c r="E481" s="338"/>
      <c r="F481" s="338"/>
      <c r="G481" s="338"/>
      <c r="H481" s="338"/>
      <c r="I481" s="338"/>
      <c r="J481" s="338"/>
      <c r="K481" s="338"/>
      <c r="L481" s="356"/>
      <c r="M481" s="356"/>
      <c r="N481" s="321"/>
      <c r="O481" s="338"/>
      <c r="P481" s="338"/>
      <c r="Q481" s="338"/>
      <c r="R481" s="338"/>
      <c r="S481" s="338"/>
      <c r="T481" s="338"/>
      <c r="U481" s="338"/>
      <c r="V481" s="338"/>
      <c r="W481" s="338"/>
      <c r="X481" s="338"/>
      <c r="Y481" s="338"/>
      <c r="Z481" s="338"/>
    </row>
    <row r="482" ht="12.75" customHeight="1">
      <c r="A482" s="321"/>
      <c r="B482" s="338"/>
      <c r="C482" s="338"/>
      <c r="D482" s="415"/>
      <c r="E482" s="338"/>
      <c r="F482" s="338"/>
      <c r="G482" s="338"/>
      <c r="H482" s="338"/>
      <c r="I482" s="338"/>
      <c r="J482" s="338"/>
      <c r="K482" s="338"/>
      <c r="L482" s="356"/>
      <c r="M482" s="356"/>
      <c r="N482" s="321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</row>
    <row r="483" ht="12.75" customHeight="1">
      <c r="A483" s="321"/>
      <c r="B483" s="338"/>
      <c r="C483" s="338"/>
      <c r="D483" s="415"/>
      <c r="E483" s="338"/>
      <c r="F483" s="338"/>
      <c r="G483" s="338"/>
      <c r="H483" s="338"/>
      <c r="I483" s="338"/>
      <c r="J483" s="338"/>
      <c r="K483" s="338"/>
      <c r="L483" s="356"/>
      <c r="M483" s="356"/>
      <c r="N483" s="321"/>
      <c r="O483" s="338"/>
      <c r="P483" s="338"/>
      <c r="Q483" s="338"/>
      <c r="R483" s="338"/>
      <c r="S483" s="338"/>
      <c r="T483" s="338"/>
      <c r="U483" s="338"/>
      <c r="V483" s="338"/>
      <c r="W483" s="338"/>
      <c r="X483" s="338"/>
      <c r="Y483" s="338"/>
      <c r="Z483" s="338"/>
    </row>
    <row r="484" ht="12.75" customHeight="1">
      <c r="A484" s="321"/>
      <c r="B484" s="338"/>
      <c r="C484" s="338"/>
      <c r="D484" s="415"/>
      <c r="E484" s="338"/>
      <c r="F484" s="338"/>
      <c r="G484" s="338"/>
      <c r="H484" s="338"/>
      <c r="I484" s="338"/>
      <c r="J484" s="338"/>
      <c r="K484" s="338"/>
      <c r="L484" s="356"/>
      <c r="M484" s="356"/>
      <c r="N484" s="321"/>
      <c r="O484" s="338"/>
      <c r="P484" s="338"/>
      <c r="Q484" s="338"/>
      <c r="R484" s="338"/>
      <c r="S484" s="338"/>
      <c r="T484" s="338"/>
      <c r="U484" s="338"/>
      <c r="V484" s="338"/>
      <c r="W484" s="338"/>
      <c r="X484" s="338"/>
      <c r="Y484" s="338"/>
      <c r="Z484" s="338"/>
    </row>
    <row r="485" ht="12.75" customHeight="1">
      <c r="A485" s="321"/>
      <c r="B485" s="338"/>
      <c r="C485" s="338"/>
      <c r="D485" s="415"/>
      <c r="E485" s="338"/>
      <c r="F485" s="338"/>
      <c r="G485" s="338"/>
      <c r="H485" s="338"/>
      <c r="I485" s="338"/>
      <c r="J485" s="338"/>
      <c r="K485" s="338"/>
      <c r="L485" s="356"/>
      <c r="M485" s="356"/>
      <c r="N485" s="321"/>
      <c r="O485" s="338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</row>
    <row r="486" ht="12.75" customHeight="1">
      <c r="A486" s="321"/>
      <c r="B486" s="338"/>
      <c r="C486" s="338"/>
      <c r="D486" s="415"/>
      <c r="E486" s="338"/>
      <c r="F486" s="338"/>
      <c r="G486" s="338"/>
      <c r="H486" s="338"/>
      <c r="I486" s="338"/>
      <c r="J486" s="338"/>
      <c r="K486" s="338"/>
      <c r="L486" s="356"/>
      <c r="M486" s="356"/>
      <c r="N486" s="321"/>
      <c r="O486" s="338"/>
      <c r="P486" s="338"/>
      <c r="Q486" s="338"/>
      <c r="R486" s="338"/>
      <c r="S486" s="338"/>
      <c r="T486" s="338"/>
      <c r="U486" s="338"/>
      <c r="V486" s="338"/>
      <c r="W486" s="338"/>
      <c r="X486" s="338"/>
      <c r="Y486" s="338"/>
      <c r="Z486" s="338"/>
    </row>
    <row r="487" ht="12.75" customHeight="1">
      <c r="A487" s="321"/>
      <c r="B487" s="338"/>
      <c r="C487" s="338"/>
      <c r="D487" s="415"/>
      <c r="E487" s="338"/>
      <c r="F487" s="338"/>
      <c r="G487" s="338"/>
      <c r="H487" s="338"/>
      <c r="I487" s="338"/>
      <c r="J487" s="338"/>
      <c r="K487" s="338"/>
      <c r="L487" s="356"/>
      <c r="M487" s="356"/>
      <c r="N487" s="321"/>
      <c r="O487" s="338"/>
      <c r="P487" s="338"/>
      <c r="Q487" s="338"/>
      <c r="R487" s="338"/>
      <c r="S487" s="338"/>
      <c r="T487" s="338"/>
      <c r="U487" s="338"/>
      <c r="V487" s="338"/>
      <c r="W487" s="338"/>
      <c r="X487" s="338"/>
      <c r="Y487" s="338"/>
      <c r="Z487" s="338"/>
    </row>
    <row r="488" ht="12.75" customHeight="1">
      <c r="A488" s="321"/>
      <c r="B488" s="338"/>
      <c r="C488" s="338"/>
      <c r="D488" s="415"/>
      <c r="E488" s="338"/>
      <c r="F488" s="338"/>
      <c r="G488" s="338"/>
      <c r="H488" s="338"/>
      <c r="I488" s="338"/>
      <c r="J488" s="338"/>
      <c r="K488" s="338"/>
      <c r="L488" s="356"/>
      <c r="M488" s="356"/>
      <c r="N488" s="321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</row>
    <row r="489" ht="12.75" customHeight="1">
      <c r="A489" s="321"/>
      <c r="B489" s="338"/>
      <c r="C489" s="338"/>
      <c r="D489" s="415"/>
      <c r="E489" s="338"/>
      <c r="F489" s="338"/>
      <c r="G489" s="338"/>
      <c r="H489" s="338"/>
      <c r="I489" s="338"/>
      <c r="J489" s="338"/>
      <c r="K489" s="338"/>
      <c r="L489" s="356"/>
      <c r="M489" s="356"/>
      <c r="N489" s="321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</row>
    <row r="490" ht="12.75" customHeight="1">
      <c r="A490" s="321"/>
      <c r="B490" s="338"/>
      <c r="C490" s="338"/>
      <c r="D490" s="415"/>
      <c r="E490" s="338"/>
      <c r="F490" s="338"/>
      <c r="G490" s="338"/>
      <c r="H490" s="338"/>
      <c r="I490" s="338"/>
      <c r="J490" s="338"/>
      <c r="K490" s="338"/>
      <c r="L490" s="356"/>
      <c r="M490" s="356"/>
      <c r="N490" s="321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</row>
    <row r="491" ht="12.75" customHeight="1">
      <c r="A491" s="321"/>
      <c r="B491" s="338"/>
      <c r="C491" s="338"/>
      <c r="D491" s="415"/>
      <c r="E491" s="338"/>
      <c r="F491" s="338"/>
      <c r="G491" s="338"/>
      <c r="H491" s="338"/>
      <c r="I491" s="338"/>
      <c r="J491" s="338"/>
      <c r="K491" s="338"/>
      <c r="L491" s="356"/>
      <c r="M491" s="356"/>
      <c r="N491" s="321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</row>
    <row r="492" ht="12.75" customHeight="1">
      <c r="A492" s="321"/>
      <c r="B492" s="338"/>
      <c r="C492" s="338"/>
      <c r="D492" s="415"/>
      <c r="E492" s="338"/>
      <c r="F492" s="338"/>
      <c r="G492" s="338"/>
      <c r="H492" s="338"/>
      <c r="I492" s="338"/>
      <c r="J492" s="338"/>
      <c r="K492" s="338"/>
      <c r="L492" s="356"/>
      <c r="M492" s="356"/>
      <c r="N492" s="321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</row>
    <row r="493" ht="12.75" customHeight="1">
      <c r="A493" s="321"/>
      <c r="B493" s="338"/>
      <c r="C493" s="338"/>
      <c r="D493" s="415"/>
      <c r="E493" s="338"/>
      <c r="F493" s="338"/>
      <c r="G493" s="338"/>
      <c r="H493" s="338"/>
      <c r="I493" s="338"/>
      <c r="J493" s="338"/>
      <c r="K493" s="338"/>
      <c r="L493" s="356"/>
      <c r="M493" s="356"/>
      <c r="N493" s="321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</row>
    <row r="494" ht="12.75" customHeight="1">
      <c r="A494" s="321"/>
      <c r="B494" s="338"/>
      <c r="C494" s="338"/>
      <c r="D494" s="415"/>
      <c r="E494" s="338"/>
      <c r="F494" s="338"/>
      <c r="G494" s="338"/>
      <c r="H494" s="338"/>
      <c r="I494" s="338"/>
      <c r="J494" s="338"/>
      <c r="K494" s="338"/>
      <c r="L494" s="356"/>
      <c r="M494" s="356"/>
      <c r="N494" s="321"/>
      <c r="O494" s="338"/>
      <c r="P494" s="338"/>
      <c r="Q494" s="338"/>
      <c r="R494" s="338"/>
      <c r="S494" s="338"/>
      <c r="T494" s="338"/>
      <c r="U494" s="338"/>
      <c r="V494" s="338"/>
      <c r="W494" s="338"/>
      <c r="X494" s="338"/>
      <c r="Y494" s="338"/>
      <c r="Z494" s="338"/>
    </row>
    <row r="495" ht="12.75" customHeight="1">
      <c r="A495" s="321"/>
      <c r="B495" s="338"/>
      <c r="C495" s="338"/>
      <c r="D495" s="415"/>
      <c r="E495" s="338"/>
      <c r="F495" s="338"/>
      <c r="G495" s="338"/>
      <c r="H495" s="338"/>
      <c r="I495" s="338"/>
      <c r="J495" s="338"/>
      <c r="K495" s="338"/>
      <c r="L495" s="356"/>
      <c r="M495" s="356"/>
      <c r="N495" s="321"/>
      <c r="O495" s="338"/>
      <c r="P495" s="338"/>
      <c r="Q495" s="338"/>
      <c r="R495" s="338"/>
      <c r="S495" s="338"/>
      <c r="T495" s="338"/>
      <c r="U495" s="338"/>
      <c r="V495" s="338"/>
      <c r="W495" s="338"/>
      <c r="X495" s="338"/>
      <c r="Y495" s="338"/>
      <c r="Z495" s="338"/>
    </row>
    <row r="496" ht="12.75" customHeight="1">
      <c r="A496" s="321"/>
      <c r="B496" s="338"/>
      <c r="C496" s="338"/>
      <c r="D496" s="415"/>
      <c r="E496" s="338"/>
      <c r="F496" s="338"/>
      <c r="G496" s="338"/>
      <c r="H496" s="338"/>
      <c r="I496" s="338"/>
      <c r="J496" s="338"/>
      <c r="K496" s="338"/>
      <c r="L496" s="356"/>
      <c r="M496" s="356"/>
      <c r="N496" s="321"/>
      <c r="O496" s="338"/>
      <c r="P496" s="338"/>
      <c r="Q496" s="338"/>
      <c r="R496" s="338"/>
      <c r="S496" s="338"/>
      <c r="T496" s="338"/>
      <c r="U496" s="338"/>
      <c r="V496" s="338"/>
      <c r="W496" s="338"/>
      <c r="X496" s="338"/>
      <c r="Y496" s="338"/>
      <c r="Z496" s="338"/>
    </row>
    <row r="497" ht="12.75" customHeight="1">
      <c r="A497" s="321"/>
      <c r="B497" s="338"/>
      <c r="C497" s="338"/>
      <c r="D497" s="415"/>
      <c r="E497" s="338"/>
      <c r="F497" s="338"/>
      <c r="G497" s="338"/>
      <c r="H497" s="338"/>
      <c r="I497" s="338"/>
      <c r="J497" s="338"/>
      <c r="K497" s="338"/>
      <c r="L497" s="356"/>
      <c r="M497" s="356"/>
      <c r="N497" s="321"/>
      <c r="O497" s="338"/>
      <c r="P497" s="338"/>
      <c r="Q497" s="338"/>
      <c r="R497" s="338"/>
      <c r="S497" s="338"/>
      <c r="T497" s="338"/>
      <c r="U497" s="338"/>
      <c r="V497" s="338"/>
      <c r="W497" s="338"/>
      <c r="X497" s="338"/>
      <c r="Y497" s="338"/>
      <c r="Z497" s="338"/>
    </row>
    <row r="498" ht="12.75" customHeight="1">
      <c r="A498" s="321"/>
      <c r="B498" s="338"/>
      <c r="C498" s="338"/>
      <c r="D498" s="415"/>
      <c r="E498" s="338"/>
      <c r="F498" s="338"/>
      <c r="G498" s="338"/>
      <c r="H498" s="338"/>
      <c r="I498" s="338"/>
      <c r="J498" s="338"/>
      <c r="K498" s="338"/>
      <c r="L498" s="356"/>
      <c r="M498" s="356"/>
      <c r="N498" s="321"/>
      <c r="O498" s="338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</row>
    <row r="499" ht="12.75" customHeight="1">
      <c r="A499" s="321"/>
      <c r="B499" s="338"/>
      <c r="C499" s="338"/>
      <c r="D499" s="415"/>
      <c r="E499" s="338"/>
      <c r="F499" s="338"/>
      <c r="G499" s="338"/>
      <c r="H499" s="338"/>
      <c r="I499" s="338"/>
      <c r="J499" s="338"/>
      <c r="K499" s="338"/>
      <c r="L499" s="356"/>
      <c r="M499" s="356"/>
      <c r="N499" s="321"/>
      <c r="O499" s="338"/>
      <c r="P499" s="338"/>
      <c r="Q499" s="338"/>
      <c r="R499" s="338"/>
      <c r="S499" s="338"/>
      <c r="T499" s="338"/>
      <c r="U499" s="338"/>
      <c r="V499" s="338"/>
      <c r="W499" s="338"/>
      <c r="X499" s="338"/>
      <c r="Y499" s="338"/>
      <c r="Z499" s="338"/>
    </row>
    <row r="500" ht="12.75" customHeight="1">
      <c r="A500" s="321"/>
      <c r="B500" s="338"/>
      <c r="C500" s="338"/>
      <c r="D500" s="415"/>
      <c r="E500" s="338"/>
      <c r="F500" s="338"/>
      <c r="G500" s="338"/>
      <c r="H500" s="338"/>
      <c r="I500" s="338"/>
      <c r="J500" s="338"/>
      <c r="K500" s="338"/>
      <c r="L500" s="356"/>
      <c r="M500" s="356"/>
      <c r="N500" s="321"/>
      <c r="O500" s="338"/>
      <c r="P500" s="338"/>
      <c r="Q500" s="338"/>
      <c r="R500" s="338"/>
      <c r="S500" s="338"/>
      <c r="T500" s="338"/>
      <c r="U500" s="338"/>
      <c r="V500" s="338"/>
      <c r="W500" s="338"/>
      <c r="X500" s="338"/>
      <c r="Y500" s="338"/>
      <c r="Z500" s="338"/>
    </row>
    <row r="501" ht="12.75" customHeight="1">
      <c r="A501" s="321"/>
      <c r="B501" s="338"/>
      <c r="C501" s="338"/>
      <c r="D501" s="415"/>
      <c r="E501" s="338"/>
      <c r="F501" s="338"/>
      <c r="G501" s="338"/>
      <c r="H501" s="338"/>
      <c r="I501" s="338"/>
      <c r="J501" s="338"/>
      <c r="K501" s="338"/>
      <c r="L501" s="356"/>
      <c r="M501" s="356"/>
      <c r="N501" s="321"/>
      <c r="O501" s="338"/>
      <c r="P501" s="338"/>
      <c r="Q501" s="338"/>
      <c r="R501" s="338"/>
      <c r="S501" s="338"/>
      <c r="T501" s="338"/>
      <c r="U501" s="338"/>
      <c r="V501" s="338"/>
      <c r="W501" s="338"/>
      <c r="X501" s="338"/>
      <c r="Y501" s="338"/>
      <c r="Z501" s="338"/>
    </row>
    <row r="502" ht="12.75" customHeight="1">
      <c r="A502" s="321"/>
      <c r="B502" s="338"/>
      <c r="C502" s="338"/>
      <c r="D502" s="415"/>
      <c r="E502" s="338"/>
      <c r="F502" s="338"/>
      <c r="G502" s="338"/>
      <c r="H502" s="338"/>
      <c r="I502" s="338"/>
      <c r="J502" s="338"/>
      <c r="K502" s="338"/>
      <c r="L502" s="356"/>
      <c r="M502" s="356"/>
      <c r="N502" s="321"/>
      <c r="O502" s="338"/>
      <c r="P502" s="338"/>
      <c r="Q502" s="338"/>
      <c r="R502" s="338"/>
      <c r="S502" s="338"/>
      <c r="T502" s="338"/>
      <c r="U502" s="338"/>
      <c r="V502" s="338"/>
      <c r="W502" s="338"/>
      <c r="X502" s="338"/>
      <c r="Y502" s="338"/>
      <c r="Z502" s="338"/>
    </row>
    <row r="503" ht="12.75" customHeight="1">
      <c r="A503" s="321"/>
      <c r="B503" s="338"/>
      <c r="C503" s="338"/>
      <c r="D503" s="415"/>
      <c r="E503" s="338"/>
      <c r="F503" s="338"/>
      <c r="G503" s="338"/>
      <c r="H503" s="338"/>
      <c r="I503" s="338"/>
      <c r="J503" s="338"/>
      <c r="K503" s="338"/>
      <c r="L503" s="356"/>
      <c r="M503" s="356"/>
      <c r="N503" s="321"/>
      <c r="O503" s="338"/>
      <c r="P503" s="338"/>
      <c r="Q503" s="338"/>
      <c r="R503" s="338"/>
      <c r="S503" s="338"/>
      <c r="T503" s="338"/>
      <c r="U503" s="338"/>
      <c r="V503" s="338"/>
      <c r="W503" s="338"/>
      <c r="X503" s="338"/>
      <c r="Y503" s="338"/>
      <c r="Z503" s="338"/>
    </row>
    <row r="504" ht="12.75" customHeight="1">
      <c r="A504" s="321"/>
      <c r="B504" s="338"/>
      <c r="C504" s="338"/>
      <c r="D504" s="415"/>
      <c r="E504" s="338"/>
      <c r="F504" s="338"/>
      <c r="G504" s="338"/>
      <c r="H504" s="338"/>
      <c r="I504" s="338"/>
      <c r="J504" s="338"/>
      <c r="K504" s="338"/>
      <c r="L504" s="356"/>
      <c r="M504" s="356"/>
      <c r="N504" s="321"/>
      <c r="O504" s="338"/>
      <c r="P504" s="338"/>
      <c r="Q504" s="338"/>
      <c r="R504" s="338"/>
      <c r="S504" s="338"/>
      <c r="T504" s="338"/>
      <c r="U504" s="338"/>
      <c r="V504" s="338"/>
      <c r="W504" s="338"/>
      <c r="X504" s="338"/>
      <c r="Y504" s="338"/>
      <c r="Z504" s="338"/>
    </row>
    <row r="505" ht="12.75" customHeight="1">
      <c r="A505" s="321"/>
      <c r="B505" s="338"/>
      <c r="C505" s="338"/>
      <c r="D505" s="415"/>
      <c r="E505" s="338"/>
      <c r="F505" s="338"/>
      <c r="G505" s="338"/>
      <c r="H505" s="338"/>
      <c r="I505" s="338"/>
      <c r="J505" s="338"/>
      <c r="K505" s="338"/>
      <c r="L505" s="356"/>
      <c r="M505" s="356"/>
      <c r="N505" s="321"/>
      <c r="O505" s="338"/>
      <c r="P505" s="338"/>
      <c r="Q505" s="338"/>
      <c r="R505" s="338"/>
      <c r="S505" s="338"/>
      <c r="T505" s="338"/>
      <c r="U505" s="338"/>
      <c r="V505" s="338"/>
      <c r="W505" s="338"/>
      <c r="X505" s="338"/>
      <c r="Y505" s="338"/>
      <c r="Z505" s="338"/>
    </row>
    <row r="506" ht="12.75" customHeight="1">
      <c r="A506" s="321"/>
      <c r="B506" s="338"/>
      <c r="C506" s="338"/>
      <c r="D506" s="415"/>
      <c r="E506" s="338"/>
      <c r="F506" s="338"/>
      <c r="G506" s="338"/>
      <c r="H506" s="338"/>
      <c r="I506" s="338"/>
      <c r="J506" s="338"/>
      <c r="K506" s="338"/>
      <c r="L506" s="356"/>
      <c r="M506" s="356"/>
      <c r="N506" s="321"/>
      <c r="O506" s="338"/>
      <c r="P506" s="338"/>
      <c r="Q506" s="338"/>
      <c r="R506" s="338"/>
      <c r="S506" s="338"/>
      <c r="T506" s="338"/>
      <c r="U506" s="338"/>
      <c r="V506" s="338"/>
      <c r="W506" s="338"/>
      <c r="X506" s="338"/>
      <c r="Y506" s="338"/>
      <c r="Z506" s="338"/>
    </row>
    <row r="507" ht="12.75" customHeight="1">
      <c r="A507" s="321"/>
      <c r="B507" s="338"/>
      <c r="C507" s="338"/>
      <c r="D507" s="415"/>
      <c r="E507" s="338"/>
      <c r="F507" s="338"/>
      <c r="G507" s="338"/>
      <c r="H507" s="338"/>
      <c r="I507" s="338"/>
      <c r="J507" s="338"/>
      <c r="K507" s="338"/>
      <c r="L507" s="356"/>
      <c r="M507" s="356"/>
      <c r="N507" s="321"/>
      <c r="O507" s="338"/>
      <c r="P507" s="338"/>
      <c r="Q507" s="338"/>
      <c r="R507" s="338"/>
      <c r="S507" s="338"/>
      <c r="T507" s="338"/>
      <c r="U507" s="338"/>
      <c r="V507" s="338"/>
      <c r="W507" s="338"/>
      <c r="X507" s="338"/>
      <c r="Y507" s="338"/>
      <c r="Z507" s="338"/>
    </row>
    <row r="508" ht="12.75" customHeight="1">
      <c r="A508" s="321"/>
      <c r="B508" s="338"/>
      <c r="C508" s="338"/>
      <c r="D508" s="415"/>
      <c r="E508" s="338"/>
      <c r="F508" s="338"/>
      <c r="G508" s="338"/>
      <c r="H508" s="338"/>
      <c r="I508" s="338"/>
      <c r="J508" s="338"/>
      <c r="K508" s="338"/>
      <c r="L508" s="356"/>
      <c r="M508" s="356"/>
      <c r="N508" s="321"/>
      <c r="O508" s="338"/>
      <c r="P508" s="338"/>
      <c r="Q508" s="338"/>
      <c r="R508" s="338"/>
      <c r="S508" s="338"/>
      <c r="T508" s="338"/>
      <c r="U508" s="338"/>
      <c r="V508" s="338"/>
      <c r="W508" s="338"/>
      <c r="X508" s="338"/>
      <c r="Y508" s="338"/>
      <c r="Z508" s="338"/>
    </row>
    <row r="509" ht="12.75" customHeight="1">
      <c r="A509" s="321"/>
      <c r="B509" s="338"/>
      <c r="C509" s="338"/>
      <c r="D509" s="415"/>
      <c r="E509" s="338"/>
      <c r="F509" s="338"/>
      <c r="G509" s="338"/>
      <c r="H509" s="338"/>
      <c r="I509" s="338"/>
      <c r="J509" s="338"/>
      <c r="K509" s="338"/>
      <c r="L509" s="356"/>
      <c r="M509" s="356"/>
      <c r="N509" s="321"/>
      <c r="O509" s="338"/>
      <c r="P509" s="338"/>
      <c r="Q509" s="338"/>
      <c r="R509" s="338"/>
      <c r="S509" s="338"/>
      <c r="T509" s="338"/>
      <c r="U509" s="338"/>
      <c r="V509" s="338"/>
      <c r="W509" s="338"/>
      <c r="X509" s="338"/>
      <c r="Y509" s="338"/>
      <c r="Z509" s="338"/>
    </row>
    <row r="510" ht="12.75" customHeight="1">
      <c r="A510" s="321"/>
      <c r="B510" s="338"/>
      <c r="C510" s="338"/>
      <c r="D510" s="415"/>
      <c r="E510" s="338"/>
      <c r="F510" s="338"/>
      <c r="G510" s="338"/>
      <c r="H510" s="338"/>
      <c r="I510" s="338"/>
      <c r="J510" s="338"/>
      <c r="K510" s="338"/>
      <c r="L510" s="356"/>
      <c r="M510" s="356"/>
      <c r="N510" s="321"/>
      <c r="O510" s="338"/>
      <c r="P510" s="338"/>
      <c r="Q510" s="338"/>
      <c r="R510" s="338"/>
      <c r="S510" s="338"/>
      <c r="T510" s="338"/>
      <c r="U510" s="338"/>
      <c r="V510" s="338"/>
      <c r="W510" s="338"/>
      <c r="X510" s="338"/>
      <c r="Y510" s="338"/>
      <c r="Z510" s="338"/>
    </row>
    <row r="511" ht="12.75" customHeight="1">
      <c r="A511" s="321"/>
      <c r="B511" s="338"/>
      <c r="C511" s="338"/>
      <c r="D511" s="415"/>
      <c r="E511" s="338"/>
      <c r="F511" s="338"/>
      <c r="G511" s="338"/>
      <c r="H511" s="338"/>
      <c r="I511" s="338"/>
      <c r="J511" s="338"/>
      <c r="K511" s="338"/>
      <c r="L511" s="356"/>
      <c r="M511" s="356"/>
      <c r="N511" s="321"/>
      <c r="O511" s="338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</row>
    <row r="512" ht="12.75" customHeight="1">
      <c r="A512" s="321"/>
      <c r="B512" s="338"/>
      <c r="C512" s="338"/>
      <c r="D512" s="415"/>
      <c r="E512" s="338"/>
      <c r="F512" s="338"/>
      <c r="G512" s="338"/>
      <c r="H512" s="338"/>
      <c r="I512" s="338"/>
      <c r="J512" s="338"/>
      <c r="K512" s="338"/>
      <c r="L512" s="356"/>
      <c r="M512" s="356"/>
      <c r="N512" s="321"/>
      <c r="O512" s="338"/>
      <c r="P512" s="338"/>
      <c r="Q512" s="338"/>
      <c r="R512" s="338"/>
      <c r="S512" s="338"/>
      <c r="T512" s="338"/>
      <c r="U512" s="338"/>
      <c r="V512" s="338"/>
      <c r="W512" s="338"/>
      <c r="X512" s="338"/>
      <c r="Y512" s="338"/>
      <c r="Z512" s="338"/>
    </row>
    <row r="513" ht="12.75" customHeight="1">
      <c r="A513" s="321"/>
      <c r="B513" s="338"/>
      <c r="C513" s="338"/>
      <c r="D513" s="415"/>
      <c r="E513" s="338"/>
      <c r="F513" s="338"/>
      <c r="G513" s="338"/>
      <c r="H513" s="338"/>
      <c r="I513" s="338"/>
      <c r="J513" s="338"/>
      <c r="K513" s="338"/>
      <c r="L513" s="356"/>
      <c r="M513" s="356"/>
      <c r="N513" s="321"/>
      <c r="O513" s="338"/>
      <c r="P513" s="338"/>
      <c r="Q513" s="338"/>
      <c r="R513" s="338"/>
      <c r="S513" s="338"/>
      <c r="T513" s="338"/>
      <c r="U513" s="338"/>
      <c r="V513" s="338"/>
      <c r="W513" s="338"/>
      <c r="X513" s="338"/>
      <c r="Y513" s="338"/>
      <c r="Z513" s="338"/>
    </row>
    <row r="514" ht="12.75" customHeight="1">
      <c r="A514" s="321"/>
      <c r="B514" s="338"/>
      <c r="C514" s="338"/>
      <c r="D514" s="415"/>
      <c r="E514" s="338"/>
      <c r="F514" s="338"/>
      <c r="G514" s="338"/>
      <c r="H514" s="338"/>
      <c r="I514" s="338"/>
      <c r="J514" s="338"/>
      <c r="K514" s="338"/>
      <c r="L514" s="356"/>
      <c r="M514" s="356"/>
      <c r="N514" s="321"/>
      <c r="O514" s="338"/>
      <c r="P514" s="338"/>
      <c r="Q514" s="338"/>
      <c r="R514" s="338"/>
      <c r="S514" s="338"/>
      <c r="T514" s="338"/>
      <c r="U514" s="338"/>
      <c r="V514" s="338"/>
      <c r="W514" s="338"/>
      <c r="X514" s="338"/>
      <c r="Y514" s="338"/>
      <c r="Z514" s="338"/>
    </row>
    <row r="515" ht="12.75" customHeight="1">
      <c r="A515" s="321"/>
      <c r="B515" s="338"/>
      <c r="C515" s="338"/>
      <c r="D515" s="415"/>
      <c r="E515" s="338"/>
      <c r="F515" s="338"/>
      <c r="G515" s="338"/>
      <c r="H515" s="338"/>
      <c r="I515" s="338"/>
      <c r="J515" s="338"/>
      <c r="K515" s="338"/>
      <c r="L515" s="356"/>
      <c r="M515" s="356"/>
      <c r="N515" s="321"/>
      <c r="O515" s="338"/>
      <c r="P515" s="338"/>
      <c r="Q515" s="338"/>
      <c r="R515" s="338"/>
      <c r="S515" s="338"/>
      <c r="T515" s="338"/>
      <c r="U515" s="338"/>
      <c r="V515" s="338"/>
      <c r="W515" s="338"/>
      <c r="X515" s="338"/>
      <c r="Y515" s="338"/>
      <c r="Z515" s="338"/>
    </row>
    <row r="516" ht="12.75" customHeight="1">
      <c r="A516" s="321"/>
      <c r="B516" s="338"/>
      <c r="C516" s="338"/>
      <c r="D516" s="415"/>
      <c r="E516" s="338"/>
      <c r="F516" s="338"/>
      <c r="G516" s="338"/>
      <c r="H516" s="338"/>
      <c r="I516" s="338"/>
      <c r="J516" s="338"/>
      <c r="K516" s="338"/>
      <c r="L516" s="356"/>
      <c r="M516" s="356"/>
      <c r="N516" s="321"/>
      <c r="O516" s="338"/>
      <c r="P516" s="338"/>
      <c r="Q516" s="338"/>
      <c r="R516" s="338"/>
      <c r="S516" s="338"/>
      <c r="T516" s="338"/>
      <c r="U516" s="338"/>
      <c r="V516" s="338"/>
      <c r="W516" s="338"/>
      <c r="X516" s="338"/>
      <c r="Y516" s="338"/>
      <c r="Z516" s="338"/>
    </row>
    <row r="517" ht="12.75" customHeight="1">
      <c r="A517" s="321"/>
      <c r="B517" s="338"/>
      <c r="C517" s="338"/>
      <c r="D517" s="415"/>
      <c r="E517" s="338"/>
      <c r="F517" s="338"/>
      <c r="G517" s="338"/>
      <c r="H517" s="338"/>
      <c r="I517" s="338"/>
      <c r="J517" s="338"/>
      <c r="K517" s="338"/>
      <c r="L517" s="356"/>
      <c r="M517" s="356"/>
      <c r="N517" s="321"/>
      <c r="O517" s="338"/>
      <c r="P517" s="338"/>
      <c r="Q517" s="338"/>
      <c r="R517" s="338"/>
      <c r="S517" s="338"/>
      <c r="T517" s="338"/>
      <c r="U517" s="338"/>
      <c r="V517" s="338"/>
      <c r="W517" s="338"/>
      <c r="X517" s="338"/>
      <c r="Y517" s="338"/>
      <c r="Z517" s="338"/>
    </row>
    <row r="518" ht="12.75" customHeight="1">
      <c r="A518" s="321"/>
      <c r="B518" s="338"/>
      <c r="C518" s="338"/>
      <c r="D518" s="415"/>
      <c r="E518" s="338"/>
      <c r="F518" s="338"/>
      <c r="G518" s="338"/>
      <c r="H518" s="338"/>
      <c r="I518" s="338"/>
      <c r="J518" s="338"/>
      <c r="K518" s="338"/>
      <c r="L518" s="356"/>
      <c r="M518" s="356"/>
      <c r="N518" s="321"/>
      <c r="O518" s="338"/>
      <c r="P518" s="338"/>
      <c r="Q518" s="338"/>
      <c r="R518" s="338"/>
      <c r="S518" s="338"/>
      <c r="T518" s="338"/>
      <c r="U518" s="338"/>
      <c r="V518" s="338"/>
      <c r="W518" s="338"/>
      <c r="X518" s="338"/>
      <c r="Y518" s="338"/>
      <c r="Z518" s="338"/>
    </row>
    <row r="519" ht="12.75" customHeight="1">
      <c r="A519" s="321"/>
      <c r="B519" s="338"/>
      <c r="C519" s="338"/>
      <c r="D519" s="415"/>
      <c r="E519" s="338"/>
      <c r="F519" s="338"/>
      <c r="G519" s="338"/>
      <c r="H519" s="338"/>
      <c r="I519" s="338"/>
      <c r="J519" s="338"/>
      <c r="K519" s="338"/>
      <c r="L519" s="356"/>
      <c r="M519" s="356"/>
      <c r="N519" s="321"/>
      <c r="O519" s="338"/>
      <c r="P519" s="338"/>
      <c r="Q519" s="338"/>
      <c r="R519" s="338"/>
      <c r="S519" s="338"/>
      <c r="T519" s="338"/>
      <c r="U519" s="338"/>
      <c r="V519" s="338"/>
      <c r="W519" s="338"/>
      <c r="X519" s="338"/>
      <c r="Y519" s="338"/>
      <c r="Z519" s="338"/>
    </row>
    <row r="520" ht="12.75" customHeight="1">
      <c r="A520" s="321"/>
      <c r="B520" s="338"/>
      <c r="C520" s="338"/>
      <c r="D520" s="415"/>
      <c r="E520" s="338"/>
      <c r="F520" s="338"/>
      <c r="G520" s="338"/>
      <c r="H520" s="338"/>
      <c r="I520" s="338"/>
      <c r="J520" s="338"/>
      <c r="K520" s="338"/>
      <c r="L520" s="356"/>
      <c r="M520" s="356"/>
      <c r="N520" s="321"/>
      <c r="O520" s="338"/>
      <c r="P520" s="338"/>
      <c r="Q520" s="338"/>
      <c r="R520" s="338"/>
      <c r="S520" s="338"/>
      <c r="T520" s="338"/>
      <c r="U520" s="338"/>
      <c r="V520" s="338"/>
      <c r="W520" s="338"/>
      <c r="X520" s="338"/>
      <c r="Y520" s="338"/>
      <c r="Z520" s="338"/>
    </row>
    <row r="521" ht="12.75" customHeight="1">
      <c r="A521" s="321"/>
      <c r="B521" s="338"/>
      <c r="C521" s="338"/>
      <c r="D521" s="415"/>
      <c r="E521" s="338"/>
      <c r="F521" s="338"/>
      <c r="G521" s="338"/>
      <c r="H521" s="338"/>
      <c r="I521" s="338"/>
      <c r="J521" s="338"/>
      <c r="K521" s="338"/>
      <c r="L521" s="356"/>
      <c r="M521" s="356"/>
      <c r="N521" s="321"/>
      <c r="O521" s="338"/>
      <c r="P521" s="338"/>
      <c r="Q521" s="338"/>
      <c r="R521" s="338"/>
      <c r="S521" s="338"/>
      <c r="T521" s="338"/>
      <c r="U521" s="338"/>
      <c r="V521" s="338"/>
      <c r="W521" s="338"/>
      <c r="X521" s="338"/>
      <c r="Y521" s="338"/>
      <c r="Z521" s="338"/>
    </row>
    <row r="522" ht="12.75" customHeight="1">
      <c r="A522" s="321"/>
      <c r="B522" s="338"/>
      <c r="C522" s="338"/>
      <c r="D522" s="415"/>
      <c r="E522" s="338"/>
      <c r="F522" s="338"/>
      <c r="G522" s="338"/>
      <c r="H522" s="338"/>
      <c r="I522" s="338"/>
      <c r="J522" s="338"/>
      <c r="K522" s="338"/>
      <c r="L522" s="356"/>
      <c r="M522" s="356"/>
      <c r="N522" s="321"/>
      <c r="O522" s="338"/>
      <c r="P522" s="338"/>
      <c r="Q522" s="338"/>
      <c r="R522" s="338"/>
      <c r="S522" s="338"/>
      <c r="T522" s="338"/>
      <c r="U522" s="338"/>
      <c r="V522" s="338"/>
      <c r="W522" s="338"/>
      <c r="X522" s="338"/>
      <c r="Y522" s="338"/>
      <c r="Z522" s="338"/>
    </row>
    <row r="523" ht="12.75" customHeight="1">
      <c r="A523" s="321"/>
      <c r="B523" s="338"/>
      <c r="C523" s="338"/>
      <c r="D523" s="415"/>
      <c r="E523" s="338"/>
      <c r="F523" s="338"/>
      <c r="G523" s="338"/>
      <c r="H523" s="338"/>
      <c r="I523" s="338"/>
      <c r="J523" s="338"/>
      <c r="K523" s="338"/>
      <c r="L523" s="356"/>
      <c r="M523" s="356"/>
      <c r="N523" s="321"/>
      <c r="O523" s="338"/>
      <c r="P523" s="338"/>
      <c r="Q523" s="338"/>
      <c r="R523" s="338"/>
      <c r="S523" s="338"/>
      <c r="T523" s="338"/>
      <c r="U523" s="338"/>
      <c r="V523" s="338"/>
      <c r="W523" s="338"/>
      <c r="X523" s="338"/>
      <c r="Y523" s="338"/>
      <c r="Z523" s="338"/>
    </row>
    <row r="524" ht="12.75" customHeight="1">
      <c r="A524" s="321"/>
      <c r="B524" s="338"/>
      <c r="C524" s="338"/>
      <c r="D524" s="415"/>
      <c r="E524" s="338"/>
      <c r="F524" s="338"/>
      <c r="G524" s="338"/>
      <c r="H524" s="338"/>
      <c r="I524" s="338"/>
      <c r="J524" s="338"/>
      <c r="K524" s="338"/>
      <c r="L524" s="356"/>
      <c r="M524" s="356"/>
      <c r="N524" s="321"/>
      <c r="O524" s="338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</row>
    <row r="525" ht="12.75" customHeight="1">
      <c r="A525" s="321"/>
      <c r="B525" s="338"/>
      <c r="C525" s="338"/>
      <c r="D525" s="415"/>
      <c r="E525" s="338"/>
      <c r="F525" s="338"/>
      <c r="G525" s="338"/>
      <c r="H525" s="338"/>
      <c r="I525" s="338"/>
      <c r="J525" s="338"/>
      <c r="K525" s="338"/>
      <c r="L525" s="356"/>
      <c r="M525" s="356"/>
      <c r="N525" s="321"/>
      <c r="O525" s="338"/>
      <c r="P525" s="338"/>
      <c r="Q525" s="338"/>
      <c r="R525" s="338"/>
      <c r="S525" s="338"/>
      <c r="T525" s="338"/>
      <c r="U525" s="338"/>
      <c r="V525" s="338"/>
      <c r="W525" s="338"/>
      <c r="X525" s="338"/>
      <c r="Y525" s="338"/>
      <c r="Z525" s="338"/>
    </row>
    <row r="526" ht="12.75" customHeight="1">
      <c r="A526" s="321"/>
      <c r="B526" s="338"/>
      <c r="C526" s="338"/>
      <c r="D526" s="415"/>
      <c r="E526" s="338"/>
      <c r="F526" s="338"/>
      <c r="G526" s="338"/>
      <c r="H526" s="338"/>
      <c r="I526" s="338"/>
      <c r="J526" s="338"/>
      <c r="K526" s="338"/>
      <c r="L526" s="356"/>
      <c r="M526" s="356"/>
      <c r="N526" s="321"/>
      <c r="O526" s="338"/>
      <c r="P526" s="338"/>
      <c r="Q526" s="338"/>
      <c r="R526" s="338"/>
      <c r="S526" s="338"/>
      <c r="T526" s="338"/>
      <c r="U526" s="338"/>
      <c r="V526" s="338"/>
      <c r="W526" s="338"/>
      <c r="X526" s="338"/>
      <c r="Y526" s="338"/>
      <c r="Z526" s="338"/>
    </row>
    <row r="527" ht="12.75" customHeight="1">
      <c r="A527" s="321"/>
      <c r="B527" s="338"/>
      <c r="C527" s="338"/>
      <c r="D527" s="415"/>
      <c r="E527" s="338"/>
      <c r="F527" s="338"/>
      <c r="G527" s="338"/>
      <c r="H527" s="338"/>
      <c r="I527" s="338"/>
      <c r="J527" s="338"/>
      <c r="K527" s="338"/>
      <c r="L527" s="356"/>
      <c r="M527" s="356"/>
      <c r="N527" s="321"/>
      <c r="O527" s="338"/>
      <c r="P527" s="338"/>
      <c r="Q527" s="338"/>
      <c r="R527" s="338"/>
      <c r="S527" s="338"/>
      <c r="T527" s="338"/>
      <c r="U527" s="338"/>
      <c r="V527" s="338"/>
      <c r="W527" s="338"/>
      <c r="X527" s="338"/>
      <c r="Y527" s="338"/>
      <c r="Z527" s="338"/>
    </row>
    <row r="528" ht="12.75" customHeight="1">
      <c r="A528" s="321"/>
      <c r="B528" s="338"/>
      <c r="C528" s="338"/>
      <c r="D528" s="415"/>
      <c r="E528" s="338"/>
      <c r="F528" s="338"/>
      <c r="G528" s="338"/>
      <c r="H528" s="338"/>
      <c r="I528" s="338"/>
      <c r="J528" s="338"/>
      <c r="K528" s="338"/>
      <c r="L528" s="356"/>
      <c r="M528" s="356"/>
      <c r="N528" s="321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</row>
    <row r="529" ht="12.75" customHeight="1">
      <c r="A529" s="321"/>
      <c r="B529" s="338"/>
      <c r="C529" s="338"/>
      <c r="D529" s="415"/>
      <c r="E529" s="338"/>
      <c r="F529" s="338"/>
      <c r="G529" s="338"/>
      <c r="H529" s="338"/>
      <c r="I529" s="338"/>
      <c r="J529" s="338"/>
      <c r="K529" s="338"/>
      <c r="L529" s="356"/>
      <c r="M529" s="356"/>
      <c r="N529" s="321"/>
      <c r="O529" s="338"/>
      <c r="P529" s="338"/>
      <c r="Q529" s="338"/>
      <c r="R529" s="338"/>
      <c r="S529" s="338"/>
      <c r="T529" s="338"/>
      <c r="U529" s="338"/>
      <c r="V529" s="338"/>
      <c r="W529" s="338"/>
      <c r="X529" s="338"/>
      <c r="Y529" s="338"/>
      <c r="Z529" s="338"/>
    </row>
    <row r="530" ht="12.75" customHeight="1">
      <c r="A530" s="321"/>
      <c r="B530" s="338"/>
      <c r="C530" s="338"/>
      <c r="D530" s="415"/>
      <c r="E530" s="338"/>
      <c r="F530" s="338"/>
      <c r="G530" s="338"/>
      <c r="H530" s="338"/>
      <c r="I530" s="338"/>
      <c r="J530" s="338"/>
      <c r="K530" s="338"/>
      <c r="L530" s="356"/>
      <c r="M530" s="356"/>
      <c r="N530" s="321"/>
      <c r="O530" s="338"/>
      <c r="P530" s="338"/>
      <c r="Q530" s="338"/>
      <c r="R530" s="338"/>
      <c r="S530" s="338"/>
      <c r="T530" s="338"/>
      <c r="U530" s="338"/>
      <c r="V530" s="338"/>
      <c r="W530" s="338"/>
      <c r="X530" s="338"/>
      <c r="Y530" s="338"/>
      <c r="Z530" s="338"/>
    </row>
    <row r="531" ht="12.75" customHeight="1">
      <c r="A531" s="321"/>
      <c r="B531" s="338"/>
      <c r="C531" s="338"/>
      <c r="D531" s="415"/>
      <c r="E531" s="338"/>
      <c r="F531" s="338"/>
      <c r="G531" s="338"/>
      <c r="H531" s="338"/>
      <c r="I531" s="338"/>
      <c r="J531" s="338"/>
      <c r="K531" s="338"/>
      <c r="L531" s="356"/>
      <c r="M531" s="356"/>
      <c r="N531" s="321"/>
      <c r="O531" s="338"/>
      <c r="P531" s="338"/>
      <c r="Q531" s="338"/>
      <c r="R531" s="338"/>
      <c r="S531" s="338"/>
      <c r="T531" s="338"/>
      <c r="U531" s="338"/>
      <c r="V531" s="338"/>
      <c r="W531" s="338"/>
      <c r="X531" s="338"/>
      <c r="Y531" s="338"/>
      <c r="Z531" s="338"/>
    </row>
    <row r="532" ht="12.75" customHeight="1">
      <c r="A532" s="321"/>
      <c r="B532" s="338"/>
      <c r="C532" s="338"/>
      <c r="D532" s="415"/>
      <c r="E532" s="338"/>
      <c r="F532" s="338"/>
      <c r="G532" s="338"/>
      <c r="H532" s="338"/>
      <c r="I532" s="338"/>
      <c r="J532" s="338"/>
      <c r="K532" s="338"/>
      <c r="L532" s="356"/>
      <c r="M532" s="356"/>
      <c r="N532" s="321"/>
      <c r="O532" s="338"/>
      <c r="P532" s="338"/>
      <c r="Q532" s="338"/>
      <c r="R532" s="338"/>
      <c r="S532" s="338"/>
      <c r="T532" s="338"/>
      <c r="U532" s="338"/>
      <c r="V532" s="338"/>
      <c r="W532" s="338"/>
      <c r="X532" s="338"/>
      <c r="Y532" s="338"/>
      <c r="Z532" s="338"/>
    </row>
    <row r="533" ht="12.75" customHeight="1">
      <c r="A533" s="321"/>
      <c r="B533" s="338"/>
      <c r="C533" s="338"/>
      <c r="D533" s="415"/>
      <c r="E533" s="338"/>
      <c r="F533" s="338"/>
      <c r="G533" s="338"/>
      <c r="H533" s="338"/>
      <c r="I533" s="338"/>
      <c r="J533" s="338"/>
      <c r="K533" s="338"/>
      <c r="L533" s="356"/>
      <c r="M533" s="356"/>
      <c r="N533" s="321"/>
      <c r="O533" s="338"/>
      <c r="P533" s="338"/>
      <c r="Q533" s="338"/>
      <c r="R533" s="338"/>
      <c r="S533" s="338"/>
      <c r="T533" s="338"/>
      <c r="U533" s="338"/>
      <c r="V533" s="338"/>
      <c r="W533" s="338"/>
      <c r="X533" s="338"/>
      <c r="Y533" s="338"/>
      <c r="Z533" s="338"/>
    </row>
    <row r="534" ht="12.75" customHeight="1">
      <c r="A534" s="321"/>
      <c r="B534" s="338"/>
      <c r="C534" s="338"/>
      <c r="D534" s="415"/>
      <c r="E534" s="338"/>
      <c r="F534" s="338"/>
      <c r="G534" s="338"/>
      <c r="H534" s="338"/>
      <c r="I534" s="338"/>
      <c r="J534" s="338"/>
      <c r="K534" s="338"/>
      <c r="L534" s="356"/>
      <c r="M534" s="356"/>
      <c r="N534" s="321"/>
      <c r="O534" s="338"/>
      <c r="P534" s="338"/>
      <c r="Q534" s="338"/>
      <c r="R534" s="338"/>
      <c r="S534" s="338"/>
      <c r="T534" s="338"/>
      <c r="U534" s="338"/>
      <c r="V534" s="338"/>
      <c r="W534" s="338"/>
      <c r="X534" s="338"/>
      <c r="Y534" s="338"/>
      <c r="Z534" s="338"/>
    </row>
    <row r="535" ht="12.75" customHeight="1">
      <c r="A535" s="321"/>
      <c r="B535" s="338"/>
      <c r="C535" s="338"/>
      <c r="D535" s="415"/>
      <c r="E535" s="338"/>
      <c r="F535" s="338"/>
      <c r="G535" s="338"/>
      <c r="H535" s="338"/>
      <c r="I535" s="338"/>
      <c r="J535" s="338"/>
      <c r="K535" s="338"/>
      <c r="L535" s="356"/>
      <c r="M535" s="356"/>
      <c r="N535" s="321"/>
      <c r="O535" s="338"/>
      <c r="P535" s="338"/>
      <c r="Q535" s="338"/>
      <c r="R535" s="338"/>
      <c r="S535" s="338"/>
      <c r="T535" s="338"/>
      <c r="U535" s="338"/>
      <c r="V535" s="338"/>
      <c r="W535" s="338"/>
      <c r="X535" s="338"/>
      <c r="Y535" s="338"/>
      <c r="Z535" s="338"/>
    </row>
    <row r="536" ht="12.75" customHeight="1">
      <c r="A536" s="321"/>
      <c r="B536" s="338"/>
      <c r="C536" s="338"/>
      <c r="D536" s="415"/>
      <c r="E536" s="338"/>
      <c r="F536" s="338"/>
      <c r="G536" s="338"/>
      <c r="H536" s="338"/>
      <c r="I536" s="338"/>
      <c r="J536" s="338"/>
      <c r="K536" s="338"/>
      <c r="L536" s="356"/>
      <c r="M536" s="356"/>
      <c r="N536" s="321"/>
      <c r="O536" s="338"/>
      <c r="P536" s="338"/>
      <c r="Q536" s="338"/>
      <c r="R536" s="338"/>
      <c r="S536" s="338"/>
      <c r="T536" s="338"/>
      <c r="U536" s="338"/>
      <c r="V536" s="338"/>
      <c r="W536" s="338"/>
      <c r="X536" s="338"/>
      <c r="Y536" s="338"/>
      <c r="Z536" s="338"/>
    </row>
    <row r="537" ht="12.75" customHeight="1">
      <c r="A537" s="321"/>
      <c r="B537" s="338"/>
      <c r="C537" s="338"/>
      <c r="D537" s="415"/>
      <c r="E537" s="338"/>
      <c r="F537" s="338"/>
      <c r="G537" s="338"/>
      <c r="H537" s="338"/>
      <c r="I537" s="338"/>
      <c r="J537" s="338"/>
      <c r="K537" s="338"/>
      <c r="L537" s="356"/>
      <c r="M537" s="356"/>
      <c r="N537" s="321"/>
      <c r="O537" s="338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</row>
    <row r="538" ht="12.75" customHeight="1">
      <c r="A538" s="321"/>
      <c r="B538" s="338"/>
      <c r="C538" s="338"/>
      <c r="D538" s="415"/>
      <c r="E538" s="338"/>
      <c r="F538" s="338"/>
      <c r="G538" s="338"/>
      <c r="H538" s="338"/>
      <c r="I538" s="338"/>
      <c r="J538" s="338"/>
      <c r="K538" s="338"/>
      <c r="L538" s="356"/>
      <c r="M538" s="356"/>
      <c r="N538" s="321"/>
      <c r="O538" s="338"/>
      <c r="P538" s="338"/>
      <c r="Q538" s="338"/>
      <c r="R538" s="338"/>
      <c r="S538" s="338"/>
      <c r="T538" s="338"/>
      <c r="U538" s="338"/>
      <c r="V538" s="338"/>
      <c r="W538" s="338"/>
      <c r="X538" s="338"/>
      <c r="Y538" s="338"/>
      <c r="Z538" s="338"/>
    </row>
    <row r="539" ht="12.75" customHeight="1">
      <c r="A539" s="321"/>
      <c r="B539" s="338"/>
      <c r="C539" s="338"/>
      <c r="D539" s="415"/>
      <c r="E539" s="338"/>
      <c r="F539" s="338"/>
      <c r="G539" s="338"/>
      <c r="H539" s="338"/>
      <c r="I539" s="338"/>
      <c r="J539" s="338"/>
      <c r="K539" s="338"/>
      <c r="L539" s="356"/>
      <c r="M539" s="356"/>
      <c r="N539" s="321"/>
      <c r="O539" s="338"/>
      <c r="P539" s="338"/>
      <c r="Q539" s="338"/>
      <c r="R539" s="338"/>
      <c r="S539" s="338"/>
      <c r="T539" s="338"/>
      <c r="U539" s="338"/>
      <c r="V539" s="338"/>
      <c r="W539" s="338"/>
      <c r="X539" s="338"/>
      <c r="Y539" s="338"/>
      <c r="Z539" s="338"/>
    </row>
    <row r="540" ht="12.75" customHeight="1">
      <c r="A540" s="321"/>
      <c r="B540" s="338"/>
      <c r="C540" s="338"/>
      <c r="D540" s="415"/>
      <c r="E540" s="338"/>
      <c r="F540" s="338"/>
      <c r="G540" s="338"/>
      <c r="H540" s="338"/>
      <c r="I540" s="338"/>
      <c r="J540" s="338"/>
      <c r="K540" s="338"/>
      <c r="L540" s="356"/>
      <c r="M540" s="356"/>
      <c r="N540" s="321"/>
      <c r="O540" s="338"/>
      <c r="P540" s="338"/>
      <c r="Q540" s="338"/>
      <c r="R540" s="338"/>
      <c r="S540" s="338"/>
      <c r="T540" s="338"/>
      <c r="U540" s="338"/>
      <c r="V540" s="338"/>
      <c r="W540" s="338"/>
      <c r="X540" s="338"/>
      <c r="Y540" s="338"/>
      <c r="Z540" s="338"/>
    </row>
    <row r="541" ht="12.75" customHeight="1">
      <c r="A541" s="321"/>
      <c r="B541" s="338"/>
      <c r="C541" s="338"/>
      <c r="D541" s="415"/>
      <c r="E541" s="338"/>
      <c r="F541" s="338"/>
      <c r="G541" s="338"/>
      <c r="H541" s="338"/>
      <c r="I541" s="338"/>
      <c r="J541" s="338"/>
      <c r="K541" s="338"/>
      <c r="L541" s="356"/>
      <c r="M541" s="356"/>
      <c r="N541" s="321"/>
      <c r="O541" s="338"/>
      <c r="P541" s="338"/>
      <c r="Q541" s="338"/>
      <c r="R541" s="338"/>
      <c r="S541" s="338"/>
      <c r="T541" s="338"/>
      <c r="U541" s="338"/>
      <c r="V541" s="338"/>
      <c r="W541" s="338"/>
      <c r="X541" s="338"/>
      <c r="Y541" s="338"/>
      <c r="Z541" s="338"/>
    </row>
    <row r="542" ht="12.75" customHeight="1">
      <c r="A542" s="321"/>
      <c r="B542" s="338"/>
      <c r="C542" s="338"/>
      <c r="D542" s="415"/>
      <c r="E542" s="338"/>
      <c r="F542" s="338"/>
      <c r="G542" s="338"/>
      <c r="H542" s="338"/>
      <c r="I542" s="338"/>
      <c r="J542" s="338"/>
      <c r="K542" s="338"/>
      <c r="L542" s="356"/>
      <c r="M542" s="356"/>
      <c r="N542" s="321"/>
      <c r="O542" s="338"/>
      <c r="P542" s="338"/>
      <c r="Q542" s="338"/>
      <c r="R542" s="338"/>
      <c r="S542" s="338"/>
      <c r="T542" s="338"/>
      <c r="U542" s="338"/>
      <c r="V542" s="338"/>
      <c r="W542" s="338"/>
      <c r="X542" s="338"/>
      <c r="Y542" s="338"/>
      <c r="Z542" s="338"/>
    </row>
    <row r="543" ht="12.75" customHeight="1">
      <c r="A543" s="321"/>
      <c r="B543" s="338"/>
      <c r="C543" s="338"/>
      <c r="D543" s="415"/>
      <c r="E543" s="338"/>
      <c r="F543" s="338"/>
      <c r="G543" s="338"/>
      <c r="H543" s="338"/>
      <c r="I543" s="338"/>
      <c r="J543" s="338"/>
      <c r="K543" s="338"/>
      <c r="L543" s="356"/>
      <c r="M543" s="356"/>
      <c r="N543" s="321"/>
      <c r="O543" s="338"/>
      <c r="P543" s="338"/>
      <c r="Q543" s="338"/>
      <c r="R543" s="338"/>
      <c r="S543" s="338"/>
      <c r="T543" s="338"/>
      <c r="U543" s="338"/>
      <c r="V543" s="338"/>
      <c r="W543" s="338"/>
      <c r="X543" s="338"/>
      <c r="Y543" s="338"/>
      <c r="Z543" s="338"/>
    </row>
    <row r="544" ht="12.75" customHeight="1">
      <c r="A544" s="321"/>
      <c r="B544" s="338"/>
      <c r="C544" s="338"/>
      <c r="D544" s="415"/>
      <c r="E544" s="338"/>
      <c r="F544" s="338"/>
      <c r="G544" s="338"/>
      <c r="H544" s="338"/>
      <c r="I544" s="338"/>
      <c r="J544" s="338"/>
      <c r="K544" s="338"/>
      <c r="L544" s="356"/>
      <c r="M544" s="356"/>
      <c r="N544" s="321"/>
      <c r="O544" s="338"/>
      <c r="P544" s="338"/>
      <c r="Q544" s="338"/>
      <c r="R544" s="338"/>
      <c r="S544" s="338"/>
      <c r="T544" s="338"/>
      <c r="U544" s="338"/>
      <c r="V544" s="338"/>
      <c r="W544" s="338"/>
      <c r="X544" s="338"/>
      <c r="Y544" s="338"/>
      <c r="Z544" s="338"/>
    </row>
    <row r="545" ht="12.75" customHeight="1">
      <c r="A545" s="321"/>
      <c r="B545" s="338"/>
      <c r="C545" s="338"/>
      <c r="D545" s="415"/>
      <c r="E545" s="338"/>
      <c r="F545" s="338"/>
      <c r="G545" s="338"/>
      <c r="H545" s="338"/>
      <c r="I545" s="338"/>
      <c r="J545" s="338"/>
      <c r="K545" s="338"/>
      <c r="L545" s="356"/>
      <c r="M545" s="356"/>
      <c r="N545" s="321"/>
      <c r="O545" s="338"/>
      <c r="P545" s="338"/>
      <c r="Q545" s="338"/>
      <c r="R545" s="338"/>
      <c r="S545" s="338"/>
      <c r="T545" s="338"/>
      <c r="U545" s="338"/>
      <c r="V545" s="338"/>
      <c r="W545" s="338"/>
      <c r="X545" s="338"/>
      <c r="Y545" s="338"/>
      <c r="Z545" s="338"/>
    </row>
    <row r="546" ht="12.75" customHeight="1">
      <c r="A546" s="321"/>
      <c r="B546" s="338"/>
      <c r="C546" s="338"/>
      <c r="D546" s="415"/>
      <c r="E546" s="338"/>
      <c r="F546" s="338"/>
      <c r="G546" s="338"/>
      <c r="H546" s="338"/>
      <c r="I546" s="338"/>
      <c r="J546" s="338"/>
      <c r="K546" s="338"/>
      <c r="L546" s="356"/>
      <c r="M546" s="356"/>
      <c r="N546" s="321"/>
      <c r="O546" s="338"/>
      <c r="P546" s="338"/>
      <c r="Q546" s="338"/>
      <c r="R546" s="338"/>
      <c r="S546" s="338"/>
      <c r="T546" s="338"/>
      <c r="U546" s="338"/>
      <c r="V546" s="338"/>
      <c r="W546" s="338"/>
      <c r="X546" s="338"/>
      <c r="Y546" s="338"/>
      <c r="Z546" s="338"/>
    </row>
    <row r="547" ht="12.75" customHeight="1">
      <c r="A547" s="321"/>
      <c r="B547" s="338"/>
      <c r="C547" s="338"/>
      <c r="D547" s="415"/>
      <c r="E547" s="338"/>
      <c r="F547" s="338"/>
      <c r="G547" s="338"/>
      <c r="H547" s="338"/>
      <c r="I547" s="338"/>
      <c r="J547" s="338"/>
      <c r="K547" s="338"/>
      <c r="L547" s="356"/>
      <c r="M547" s="356"/>
      <c r="N547" s="321"/>
      <c r="O547" s="338"/>
      <c r="P547" s="338"/>
      <c r="Q547" s="338"/>
      <c r="R547" s="338"/>
      <c r="S547" s="338"/>
      <c r="T547" s="338"/>
      <c r="U547" s="338"/>
      <c r="V547" s="338"/>
      <c r="W547" s="338"/>
      <c r="X547" s="338"/>
      <c r="Y547" s="338"/>
      <c r="Z547" s="338"/>
    </row>
    <row r="548" ht="12.75" customHeight="1">
      <c r="A548" s="321"/>
      <c r="B548" s="338"/>
      <c r="C548" s="338"/>
      <c r="D548" s="415"/>
      <c r="E548" s="338"/>
      <c r="F548" s="338"/>
      <c r="G548" s="338"/>
      <c r="H548" s="338"/>
      <c r="I548" s="338"/>
      <c r="J548" s="338"/>
      <c r="K548" s="338"/>
      <c r="L548" s="356"/>
      <c r="M548" s="356"/>
      <c r="N548" s="321"/>
      <c r="O548" s="338"/>
      <c r="P548" s="338"/>
      <c r="Q548" s="338"/>
      <c r="R548" s="338"/>
      <c r="S548" s="338"/>
      <c r="T548" s="338"/>
      <c r="U548" s="338"/>
      <c r="V548" s="338"/>
      <c r="W548" s="338"/>
      <c r="X548" s="338"/>
      <c r="Y548" s="338"/>
      <c r="Z548" s="338"/>
    </row>
    <row r="549" ht="12.75" customHeight="1">
      <c r="A549" s="321"/>
      <c r="B549" s="338"/>
      <c r="C549" s="338"/>
      <c r="D549" s="415"/>
      <c r="E549" s="338"/>
      <c r="F549" s="338"/>
      <c r="G549" s="338"/>
      <c r="H549" s="338"/>
      <c r="I549" s="338"/>
      <c r="J549" s="338"/>
      <c r="K549" s="338"/>
      <c r="L549" s="356"/>
      <c r="M549" s="356"/>
      <c r="N549" s="321"/>
      <c r="O549" s="338"/>
      <c r="P549" s="338"/>
      <c r="Q549" s="338"/>
      <c r="R549" s="338"/>
      <c r="S549" s="338"/>
      <c r="T549" s="338"/>
      <c r="U549" s="338"/>
      <c r="V549" s="338"/>
      <c r="W549" s="338"/>
      <c r="X549" s="338"/>
      <c r="Y549" s="338"/>
      <c r="Z549" s="338"/>
    </row>
    <row r="550" ht="12.75" customHeight="1">
      <c r="A550" s="321"/>
      <c r="B550" s="338"/>
      <c r="C550" s="338"/>
      <c r="D550" s="415"/>
      <c r="E550" s="338"/>
      <c r="F550" s="338"/>
      <c r="G550" s="338"/>
      <c r="H550" s="338"/>
      <c r="I550" s="338"/>
      <c r="J550" s="338"/>
      <c r="K550" s="338"/>
      <c r="L550" s="356"/>
      <c r="M550" s="356"/>
      <c r="N550" s="321"/>
      <c r="O550" s="338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</row>
    <row r="551" ht="12.75" customHeight="1">
      <c r="A551" s="321"/>
      <c r="B551" s="338"/>
      <c r="C551" s="338"/>
      <c r="D551" s="415"/>
      <c r="E551" s="338"/>
      <c r="F551" s="338"/>
      <c r="G551" s="338"/>
      <c r="H551" s="338"/>
      <c r="I551" s="338"/>
      <c r="J551" s="338"/>
      <c r="K551" s="338"/>
      <c r="L551" s="356"/>
      <c r="M551" s="356"/>
      <c r="N551" s="321"/>
      <c r="O551" s="338"/>
      <c r="P551" s="338"/>
      <c r="Q551" s="338"/>
      <c r="R551" s="338"/>
      <c r="S551" s="338"/>
      <c r="T551" s="338"/>
      <c r="U551" s="338"/>
      <c r="V551" s="338"/>
      <c r="W551" s="338"/>
      <c r="X551" s="338"/>
      <c r="Y551" s="338"/>
      <c r="Z551" s="338"/>
    </row>
    <row r="552" ht="12.75" customHeight="1">
      <c r="A552" s="321"/>
      <c r="B552" s="338"/>
      <c r="C552" s="338"/>
      <c r="D552" s="415"/>
      <c r="E552" s="338"/>
      <c r="F552" s="338"/>
      <c r="G552" s="338"/>
      <c r="H552" s="338"/>
      <c r="I552" s="338"/>
      <c r="J552" s="338"/>
      <c r="K552" s="338"/>
      <c r="L552" s="356"/>
      <c r="M552" s="356"/>
      <c r="N552" s="321"/>
      <c r="O552" s="338"/>
      <c r="P552" s="338"/>
      <c r="Q552" s="338"/>
      <c r="R552" s="338"/>
      <c r="S552" s="338"/>
      <c r="T552" s="338"/>
      <c r="U552" s="338"/>
      <c r="V552" s="338"/>
      <c r="W552" s="338"/>
      <c r="X552" s="338"/>
      <c r="Y552" s="338"/>
      <c r="Z552" s="338"/>
    </row>
    <row r="553" ht="12.75" customHeight="1">
      <c r="A553" s="321"/>
      <c r="B553" s="338"/>
      <c r="C553" s="338"/>
      <c r="D553" s="415"/>
      <c r="E553" s="338"/>
      <c r="F553" s="338"/>
      <c r="G553" s="338"/>
      <c r="H553" s="338"/>
      <c r="I553" s="338"/>
      <c r="J553" s="338"/>
      <c r="K553" s="338"/>
      <c r="L553" s="356"/>
      <c r="M553" s="356"/>
      <c r="N553" s="321"/>
      <c r="O553" s="338"/>
      <c r="P553" s="338"/>
      <c r="Q553" s="338"/>
      <c r="R553" s="338"/>
      <c r="S553" s="338"/>
      <c r="T553" s="338"/>
      <c r="U553" s="338"/>
      <c r="V553" s="338"/>
      <c r="W553" s="338"/>
      <c r="X553" s="338"/>
      <c r="Y553" s="338"/>
      <c r="Z553" s="338"/>
    </row>
    <row r="554" ht="12.75" customHeight="1">
      <c r="A554" s="321"/>
      <c r="B554" s="338"/>
      <c r="C554" s="338"/>
      <c r="D554" s="415"/>
      <c r="E554" s="338"/>
      <c r="F554" s="338"/>
      <c r="G554" s="338"/>
      <c r="H554" s="338"/>
      <c r="I554" s="338"/>
      <c r="J554" s="338"/>
      <c r="K554" s="338"/>
      <c r="L554" s="356"/>
      <c r="M554" s="356"/>
      <c r="N554" s="321"/>
      <c r="O554" s="338"/>
      <c r="P554" s="338"/>
      <c r="Q554" s="338"/>
      <c r="R554" s="338"/>
      <c r="S554" s="338"/>
      <c r="T554" s="338"/>
      <c r="U554" s="338"/>
      <c r="V554" s="338"/>
      <c r="W554" s="338"/>
      <c r="X554" s="338"/>
      <c r="Y554" s="338"/>
      <c r="Z554" s="338"/>
    </row>
    <row r="555" ht="12.75" customHeight="1">
      <c r="A555" s="321"/>
      <c r="B555" s="338"/>
      <c r="C555" s="338"/>
      <c r="D555" s="415"/>
      <c r="E555" s="338"/>
      <c r="F555" s="338"/>
      <c r="G555" s="338"/>
      <c r="H555" s="338"/>
      <c r="I555" s="338"/>
      <c r="J555" s="338"/>
      <c r="K555" s="338"/>
      <c r="L555" s="356"/>
      <c r="M555" s="356"/>
      <c r="N555" s="321"/>
      <c r="O555" s="338"/>
      <c r="P555" s="338"/>
      <c r="Q555" s="338"/>
      <c r="R555" s="338"/>
      <c r="S555" s="338"/>
      <c r="T555" s="338"/>
      <c r="U555" s="338"/>
      <c r="V555" s="338"/>
      <c r="W555" s="338"/>
      <c r="X555" s="338"/>
      <c r="Y555" s="338"/>
      <c r="Z555" s="338"/>
    </row>
    <row r="556" ht="12.75" customHeight="1">
      <c r="A556" s="321"/>
      <c r="B556" s="338"/>
      <c r="C556" s="338"/>
      <c r="D556" s="415"/>
      <c r="E556" s="338"/>
      <c r="F556" s="338"/>
      <c r="G556" s="338"/>
      <c r="H556" s="338"/>
      <c r="I556" s="338"/>
      <c r="J556" s="338"/>
      <c r="K556" s="338"/>
      <c r="L556" s="356"/>
      <c r="M556" s="356"/>
      <c r="N556" s="321"/>
      <c r="O556" s="338"/>
      <c r="P556" s="338"/>
      <c r="Q556" s="338"/>
      <c r="R556" s="338"/>
      <c r="S556" s="338"/>
      <c r="T556" s="338"/>
      <c r="U556" s="338"/>
      <c r="V556" s="338"/>
      <c r="W556" s="338"/>
      <c r="X556" s="338"/>
      <c r="Y556" s="338"/>
      <c r="Z556" s="338"/>
    </row>
    <row r="557" ht="12.75" customHeight="1">
      <c r="A557" s="321"/>
      <c r="B557" s="338"/>
      <c r="C557" s="338"/>
      <c r="D557" s="415"/>
      <c r="E557" s="338"/>
      <c r="F557" s="338"/>
      <c r="G557" s="338"/>
      <c r="H557" s="338"/>
      <c r="I557" s="338"/>
      <c r="J557" s="338"/>
      <c r="K557" s="338"/>
      <c r="L557" s="356"/>
      <c r="M557" s="356"/>
      <c r="N557" s="321"/>
      <c r="O557" s="338"/>
      <c r="P557" s="338"/>
      <c r="Q557" s="338"/>
      <c r="R557" s="338"/>
      <c r="S557" s="338"/>
      <c r="T557" s="338"/>
      <c r="U557" s="338"/>
      <c r="V557" s="338"/>
      <c r="W557" s="338"/>
      <c r="X557" s="338"/>
      <c r="Y557" s="338"/>
      <c r="Z557" s="338"/>
    </row>
    <row r="558" ht="12.75" customHeight="1">
      <c r="A558" s="321"/>
      <c r="B558" s="338"/>
      <c r="C558" s="338"/>
      <c r="D558" s="415"/>
      <c r="E558" s="338"/>
      <c r="F558" s="338"/>
      <c r="G558" s="338"/>
      <c r="H558" s="338"/>
      <c r="I558" s="338"/>
      <c r="J558" s="338"/>
      <c r="K558" s="338"/>
      <c r="L558" s="356"/>
      <c r="M558" s="356"/>
      <c r="N558" s="321"/>
      <c r="O558" s="338"/>
      <c r="P558" s="338"/>
      <c r="Q558" s="338"/>
      <c r="R558" s="338"/>
      <c r="S558" s="338"/>
      <c r="T558" s="338"/>
      <c r="U558" s="338"/>
      <c r="V558" s="338"/>
      <c r="W558" s="338"/>
      <c r="X558" s="338"/>
      <c r="Y558" s="338"/>
      <c r="Z558" s="338"/>
    </row>
    <row r="559" ht="12.75" customHeight="1">
      <c r="A559" s="321"/>
      <c r="B559" s="338"/>
      <c r="C559" s="338"/>
      <c r="D559" s="415"/>
      <c r="E559" s="338"/>
      <c r="F559" s="338"/>
      <c r="G559" s="338"/>
      <c r="H559" s="338"/>
      <c r="I559" s="338"/>
      <c r="J559" s="338"/>
      <c r="K559" s="338"/>
      <c r="L559" s="356"/>
      <c r="M559" s="356"/>
      <c r="N559" s="321"/>
      <c r="O559" s="338"/>
      <c r="P559" s="338"/>
      <c r="Q559" s="338"/>
      <c r="R559" s="338"/>
      <c r="S559" s="338"/>
      <c r="T559" s="338"/>
      <c r="U559" s="338"/>
      <c r="V559" s="338"/>
      <c r="W559" s="338"/>
      <c r="X559" s="338"/>
      <c r="Y559" s="338"/>
      <c r="Z559" s="338"/>
    </row>
    <row r="560" ht="12.75" customHeight="1">
      <c r="A560" s="321"/>
      <c r="B560" s="338"/>
      <c r="C560" s="338"/>
      <c r="D560" s="415"/>
      <c r="E560" s="338"/>
      <c r="F560" s="338"/>
      <c r="G560" s="338"/>
      <c r="H560" s="338"/>
      <c r="I560" s="338"/>
      <c r="J560" s="338"/>
      <c r="K560" s="338"/>
      <c r="L560" s="356"/>
      <c r="M560" s="356"/>
      <c r="N560" s="321"/>
      <c r="O560" s="338"/>
      <c r="P560" s="338"/>
      <c r="Q560" s="338"/>
      <c r="R560" s="338"/>
      <c r="S560" s="338"/>
      <c r="T560" s="338"/>
      <c r="U560" s="338"/>
      <c r="V560" s="338"/>
      <c r="W560" s="338"/>
      <c r="X560" s="338"/>
      <c r="Y560" s="338"/>
      <c r="Z560" s="338"/>
    </row>
    <row r="561" ht="12.75" customHeight="1">
      <c r="A561" s="321"/>
      <c r="B561" s="338"/>
      <c r="C561" s="338"/>
      <c r="D561" s="415"/>
      <c r="E561" s="338"/>
      <c r="F561" s="338"/>
      <c r="G561" s="338"/>
      <c r="H561" s="338"/>
      <c r="I561" s="338"/>
      <c r="J561" s="338"/>
      <c r="K561" s="338"/>
      <c r="L561" s="356"/>
      <c r="M561" s="356"/>
      <c r="N561" s="321"/>
      <c r="O561" s="338"/>
      <c r="P561" s="338"/>
      <c r="Q561" s="338"/>
      <c r="R561" s="338"/>
      <c r="S561" s="338"/>
      <c r="T561" s="338"/>
      <c r="U561" s="338"/>
      <c r="V561" s="338"/>
      <c r="W561" s="338"/>
      <c r="X561" s="338"/>
      <c r="Y561" s="338"/>
      <c r="Z561" s="338"/>
    </row>
    <row r="562" ht="12.75" customHeight="1">
      <c r="A562" s="321"/>
      <c r="B562" s="338"/>
      <c r="C562" s="338"/>
      <c r="D562" s="415"/>
      <c r="E562" s="338"/>
      <c r="F562" s="338"/>
      <c r="G562" s="338"/>
      <c r="H562" s="338"/>
      <c r="I562" s="338"/>
      <c r="J562" s="338"/>
      <c r="K562" s="338"/>
      <c r="L562" s="356"/>
      <c r="M562" s="356"/>
      <c r="N562" s="321"/>
      <c r="O562" s="338"/>
      <c r="P562" s="338"/>
      <c r="Q562" s="338"/>
      <c r="R562" s="338"/>
      <c r="S562" s="338"/>
      <c r="T562" s="338"/>
      <c r="U562" s="338"/>
      <c r="V562" s="338"/>
      <c r="W562" s="338"/>
      <c r="X562" s="338"/>
      <c r="Y562" s="338"/>
      <c r="Z562" s="338"/>
    </row>
    <row r="563" ht="12.75" customHeight="1">
      <c r="A563" s="321"/>
      <c r="B563" s="338"/>
      <c r="C563" s="338"/>
      <c r="D563" s="415"/>
      <c r="E563" s="338"/>
      <c r="F563" s="338"/>
      <c r="G563" s="338"/>
      <c r="H563" s="338"/>
      <c r="I563" s="338"/>
      <c r="J563" s="338"/>
      <c r="K563" s="338"/>
      <c r="L563" s="356"/>
      <c r="M563" s="356"/>
      <c r="N563" s="321"/>
      <c r="O563" s="338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</row>
    <row r="564" ht="12.75" customHeight="1">
      <c r="A564" s="321"/>
      <c r="B564" s="338"/>
      <c r="C564" s="338"/>
      <c r="D564" s="415"/>
      <c r="E564" s="338"/>
      <c r="F564" s="338"/>
      <c r="G564" s="338"/>
      <c r="H564" s="338"/>
      <c r="I564" s="338"/>
      <c r="J564" s="338"/>
      <c r="K564" s="338"/>
      <c r="L564" s="356"/>
      <c r="M564" s="356"/>
      <c r="N564" s="321"/>
      <c r="O564" s="338"/>
      <c r="P564" s="338"/>
      <c r="Q564" s="338"/>
      <c r="R564" s="338"/>
      <c r="S564" s="338"/>
      <c r="T564" s="338"/>
      <c r="U564" s="338"/>
      <c r="V564" s="338"/>
      <c r="W564" s="338"/>
      <c r="X564" s="338"/>
      <c r="Y564" s="338"/>
      <c r="Z564" s="338"/>
    </row>
    <row r="565" ht="12.75" customHeight="1">
      <c r="A565" s="321"/>
      <c r="B565" s="338"/>
      <c r="C565" s="338"/>
      <c r="D565" s="415"/>
      <c r="E565" s="338"/>
      <c r="F565" s="338"/>
      <c r="G565" s="338"/>
      <c r="H565" s="338"/>
      <c r="I565" s="338"/>
      <c r="J565" s="338"/>
      <c r="K565" s="338"/>
      <c r="L565" s="356"/>
      <c r="M565" s="356"/>
      <c r="N565" s="321"/>
      <c r="O565" s="338"/>
      <c r="P565" s="338"/>
      <c r="Q565" s="338"/>
      <c r="R565" s="338"/>
      <c r="S565" s="338"/>
      <c r="T565" s="338"/>
      <c r="U565" s="338"/>
      <c r="V565" s="338"/>
      <c r="W565" s="338"/>
      <c r="X565" s="338"/>
      <c r="Y565" s="338"/>
      <c r="Z565" s="338"/>
    </row>
    <row r="566" ht="12.75" customHeight="1">
      <c r="A566" s="321"/>
      <c r="B566" s="338"/>
      <c r="C566" s="338"/>
      <c r="D566" s="415"/>
      <c r="E566" s="338"/>
      <c r="F566" s="338"/>
      <c r="G566" s="338"/>
      <c r="H566" s="338"/>
      <c r="I566" s="338"/>
      <c r="J566" s="338"/>
      <c r="K566" s="338"/>
      <c r="L566" s="356"/>
      <c r="M566" s="356"/>
      <c r="N566" s="321"/>
      <c r="O566" s="338"/>
      <c r="P566" s="338"/>
      <c r="Q566" s="338"/>
      <c r="R566" s="338"/>
      <c r="S566" s="338"/>
      <c r="T566" s="338"/>
      <c r="U566" s="338"/>
      <c r="V566" s="338"/>
      <c r="W566" s="338"/>
      <c r="X566" s="338"/>
      <c r="Y566" s="338"/>
      <c r="Z566" s="338"/>
    </row>
    <row r="567" ht="12.75" customHeight="1">
      <c r="A567" s="321"/>
      <c r="B567" s="338"/>
      <c r="C567" s="338"/>
      <c r="D567" s="415"/>
      <c r="E567" s="338"/>
      <c r="F567" s="338"/>
      <c r="G567" s="338"/>
      <c r="H567" s="338"/>
      <c r="I567" s="338"/>
      <c r="J567" s="338"/>
      <c r="K567" s="338"/>
      <c r="L567" s="356"/>
      <c r="M567" s="356"/>
      <c r="N567" s="321"/>
      <c r="O567" s="338"/>
      <c r="P567" s="338"/>
      <c r="Q567" s="338"/>
      <c r="R567" s="338"/>
      <c r="S567" s="338"/>
      <c r="T567" s="338"/>
      <c r="U567" s="338"/>
      <c r="V567" s="338"/>
      <c r="W567" s="338"/>
      <c r="X567" s="338"/>
      <c r="Y567" s="338"/>
      <c r="Z567" s="338"/>
    </row>
    <row r="568" ht="12.75" customHeight="1">
      <c r="A568" s="321"/>
      <c r="B568" s="338"/>
      <c r="C568" s="338"/>
      <c r="D568" s="415"/>
      <c r="E568" s="338"/>
      <c r="F568" s="338"/>
      <c r="G568" s="338"/>
      <c r="H568" s="338"/>
      <c r="I568" s="338"/>
      <c r="J568" s="338"/>
      <c r="K568" s="338"/>
      <c r="L568" s="356"/>
      <c r="M568" s="356"/>
      <c r="N568" s="321"/>
      <c r="O568" s="338"/>
      <c r="P568" s="338"/>
      <c r="Q568" s="338"/>
      <c r="R568" s="338"/>
      <c r="S568" s="338"/>
      <c r="T568" s="338"/>
      <c r="U568" s="338"/>
      <c r="V568" s="338"/>
      <c r="W568" s="338"/>
      <c r="X568" s="338"/>
      <c r="Y568" s="338"/>
      <c r="Z568" s="338"/>
    </row>
    <row r="569" ht="12.75" customHeight="1">
      <c r="A569" s="321"/>
      <c r="B569" s="338"/>
      <c r="C569" s="338"/>
      <c r="D569" s="415"/>
      <c r="E569" s="338"/>
      <c r="F569" s="338"/>
      <c r="G569" s="338"/>
      <c r="H569" s="338"/>
      <c r="I569" s="338"/>
      <c r="J569" s="338"/>
      <c r="K569" s="338"/>
      <c r="L569" s="356"/>
      <c r="M569" s="356"/>
      <c r="N569" s="321"/>
      <c r="O569" s="338"/>
      <c r="P569" s="338"/>
      <c r="Q569" s="338"/>
      <c r="R569" s="338"/>
      <c r="S569" s="338"/>
      <c r="T569" s="338"/>
      <c r="U569" s="338"/>
      <c r="V569" s="338"/>
      <c r="W569" s="338"/>
      <c r="X569" s="338"/>
      <c r="Y569" s="338"/>
      <c r="Z569" s="338"/>
    </row>
    <row r="570" ht="12.75" customHeight="1">
      <c r="A570" s="321"/>
      <c r="B570" s="338"/>
      <c r="C570" s="338"/>
      <c r="D570" s="415"/>
      <c r="E570" s="338"/>
      <c r="F570" s="338"/>
      <c r="G570" s="338"/>
      <c r="H570" s="338"/>
      <c r="I570" s="338"/>
      <c r="J570" s="338"/>
      <c r="K570" s="338"/>
      <c r="L570" s="356"/>
      <c r="M570" s="356"/>
      <c r="N570" s="321"/>
      <c r="O570" s="338"/>
      <c r="P570" s="338"/>
      <c r="Q570" s="338"/>
      <c r="R570" s="338"/>
      <c r="S570" s="338"/>
      <c r="T570" s="338"/>
      <c r="U570" s="338"/>
      <c r="V570" s="338"/>
      <c r="W570" s="338"/>
      <c r="X570" s="338"/>
      <c r="Y570" s="338"/>
      <c r="Z570" s="338"/>
    </row>
    <row r="571" ht="12.75" customHeight="1">
      <c r="A571" s="321"/>
      <c r="B571" s="338"/>
      <c r="C571" s="338"/>
      <c r="D571" s="415"/>
      <c r="E571" s="338"/>
      <c r="F571" s="338"/>
      <c r="G571" s="338"/>
      <c r="H571" s="338"/>
      <c r="I571" s="338"/>
      <c r="J571" s="338"/>
      <c r="K571" s="338"/>
      <c r="L571" s="356"/>
      <c r="M571" s="356"/>
      <c r="N571" s="321"/>
      <c r="O571" s="338"/>
      <c r="P571" s="338"/>
      <c r="Q571" s="338"/>
      <c r="R571" s="338"/>
      <c r="S571" s="338"/>
      <c r="T571" s="338"/>
      <c r="U571" s="338"/>
      <c r="V571" s="338"/>
      <c r="W571" s="338"/>
      <c r="X571" s="338"/>
      <c r="Y571" s="338"/>
      <c r="Z571" s="338"/>
    </row>
    <row r="572" ht="12.75" customHeight="1">
      <c r="A572" s="321"/>
      <c r="B572" s="338"/>
      <c r="C572" s="338"/>
      <c r="D572" s="415"/>
      <c r="E572" s="338"/>
      <c r="F572" s="338"/>
      <c r="G572" s="338"/>
      <c r="H572" s="338"/>
      <c r="I572" s="338"/>
      <c r="J572" s="338"/>
      <c r="K572" s="338"/>
      <c r="L572" s="356"/>
      <c r="M572" s="356"/>
      <c r="N572" s="321"/>
      <c r="O572" s="338"/>
      <c r="P572" s="338"/>
      <c r="Q572" s="338"/>
      <c r="R572" s="338"/>
      <c r="S572" s="338"/>
      <c r="T572" s="338"/>
      <c r="U572" s="338"/>
      <c r="V572" s="338"/>
      <c r="W572" s="338"/>
      <c r="X572" s="338"/>
      <c r="Y572" s="338"/>
      <c r="Z572" s="338"/>
    </row>
    <row r="573" ht="12.75" customHeight="1">
      <c r="A573" s="321"/>
      <c r="B573" s="338"/>
      <c r="C573" s="338"/>
      <c r="D573" s="415"/>
      <c r="E573" s="338"/>
      <c r="F573" s="338"/>
      <c r="G573" s="338"/>
      <c r="H573" s="338"/>
      <c r="I573" s="338"/>
      <c r="J573" s="338"/>
      <c r="K573" s="338"/>
      <c r="L573" s="356"/>
      <c r="M573" s="356"/>
      <c r="N573" s="321"/>
      <c r="O573" s="338"/>
      <c r="P573" s="338"/>
      <c r="Q573" s="338"/>
      <c r="R573" s="338"/>
      <c r="S573" s="338"/>
      <c r="T573" s="338"/>
      <c r="U573" s="338"/>
      <c r="V573" s="338"/>
      <c r="W573" s="338"/>
      <c r="X573" s="338"/>
      <c r="Y573" s="338"/>
      <c r="Z573" s="338"/>
    </row>
    <row r="574" ht="12.75" customHeight="1">
      <c r="A574" s="321"/>
      <c r="B574" s="338"/>
      <c r="C574" s="338"/>
      <c r="D574" s="415"/>
      <c r="E574" s="338"/>
      <c r="F574" s="338"/>
      <c r="G574" s="338"/>
      <c r="H574" s="338"/>
      <c r="I574" s="338"/>
      <c r="J574" s="338"/>
      <c r="K574" s="338"/>
      <c r="L574" s="356"/>
      <c r="M574" s="356"/>
      <c r="N574" s="321"/>
      <c r="O574" s="338"/>
      <c r="P574" s="338"/>
      <c r="Q574" s="338"/>
      <c r="R574" s="338"/>
      <c r="S574" s="338"/>
      <c r="T574" s="338"/>
      <c r="U574" s="338"/>
      <c r="V574" s="338"/>
      <c r="W574" s="338"/>
      <c r="X574" s="338"/>
      <c r="Y574" s="338"/>
      <c r="Z574" s="338"/>
    </row>
    <row r="575" ht="12.75" customHeight="1">
      <c r="A575" s="321"/>
      <c r="B575" s="338"/>
      <c r="C575" s="338"/>
      <c r="D575" s="415"/>
      <c r="E575" s="338"/>
      <c r="F575" s="338"/>
      <c r="G575" s="338"/>
      <c r="H575" s="338"/>
      <c r="I575" s="338"/>
      <c r="J575" s="338"/>
      <c r="K575" s="338"/>
      <c r="L575" s="356"/>
      <c r="M575" s="356"/>
      <c r="N575" s="321"/>
      <c r="O575" s="338"/>
      <c r="P575" s="338"/>
      <c r="Q575" s="338"/>
      <c r="R575" s="338"/>
      <c r="S575" s="338"/>
      <c r="T575" s="338"/>
      <c r="U575" s="338"/>
      <c r="V575" s="338"/>
      <c r="W575" s="338"/>
      <c r="X575" s="338"/>
      <c r="Y575" s="338"/>
      <c r="Z575" s="338"/>
    </row>
    <row r="576" ht="12.75" customHeight="1">
      <c r="A576" s="321"/>
      <c r="B576" s="338"/>
      <c r="C576" s="338"/>
      <c r="D576" s="415"/>
      <c r="E576" s="338"/>
      <c r="F576" s="338"/>
      <c r="G576" s="338"/>
      <c r="H576" s="338"/>
      <c r="I576" s="338"/>
      <c r="J576" s="338"/>
      <c r="K576" s="338"/>
      <c r="L576" s="356"/>
      <c r="M576" s="356"/>
      <c r="N576" s="321"/>
      <c r="O576" s="338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</row>
    <row r="577" ht="12.75" customHeight="1">
      <c r="A577" s="321"/>
      <c r="B577" s="338"/>
      <c r="C577" s="338"/>
      <c r="D577" s="415"/>
      <c r="E577" s="338"/>
      <c r="F577" s="338"/>
      <c r="G577" s="338"/>
      <c r="H577" s="338"/>
      <c r="I577" s="338"/>
      <c r="J577" s="338"/>
      <c r="K577" s="338"/>
      <c r="L577" s="356"/>
      <c r="M577" s="356"/>
      <c r="N577" s="321"/>
      <c r="O577" s="338"/>
      <c r="P577" s="338"/>
      <c r="Q577" s="338"/>
      <c r="R577" s="338"/>
      <c r="S577" s="338"/>
      <c r="T577" s="338"/>
      <c r="U577" s="338"/>
      <c r="V577" s="338"/>
      <c r="W577" s="338"/>
      <c r="X577" s="338"/>
      <c r="Y577" s="338"/>
      <c r="Z577" s="338"/>
    </row>
    <row r="578" ht="12.75" customHeight="1">
      <c r="A578" s="321"/>
      <c r="B578" s="338"/>
      <c r="C578" s="338"/>
      <c r="D578" s="415"/>
      <c r="E578" s="338"/>
      <c r="F578" s="338"/>
      <c r="G578" s="338"/>
      <c r="H578" s="338"/>
      <c r="I578" s="338"/>
      <c r="J578" s="338"/>
      <c r="K578" s="338"/>
      <c r="L578" s="356"/>
      <c r="M578" s="356"/>
      <c r="N578" s="321"/>
      <c r="O578" s="338"/>
      <c r="P578" s="338"/>
      <c r="Q578" s="338"/>
      <c r="R578" s="338"/>
      <c r="S578" s="338"/>
      <c r="T578" s="338"/>
      <c r="U578" s="338"/>
      <c r="V578" s="338"/>
      <c r="W578" s="338"/>
      <c r="X578" s="338"/>
      <c r="Y578" s="338"/>
      <c r="Z578" s="338"/>
    </row>
    <row r="579" ht="12.75" customHeight="1">
      <c r="A579" s="321"/>
      <c r="B579" s="338"/>
      <c r="C579" s="338"/>
      <c r="D579" s="415"/>
      <c r="E579" s="338"/>
      <c r="F579" s="338"/>
      <c r="G579" s="338"/>
      <c r="H579" s="338"/>
      <c r="I579" s="338"/>
      <c r="J579" s="338"/>
      <c r="K579" s="338"/>
      <c r="L579" s="356"/>
      <c r="M579" s="356"/>
      <c r="N579" s="321"/>
      <c r="O579" s="338"/>
      <c r="P579" s="338"/>
      <c r="Q579" s="338"/>
      <c r="R579" s="338"/>
      <c r="S579" s="338"/>
      <c r="T579" s="338"/>
      <c r="U579" s="338"/>
      <c r="V579" s="338"/>
      <c r="W579" s="338"/>
      <c r="X579" s="338"/>
      <c r="Y579" s="338"/>
      <c r="Z579" s="338"/>
    </row>
    <row r="580" ht="12.75" customHeight="1">
      <c r="A580" s="321"/>
      <c r="B580" s="338"/>
      <c r="C580" s="338"/>
      <c r="D580" s="415"/>
      <c r="E580" s="338"/>
      <c r="F580" s="338"/>
      <c r="G580" s="338"/>
      <c r="H580" s="338"/>
      <c r="I580" s="338"/>
      <c r="J580" s="338"/>
      <c r="K580" s="338"/>
      <c r="L580" s="356"/>
      <c r="M580" s="356"/>
      <c r="N580" s="321"/>
      <c r="O580" s="338"/>
      <c r="P580" s="338"/>
      <c r="Q580" s="338"/>
      <c r="R580" s="338"/>
      <c r="S580" s="338"/>
      <c r="T580" s="338"/>
      <c r="U580" s="338"/>
      <c r="V580" s="338"/>
      <c r="W580" s="338"/>
      <c r="X580" s="338"/>
      <c r="Y580" s="338"/>
      <c r="Z580" s="338"/>
    </row>
    <row r="581" ht="12.75" customHeight="1">
      <c r="A581" s="321"/>
      <c r="B581" s="338"/>
      <c r="C581" s="338"/>
      <c r="D581" s="415"/>
      <c r="E581" s="338"/>
      <c r="F581" s="338"/>
      <c r="G581" s="338"/>
      <c r="H581" s="338"/>
      <c r="I581" s="338"/>
      <c r="J581" s="338"/>
      <c r="K581" s="338"/>
      <c r="L581" s="356"/>
      <c r="M581" s="356"/>
      <c r="N581" s="321"/>
      <c r="O581" s="338"/>
      <c r="P581" s="338"/>
      <c r="Q581" s="338"/>
      <c r="R581" s="338"/>
      <c r="S581" s="338"/>
      <c r="T581" s="338"/>
      <c r="U581" s="338"/>
      <c r="V581" s="338"/>
      <c r="W581" s="338"/>
      <c r="X581" s="338"/>
      <c r="Y581" s="338"/>
      <c r="Z581" s="338"/>
    </row>
    <row r="582" ht="12.75" customHeight="1">
      <c r="A582" s="321"/>
      <c r="B582" s="338"/>
      <c r="C582" s="338"/>
      <c r="D582" s="415"/>
      <c r="E582" s="338"/>
      <c r="F582" s="338"/>
      <c r="G582" s="338"/>
      <c r="H582" s="338"/>
      <c r="I582" s="338"/>
      <c r="J582" s="338"/>
      <c r="K582" s="338"/>
      <c r="L582" s="356"/>
      <c r="M582" s="356"/>
      <c r="N582" s="321"/>
      <c r="O582" s="338"/>
      <c r="P582" s="338"/>
      <c r="Q582" s="338"/>
      <c r="R582" s="338"/>
      <c r="S582" s="338"/>
      <c r="T582" s="338"/>
      <c r="U582" s="338"/>
      <c r="V582" s="338"/>
      <c r="W582" s="338"/>
      <c r="X582" s="338"/>
      <c r="Y582" s="338"/>
      <c r="Z582" s="338"/>
    </row>
    <row r="583" ht="12.75" customHeight="1">
      <c r="A583" s="321"/>
      <c r="B583" s="338"/>
      <c r="C583" s="338"/>
      <c r="D583" s="415"/>
      <c r="E583" s="338"/>
      <c r="F583" s="338"/>
      <c r="G583" s="338"/>
      <c r="H583" s="338"/>
      <c r="I583" s="338"/>
      <c r="J583" s="338"/>
      <c r="K583" s="338"/>
      <c r="L583" s="356"/>
      <c r="M583" s="356"/>
      <c r="N583" s="321"/>
      <c r="O583" s="338"/>
      <c r="P583" s="338"/>
      <c r="Q583" s="338"/>
      <c r="R583" s="338"/>
      <c r="S583" s="338"/>
      <c r="T583" s="338"/>
      <c r="U583" s="338"/>
      <c r="V583" s="338"/>
      <c r="W583" s="338"/>
      <c r="X583" s="338"/>
      <c r="Y583" s="338"/>
      <c r="Z583" s="338"/>
    </row>
    <row r="584" ht="12.75" customHeight="1">
      <c r="A584" s="321"/>
      <c r="B584" s="338"/>
      <c r="C584" s="338"/>
      <c r="D584" s="415"/>
      <c r="E584" s="338"/>
      <c r="F584" s="338"/>
      <c r="G584" s="338"/>
      <c r="H584" s="338"/>
      <c r="I584" s="338"/>
      <c r="J584" s="338"/>
      <c r="K584" s="338"/>
      <c r="L584" s="356"/>
      <c r="M584" s="356"/>
      <c r="N584" s="321"/>
      <c r="O584" s="338"/>
      <c r="P584" s="338"/>
      <c r="Q584" s="338"/>
      <c r="R584" s="338"/>
      <c r="S584" s="338"/>
      <c r="T584" s="338"/>
      <c r="U584" s="338"/>
      <c r="V584" s="338"/>
      <c r="W584" s="338"/>
      <c r="X584" s="338"/>
      <c r="Y584" s="338"/>
      <c r="Z584" s="338"/>
    </row>
    <row r="585" ht="12.75" customHeight="1">
      <c r="A585" s="321"/>
      <c r="B585" s="338"/>
      <c r="C585" s="338"/>
      <c r="D585" s="415"/>
      <c r="E585" s="338"/>
      <c r="F585" s="338"/>
      <c r="G585" s="338"/>
      <c r="H585" s="338"/>
      <c r="I585" s="338"/>
      <c r="J585" s="338"/>
      <c r="K585" s="338"/>
      <c r="L585" s="356"/>
      <c r="M585" s="356"/>
      <c r="N585" s="321"/>
      <c r="O585" s="338"/>
      <c r="P585" s="338"/>
      <c r="Q585" s="338"/>
      <c r="R585" s="338"/>
      <c r="S585" s="338"/>
      <c r="T585" s="338"/>
      <c r="U585" s="338"/>
      <c r="V585" s="338"/>
      <c r="W585" s="338"/>
      <c r="X585" s="338"/>
      <c r="Y585" s="338"/>
      <c r="Z585" s="338"/>
    </row>
    <row r="586" ht="12.75" customHeight="1">
      <c r="A586" s="321"/>
      <c r="B586" s="338"/>
      <c r="C586" s="338"/>
      <c r="D586" s="415"/>
      <c r="E586" s="338"/>
      <c r="F586" s="338"/>
      <c r="G586" s="338"/>
      <c r="H586" s="338"/>
      <c r="I586" s="338"/>
      <c r="J586" s="338"/>
      <c r="K586" s="338"/>
      <c r="L586" s="356"/>
      <c r="M586" s="356"/>
      <c r="N586" s="321"/>
      <c r="O586" s="338"/>
      <c r="P586" s="338"/>
      <c r="Q586" s="338"/>
      <c r="R586" s="338"/>
      <c r="S586" s="338"/>
      <c r="T586" s="338"/>
      <c r="U586" s="338"/>
      <c r="V586" s="338"/>
      <c r="W586" s="338"/>
      <c r="X586" s="338"/>
      <c r="Y586" s="338"/>
      <c r="Z586" s="338"/>
    </row>
    <row r="587" ht="12.75" customHeight="1">
      <c r="A587" s="321"/>
      <c r="B587" s="338"/>
      <c r="C587" s="338"/>
      <c r="D587" s="415"/>
      <c r="E587" s="338"/>
      <c r="F587" s="338"/>
      <c r="G587" s="338"/>
      <c r="H587" s="338"/>
      <c r="I587" s="338"/>
      <c r="J587" s="338"/>
      <c r="K587" s="338"/>
      <c r="L587" s="356"/>
      <c r="M587" s="356"/>
      <c r="N587" s="321"/>
      <c r="O587" s="338"/>
      <c r="P587" s="338"/>
      <c r="Q587" s="338"/>
      <c r="R587" s="338"/>
      <c r="S587" s="338"/>
      <c r="T587" s="338"/>
      <c r="U587" s="338"/>
      <c r="V587" s="338"/>
      <c r="W587" s="338"/>
      <c r="X587" s="338"/>
      <c r="Y587" s="338"/>
      <c r="Z587" s="338"/>
    </row>
    <row r="588" ht="12.75" customHeight="1">
      <c r="A588" s="321"/>
      <c r="B588" s="338"/>
      <c r="C588" s="338"/>
      <c r="D588" s="415"/>
      <c r="E588" s="338"/>
      <c r="F588" s="338"/>
      <c r="G588" s="338"/>
      <c r="H588" s="338"/>
      <c r="I588" s="338"/>
      <c r="J588" s="338"/>
      <c r="K588" s="338"/>
      <c r="L588" s="356"/>
      <c r="M588" s="356"/>
      <c r="N588" s="321"/>
      <c r="O588" s="338"/>
      <c r="P588" s="338"/>
      <c r="Q588" s="338"/>
      <c r="R588" s="338"/>
      <c r="S588" s="338"/>
      <c r="T588" s="338"/>
      <c r="U588" s="338"/>
      <c r="V588" s="338"/>
      <c r="W588" s="338"/>
      <c r="X588" s="338"/>
      <c r="Y588" s="338"/>
      <c r="Z588" s="338"/>
    </row>
    <row r="589" ht="12.75" customHeight="1">
      <c r="A589" s="321"/>
      <c r="B589" s="338"/>
      <c r="C589" s="338"/>
      <c r="D589" s="415"/>
      <c r="E589" s="338"/>
      <c r="F589" s="338"/>
      <c r="G589" s="338"/>
      <c r="H589" s="338"/>
      <c r="I589" s="338"/>
      <c r="J589" s="338"/>
      <c r="K589" s="338"/>
      <c r="L589" s="356"/>
      <c r="M589" s="356"/>
      <c r="N589" s="321"/>
      <c r="O589" s="338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</row>
    <row r="590" ht="12.75" customHeight="1">
      <c r="A590" s="321"/>
      <c r="B590" s="338"/>
      <c r="C590" s="338"/>
      <c r="D590" s="415"/>
      <c r="E590" s="338"/>
      <c r="F590" s="338"/>
      <c r="G590" s="338"/>
      <c r="H590" s="338"/>
      <c r="I590" s="338"/>
      <c r="J590" s="338"/>
      <c r="K590" s="338"/>
      <c r="L590" s="356"/>
      <c r="M590" s="356"/>
      <c r="N590" s="321"/>
      <c r="O590" s="338"/>
      <c r="P590" s="338"/>
      <c r="Q590" s="338"/>
      <c r="R590" s="338"/>
      <c r="S590" s="338"/>
      <c r="T590" s="338"/>
      <c r="U590" s="338"/>
      <c r="V590" s="338"/>
      <c r="W590" s="338"/>
      <c r="X590" s="338"/>
      <c r="Y590" s="338"/>
      <c r="Z590" s="338"/>
    </row>
    <row r="591" ht="12.75" customHeight="1">
      <c r="A591" s="321"/>
      <c r="B591" s="338"/>
      <c r="C591" s="338"/>
      <c r="D591" s="415"/>
      <c r="E591" s="338"/>
      <c r="F591" s="338"/>
      <c r="G591" s="338"/>
      <c r="H591" s="338"/>
      <c r="I591" s="338"/>
      <c r="J591" s="338"/>
      <c r="K591" s="338"/>
      <c r="L591" s="356"/>
      <c r="M591" s="356"/>
      <c r="N591" s="321"/>
      <c r="O591" s="338"/>
      <c r="P591" s="338"/>
      <c r="Q591" s="338"/>
      <c r="R591" s="338"/>
      <c r="S591" s="338"/>
      <c r="T591" s="338"/>
      <c r="U591" s="338"/>
      <c r="V591" s="338"/>
      <c r="W591" s="338"/>
      <c r="X591" s="338"/>
      <c r="Y591" s="338"/>
      <c r="Z591" s="338"/>
    </row>
    <row r="592" ht="12.75" customHeight="1">
      <c r="A592" s="321"/>
      <c r="B592" s="338"/>
      <c r="C592" s="338"/>
      <c r="D592" s="415"/>
      <c r="E592" s="338"/>
      <c r="F592" s="338"/>
      <c r="G592" s="338"/>
      <c r="H592" s="338"/>
      <c r="I592" s="338"/>
      <c r="J592" s="338"/>
      <c r="K592" s="338"/>
      <c r="L592" s="356"/>
      <c r="M592" s="356"/>
      <c r="N592" s="321"/>
      <c r="O592" s="338"/>
      <c r="P592" s="338"/>
      <c r="Q592" s="338"/>
      <c r="R592" s="338"/>
      <c r="S592" s="338"/>
      <c r="T592" s="338"/>
      <c r="U592" s="338"/>
      <c r="V592" s="338"/>
      <c r="W592" s="338"/>
      <c r="X592" s="338"/>
      <c r="Y592" s="338"/>
      <c r="Z592" s="338"/>
    </row>
    <row r="593" ht="12.75" customHeight="1">
      <c r="A593" s="321"/>
      <c r="B593" s="338"/>
      <c r="C593" s="338"/>
      <c r="D593" s="415"/>
      <c r="E593" s="338"/>
      <c r="F593" s="338"/>
      <c r="G593" s="338"/>
      <c r="H593" s="338"/>
      <c r="I593" s="338"/>
      <c r="J593" s="338"/>
      <c r="K593" s="338"/>
      <c r="L593" s="356"/>
      <c r="M593" s="356"/>
      <c r="N593" s="321"/>
      <c r="O593" s="338"/>
      <c r="P593" s="338"/>
      <c r="Q593" s="338"/>
      <c r="R593" s="338"/>
      <c r="S593" s="338"/>
      <c r="T593" s="338"/>
      <c r="U593" s="338"/>
      <c r="V593" s="338"/>
      <c r="W593" s="338"/>
      <c r="X593" s="338"/>
      <c r="Y593" s="338"/>
      <c r="Z593" s="338"/>
    </row>
    <row r="594" ht="12.75" customHeight="1">
      <c r="A594" s="321"/>
      <c r="B594" s="338"/>
      <c r="C594" s="338"/>
      <c r="D594" s="415"/>
      <c r="E594" s="338"/>
      <c r="F594" s="338"/>
      <c r="G594" s="338"/>
      <c r="H594" s="338"/>
      <c r="I594" s="338"/>
      <c r="J594" s="338"/>
      <c r="K594" s="338"/>
      <c r="L594" s="356"/>
      <c r="M594" s="356"/>
      <c r="N594" s="321"/>
      <c r="O594" s="338"/>
      <c r="P594" s="338"/>
      <c r="Q594" s="338"/>
      <c r="R594" s="338"/>
      <c r="S594" s="338"/>
      <c r="T594" s="338"/>
      <c r="U594" s="338"/>
      <c r="V594" s="338"/>
      <c r="W594" s="338"/>
      <c r="X594" s="338"/>
      <c r="Y594" s="338"/>
      <c r="Z594" s="338"/>
    </row>
    <row r="595" ht="12.75" customHeight="1">
      <c r="A595" s="321"/>
      <c r="B595" s="338"/>
      <c r="C595" s="338"/>
      <c r="D595" s="415"/>
      <c r="E595" s="338"/>
      <c r="F595" s="338"/>
      <c r="G595" s="338"/>
      <c r="H595" s="338"/>
      <c r="I595" s="338"/>
      <c r="J595" s="338"/>
      <c r="K595" s="338"/>
      <c r="L595" s="356"/>
      <c r="M595" s="356"/>
      <c r="N595" s="321"/>
      <c r="O595" s="338"/>
      <c r="P595" s="338"/>
      <c r="Q595" s="338"/>
      <c r="R595" s="338"/>
      <c r="S595" s="338"/>
      <c r="T595" s="338"/>
      <c r="U595" s="338"/>
      <c r="V595" s="338"/>
      <c r="W595" s="338"/>
      <c r="X595" s="338"/>
      <c r="Y595" s="338"/>
      <c r="Z595" s="338"/>
    </row>
    <row r="596" ht="12.75" customHeight="1">
      <c r="A596" s="321"/>
      <c r="B596" s="338"/>
      <c r="C596" s="338"/>
      <c r="D596" s="415"/>
      <c r="E596" s="338"/>
      <c r="F596" s="338"/>
      <c r="G596" s="338"/>
      <c r="H596" s="338"/>
      <c r="I596" s="338"/>
      <c r="J596" s="338"/>
      <c r="K596" s="338"/>
      <c r="L596" s="356"/>
      <c r="M596" s="356"/>
      <c r="N596" s="321"/>
      <c r="O596" s="338"/>
      <c r="P596" s="338"/>
      <c r="Q596" s="338"/>
      <c r="R596" s="338"/>
      <c r="S596" s="338"/>
      <c r="T596" s="338"/>
      <c r="U596" s="338"/>
      <c r="V596" s="338"/>
      <c r="W596" s="338"/>
      <c r="X596" s="338"/>
      <c r="Y596" s="338"/>
      <c r="Z596" s="338"/>
    </row>
    <row r="597" ht="12.75" customHeight="1">
      <c r="A597" s="321"/>
      <c r="B597" s="338"/>
      <c r="C597" s="338"/>
      <c r="D597" s="415"/>
      <c r="E597" s="338"/>
      <c r="F597" s="338"/>
      <c r="G597" s="338"/>
      <c r="H597" s="338"/>
      <c r="I597" s="338"/>
      <c r="J597" s="338"/>
      <c r="K597" s="338"/>
      <c r="L597" s="356"/>
      <c r="M597" s="356"/>
      <c r="N597" s="321"/>
      <c r="O597" s="338"/>
      <c r="P597" s="338"/>
      <c r="Q597" s="338"/>
      <c r="R597" s="338"/>
      <c r="S597" s="338"/>
      <c r="T597" s="338"/>
      <c r="U597" s="338"/>
      <c r="V597" s="338"/>
      <c r="W597" s="338"/>
      <c r="X597" s="338"/>
      <c r="Y597" s="338"/>
      <c r="Z597" s="338"/>
    </row>
    <row r="598" ht="12.75" customHeight="1">
      <c r="A598" s="321"/>
      <c r="B598" s="338"/>
      <c r="C598" s="338"/>
      <c r="D598" s="415"/>
      <c r="E598" s="338"/>
      <c r="F598" s="338"/>
      <c r="G598" s="338"/>
      <c r="H598" s="338"/>
      <c r="I598" s="338"/>
      <c r="J598" s="338"/>
      <c r="K598" s="338"/>
      <c r="L598" s="356"/>
      <c r="M598" s="356"/>
      <c r="N598" s="321"/>
      <c r="O598" s="338"/>
      <c r="P598" s="338"/>
      <c r="Q598" s="338"/>
      <c r="R598" s="338"/>
      <c r="S598" s="338"/>
      <c r="T598" s="338"/>
      <c r="U598" s="338"/>
      <c r="V598" s="338"/>
      <c r="W598" s="338"/>
      <c r="X598" s="338"/>
      <c r="Y598" s="338"/>
      <c r="Z598" s="338"/>
    </row>
    <row r="599" ht="12.75" customHeight="1">
      <c r="A599" s="321"/>
      <c r="B599" s="338"/>
      <c r="C599" s="338"/>
      <c r="D599" s="415"/>
      <c r="E599" s="338"/>
      <c r="F599" s="338"/>
      <c r="G599" s="338"/>
      <c r="H599" s="338"/>
      <c r="I599" s="338"/>
      <c r="J599" s="338"/>
      <c r="K599" s="338"/>
      <c r="L599" s="356"/>
      <c r="M599" s="356"/>
      <c r="N599" s="321"/>
      <c r="O599" s="338"/>
      <c r="P599" s="338"/>
      <c r="Q599" s="338"/>
      <c r="R599" s="338"/>
      <c r="S599" s="338"/>
      <c r="T599" s="338"/>
      <c r="U599" s="338"/>
      <c r="V599" s="338"/>
      <c r="W599" s="338"/>
      <c r="X599" s="338"/>
      <c r="Y599" s="338"/>
      <c r="Z599" s="338"/>
    </row>
    <row r="600" ht="12.75" customHeight="1">
      <c r="A600" s="321"/>
      <c r="B600" s="338"/>
      <c r="C600" s="338"/>
      <c r="D600" s="415"/>
      <c r="E600" s="338"/>
      <c r="F600" s="338"/>
      <c r="G600" s="338"/>
      <c r="H600" s="338"/>
      <c r="I600" s="338"/>
      <c r="J600" s="338"/>
      <c r="K600" s="338"/>
      <c r="L600" s="356"/>
      <c r="M600" s="356"/>
      <c r="N600" s="321"/>
      <c r="O600" s="338"/>
      <c r="P600" s="338"/>
      <c r="Q600" s="338"/>
      <c r="R600" s="338"/>
      <c r="S600" s="338"/>
      <c r="T600" s="338"/>
      <c r="U600" s="338"/>
      <c r="V600" s="338"/>
      <c r="W600" s="338"/>
      <c r="X600" s="338"/>
      <c r="Y600" s="338"/>
      <c r="Z600" s="338"/>
    </row>
    <row r="601" ht="12.75" customHeight="1">
      <c r="A601" s="321"/>
      <c r="B601" s="338"/>
      <c r="C601" s="338"/>
      <c r="D601" s="415"/>
      <c r="E601" s="338"/>
      <c r="F601" s="338"/>
      <c r="G601" s="338"/>
      <c r="H601" s="338"/>
      <c r="I601" s="338"/>
      <c r="J601" s="338"/>
      <c r="K601" s="338"/>
      <c r="L601" s="356"/>
      <c r="M601" s="356"/>
      <c r="N601" s="321"/>
      <c r="O601" s="338"/>
      <c r="P601" s="338"/>
      <c r="Q601" s="338"/>
      <c r="R601" s="338"/>
      <c r="S601" s="338"/>
      <c r="T601" s="338"/>
      <c r="U601" s="338"/>
      <c r="V601" s="338"/>
      <c r="W601" s="338"/>
      <c r="X601" s="338"/>
      <c r="Y601" s="338"/>
      <c r="Z601" s="338"/>
    </row>
    <row r="602" ht="12.75" customHeight="1">
      <c r="A602" s="321"/>
      <c r="B602" s="338"/>
      <c r="C602" s="338"/>
      <c r="D602" s="415"/>
      <c r="E602" s="338"/>
      <c r="F602" s="338"/>
      <c r="G602" s="338"/>
      <c r="H602" s="338"/>
      <c r="I602" s="338"/>
      <c r="J602" s="338"/>
      <c r="K602" s="338"/>
      <c r="L602" s="356"/>
      <c r="M602" s="356"/>
      <c r="N602" s="321"/>
      <c r="O602" s="338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</row>
    <row r="603" ht="12.75" customHeight="1">
      <c r="A603" s="321"/>
      <c r="B603" s="338"/>
      <c r="C603" s="338"/>
      <c r="D603" s="415"/>
      <c r="E603" s="338"/>
      <c r="F603" s="338"/>
      <c r="G603" s="338"/>
      <c r="H603" s="338"/>
      <c r="I603" s="338"/>
      <c r="J603" s="338"/>
      <c r="K603" s="338"/>
      <c r="L603" s="356"/>
      <c r="M603" s="356"/>
      <c r="N603" s="321"/>
      <c r="O603" s="338"/>
      <c r="P603" s="338"/>
      <c r="Q603" s="338"/>
      <c r="R603" s="338"/>
      <c r="S603" s="338"/>
      <c r="T603" s="338"/>
      <c r="U603" s="338"/>
      <c r="V603" s="338"/>
      <c r="W603" s="338"/>
      <c r="X603" s="338"/>
      <c r="Y603" s="338"/>
      <c r="Z603" s="338"/>
    </row>
    <row r="604" ht="12.75" customHeight="1">
      <c r="A604" s="321"/>
      <c r="B604" s="338"/>
      <c r="C604" s="338"/>
      <c r="D604" s="415"/>
      <c r="E604" s="338"/>
      <c r="F604" s="338"/>
      <c r="G604" s="338"/>
      <c r="H604" s="338"/>
      <c r="I604" s="338"/>
      <c r="J604" s="338"/>
      <c r="K604" s="338"/>
      <c r="L604" s="356"/>
      <c r="M604" s="356"/>
      <c r="N604" s="321"/>
      <c r="O604" s="338"/>
      <c r="P604" s="338"/>
      <c r="Q604" s="338"/>
      <c r="R604" s="338"/>
      <c r="S604" s="338"/>
      <c r="T604" s="338"/>
      <c r="U604" s="338"/>
      <c r="V604" s="338"/>
      <c r="W604" s="338"/>
      <c r="X604" s="338"/>
      <c r="Y604" s="338"/>
      <c r="Z604" s="338"/>
    </row>
    <row r="605" ht="12.75" customHeight="1">
      <c r="A605" s="321"/>
      <c r="B605" s="338"/>
      <c r="C605" s="338"/>
      <c r="D605" s="415"/>
      <c r="E605" s="338"/>
      <c r="F605" s="338"/>
      <c r="G605" s="338"/>
      <c r="H605" s="338"/>
      <c r="I605" s="338"/>
      <c r="J605" s="338"/>
      <c r="K605" s="338"/>
      <c r="L605" s="356"/>
      <c r="M605" s="356"/>
      <c r="N605" s="321"/>
      <c r="O605" s="338"/>
      <c r="P605" s="338"/>
      <c r="Q605" s="338"/>
      <c r="R605" s="338"/>
      <c r="S605" s="338"/>
      <c r="T605" s="338"/>
      <c r="U605" s="338"/>
      <c r="V605" s="338"/>
      <c r="W605" s="338"/>
      <c r="X605" s="338"/>
      <c r="Y605" s="338"/>
      <c r="Z605" s="338"/>
    </row>
    <row r="606" ht="12.75" customHeight="1">
      <c r="A606" s="321"/>
      <c r="B606" s="338"/>
      <c r="C606" s="338"/>
      <c r="D606" s="415"/>
      <c r="E606" s="338"/>
      <c r="F606" s="338"/>
      <c r="G606" s="338"/>
      <c r="H606" s="338"/>
      <c r="I606" s="338"/>
      <c r="J606" s="338"/>
      <c r="K606" s="338"/>
      <c r="L606" s="356"/>
      <c r="M606" s="356"/>
      <c r="N606" s="321"/>
      <c r="O606" s="338"/>
      <c r="P606" s="338"/>
      <c r="Q606" s="338"/>
      <c r="R606" s="338"/>
      <c r="S606" s="338"/>
      <c r="T606" s="338"/>
      <c r="U606" s="338"/>
      <c r="V606" s="338"/>
      <c r="W606" s="338"/>
      <c r="X606" s="338"/>
      <c r="Y606" s="338"/>
      <c r="Z606" s="338"/>
    </row>
    <row r="607" ht="12.75" customHeight="1">
      <c r="A607" s="321"/>
      <c r="B607" s="338"/>
      <c r="C607" s="338"/>
      <c r="D607" s="415"/>
      <c r="E607" s="338"/>
      <c r="F607" s="338"/>
      <c r="G607" s="338"/>
      <c r="H607" s="338"/>
      <c r="I607" s="338"/>
      <c r="J607" s="338"/>
      <c r="K607" s="338"/>
      <c r="L607" s="356"/>
      <c r="M607" s="356"/>
      <c r="N607" s="321"/>
      <c r="O607" s="338"/>
      <c r="P607" s="338"/>
      <c r="Q607" s="338"/>
      <c r="R607" s="338"/>
      <c r="S607" s="338"/>
      <c r="T607" s="338"/>
      <c r="U607" s="338"/>
      <c r="V607" s="338"/>
      <c r="W607" s="338"/>
      <c r="X607" s="338"/>
      <c r="Y607" s="338"/>
      <c r="Z607" s="338"/>
    </row>
    <row r="608" ht="12.75" customHeight="1">
      <c r="A608" s="321"/>
      <c r="B608" s="338"/>
      <c r="C608" s="338"/>
      <c r="D608" s="415"/>
      <c r="E608" s="338"/>
      <c r="F608" s="338"/>
      <c r="G608" s="338"/>
      <c r="H608" s="338"/>
      <c r="I608" s="338"/>
      <c r="J608" s="338"/>
      <c r="K608" s="338"/>
      <c r="L608" s="356"/>
      <c r="M608" s="356"/>
      <c r="N608" s="321"/>
      <c r="O608" s="338"/>
      <c r="P608" s="338"/>
      <c r="Q608" s="338"/>
      <c r="R608" s="338"/>
      <c r="S608" s="338"/>
      <c r="T608" s="338"/>
      <c r="U608" s="338"/>
      <c r="V608" s="338"/>
      <c r="W608" s="338"/>
      <c r="X608" s="338"/>
      <c r="Y608" s="338"/>
      <c r="Z608" s="338"/>
    </row>
    <row r="609" ht="12.75" customHeight="1">
      <c r="A609" s="321"/>
      <c r="B609" s="338"/>
      <c r="C609" s="338"/>
      <c r="D609" s="415"/>
      <c r="E609" s="338"/>
      <c r="F609" s="338"/>
      <c r="G609" s="338"/>
      <c r="H609" s="338"/>
      <c r="I609" s="338"/>
      <c r="J609" s="338"/>
      <c r="K609" s="338"/>
      <c r="L609" s="356"/>
      <c r="M609" s="356"/>
      <c r="N609" s="321"/>
      <c r="O609" s="338"/>
      <c r="P609" s="338"/>
      <c r="Q609" s="338"/>
      <c r="R609" s="338"/>
      <c r="S609" s="338"/>
      <c r="T609" s="338"/>
      <c r="U609" s="338"/>
      <c r="V609" s="338"/>
      <c r="W609" s="338"/>
      <c r="X609" s="338"/>
      <c r="Y609" s="338"/>
      <c r="Z609" s="338"/>
    </row>
    <row r="610" ht="12.75" customHeight="1">
      <c r="A610" s="321"/>
      <c r="B610" s="338"/>
      <c r="C610" s="338"/>
      <c r="D610" s="415"/>
      <c r="E610" s="338"/>
      <c r="F610" s="338"/>
      <c r="G610" s="338"/>
      <c r="H610" s="338"/>
      <c r="I610" s="338"/>
      <c r="J610" s="338"/>
      <c r="K610" s="338"/>
      <c r="L610" s="356"/>
      <c r="M610" s="356"/>
      <c r="N610" s="321"/>
      <c r="O610" s="338"/>
      <c r="P610" s="338"/>
      <c r="Q610" s="338"/>
      <c r="R610" s="338"/>
      <c r="S610" s="338"/>
      <c r="T610" s="338"/>
      <c r="U610" s="338"/>
      <c r="V610" s="338"/>
      <c r="W610" s="338"/>
      <c r="X610" s="338"/>
      <c r="Y610" s="338"/>
      <c r="Z610" s="338"/>
    </row>
    <row r="611" ht="12.75" customHeight="1">
      <c r="A611" s="321"/>
      <c r="B611" s="338"/>
      <c r="C611" s="338"/>
      <c r="D611" s="415"/>
      <c r="E611" s="338"/>
      <c r="F611" s="338"/>
      <c r="G611" s="338"/>
      <c r="H611" s="338"/>
      <c r="I611" s="338"/>
      <c r="J611" s="338"/>
      <c r="K611" s="338"/>
      <c r="L611" s="356"/>
      <c r="M611" s="356"/>
      <c r="N611" s="321"/>
      <c r="O611" s="338"/>
      <c r="P611" s="338"/>
      <c r="Q611" s="338"/>
      <c r="R611" s="338"/>
      <c r="S611" s="338"/>
      <c r="T611" s="338"/>
      <c r="U611" s="338"/>
      <c r="V611" s="338"/>
      <c r="W611" s="338"/>
      <c r="X611" s="338"/>
      <c r="Y611" s="338"/>
      <c r="Z611" s="338"/>
    </row>
    <row r="612" ht="12.75" customHeight="1">
      <c r="A612" s="321"/>
      <c r="B612" s="338"/>
      <c r="C612" s="338"/>
      <c r="D612" s="415"/>
      <c r="E612" s="338"/>
      <c r="F612" s="338"/>
      <c r="G612" s="338"/>
      <c r="H612" s="338"/>
      <c r="I612" s="338"/>
      <c r="J612" s="338"/>
      <c r="K612" s="338"/>
      <c r="L612" s="356"/>
      <c r="M612" s="356"/>
      <c r="N612" s="321"/>
      <c r="O612" s="338"/>
      <c r="P612" s="338"/>
      <c r="Q612" s="338"/>
      <c r="R612" s="338"/>
      <c r="S612" s="338"/>
      <c r="T612" s="338"/>
      <c r="U612" s="338"/>
      <c r="V612" s="338"/>
      <c r="W612" s="338"/>
      <c r="X612" s="338"/>
      <c r="Y612" s="338"/>
      <c r="Z612" s="338"/>
    </row>
    <row r="613" ht="12.75" customHeight="1">
      <c r="A613" s="321"/>
      <c r="B613" s="338"/>
      <c r="C613" s="338"/>
      <c r="D613" s="415"/>
      <c r="E613" s="338"/>
      <c r="F613" s="338"/>
      <c r="G613" s="338"/>
      <c r="H613" s="338"/>
      <c r="I613" s="338"/>
      <c r="J613" s="338"/>
      <c r="K613" s="338"/>
      <c r="L613" s="356"/>
      <c r="M613" s="356"/>
      <c r="N613" s="321"/>
      <c r="O613" s="338"/>
      <c r="P613" s="338"/>
      <c r="Q613" s="338"/>
      <c r="R613" s="338"/>
      <c r="S613" s="338"/>
      <c r="T613" s="338"/>
      <c r="U613" s="338"/>
      <c r="V613" s="338"/>
      <c r="W613" s="338"/>
      <c r="X613" s="338"/>
      <c r="Y613" s="338"/>
      <c r="Z613" s="338"/>
    </row>
    <row r="614" ht="12.75" customHeight="1">
      <c r="A614" s="321"/>
      <c r="B614" s="338"/>
      <c r="C614" s="338"/>
      <c r="D614" s="415"/>
      <c r="E614" s="338"/>
      <c r="F614" s="338"/>
      <c r="G614" s="338"/>
      <c r="H614" s="338"/>
      <c r="I614" s="338"/>
      <c r="J614" s="338"/>
      <c r="K614" s="338"/>
      <c r="L614" s="356"/>
      <c r="M614" s="356"/>
      <c r="N614" s="321"/>
      <c r="O614" s="338"/>
      <c r="P614" s="338"/>
      <c r="Q614" s="338"/>
      <c r="R614" s="338"/>
      <c r="S614" s="338"/>
      <c r="T614" s="338"/>
      <c r="U614" s="338"/>
      <c r="V614" s="338"/>
      <c r="W614" s="338"/>
      <c r="X614" s="338"/>
      <c r="Y614" s="338"/>
      <c r="Z614" s="338"/>
    </row>
    <row r="615" ht="12.75" customHeight="1">
      <c r="A615" s="321"/>
      <c r="B615" s="338"/>
      <c r="C615" s="338"/>
      <c r="D615" s="415"/>
      <c r="E615" s="338"/>
      <c r="F615" s="338"/>
      <c r="G615" s="338"/>
      <c r="H615" s="338"/>
      <c r="I615" s="338"/>
      <c r="J615" s="338"/>
      <c r="K615" s="338"/>
      <c r="L615" s="356"/>
      <c r="M615" s="356"/>
      <c r="N615" s="321"/>
      <c r="O615" s="338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</row>
    <row r="616" ht="12.75" customHeight="1">
      <c r="A616" s="321"/>
      <c r="B616" s="338"/>
      <c r="C616" s="338"/>
      <c r="D616" s="415"/>
      <c r="E616" s="338"/>
      <c r="F616" s="338"/>
      <c r="G616" s="338"/>
      <c r="H616" s="338"/>
      <c r="I616" s="338"/>
      <c r="J616" s="338"/>
      <c r="K616" s="338"/>
      <c r="L616" s="356"/>
      <c r="M616" s="356"/>
      <c r="N616" s="321"/>
      <c r="O616" s="338"/>
      <c r="P616" s="338"/>
      <c r="Q616" s="338"/>
      <c r="R616" s="338"/>
      <c r="S616" s="338"/>
      <c r="T616" s="338"/>
      <c r="U616" s="338"/>
      <c r="V616" s="338"/>
      <c r="W616" s="338"/>
      <c r="X616" s="338"/>
      <c r="Y616" s="338"/>
      <c r="Z616" s="338"/>
    </row>
    <row r="617" ht="12.75" customHeight="1">
      <c r="A617" s="321"/>
      <c r="B617" s="338"/>
      <c r="C617" s="338"/>
      <c r="D617" s="415"/>
      <c r="E617" s="338"/>
      <c r="F617" s="338"/>
      <c r="G617" s="338"/>
      <c r="H617" s="338"/>
      <c r="I617" s="338"/>
      <c r="J617" s="338"/>
      <c r="K617" s="338"/>
      <c r="L617" s="356"/>
      <c r="M617" s="356"/>
      <c r="N617" s="321"/>
      <c r="O617" s="338"/>
      <c r="P617" s="338"/>
      <c r="Q617" s="338"/>
      <c r="R617" s="338"/>
      <c r="S617" s="338"/>
      <c r="T617" s="338"/>
      <c r="U617" s="338"/>
      <c r="V617" s="338"/>
      <c r="W617" s="338"/>
      <c r="X617" s="338"/>
      <c r="Y617" s="338"/>
      <c r="Z617" s="338"/>
    </row>
    <row r="618" ht="12.75" customHeight="1">
      <c r="A618" s="321"/>
      <c r="B618" s="338"/>
      <c r="C618" s="338"/>
      <c r="D618" s="415"/>
      <c r="E618" s="338"/>
      <c r="F618" s="338"/>
      <c r="G618" s="338"/>
      <c r="H618" s="338"/>
      <c r="I618" s="338"/>
      <c r="J618" s="338"/>
      <c r="K618" s="338"/>
      <c r="L618" s="356"/>
      <c r="M618" s="356"/>
      <c r="N618" s="321"/>
      <c r="O618" s="338"/>
      <c r="P618" s="338"/>
      <c r="Q618" s="338"/>
      <c r="R618" s="338"/>
      <c r="S618" s="338"/>
      <c r="T618" s="338"/>
      <c r="U618" s="338"/>
      <c r="V618" s="338"/>
      <c r="W618" s="338"/>
      <c r="X618" s="338"/>
      <c r="Y618" s="338"/>
      <c r="Z618" s="338"/>
    </row>
    <row r="619" ht="12.75" customHeight="1">
      <c r="A619" s="321"/>
      <c r="B619" s="338"/>
      <c r="C619" s="338"/>
      <c r="D619" s="415"/>
      <c r="E619" s="338"/>
      <c r="F619" s="338"/>
      <c r="G619" s="338"/>
      <c r="H619" s="338"/>
      <c r="I619" s="338"/>
      <c r="J619" s="338"/>
      <c r="K619" s="338"/>
      <c r="L619" s="356"/>
      <c r="M619" s="356"/>
      <c r="N619" s="321"/>
      <c r="O619" s="338"/>
      <c r="P619" s="338"/>
      <c r="Q619" s="338"/>
      <c r="R619" s="338"/>
      <c r="S619" s="338"/>
      <c r="T619" s="338"/>
      <c r="U619" s="338"/>
      <c r="V619" s="338"/>
      <c r="W619" s="338"/>
      <c r="X619" s="338"/>
      <c r="Y619" s="338"/>
      <c r="Z619" s="338"/>
    </row>
    <row r="620" ht="12.75" customHeight="1">
      <c r="A620" s="321"/>
      <c r="B620" s="338"/>
      <c r="C620" s="338"/>
      <c r="D620" s="415"/>
      <c r="E620" s="338"/>
      <c r="F620" s="338"/>
      <c r="G620" s="338"/>
      <c r="H620" s="338"/>
      <c r="I620" s="338"/>
      <c r="J620" s="338"/>
      <c r="K620" s="338"/>
      <c r="L620" s="356"/>
      <c r="M620" s="356"/>
      <c r="N620" s="321"/>
      <c r="O620" s="338"/>
      <c r="P620" s="338"/>
      <c r="Q620" s="338"/>
      <c r="R620" s="338"/>
      <c r="S620" s="338"/>
      <c r="T620" s="338"/>
      <c r="U620" s="338"/>
      <c r="V620" s="338"/>
      <c r="W620" s="338"/>
      <c r="X620" s="338"/>
      <c r="Y620" s="338"/>
      <c r="Z620" s="338"/>
    </row>
    <row r="621" ht="12.75" customHeight="1">
      <c r="A621" s="321"/>
      <c r="B621" s="338"/>
      <c r="C621" s="338"/>
      <c r="D621" s="415"/>
      <c r="E621" s="338"/>
      <c r="F621" s="338"/>
      <c r="G621" s="338"/>
      <c r="H621" s="338"/>
      <c r="I621" s="338"/>
      <c r="J621" s="338"/>
      <c r="K621" s="338"/>
      <c r="L621" s="356"/>
      <c r="M621" s="356"/>
      <c r="N621" s="321"/>
      <c r="O621" s="338"/>
      <c r="P621" s="338"/>
      <c r="Q621" s="338"/>
      <c r="R621" s="338"/>
      <c r="S621" s="338"/>
      <c r="T621" s="338"/>
      <c r="U621" s="338"/>
      <c r="V621" s="338"/>
      <c r="W621" s="338"/>
      <c r="X621" s="338"/>
      <c r="Y621" s="338"/>
      <c r="Z621" s="338"/>
    </row>
    <row r="622" ht="12.75" customHeight="1">
      <c r="A622" s="321"/>
      <c r="B622" s="338"/>
      <c r="C622" s="338"/>
      <c r="D622" s="415"/>
      <c r="E622" s="338"/>
      <c r="F622" s="338"/>
      <c r="G622" s="338"/>
      <c r="H622" s="338"/>
      <c r="I622" s="338"/>
      <c r="J622" s="338"/>
      <c r="K622" s="338"/>
      <c r="L622" s="356"/>
      <c r="M622" s="356"/>
      <c r="N622" s="321"/>
      <c r="O622" s="338"/>
      <c r="P622" s="338"/>
      <c r="Q622" s="338"/>
      <c r="R622" s="338"/>
      <c r="S622" s="338"/>
      <c r="T622" s="338"/>
      <c r="U622" s="338"/>
      <c r="V622" s="338"/>
      <c r="W622" s="338"/>
      <c r="X622" s="338"/>
      <c r="Y622" s="338"/>
      <c r="Z622" s="338"/>
    </row>
    <row r="623" ht="12.75" customHeight="1">
      <c r="A623" s="321"/>
      <c r="B623" s="338"/>
      <c r="C623" s="338"/>
      <c r="D623" s="415"/>
      <c r="E623" s="338"/>
      <c r="F623" s="338"/>
      <c r="G623" s="338"/>
      <c r="H623" s="338"/>
      <c r="I623" s="338"/>
      <c r="J623" s="338"/>
      <c r="K623" s="338"/>
      <c r="L623" s="356"/>
      <c r="M623" s="356"/>
      <c r="N623" s="321"/>
      <c r="O623" s="338"/>
      <c r="P623" s="338"/>
      <c r="Q623" s="338"/>
      <c r="R623" s="338"/>
      <c r="S623" s="338"/>
      <c r="T623" s="338"/>
      <c r="U623" s="338"/>
      <c r="V623" s="338"/>
      <c r="W623" s="338"/>
      <c r="X623" s="338"/>
      <c r="Y623" s="338"/>
      <c r="Z623" s="338"/>
    </row>
    <row r="624" ht="12.75" customHeight="1">
      <c r="A624" s="321"/>
      <c r="B624" s="338"/>
      <c r="C624" s="338"/>
      <c r="D624" s="415"/>
      <c r="E624" s="338"/>
      <c r="F624" s="338"/>
      <c r="G624" s="338"/>
      <c r="H624" s="338"/>
      <c r="I624" s="338"/>
      <c r="J624" s="338"/>
      <c r="K624" s="338"/>
      <c r="L624" s="356"/>
      <c r="M624" s="356"/>
      <c r="N624" s="321"/>
      <c r="O624" s="338"/>
      <c r="P624" s="338"/>
      <c r="Q624" s="338"/>
      <c r="R624" s="338"/>
      <c r="S624" s="338"/>
      <c r="T624" s="338"/>
      <c r="U624" s="338"/>
      <c r="V624" s="338"/>
      <c r="W624" s="338"/>
      <c r="X624" s="338"/>
      <c r="Y624" s="338"/>
      <c r="Z624" s="338"/>
    </row>
    <row r="625" ht="12.75" customHeight="1">
      <c r="A625" s="321"/>
      <c r="B625" s="338"/>
      <c r="C625" s="338"/>
      <c r="D625" s="415"/>
      <c r="E625" s="338"/>
      <c r="F625" s="338"/>
      <c r="G625" s="338"/>
      <c r="H625" s="338"/>
      <c r="I625" s="338"/>
      <c r="J625" s="338"/>
      <c r="K625" s="338"/>
      <c r="L625" s="356"/>
      <c r="M625" s="356"/>
      <c r="N625" s="321"/>
      <c r="O625" s="338"/>
      <c r="P625" s="338"/>
      <c r="Q625" s="338"/>
      <c r="R625" s="338"/>
      <c r="S625" s="338"/>
      <c r="T625" s="338"/>
      <c r="U625" s="338"/>
      <c r="V625" s="338"/>
      <c r="W625" s="338"/>
      <c r="X625" s="338"/>
      <c r="Y625" s="338"/>
      <c r="Z625" s="338"/>
    </row>
    <row r="626" ht="12.75" customHeight="1">
      <c r="A626" s="321"/>
      <c r="B626" s="338"/>
      <c r="C626" s="338"/>
      <c r="D626" s="415"/>
      <c r="E626" s="338"/>
      <c r="F626" s="338"/>
      <c r="G626" s="338"/>
      <c r="H626" s="338"/>
      <c r="I626" s="338"/>
      <c r="J626" s="338"/>
      <c r="K626" s="338"/>
      <c r="L626" s="356"/>
      <c r="M626" s="356"/>
      <c r="N626" s="321"/>
      <c r="O626" s="338"/>
      <c r="P626" s="338"/>
      <c r="Q626" s="338"/>
      <c r="R626" s="338"/>
      <c r="S626" s="338"/>
      <c r="T626" s="338"/>
      <c r="U626" s="338"/>
      <c r="V626" s="338"/>
      <c r="W626" s="338"/>
      <c r="X626" s="338"/>
      <c r="Y626" s="338"/>
      <c r="Z626" s="338"/>
    </row>
    <row r="627" ht="12.75" customHeight="1">
      <c r="A627" s="321"/>
      <c r="B627" s="338"/>
      <c r="C627" s="338"/>
      <c r="D627" s="415"/>
      <c r="E627" s="338"/>
      <c r="F627" s="338"/>
      <c r="G627" s="338"/>
      <c r="H627" s="338"/>
      <c r="I627" s="338"/>
      <c r="J627" s="338"/>
      <c r="K627" s="338"/>
      <c r="L627" s="356"/>
      <c r="M627" s="356"/>
      <c r="N627" s="321"/>
      <c r="O627" s="338"/>
      <c r="P627" s="338"/>
      <c r="Q627" s="338"/>
      <c r="R627" s="338"/>
      <c r="S627" s="338"/>
      <c r="T627" s="338"/>
      <c r="U627" s="338"/>
      <c r="V627" s="338"/>
      <c r="W627" s="338"/>
      <c r="X627" s="338"/>
      <c r="Y627" s="338"/>
      <c r="Z627" s="338"/>
    </row>
    <row r="628" ht="12.75" customHeight="1">
      <c r="A628" s="321"/>
      <c r="B628" s="338"/>
      <c r="C628" s="338"/>
      <c r="D628" s="415"/>
      <c r="E628" s="338"/>
      <c r="F628" s="338"/>
      <c r="G628" s="338"/>
      <c r="H628" s="338"/>
      <c r="I628" s="338"/>
      <c r="J628" s="338"/>
      <c r="K628" s="338"/>
      <c r="L628" s="356"/>
      <c r="M628" s="356"/>
      <c r="N628" s="321"/>
      <c r="O628" s="338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</row>
    <row r="629" ht="12.75" customHeight="1">
      <c r="A629" s="321"/>
      <c r="B629" s="338"/>
      <c r="C629" s="338"/>
      <c r="D629" s="415"/>
      <c r="E629" s="338"/>
      <c r="F629" s="338"/>
      <c r="G629" s="338"/>
      <c r="H629" s="338"/>
      <c r="I629" s="338"/>
      <c r="J629" s="338"/>
      <c r="K629" s="338"/>
      <c r="L629" s="356"/>
      <c r="M629" s="356"/>
      <c r="N629" s="321"/>
      <c r="O629" s="338"/>
      <c r="P629" s="338"/>
      <c r="Q629" s="338"/>
      <c r="R629" s="338"/>
      <c r="S629" s="338"/>
      <c r="T629" s="338"/>
      <c r="U629" s="338"/>
      <c r="V629" s="338"/>
      <c r="W629" s="338"/>
      <c r="X629" s="338"/>
      <c r="Y629" s="338"/>
      <c r="Z629" s="338"/>
    </row>
    <row r="630" ht="12.75" customHeight="1">
      <c r="A630" s="321"/>
      <c r="B630" s="338"/>
      <c r="C630" s="338"/>
      <c r="D630" s="415"/>
      <c r="E630" s="338"/>
      <c r="F630" s="338"/>
      <c r="G630" s="338"/>
      <c r="H630" s="338"/>
      <c r="I630" s="338"/>
      <c r="J630" s="338"/>
      <c r="K630" s="338"/>
      <c r="L630" s="356"/>
      <c r="M630" s="356"/>
      <c r="N630" s="321"/>
      <c r="O630" s="338"/>
      <c r="P630" s="338"/>
      <c r="Q630" s="338"/>
      <c r="R630" s="338"/>
      <c r="S630" s="338"/>
      <c r="T630" s="338"/>
      <c r="U630" s="338"/>
      <c r="V630" s="338"/>
      <c r="W630" s="338"/>
      <c r="X630" s="338"/>
      <c r="Y630" s="338"/>
      <c r="Z630" s="338"/>
    </row>
    <row r="631" ht="12.75" customHeight="1">
      <c r="A631" s="321"/>
      <c r="B631" s="338"/>
      <c r="C631" s="338"/>
      <c r="D631" s="415"/>
      <c r="E631" s="338"/>
      <c r="F631" s="338"/>
      <c r="G631" s="338"/>
      <c r="H631" s="338"/>
      <c r="I631" s="338"/>
      <c r="J631" s="338"/>
      <c r="K631" s="338"/>
      <c r="L631" s="356"/>
      <c r="M631" s="356"/>
      <c r="N631" s="321"/>
      <c r="O631" s="338"/>
      <c r="P631" s="338"/>
      <c r="Q631" s="338"/>
      <c r="R631" s="338"/>
      <c r="S631" s="338"/>
      <c r="T631" s="338"/>
      <c r="U631" s="338"/>
      <c r="V631" s="338"/>
      <c r="W631" s="338"/>
      <c r="X631" s="338"/>
      <c r="Y631" s="338"/>
      <c r="Z631" s="338"/>
    </row>
    <row r="632" ht="12.75" customHeight="1">
      <c r="A632" s="321"/>
      <c r="B632" s="338"/>
      <c r="C632" s="338"/>
      <c r="D632" s="415"/>
      <c r="E632" s="338"/>
      <c r="F632" s="338"/>
      <c r="G632" s="338"/>
      <c r="H632" s="338"/>
      <c r="I632" s="338"/>
      <c r="J632" s="338"/>
      <c r="K632" s="338"/>
      <c r="L632" s="356"/>
      <c r="M632" s="356"/>
      <c r="N632" s="321"/>
      <c r="O632" s="338"/>
      <c r="P632" s="338"/>
      <c r="Q632" s="338"/>
      <c r="R632" s="338"/>
      <c r="S632" s="338"/>
      <c r="T632" s="338"/>
      <c r="U632" s="338"/>
      <c r="V632" s="338"/>
      <c r="W632" s="338"/>
      <c r="X632" s="338"/>
      <c r="Y632" s="338"/>
      <c r="Z632" s="338"/>
    </row>
    <row r="633" ht="12.75" customHeight="1">
      <c r="A633" s="321"/>
      <c r="B633" s="338"/>
      <c r="C633" s="338"/>
      <c r="D633" s="415"/>
      <c r="E633" s="338"/>
      <c r="F633" s="338"/>
      <c r="G633" s="338"/>
      <c r="H633" s="338"/>
      <c r="I633" s="338"/>
      <c r="J633" s="338"/>
      <c r="K633" s="338"/>
      <c r="L633" s="356"/>
      <c r="M633" s="356"/>
      <c r="N633" s="321"/>
      <c r="O633" s="338"/>
      <c r="P633" s="338"/>
      <c r="Q633" s="338"/>
      <c r="R633" s="338"/>
      <c r="S633" s="338"/>
      <c r="T633" s="338"/>
      <c r="U633" s="338"/>
      <c r="V633" s="338"/>
      <c r="W633" s="338"/>
      <c r="X633" s="338"/>
      <c r="Y633" s="338"/>
      <c r="Z633" s="338"/>
    </row>
    <row r="634" ht="12.75" customHeight="1">
      <c r="A634" s="321"/>
      <c r="B634" s="338"/>
      <c r="C634" s="338"/>
      <c r="D634" s="415"/>
      <c r="E634" s="338"/>
      <c r="F634" s="338"/>
      <c r="G634" s="338"/>
      <c r="H634" s="338"/>
      <c r="I634" s="338"/>
      <c r="J634" s="338"/>
      <c r="K634" s="338"/>
      <c r="L634" s="356"/>
      <c r="M634" s="356"/>
      <c r="N634" s="321"/>
      <c r="O634" s="338"/>
      <c r="P634" s="338"/>
      <c r="Q634" s="338"/>
      <c r="R634" s="338"/>
      <c r="S634" s="338"/>
      <c r="T634" s="338"/>
      <c r="U634" s="338"/>
      <c r="V634" s="338"/>
      <c r="W634" s="338"/>
      <c r="X634" s="338"/>
      <c r="Y634" s="338"/>
      <c r="Z634" s="338"/>
    </row>
    <row r="635" ht="12.75" customHeight="1">
      <c r="A635" s="321"/>
      <c r="B635" s="338"/>
      <c r="C635" s="338"/>
      <c r="D635" s="415"/>
      <c r="E635" s="338"/>
      <c r="F635" s="338"/>
      <c r="G635" s="338"/>
      <c r="H635" s="338"/>
      <c r="I635" s="338"/>
      <c r="J635" s="338"/>
      <c r="K635" s="338"/>
      <c r="L635" s="356"/>
      <c r="M635" s="356"/>
      <c r="N635" s="321"/>
      <c r="O635" s="338"/>
      <c r="P635" s="338"/>
      <c r="Q635" s="338"/>
      <c r="R635" s="338"/>
      <c r="S635" s="338"/>
      <c r="T635" s="338"/>
      <c r="U635" s="338"/>
      <c r="V635" s="338"/>
      <c r="W635" s="338"/>
      <c r="X635" s="338"/>
      <c r="Y635" s="338"/>
      <c r="Z635" s="338"/>
    </row>
    <row r="636" ht="12.75" customHeight="1">
      <c r="A636" s="321"/>
      <c r="B636" s="338"/>
      <c r="C636" s="338"/>
      <c r="D636" s="415"/>
      <c r="E636" s="338"/>
      <c r="F636" s="338"/>
      <c r="G636" s="338"/>
      <c r="H636" s="338"/>
      <c r="I636" s="338"/>
      <c r="J636" s="338"/>
      <c r="K636" s="338"/>
      <c r="L636" s="356"/>
      <c r="M636" s="356"/>
      <c r="N636" s="321"/>
      <c r="O636" s="338"/>
      <c r="P636" s="338"/>
      <c r="Q636" s="338"/>
      <c r="R636" s="338"/>
      <c r="S636" s="338"/>
      <c r="T636" s="338"/>
      <c r="U636" s="338"/>
      <c r="V636" s="338"/>
      <c r="W636" s="338"/>
      <c r="X636" s="338"/>
      <c r="Y636" s="338"/>
      <c r="Z636" s="338"/>
    </row>
    <row r="637" ht="12.75" customHeight="1">
      <c r="A637" s="321"/>
      <c r="B637" s="338"/>
      <c r="C637" s="338"/>
      <c r="D637" s="415"/>
      <c r="E637" s="338"/>
      <c r="F637" s="338"/>
      <c r="G637" s="338"/>
      <c r="H637" s="338"/>
      <c r="I637" s="338"/>
      <c r="J637" s="338"/>
      <c r="K637" s="338"/>
      <c r="L637" s="356"/>
      <c r="M637" s="356"/>
      <c r="N637" s="321"/>
      <c r="O637" s="338"/>
      <c r="P637" s="338"/>
      <c r="Q637" s="338"/>
      <c r="R637" s="338"/>
      <c r="S637" s="338"/>
      <c r="T637" s="338"/>
      <c r="U637" s="338"/>
      <c r="V637" s="338"/>
      <c r="W637" s="338"/>
      <c r="X637" s="338"/>
      <c r="Y637" s="338"/>
      <c r="Z637" s="338"/>
    </row>
    <row r="638" ht="12.75" customHeight="1">
      <c r="A638" s="321"/>
      <c r="B638" s="338"/>
      <c r="C638" s="338"/>
      <c r="D638" s="415"/>
      <c r="E638" s="338"/>
      <c r="F638" s="338"/>
      <c r="G638" s="338"/>
      <c r="H638" s="338"/>
      <c r="I638" s="338"/>
      <c r="J638" s="338"/>
      <c r="K638" s="338"/>
      <c r="L638" s="356"/>
      <c r="M638" s="356"/>
      <c r="N638" s="321"/>
      <c r="O638" s="338"/>
      <c r="P638" s="338"/>
      <c r="Q638" s="338"/>
      <c r="R638" s="338"/>
      <c r="S638" s="338"/>
      <c r="T638" s="338"/>
      <c r="U638" s="338"/>
      <c r="V638" s="338"/>
      <c r="W638" s="338"/>
      <c r="X638" s="338"/>
      <c r="Y638" s="338"/>
      <c r="Z638" s="338"/>
    </row>
    <row r="639" ht="12.75" customHeight="1">
      <c r="A639" s="321"/>
      <c r="B639" s="338"/>
      <c r="C639" s="338"/>
      <c r="D639" s="415"/>
      <c r="E639" s="338"/>
      <c r="F639" s="338"/>
      <c r="G639" s="338"/>
      <c r="H639" s="338"/>
      <c r="I639" s="338"/>
      <c r="J639" s="338"/>
      <c r="K639" s="338"/>
      <c r="L639" s="356"/>
      <c r="M639" s="356"/>
      <c r="N639" s="321"/>
      <c r="O639" s="338"/>
      <c r="P639" s="338"/>
      <c r="Q639" s="338"/>
      <c r="R639" s="338"/>
      <c r="S639" s="338"/>
      <c r="T639" s="338"/>
      <c r="U639" s="338"/>
      <c r="V639" s="338"/>
      <c r="W639" s="338"/>
      <c r="X639" s="338"/>
      <c r="Y639" s="338"/>
      <c r="Z639" s="338"/>
    </row>
    <row r="640" ht="12.75" customHeight="1">
      <c r="A640" s="321"/>
      <c r="B640" s="338"/>
      <c r="C640" s="338"/>
      <c r="D640" s="415"/>
      <c r="E640" s="338"/>
      <c r="F640" s="338"/>
      <c r="G640" s="338"/>
      <c r="H640" s="338"/>
      <c r="I640" s="338"/>
      <c r="J640" s="338"/>
      <c r="K640" s="338"/>
      <c r="L640" s="356"/>
      <c r="M640" s="356"/>
      <c r="N640" s="321"/>
      <c r="O640" s="338"/>
      <c r="P640" s="338"/>
      <c r="Q640" s="338"/>
      <c r="R640" s="338"/>
      <c r="S640" s="338"/>
      <c r="T640" s="338"/>
      <c r="U640" s="338"/>
      <c r="V640" s="338"/>
      <c r="W640" s="338"/>
      <c r="X640" s="338"/>
      <c r="Y640" s="338"/>
      <c r="Z640" s="338"/>
    </row>
    <row r="641" ht="12.75" customHeight="1">
      <c r="A641" s="321"/>
      <c r="B641" s="338"/>
      <c r="C641" s="338"/>
      <c r="D641" s="415"/>
      <c r="E641" s="338"/>
      <c r="F641" s="338"/>
      <c r="G641" s="338"/>
      <c r="H641" s="338"/>
      <c r="I641" s="338"/>
      <c r="J641" s="338"/>
      <c r="K641" s="338"/>
      <c r="L641" s="356"/>
      <c r="M641" s="356"/>
      <c r="N641" s="321"/>
      <c r="O641" s="338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</row>
    <row r="642" ht="12.75" customHeight="1">
      <c r="A642" s="321"/>
      <c r="B642" s="338"/>
      <c r="C642" s="338"/>
      <c r="D642" s="415"/>
      <c r="E642" s="338"/>
      <c r="F642" s="338"/>
      <c r="G642" s="338"/>
      <c r="H642" s="338"/>
      <c r="I642" s="338"/>
      <c r="J642" s="338"/>
      <c r="K642" s="338"/>
      <c r="L642" s="356"/>
      <c r="M642" s="356"/>
      <c r="N642" s="321"/>
      <c r="O642" s="338"/>
      <c r="P642" s="338"/>
      <c r="Q642" s="338"/>
      <c r="R642" s="338"/>
      <c r="S642" s="338"/>
      <c r="T642" s="338"/>
      <c r="U642" s="338"/>
      <c r="V642" s="338"/>
      <c r="W642" s="338"/>
      <c r="X642" s="338"/>
      <c r="Y642" s="338"/>
      <c r="Z642" s="338"/>
    </row>
    <row r="643" ht="12.75" customHeight="1">
      <c r="A643" s="321"/>
      <c r="B643" s="338"/>
      <c r="C643" s="338"/>
      <c r="D643" s="415"/>
      <c r="E643" s="338"/>
      <c r="F643" s="338"/>
      <c r="G643" s="338"/>
      <c r="H643" s="338"/>
      <c r="I643" s="338"/>
      <c r="J643" s="338"/>
      <c r="K643" s="338"/>
      <c r="L643" s="356"/>
      <c r="M643" s="356"/>
      <c r="N643" s="321"/>
      <c r="O643" s="338"/>
      <c r="P643" s="338"/>
      <c r="Q643" s="338"/>
      <c r="R643" s="338"/>
      <c r="S643" s="338"/>
      <c r="T643" s="338"/>
      <c r="U643" s="338"/>
      <c r="V643" s="338"/>
      <c r="W643" s="338"/>
      <c r="X643" s="338"/>
      <c r="Y643" s="338"/>
      <c r="Z643" s="338"/>
    </row>
    <row r="644" ht="12.75" customHeight="1">
      <c r="A644" s="321"/>
      <c r="B644" s="338"/>
      <c r="C644" s="338"/>
      <c r="D644" s="415"/>
      <c r="E644" s="338"/>
      <c r="F644" s="338"/>
      <c r="G644" s="338"/>
      <c r="H644" s="338"/>
      <c r="I644" s="338"/>
      <c r="J644" s="338"/>
      <c r="K644" s="338"/>
      <c r="L644" s="356"/>
      <c r="M644" s="356"/>
      <c r="N644" s="321"/>
      <c r="O644" s="338"/>
      <c r="P644" s="338"/>
      <c r="Q644" s="338"/>
      <c r="R644" s="338"/>
      <c r="S644" s="338"/>
      <c r="T644" s="338"/>
      <c r="U644" s="338"/>
      <c r="V644" s="338"/>
      <c r="W644" s="338"/>
      <c r="X644" s="338"/>
      <c r="Y644" s="338"/>
      <c r="Z644" s="338"/>
    </row>
    <row r="645" ht="12.75" customHeight="1">
      <c r="A645" s="321"/>
      <c r="B645" s="338"/>
      <c r="C645" s="338"/>
      <c r="D645" s="415"/>
      <c r="E645" s="338"/>
      <c r="F645" s="338"/>
      <c r="G645" s="338"/>
      <c r="H645" s="338"/>
      <c r="I645" s="338"/>
      <c r="J645" s="338"/>
      <c r="K645" s="338"/>
      <c r="L645" s="356"/>
      <c r="M645" s="356"/>
      <c r="N645" s="321"/>
      <c r="O645" s="338"/>
      <c r="P645" s="338"/>
      <c r="Q645" s="338"/>
      <c r="R645" s="338"/>
      <c r="S645" s="338"/>
      <c r="T645" s="338"/>
      <c r="U645" s="338"/>
      <c r="V645" s="338"/>
      <c r="W645" s="338"/>
      <c r="X645" s="338"/>
      <c r="Y645" s="338"/>
      <c r="Z645" s="338"/>
    </row>
    <row r="646" ht="12.75" customHeight="1">
      <c r="A646" s="321"/>
      <c r="B646" s="338"/>
      <c r="C646" s="338"/>
      <c r="D646" s="415"/>
      <c r="E646" s="338"/>
      <c r="F646" s="338"/>
      <c r="G646" s="338"/>
      <c r="H646" s="338"/>
      <c r="I646" s="338"/>
      <c r="J646" s="338"/>
      <c r="K646" s="338"/>
      <c r="L646" s="356"/>
      <c r="M646" s="356"/>
      <c r="N646" s="321"/>
      <c r="O646" s="338"/>
      <c r="P646" s="338"/>
      <c r="Q646" s="338"/>
      <c r="R646" s="338"/>
      <c r="S646" s="338"/>
      <c r="T646" s="338"/>
      <c r="U646" s="338"/>
      <c r="V646" s="338"/>
      <c r="W646" s="338"/>
      <c r="X646" s="338"/>
      <c r="Y646" s="338"/>
      <c r="Z646" s="338"/>
    </row>
    <row r="647" ht="12.75" customHeight="1">
      <c r="A647" s="321"/>
      <c r="B647" s="338"/>
      <c r="C647" s="338"/>
      <c r="D647" s="415"/>
      <c r="E647" s="338"/>
      <c r="F647" s="338"/>
      <c r="G647" s="338"/>
      <c r="H647" s="338"/>
      <c r="I647" s="338"/>
      <c r="J647" s="338"/>
      <c r="K647" s="338"/>
      <c r="L647" s="356"/>
      <c r="M647" s="356"/>
      <c r="N647" s="321"/>
      <c r="O647" s="338"/>
      <c r="P647" s="338"/>
      <c r="Q647" s="338"/>
      <c r="R647" s="338"/>
      <c r="S647" s="338"/>
      <c r="T647" s="338"/>
      <c r="U647" s="338"/>
      <c r="V647" s="338"/>
      <c r="W647" s="338"/>
      <c r="X647" s="338"/>
      <c r="Y647" s="338"/>
      <c r="Z647" s="338"/>
    </row>
    <row r="648" ht="12.75" customHeight="1">
      <c r="A648" s="321"/>
      <c r="B648" s="338"/>
      <c r="C648" s="338"/>
      <c r="D648" s="415"/>
      <c r="E648" s="338"/>
      <c r="F648" s="338"/>
      <c r="G648" s="338"/>
      <c r="H648" s="338"/>
      <c r="I648" s="338"/>
      <c r="J648" s="338"/>
      <c r="K648" s="338"/>
      <c r="L648" s="356"/>
      <c r="M648" s="356"/>
      <c r="N648" s="321"/>
      <c r="O648" s="338"/>
      <c r="P648" s="338"/>
      <c r="Q648" s="338"/>
      <c r="R648" s="338"/>
      <c r="S648" s="338"/>
      <c r="T648" s="338"/>
      <c r="U648" s="338"/>
      <c r="V648" s="338"/>
      <c r="W648" s="338"/>
      <c r="X648" s="338"/>
      <c r="Y648" s="338"/>
      <c r="Z648" s="338"/>
    </row>
    <row r="649" ht="12.75" customHeight="1">
      <c r="A649" s="321"/>
      <c r="B649" s="338"/>
      <c r="C649" s="338"/>
      <c r="D649" s="415"/>
      <c r="E649" s="338"/>
      <c r="F649" s="338"/>
      <c r="G649" s="338"/>
      <c r="H649" s="338"/>
      <c r="I649" s="338"/>
      <c r="J649" s="338"/>
      <c r="K649" s="338"/>
      <c r="L649" s="356"/>
      <c r="M649" s="356"/>
      <c r="N649" s="321"/>
      <c r="O649" s="338"/>
      <c r="P649" s="338"/>
      <c r="Q649" s="338"/>
      <c r="R649" s="338"/>
      <c r="S649" s="338"/>
      <c r="T649" s="338"/>
      <c r="U649" s="338"/>
      <c r="V649" s="338"/>
      <c r="W649" s="338"/>
      <c r="X649" s="338"/>
      <c r="Y649" s="338"/>
      <c r="Z649" s="338"/>
    </row>
    <row r="650" ht="12.75" customHeight="1">
      <c r="A650" s="321"/>
      <c r="B650" s="338"/>
      <c r="C650" s="338"/>
      <c r="D650" s="415"/>
      <c r="E650" s="338"/>
      <c r="F650" s="338"/>
      <c r="G650" s="338"/>
      <c r="H650" s="338"/>
      <c r="I650" s="338"/>
      <c r="J650" s="338"/>
      <c r="K650" s="338"/>
      <c r="L650" s="356"/>
      <c r="M650" s="356"/>
      <c r="N650" s="321"/>
      <c r="O650" s="338"/>
      <c r="P650" s="338"/>
      <c r="Q650" s="338"/>
      <c r="R650" s="338"/>
      <c r="S650" s="338"/>
      <c r="T650" s="338"/>
      <c r="U650" s="338"/>
      <c r="V650" s="338"/>
      <c r="W650" s="338"/>
      <c r="X650" s="338"/>
      <c r="Y650" s="338"/>
      <c r="Z650" s="338"/>
    </row>
    <row r="651" ht="12.75" customHeight="1">
      <c r="A651" s="321"/>
      <c r="B651" s="338"/>
      <c r="C651" s="338"/>
      <c r="D651" s="415"/>
      <c r="E651" s="338"/>
      <c r="F651" s="338"/>
      <c r="G651" s="338"/>
      <c r="H651" s="338"/>
      <c r="I651" s="338"/>
      <c r="J651" s="338"/>
      <c r="K651" s="338"/>
      <c r="L651" s="356"/>
      <c r="M651" s="356"/>
      <c r="N651" s="321"/>
      <c r="O651" s="338"/>
      <c r="P651" s="338"/>
      <c r="Q651" s="338"/>
      <c r="R651" s="338"/>
      <c r="S651" s="338"/>
      <c r="T651" s="338"/>
      <c r="U651" s="338"/>
      <c r="V651" s="338"/>
      <c r="W651" s="338"/>
      <c r="X651" s="338"/>
      <c r="Y651" s="338"/>
      <c r="Z651" s="338"/>
    </row>
    <row r="652" ht="12.75" customHeight="1">
      <c r="A652" s="321"/>
      <c r="B652" s="338"/>
      <c r="C652" s="338"/>
      <c r="D652" s="415"/>
      <c r="E652" s="338"/>
      <c r="F652" s="338"/>
      <c r="G652" s="338"/>
      <c r="H652" s="338"/>
      <c r="I652" s="338"/>
      <c r="J652" s="338"/>
      <c r="K652" s="338"/>
      <c r="L652" s="356"/>
      <c r="M652" s="356"/>
      <c r="N652" s="321"/>
      <c r="O652" s="338"/>
      <c r="P652" s="338"/>
      <c r="Q652" s="338"/>
      <c r="R652" s="338"/>
      <c r="S652" s="338"/>
      <c r="T652" s="338"/>
      <c r="U652" s="338"/>
      <c r="V652" s="338"/>
      <c r="W652" s="338"/>
      <c r="X652" s="338"/>
      <c r="Y652" s="338"/>
      <c r="Z652" s="338"/>
    </row>
    <row r="653" ht="12.75" customHeight="1">
      <c r="A653" s="321"/>
      <c r="B653" s="338"/>
      <c r="C653" s="338"/>
      <c r="D653" s="415"/>
      <c r="E653" s="338"/>
      <c r="F653" s="338"/>
      <c r="G653" s="338"/>
      <c r="H653" s="338"/>
      <c r="I653" s="338"/>
      <c r="J653" s="338"/>
      <c r="K653" s="338"/>
      <c r="L653" s="356"/>
      <c r="M653" s="356"/>
      <c r="N653" s="321"/>
      <c r="O653" s="338"/>
      <c r="P653" s="338"/>
      <c r="Q653" s="338"/>
      <c r="R653" s="338"/>
      <c r="S653" s="338"/>
      <c r="T653" s="338"/>
      <c r="U653" s="338"/>
      <c r="V653" s="338"/>
      <c r="W653" s="338"/>
      <c r="X653" s="338"/>
      <c r="Y653" s="338"/>
      <c r="Z653" s="338"/>
    </row>
    <row r="654" ht="12.75" customHeight="1">
      <c r="A654" s="321"/>
      <c r="B654" s="338"/>
      <c r="C654" s="338"/>
      <c r="D654" s="415"/>
      <c r="E654" s="338"/>
      <c r="F654" s="338"/>
      <c r="G654" s="338"/>
      <c r="H654" s="338"/>
      <c r="I654" s="338"/>
      <c r="J654" s="338"/>
      <c r="K654" s="338"/>
      <c r="L654" s="356"/>
      <c r="M654" s="356"/>
      <c r="N654" s="321"/>
      <c r="O654" s="338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</row>
    <row r="655" ht="12.75" customHeight="1">
      <c r="A655" s="321"/>
      <c r="B655" s="338"/>
      <c r="C655" s="338"/>
      <c r="D655" s="415"/>
      <c r="E655" s="338"/>
      <c r="F655" s="338"/>
      <c r="G655" s="338"/>
      <c r="H655" s="338"/>
      <c r="I655" s="338"/>
      <c r="J655" s="338"/>
      <c r="K655" s="338"/>
      <c r="L655" s="356"/>
      <c r="M655" s="356"/>
      <c r="N655" s="321"/>
      <c r="O655" s="338"/>
      <c r="P655" s="338"/>
      <c r="Q655" s="338"/>
      <c r="R655" s="338"/>
      <c r="S655" s="338"/>
      <c r="T655" s="338"/>
      <c r="U655" s="338"/>
      <c r="V655" s="338"/>
      <c r="W655" s="338"/>
      <c r="X655" s="338"/>
      <c r="Y655" s="338"/>
      <c r="Z655" s="338"/>
    </row>
    <row r="656" ht="12.75" customHeight="1">
      <c r="A656" s="321"/>
      <c r="B656" s="338"/>
      <c r="C656" s="338"/>
      <c r="D656" s="415"/>
      <c r="E656" s="338"/>
      <c r="F656" s="338"/>
      <c r="G656" s="338"/>
      <c r="H656" s="338"/>
      <c r="I656" s="338"/>
      <c r="J656" s="338"/>
      <c r="K656" s="338"/>
      <c r="L656" s="356"/>
      <c r="M656" s="356"/>
      <c r="N656" s="321"/>
      <c r="O656" s="338"/>
      <c r="P656" s="338"/>
      <c r="Q656" s="338"/>
      <c r="R656" s="338"/>
      <c r="S656" s="338"/>
      <c r="T656" s="338"/>
      <c r="U656" s="338"/>
      <c r="V656" s="338"/>
      <c r="W656" s="338"/>
      <c r="X656" s="338"/>
      <c r="Y656" s="338"/>
      <c r="Z656" s="338"/>
    </row>
    <row r="657" ht="12.75" customHeight="1">
      <c r="A657" s="321"/>
      <c r="B657" s="338"/>
      <c r="C657" s="338"/>
      <c r="D657" s="415"/>
      <c r="E657" s="338"/>
      <c r="F657" s="338"/>
      <c r="G657" s="338"/>
      <c r="H657" s="338"/>
      <c r="I657" s="338"/>
      <c r="J657" s="338"/>
      <c r="K657" s="338"/>
      <c r="L657" s="356"/>
      <c r="M657" s="356"/>
      <c r="N657" s="321"/>
      <c r="O657" s="338"/>
      <c r="P657" s="338"/>
      <c r="Q657" s="338"/>
      <c r="R657" s="338"/>
      <c r="S657" s="338"/>
      <c r="T657" s="338"/>
      <c r="U657" s="338"/>
      <c r="V657" s="338"/>
      <c r="W657" s="338"/>
      <c r="X657" s="338"/>
      <c r="Y657" s="338"/>
      <c r="Z657" s="338"/>
    </row>
    <row r="658" ht="12.75" customHeight="1">
      <c r="A658" s="321"/>
      <c r="B658" s="338"/>
      <c r="C658" s="338"/>
      <c r="D658" s="415"/>
      <c r="E658" s="338"/>
      <c r="F658" s="338"/>
      <c r="G658" s="338"/>
      <c r="H658" s="338"/>
      <c r="I658" s="338"/>
      <c r="J658" s="338"/>
      <c r="K658" s="338"/>
      <c r="L658" s="356"/>
      <c r="M658" s="356"/>
      <c r="N658" s="321"/>
      <c r="O658" s="338"/>
      <c r="P658" s="338"/>
      <c r="Q658" s="338"/>
      <c r="R658" s="338"/>
      <c r="S658" s="338"/>
      <c r="T658" s="338"/>
      <c r="U658" s="338"/>
      <c r="V658" s="338"/>
      <c r="W658" s="338"/>
      <c r="X658" s="338"/>
      <c r="Y658" s="338"/>
      <c r="Z658" s="338"/>
    </row>
    <row r="659" ht="12.75" customHeight="1">
      <c r="A659" s="321"/>
      <c r="B659" s="338"/>
      <c r="C659" s="338"/>
      <c r="D659" s="415"/>
      <c r="E659" s="338"/>
      <c r="F659" s="338"/>
      <c r="G659" s="338"/>
      <c r="H659" s="338"/>
      <c r="I659" s="338"/>
      <c r="J659" s="338"/>
      <c r="K659" s="338"/>
      <c r="L659" s="356"/>
      <c r="M659" s="356"/>
      <c r="N659" s="321"/>
      <c r="O659" s="338"/>
      <c r="P659" s="338"/>
      <c r="Q659" s="338"/>
      <c r="R659" s="338"/>
      <c r="S659" s="338"/>
      <c r="T659" s="338"/>
      <c r="U659" s="338"/>
      <c r="V659" s="338"/>
      <c r="W659" s="338"/>
      <c r="X659" s="338"/>
      <c r="Y659" s="338"/>
      <c r="Z659" s="338"/>
    </row>
    <row r="660" ht="12.75" customHeight="1">
      <c r="A660" s="321"/>
      <c r="B660" s="338"/>
      <c r="C660" s="338"/>
      <c r="D660" s="415"/>
      <c r="E660" s="338"/>
      <c r="F660" s="338"/>
      <c r="G660" s="338"/>
      <c r="H660" s="338"/>
      <c r="I660" s="338"/>
      <c r="J660" s="338"/>
      <c r="K660" s="338"/>
      <c r="L660" s="356"/>
      <c r="M660" s="356"/>
      <c r="N660" s="321"/>
      <c r="O660" s="338"/>
      <c r="P660" s="338"/>
      <c r="Q660" s="338"/>
      <c r="R660" s="338"/>
      <c r="S660" s="338"/>
      <c r="T660" s="338"/>
      <c r="U660" s="338"/>
      <c r="V660" s="338"/>
      <c r="W660" s="338"/>
      <c r="X660" s="338"/>
      <c r="Y660" s="338"/>
      <c r="Z660" s="338"/>
    </row>
    <row r="661" ht="12.75" customHeight="1">
      <c r="A661" s="321"/>
      <c r="B661" s="338"/>
      <c r="C661" s="338"/>
      <c r="D661" s="415"/>
      <c r="E661" s="338"/>
      <c r="F661" s="338"/>
      <c r="G661" s="338"/>
      <c r="H661" s="338"/>
      <c r="I661" s="338"/>
      <c r="J661" s="338"/>
      <c r="K661" s="338"/>
      <c r="L661" s="356"/>
      <c r="M661" s="356"/>
      <c r="N661" s="321"/>
      <c r="O661" s="338"/>
      <c r="P661" s="338"/>
      <c r="Q661" s="338"/>
      <c r="R661" s="338"/>
      <c r="S661" s="338"/>
      <c r="T661" s="338"/>
      <c r="U661" s="338"/>
      <c r="V661" s="338"/>
      <c r="W661" s="338"/>
      <c r="X661" s="338"/>
      <c r="Y661" s="338"/>
      <c r="Z661" s="338"/>
    </row>
    <row r="662" ht="12.75" customHeight="1">
      <c r="A662" s="321"/>
      <c r="B662" s="338"/>
      <c r="C662" s="338"/>
      <c r="D662" s="415"/>
      <c r="E662" s="338"/>
      <c r="F662" s="338"/>
      <c r="G662" s="338"/>
      <c r="H662" s="338"/>
      <c r="I662" s="338"/>
      <c r="J662" s="338"/>
      <c r="K662" s="338"/>
      <c r="L662" s="356"/>
      <c r="M662" s="356"/>
      <c r="N662" s="321"/>
      <c r="O662" s="338"/>
      <c r="P662" s="338"/>
      <c r="Q662" s="338"/>
      <c r="R662" s="338"/>
      <c r="S662" s="338"/>
      <c r="T662" s="338"/>
      <c r="U662" s="338"/>
      <c r="V662" s="338"/>
      <c r="W662" s="338"/>
      <c r="X662" s="338"/>
      <c r="Y662" s="338"/>
      <c r="Z662" s="338"/>
    </row>
    <row r="663" ht="12.75" customHeight="1">
      <c r="A663" s="321"/>
      <c r="B663" s="338"/>
      <c r="C663" s="338"/>
      <c r="D663" s="415"/>
      <c r="E663" s="338"/>
      <c r="F663" s="338"/>
      <c r="G663" s="338"/>
      <c r="H663" s="338"/>
      <c r="I663" s="338"/>
      <c r="J663" s="338"/>
      <c r="K663" s="338"/>
      <c r="L663" s="356"/>
      <c r="M663" s="356"/>
      <c r="N663" s="321"/>
      <c r="O663" s="338"/>
      <c r="P663" s="338"/>
      <c r="Q663" s="338"/>
      <c r="R663" s="338"/>
      <c r="S663" s="338"/>
      <c r="T663" s="338"/>
      <c r="U663" s="338"/>
      <c r="V663" s="338"/>
      <c r="W663" s="338"/>
      <c r="X663" s="338"/>
      <c r="Y663" s="338"/>
      <c r="Z663" s="338"/>
    </row>
    <row r="664" ht="12.75" customHeight="1">
      <c r="A664" s="321"/>
      <c r="B664" s="338"/>
      <c r="C664" s="338"/>
      <c r="D664" s="415"/>
      <c r="E664" s="338"/>
      <c r="F664" s="338"/>
      <c r="G664" s="338"/>
      <c r="H664" s="338"/>
      <c r="I664" s="338"/>
      <c r="J664" s="338"/>
      <c r="K664" s="338"/>
      <c r="L664" s="356"/>
      <c r="M664" s="356"/>
      <c r="N664" s="321"/>
      <c r="O664" s="338"/>
      <c r="P664" s="338"/>
      <c r="Q664" s="338"/>
      <c r="R664" s="338"/>
      <c r="S664" s="338"/>
      <c r="T664" s="338"/>
      <c r="U664" s="338"/>
      <c r="V664" s="338"/>
      <c r="W664" s="338"/>
      <c r="X664" s="338"/>
      <c r="Y664" s="338"/>
      <c r="Z664" s="338"/>
    </row>
    <row r="665" ht="12.75" customHeight="1">
      <c r="A665" s="321"/>
      <c r="B665" s="338"/>
      <c r="C665" s="338"/>
      <c r="D665" s="415"/>
      <c r="E665" s="338"/>
      <c r="F665" s="338"/>
      <c r="G665" s="338"/>
      <c r="H665" s="338"/>
      <c r="I665" s="338"/>
      <c r="J665" s="338"/>
      <c r="K665" s="338"/>
      <c r="L665" s="356"/>
      <c r="M665" s="356"/>
      <c r="N665" s="321"/>
      <c r="O665" s="338"/>
      <c r="P665" s="338"/>
      <c r="Q665" s="338"/>
      <c r="R665" s="338"/>
      <c r="S665" s="338"/>
      <c r="T665" s="338"/>
      <c r="U665" s="338"/>
      <c r="V665" s="338"/>
      <c r="W665" s="338"/>
      <c r="X665" s="338"/>
      <c r="Y665" s="338"/>
      <c r="Z665" s="338"/>
    </row>
    <row r="666" ht="12.75" customHeight="1">
      <c r="A666" s="321"/>
      <c r="B666" s="338"/>
      <c r="C666" s="338"/>
      <c r="D666" s="415"/>
      <c r="E666" s="338"/>
      <c r="F666" s="338"/>
      <c r="G666" s="338"/>
      <c r="H666" s="338"/>
      <c r="I666" s="338"/>
      <c r="J666" s="338"/>
      <c r="K666" s="338"/>
      <c r="L666" s="356"/>
      <c r="M666" s="356"/>
      <c r="N666" s="321"/>
      <c r="O666" s="338"/>
      <c r="P666" s="338"/>
      <c r="Q666" s="338"/>
      <c r="R666" s="338"/>
      <c r="S666" s="338"/>
      <c r="T666" s="338"/>
      <c r="U666" s="338"/>
      <c r="V666" s="338"/>
      <c r="W666" s="338"/>
      <c r="X666" s="338"/>
      <c r="Y666" s="338"/>
      <c r="Z666" s="338"/>
    </row>
    <row r="667" ht="12.75" customHeight="1">
      <c r="A667" s="321"/>
      <c r="B667" s="338"/>
      <c r="C667" s="338"/>
      <c r="D667" s="415"/>
      <c r="E667" s="338"/>
      <c r="F667" s="338"/>
      <c r="G667" s="338"/>
      <c r="H667" s="338"/>
      <c r="I667" s="338"/>
      <c r="J667" s="338"/>
      <c r="K667" s="338"/>
      <c r="L667" s="356"/>
      <c r="M667" s="356"/>
      <c r="N667" s="321"/>
      <c r="O667" s="338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</row>
    <row r="668" ht="12.75" customHeight="1">
      <c r="A668" s="321"/>
      <c r="B668" s="338"/>
      <c r="C668" s="338"/>
      <c r="D668" s="415"/>
      <c r="E668" s="338"/>
      <c r="F668" s="338"/>
      <c r="G668" s="338"/>
      <c r="H668" s="338"/>
      <c r="I668" s="338"/>
      <c r="J668" s="338"/>
      <c r="K668" s="338"/>
      <c r="L668" s="356"/>
      <c r="M668" s="356"/>
      <c r="N668" s="321"/>
      <c r="O668" s="338"/>
      <c r="P668" s="338"/>
      <c r="Q668" s="338"/>
      <c r="R668" s="338"/>
      <c r="S668" s="338"/>
      <c r="T668" s="338"/>
      <c r="U668" s="338"/>
      <c r="V668" s="338"/>
      <c r="W668" s="338"/>
      <c r="X668" s="338"/>
      <c r="Y668" s="338"/>
      <c r="Z668" s="338"/>
    </row>
    <row r="669" ht="12.75" customHeight="1">
      <c r="A669" s="321"/>
      <c r="B669" s="338"/>
      <c r="C669" s="338"/>
      <c r="D669" s="415"/>
      <c r="E669" s="338"/>
      <c r="F669" s="338"/>
      <c r="G669" s="338"/>
      <c r="H669" s="338"/>
      <c r="I669" s="338"/>
      <c r="J669" s="338"/>
      <c r="K669" s="338"/>
      <c r="L669" s="356"/>
      <c r="M669" s="356"/>
      <c r="N669" s="321"/>
      <c r="O669" s="338"/>
      <c r="P669" s="338"/>
      <c r="Q669" s="338"/>
      <c r="R669" s="338"/>
      <c r="S669" s="338"/>
      <c r="T669" s="338"/>
      <c r="U669" s="338"/>
      <c r="V669" s="338"/>
      <c r="W669" s="338"/>
      <c r="X669" s="338"/>
      <c r="Y669" s="338"/>
      <c r="Z669" s="338"/>
    </row>
    <row r="670" ht="12.75" customHeight="1">
      <c r="A670" s="321"/>
      <c r="B670" s="338"/>
      <c r="C670" s="338"/>
      <c r="D670" s="415"/>
      <c r="E670" s="338"/>
      <c r="F670" s="338"/>
      <c r="G670" s="338"/>
      <c r="H670" s="338"/>
      <c r="I670" s="338"/>
      <c r="J670" s="338"/>
      <c r="K670" s="338"/>
      <c r="L670" s="356"/>
      <c r="M670" s="356"/>
      <c r="N670" s="321"/>
      <c r="O670" s="338"/>
      <c r="P670" s="338"/>
      <c r="Q670" s="338"/>
      <c r="R670" s="338"/>
      <c r="S670" s="338"/>
      <c r="T670" s="338"/>
      <c r="U670" s="338"/>
      <c r="V670" s="338"/>
      <c r="W670" s="338"/>
      <c r="X670" s="338"/>
      <c r="Y670" s="338"/>
      <c r="Z670" s="338"/>
    </row>
    <row r="671" ht="12.75" customHeight="1">
      <c r="A671" s="321"/>
      <c r="B671" s="338"/>
      <c r="C671" s="338"/>
      <c r="D671" s="415"/>
      <c r="E671" s="338"/>
      <c r="F671" s="338"/>
      <c r="G671" s="338"/>
      <c r="H671" s="338"/>
      <c r="I671" s="338"/>
      <c r="J671" s="338"/>
      <c r="K671" s="338"/>
      <c r="L671" s="356"/>
      <c r="M671" s="356"/>
      <c r="N671" s="321"/>
      <c r="O671" s="338"/>
      <c r="P671" s="338"/>
      <c r="Q671" s="338"/>
      <c r="R671" s="338"/>
      <c r="S671" s="338"/>
      <c r="T671" s="338"/>
      <c r="U671" s="338"/>
      <c r="V671" s="338"/>
      <c r="W671" s="338"/>
      <c r="X671" s="338"/>
      <c r="Y671" s="338"/>
      <c r="Z671" s="338"/>
    </row>
    <row r="672" ht="12.75" customHeight="1">
      <c r="A672" s="321"/>
      <c r="B672" s="338"/>
      <c r="C672" s="338"/>
      <c r="D672" s="415"/>
      <c r="E672" s="338"/>
      <c r="F672" s="338"/>
      <c r="G672" s="338"/>
      <c r="H672" s="338"/>
      <c r="I672" s="338"/>
      <c r="J672" s="338"/>
      <c r="K672" s="338"/>
      <c r="L672" s="356"/>
      <c r="M672" s="356"/>
      <c r="N672" s="321"/>
      <c r="O672" s="338"/>
      <c r="P672" s="338"/>
      <c r="Q672" s="338"/>
      <c r="R672" s="338"/>
      <c r="S672" s="338"/>
      <c r="T672" s="338"/>
      <c r="U672" s="338"/>
      <c r="V672" s="338"/>
      <c r="W672" s="338"/>
      <c r="X672" s="338"/>
      <c r="Y672" s="338"/>
      <c r="Z672" s="338"/>
    </row>
    <row r="673" ht="12.75" customHeight="1">
      <c r="A673" s="321"/>
      <c r="B673" s="338"/>
      <c r="C673" s="338"/>
      <c r="D673" s="415"/>
      <c r="E673" s="338"/>
      <c r="F673" s="338"/>
      <c r="G673" s="338"/>
      <c r="H673" s="338"/>
      <c r="I673" s="338"/>
      <c r="J673" s="338"/>
      <c r="K673" s="338"/>
      <c r="L673" s="356"/>
      <c r="M673" s="356"/>
      <c r="N673" s="321"/>
      <c r="O673" s="338"/>
      <c r="P673" s="338"/>
      <c r="Q673" s="338"/>
      <c r="R673" s="338"/>
      <c r="S673" s="338"/>
      <c r="T673" s="338"/>
      <c r="U673" s="338"/>
      <c r="V673" s="338"/>
      <c r="W673" s="338"/>
      <c r="X673" s="338"/>
      <c r="Y673" s="338"/>
      <c r="Z673" s="338"/>
    </row>
    <row r="674" ht="12.75" customHeight="1">
      <c r="A674" s="321"/>
      <c r="B674" s="338"/>
      <c r="C674" s="338"/>
      <c r="D674" s="415"/>
      <c r="E674" s="338"/>
      <c r="F674" s="338"/>
      <c r="G674" s="338"/>
      <c r="H674" s="338"/>
      <c r="I674" s="338"/>
      <c r="J674" s="338"/>
      <c r="K674" s="338"/>
      <c r="L674" s="356"/>
      <c r="M674" s="356"/>
      <c r="N674" s="321"/>
      <c r="O674" s="338"/>
      <c r="P674" s="338"/>
      <c r="Q674" s="338"/>
      <c r="R674" s="338"/>
      <c r="S674" s="338"/>
      <c r="T674" s="338"/>
      <c r="U674" s="338"/>
      <c r="V674" s="338"/>
      <c r="W674" s="338"/>
      <c r="X674" s="338"/>
      <c r="Y674" s="338"/>
      <c r="Z674" s="338"/>
    </row>
    <row r="675" ht="12.75" customHeight="1">
      <c r="A675" s="321"/>
      <c r="B675" s="338"/>
      <c r="C675" s="338"/>
      <c r="D675" s="415"/>
      <c r="E675" s="338"/>
      <c r="F675" s="338"/>
      <c r="G675" s="338"/>
      <c r="H675" s="338"/>
      <c r="I675" s="338"/>
      <c r="J675" s="338"/>
      <c r="K675" s="338"/>
      <c r="L675" s="356"/>
      <c r="M675" s="356"/>
      <c r="N675" s="321"/>
      <c r="O675" s="338"/>
      <c r="P675" s="338"/>
      <c r="Q675" s="338"/>
      <c r="R675" s="338"/>
      <c r="S675" s="338"/>
      <c r="T675" s="338"/>
      <c r="U675" s="338"/>
      <c r="V675" s="338"/>
      <c r="W675" s="338"/>
      <c r="X675" s="338"/>
      <c r="Y675" s="338"/>
      <c r="Z675" s="338"/>
    </row>
    <row r="676" ht="12.75" customHeight="1">
      <c r="A676" s="321"/>
      <c r="B676" s="338"/>
      <c r="C676" s="338"/>
      <c r="D676" s="415"/>
      <c r="E676" s="338"/>
      <c r="F676" s="338"/>
      <c r="G676" s="338"/>
      <c r="H676" s="338"/>
      <c r="I676" s="338"/>
      <c r="J676" s="338"/>
      <c r="K676" s="338"/>
      <c r="L676" s="356"/>
      <c r="M676" s="356"/>
      <c r="N676" s="321"/>
      <c r="O676" s="338"/>
      <c r="P676" s="338"/>
      <c r="Q676" s="338"/>
      <c r="R676" s="338"/>
      <c r="S676" s="338"/>
      <c r="T676" s="338"/>
      <c r="U676" s="338"/>
      <c r="V676" s="338"/>
      <c r="W676" s="338"/>
      <c r="X676" s="338"/>
      <c r="Y676" s="338"/>
      <c r="Z676" s="338"/>
    </row>
    <row r="677" ht="12.75" customHeight="1">
      <c r="A677" s="321"/>
      <c r="B677" s="338"/>
      <c r="C677" s="338"/>
      <c r="D677" s="415"/>
      <c r="E677" s="338"/>
      <c r="F677" s="338"/>
      <c r="G677" s="338"/>
      <c r="H677" s="338"/>
      <c r="I677" s="338"/>
      <c r="J677" s="338"/>
      <c r="K677" s="338"/>
      <c r="L677" s="356"/>
      <c r="M677" s="356"/>
      <c r="N677" s="321"/>
      <c r="O677" s="338"/>
      <c r="P677" s="338"/>
      <c r="Q677" s="338"/>
      <c r="R677" s="338"/>
      <c r="S677" s="338"/>
      <c r="T677" s="338"/>
      <c r="U677" s="338"/>
      <c r="V677" s="338"/>
      <c r="W677" s="338"/>
      <c r="X677" s="338"/>
      <c r="Y677" s="338"/>
      <c r="Z677" s="338"/>
    </row>
    <row r="678" ht="12.75" customHeight="1">
      <c r="A678" s="321"/>
      <c r="B678" s="338"/>
      <c r="C678" s="338"/>
      <c r="D678" s="415"/>
      <c r="E678" s="338"/>
      <c r="F678" s="338"/>
      <c r="G678" s="338"/>
      <c r="H678" s="338"/>
      <c r="I678" s="338"/>
      <c r="J678" s="338"/>
      <c r="K678" s="338"/>
      <c r="L678" s="356"/>
      <c r="M678" s="356"/>
      <c r="N678" s="321"/>
      <c r="O678" s="338"/>
      <c r="P678" s="338"/>
      <c r="Q678" s="338"/>
      <c r="R678" s="338"/>
      <c r="S678" s="338"/>
      <c r="T678" s="338"/>
      <c r="U678" s="338"/>
      <c r="V678" s="338"/>
      <c r="W678" s="338"/>
      <c r="X678" s="338"/>
      <c r="Y678" s="338"/>
      <c r="Z678" s="338"/>
    </row>
    <row r="679" ht="12.75" customHeight="1">
      <c r="A679" s="321"/>
      <c r="B679" s="338"/>
      <c r="C679" s="338"/>
      <c r="D679" s="415"/>
      <c r="E679" s="338"/>
      <c r="F679" s="338"/>
      <c r="G679" s="338"/>
      <c r="H679" s="338"/>
      <c r="I679" s="338"/>
      <c r="J679" s="338"/>
      <c r="K679" s="338"/>
      <c r="L679" s="356"/>
      <c r="M679" s="356"/>
      <c r="N679" s="321"/>
      <c r="O679" s="338"/>
      <c r="P679" s="338"/>
      <c r="Q679" s="338"/>
      <c r="R679" s="338"/>
      <c r="S679" s="338"/>
      <c r="T679" s="338"/>
      <c r="U679" s="338"/>
      <c r="V679" s="338"/>
      <c r="W679" s="338"/>
      <c r="X679" s="338"/>
      <c r="Y679" s="338"/>
      <c r="Z679" s="338"/>
    </row>
    <row r="680" ht="12.75" customHeight="1">
      <c r="A680" s="321"/>
      <c r="B680" s="338"/>
      <c r="C680" s="338"/>
      <c r="D680" s="415"/>
      <c r="E680" s="338"/>
      <c r="F680" s="338"/>
      <c r="G680" s="338"/>
      <c r="H680" s="338"/>
      <c r="I680" s="338"/>
      <c r="J680" s="338"/>
      <c r="K680" s="338"/>
      <c r="L680" s="356"/>
      <c r="M680" s="356"/>
      <c r="N680" s="321"/>
      <c r="O680" s="338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</row>
    <row r="681" ht="12.75" customHeight="1">
      <c r="A681" s="321"/>
      <c r="B681" s="338"/>
      <c r="C681" s="338"/>
      <c r="D681" s="415"/>
      <c r="E681" s="338"/>
      <c r="F681" s="338"/>
      <c r="G681" s="338"/>
      <c r="H681" s="338"/>
      <c r="I681" s="338"/>
      <c r="J681" s="338"/>
      <c r="K681" s="338"/>
      <c r="L681" s="356"/>
      <c r="M681" s="356"/>
      <c r="N681" s="321"/>
      <c r="O681" s="338"/>
      <c r="P681" s="338"/>
      <c r="Q681" s="338"/>
      <c r="R681" s="338"/>
      <c r="S681" s="338"/>
      <c r="T681" s="338"/>
      <c r="U681" s="338"/>
      <c r="V681" s="338"/>
      <c r="W681" s="338"/>
      <c r="X681" s="338"/>
      <c r="Y681" s="338"/>
      <c r="Z681" s="338"/>
    </row>
    <row r="682" ht="12.75" customHeight="1">
      <c r="A682" s="321"/>
      <c r="B682" s="338"/>
      <c r="C682" s="338"/>
      <c r="D682" s="415"/>
      <c r="E682" s="338"/>
      <c r="F682" s="338"/>
      <c r="G682" s="338"/>
      <c r="H682" s="338"/>
      <c r="I682" s="338"/>
      <c r="J682" s="338"/>
      <c r="K682" s="338"/>
      <c r="L682" s="356"/>
      <c r="M682" s="356"/>
      <c r="N682" s="321"/>
      <c r="O682" s="338"/>
      <c r="P682" s="338"/>
      <c r="Q682" s="338"/>
      <c r="R682" s="338"/>
      <c r="S682" s="338"/>
      <c r="T682" s="338"/>
      <c r="U682" s="338"/>
      <c r="V682" s="338"/>
      <c r="W682" s="338"/>
      <c r="X682" s="338"/>
      <c r="Y682" s="338"/>
      <c r="Z682" s="338"/>
    </row>
    <row r="683" ht="12.75" customHeight="1">
      <c r="A683" s="321"/>
      <c r="B683" s="338"/>
      <c r="C683" s="338"/>
      <c r="D683" s="415"/>
      <c r="E683" s="338"/>
      <c r="F683" s="338"/>
      <c r="G683" s="338"/>
      <c r="H683" s="338"/>
      <c r="I683" s="338"/>
      <c r="J683" s="338"/>
      <c r="K683" s="338"/>
      <c r="L683" s="356"/>
      <c r="M683" s="356"/>
      <c r="N683" s="321"/>
      <c r="O683" s="338"/>
      <c r="P683" s="338"/>
      <c r="Q683" s="338"/>
      <c r="R683" s="338"/>
      <c r="S683" s="338"/>
      <c r="T683" s="338"/>
      <c r="U683" s="338"/>
      <c r="V683" s="338"/>
      <c r="W683" s="338"/>
      <c r="X683" s="338"/>
      <c r="Y683" s="338"/>
      <c r="Z683" s="338"/>
    </row>
    <row r="684" ht="12.75" customHeight="1">
      <c r="A684" s="321"/>
      <c r="B684" s="338"/>
      <c r="C684" s="338"/>
      <c r="D684" s="415"/>
      <c r="E684" s="338"/>
      <c r="F684" s="338"/>
      <c r="G684" s="338"/>
      <c r="H684" s="338"/>
      <c r="I684" s="338"/>
      <c r="J684" s="338"/>
      <c r="K684" s="338"/>
      <c r="L684" s="356"/>
      <c r="M684" s="356"/>
      <c r="N684" s="321"/>
      <c r="O684" s="338"/>
      <c r="P684" s="338"/>
      <c r="Q684" s="338"/>
      <c r="R684" s="338"/>
      <c r="S684" s="338"/>
      <c r="T684" s="338"/>
      <c r="U684" s="338"/>
      <c r="V684" s="338"/>
      <c r="W684" s="338"/>
      <c r="X684" s="338"/>
      <c r="Y684" s="338"/>
      <c r="Z684" s="338"/>
    </row>
    <row r="685" ht="12.75" customHeight="1">
      <c r="A685" s="321"/>
      <c r="B685" s="338"/>
      <c r="C685" s="338"/>
      <c r="D685" s="415"/>
      <c r="E685" s="338"/>
      <c r="F685" s="338"/>
      <c r="G685" s="338"/>
      <c r="H685" s="338"/>
      <c r="I685" s="338"/>
      <c r="J685" s="338"/>
      <c r="K685" s="338"/>
      <c r="L685" s="356"/>
      <c r="M685" s="356"/>
      <c r="N685" s="321"/>
      <c r="O685" s="338"/>
      <c r="P685" s="338"/>
      <c r="Q685" s="338"/>
      <c r="R685" s="338"/>
      <c r="S685" s="338"/>
      <c r="T685" s="338"/>
      <c r="U685" s="338"/>
      <c r="V685" s="338"/>
      <c r="W685" s="338"/>
      <c r="X685" s="338"/>
      <c r="Y685" s="338"/>
      <c r="Z685" s="338"/>
    </row>
    <row r="686" ht="12.75" customHeight="1">
      <c r="A686" s="321"/>
      <c r="B686" s="338"/>
      <c r="C686" s="338"/>
      <c r="D686" s="415"/>
      <c r="E686" s="338"/>
      <c r="F686" s="338"/>
      <c r="G686" s="338"/>
      <c r="H686" s="338"/>
      <c r="I686" s="338"/>
      <c r="J686" s="338"/>
      <c r="K686" s="338"/>
      <c r="L686" s="356"/>
      <c r="M686" s="356"/>
      <c r="N686" s="321"/>
      <c r="O686" s="338"/>
      <c r="P686" s="338"/>
      <c r="Q686" s="338"/>
      <c r="R686" s="338"/>
      <c r="S686" s="338"/>
      <c r="T686" s="338"/>
      <c r="U686" s="338"/>
      <c r="V686" s="338"/>
      <c r="W686" s="338"/>
      <c r="X686" s="338"/>
      <c r="Y686" s="338"/>
      <c r="Z686" s="338"/>
    </row>
    <row r="687" ht="12.75" customHeight="1">
      <c r="A687" s="321"/>
      <c r="B687" s="338"/>
      <c r="C687" s="338"/>
      <c r="D687" s="415"/>
      <c r="E687" s="338"/>
      <c r="F687" s="338"/>
      <c r="G687" s="338"/>
      <c r="H687" s="338"/>
      <c r="I687" s="338"/>
      <c r="J687" s="338"/>
      <c r="K687" s="338"/>
      <c r="L687" s="356"/>
      <c r="M687" s="356"/>
      <c r="N687" s="321"/>
      <c r="O687" s="338"/>
      <c r="P687" s="338"/>
      <c r="Q687" s="338"/>
      <c r="R687" s="338"/>
      <c r="S687" s="338"/>
      <c r="T687" s="338"/>
      <c r="U687" s="338"/>
      <c r="V687" s="338"/>
      <c r="W687" s="338"/>
      <c r="X687" s="338"/>
      <c r="Y687" s="338"/>
      <c r="Z687" s="338"/>
    </row>
    <row r="688" ht="12.75" customHeight="1">
      <c r="A688" s="321"/>
      <c r="B688" s="338"/>
      <c r="C688" s="338"/>
      <c r="D688" s="415"/>
      <c r="E688" s="338"/>
      <c r="F688" s="338"/>
      <c r="G688" s="338"/>
      <c r="H688" s="338"/>
      <c r="I688" s="338"/>
      <c r="J688" s="338"/>
      <c r="K688" s="338"/>
      <c r="L688" s="356"/>
      <c r="M688" s="356"/>
      <c r="N688" s="321"/>
      <c r="O688" s="338"/>
      <c r="P688" s="338"/>
      <c r="Q688" s="338"/>
      <c r="R688" s="338"/>
      <c r="S688" s="338"/>
      <c r="T688" s="338"/>
      <c r="U688" s="338"/>
      <c r="V688" s="338"/>
      <c r="W688" s="338"/>
      <c r="X688" s="338"/>
      <c r="Y688" s="338"/>
      <c r="Z688" s="338"/>
    </row>
    <row r="689" ht="12.75" customHeight="1">
      <c r="A689" s="321"/>
      <c r="B689" s="338"/>
      <c r="C689" s="338"/>
      <c r="D689" s="415"/>
      <c r="E689" s="338"/>
      <c r="F689" s="338"/>
      <c r="G689" s="338"/>
      <c r="H689" s="338"/>
      <c r="I689" s="338"/>
      <c r="J689" s="338"/>
      <c r="K689" s="338"/>
      <c r="L689" s="356"/>
      <c r="M689" s="356"/>
      <c r="N689" s="321"/>
      <c r="O689" s="338"/>
      <c r="P689" s="338"/>
      <c r="Q689" s="338"/>
      <c r="R689" s="338"/>
      <c r="S689" s="338"/>
      <c r="T689" s="338"/>
      <c r="U689" s="338"/>
      <c r="V689" s="338"/>
      <c r="W689" s="338"/>
      <c r="X689" s="338"/>
      <c r="Y689" s="338"/>
      <c r="Z689" s="338"/>
    </row>
    <row r="690" ht="12.75" customHeight="1">
      <c r="A690" s="321"/>
      <c r="B690" s="338"/>
      <c r="C690" s="338"/>
      <c r="D690" s="415"/>
      <c r="E690" s="338"/>
      <c r="F690" s="338"/>
      <c r="G690" s="338"/>
      <c r="H690" s="338"/>
      <c r="I690" s="338"/>
      <c r="J690" s="338"/>
      <c r="K690" s="338"/>
      <c r="L690" s="356"/>
      <c r="M690" s="356"/>
      <c r="N690" s="321"/>
      <c r="O690" s="338"/>
      <c r="P690" s="338"/>
      <c r="Q690" s="338"/>
      <c r="R690" s="338"/>
      <c r="S690" s="338"/>
      <c r="T690" s="338"/>
      <c r="U690" s="338"/>
      <c r="V690" s="338"/>
      <c r="W690" s="338"/>
      <c r="X690" s="338"/>
      <c r="Y690" s="338"/>
      <c r="Z690" s="338"/>
    </row>
    <row r="691" ht="12.75" customHeight="1">
      <c r="A691" s="321"/>
      <c r="B691" s="338"/>
      <c r="C691" s="338"/>
      <c r="D691" s="415"/>
      <c r="E691" s="338"/>
      <c r="F691" s="338"/>
      <c r="G691" s="338"/>
      <c r="H691" s="338"/>
      <c r="I691" s="338"/>
      <c r="J691" s="338"/>
      <c r="K691" s="338"/>
      <c r="L691" s="356"/>
      <c r="M691" s="356"/>
      <c r="N691" s="321"/>
      <c r="O691" s="338"/>
      <c r="P691" s="338"/>
      <c r="Q691" s="338"/>
      <c r="R691" s="338"/>
      <c r="S691" s="338"/>
      <c r="T691" s="338"/>
      <c r="U691" s="338"/>
      <c r="V691" s="338"/>
      <c r="W691" s="338"/>
      <c r="X691" s="338"/>
      <c r="Y691" s="338"/>
      <c r="Z691" s="338"/>
    </row>
    <row r="692" ht="12.75" customHeight="1">
      <c r="A692" s="321"/>
      <c r="B692" s="338"/>
      <c r="C692" s="338"/>
      <c r="D692" s="415"/>
      <c r="E692" s="338"/>
      <c r="F692" s="338"/>
      <c r="G692" s="338"/>
      <c r="H692" s="338"/>
      <c r="I692" s="338"/>
      <c r="J692" s="338"/>
      <c r="K692" s="338"/>
      <c r="L692" s="356"/>
      <c r="M692" s="356"/>
      <c r="N692" s="321"/>
      <c r="O692" s="338"/>
      <c r="P692" s="338"/>
      <c r="Q692" s="338"/>
      <c r="R692" s="338"/>
      <c r="S692" s="338"/>
      <c r="T692" s="338"/>
      <c r="U692" s="338"/>
      <c r="V692" s="338"/>
      <c r="W692" s="338"/>
      <c r="X692" s="338"/>
      <c r="Y692" s="338"/>
      <c r="Z692" s="338"/>
    </row>
    <row r="693" ht="12.75" customHeight="1">
      <c r="A693" s="321"/>
      <c r="B693" s="338"/>
      <c r="C693" s="338"/>
      <c r="D693" s="415"/>
      <c r="E693" s="338"/>
      <c r="F693" s="338"/>
      <c r="G693" s="338"/>
      <c r="H693" s="338"/>
      <c r="I693" s="338"/>
      <c r="J693" s="338"/>
      <c r="K693" s="338"/>
      <c r="L693" s="356"/>
      <c r="M693" s="356"/>
      <c r="N693" s="321"/>
      <c r="O693" s="338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</row>
    <row r="694" ht="12.75" customHeight="1">
      <c r="A694" s="321"/>
      <c r="B694" s="338"/>
      <c r="C694" s="338"/>
      <c r="D694" s="415"/>
      <c r="E694" s="338"/>
      <c r="F694" s="338"/>
      <c r="G694" s="338"/>
      <c r="H694" s="338"/>
      <c r="I694" s="338"/>
      <c r="J694" s="338"/>
      <c r="K694" s="338"/>
      <c r="L694" s="356"/>
      <c r="M694" s="356"/>
      <c r="N694" s="321"/>
      <c r="O694" s="338"/>
      <c r="P694" s="338"/>
      <c r="Q694" s="338"/>
      <c r="R694" s="338"/>
      <c r="S694" s="338"/>
      <c r="T694" s="338"/>
      <c r="U694" s="338"/>
      <c r="V694" s="338"/>
      <c r="W694" s="338"/>
      <c r="X694" s="338"/>
      <c r="Y694" s="338"/>
      <c r="Z694" s="338"/>
    </row>
    <row r="695" ht="12.75" customHeight="1">
      <c r="A695" s="321"/>
      <c r="B695" s="338"/>
      <c r="C695" s="338"/>
      <c r="D695" s="415"/>
      <c r="E695" s="338"/>
      <c r="F695" s="338"/>
      <c r="G695" s="338"/>
      <c r="H695" s="338"/>
      <c r="I695" s="338"/>
      <c r="J695" s="338"/>
      <c r="K695" s="338"/>
      <c r="L695" s="356"/>
      <c r="M695" s="356"/>
      <c r="N695" s="321"/>
      <c r="O695" s="338"/>
      <c r="P695" s="338"/>
      <c r="Q695" s="338"/>
      <c r="R695" s="338"/>
      <c r="S695" s="338"/>
      <c r="T695" s="338"/>
      <c r="U695" s="338"/>
      <c r="V695" s="338"/>
      <c r="W695" s="338"/>
      <c r="X695" s="338"/>
      <c r="Y695" s="338"/>
      <c r="Z695" s="338"/>
    </row>
    <row r="696" ht="12.75" customHeight="1">
      <c r="A696" s="321"/>
      <c r="B696" s="338"/>
      <c r="C696" s="338"/>
      <c r="D696" s="415"/>
      <c r="E696" s="338"/>
      <c r="F696" s="338"/>
      <c r="G696" s="338"/>
      <c r="H696" s="338"/>
      <c r="I696" s="338"/>
      <c r="J696" s="338"/>
      <c r="K696" s="338"/>
      <c r="L696" s="356"/>
      <c r="M696" s="356"/>
      <c r="N696" s="321"/>
      <c r="O696" s="338"/>
      <c r="P696" s="338"/>
      <c r="Q696" s="338"/>
      <c r="R696" s="338"/>
      <c r="S696" s="338"/>
      <c r="T696" s="338"/>
      <c r="U696" s="338"/>
      <c r="V696" s="338"/>
      <c r="W696" s="338"/>
      <c r="X696" s="338"/>
      <c r="Y696" s="338"/>
      <c r="Z696" s="338"/>
    </row>
    <row r="697" ht="12.75" customHeight="1">
      <c r="A697" s="321"/>
      <c r="B697" s="338"/>
      <c r="C697" s="338"/>
      <c r="D697" s="415"/>
      <c r="E697" s="338"/>
      <c r="F697" s="338"/>
      <c r="G697" s="338"/>
      <c r="H697" s="338"/>
      <c r="I697" s="338"/>
      <c r="J697" s="338"/>
      <c r="K697" s="338"/>
      <c r="L697" s="356"/>
      <c r="M697" s="356"/>
      <c r="N697" s="321"/>
      <c r="O697" s="338"/>
      <c r="P697" s="338"/>
      <c r="Q697" s="338"/>
      <c r="R697" s="338"/>
      <c r="S697" s="338"/>
      <c r="T697" s="338"/>
      <c r="U697" s="338"/>
      <c r="V697" s="338"/>
      <c r="W697" s="338"/>
      <c r="X697" s="338"/>
      <c r="Y697" s="338"/>
      <c r="Z697" s="338"/>
    </row>
    <row r="698" ht="12.75" customHeight="1">
      <c r="A698" s="321"/>
      <c r="B698" s="338"/>
      <c r="C698" s="338"/>
      <c r="D698" s="415"/>
      <c r="E698" s="338"/>
      <c r="F698" s="338"/>
      <c r="G698" s="338"/>
      <c r="H698" s="338"/>
      <c r="I698" s="338"/>
      <c r="J698" s="338"/>
      <c r="K698" s="338"/>
      <c r="L698" s="356"/>
      <c r="M698" s="356"/>
      <c r="N698" s="321"/>
      <c r="O698" s="338"/>
      <c r="P698" s="338"/>
      <c r="Q698" s="338"/>
      <c r="R698" s="338"/>
      <c r="S698" s="338"/>
      <c r="T698" s="338"/>
      <c r="U698" s="338"/>
      <c r="V698" s="338"/>
      <c r="W698" s="338"/>
      <c r="X698" s="338"/>
      <c r="Y698" s="338"/>
      <c r="Z698" s="338"/>
    </row>
    <row r="699" ht="12.75" customHeight="1">
      <c r="A699" s="321"/>
      <c r="B699" s="338"/>
      <c r="C699" s="338"/>
      <c r="D699" s="415"/>
      <c r="E699" s="338"/>
      <c r="F699" s="338"/>
      <c r="G699" s="338"/>
      <c r="H699" s="338"/>
      <c r="I699" s="338"/>
      <c r="J699" s="338"/>
      <c r="K699" s="338"/>
      <c r="L699" s="356"/>
      <c r="M699" s="356"/>
      <c r="N699" s="321"/>
      <c r="O699" s="338"/>
      <c r="P699" s="338"/>
      <c r="Q699" s="338"/>
      <c r="R699" s="338"/>
      <c r="S699" s="338"/>
      <c r="T699" s="338"/>
      <c r="U699" s="338"/>
      <c r="V699" s="338"/>
      <c r="W699" s="338"/>
      <c r="X699" s="338"/>
      <c r="Y699" s="338"/>
      <c r="Z699" s="338"/>
    </row>
    <row r="700" ht="12.75" customHeight="1">
      <c r="A700" s="321"/>
      <c r="B700" s="338"/>
      <c r="C700" s="338"/>
      <c r="D700" s="415"/>
      <c r="E700" s="338"/>
      <c r="F700" s="338"/>
      <c r="G700" s="338"/>
      <c r="H700" s="338"/>
      <c r="I700" s="338"/>
      <c r="J700" s="338"/>
      <c r="K700" s="338"/>
      <c r="L700" s="356"/>
      <c r="M700" s="356"/>
      <c r="N700" s="321"/>
      <c r="O700" s="338"/>
      <c r="P700" s="338"/>
      <c r="Q700" s="338"/>
      <c r="R700" s="338"/>
      <c r="S700" s="338"/>
      <c r="T700" s="338"/>
      <c r="U700" s="338"/>
      <c r="V700" s="338"/>
      <c r="W700" s="338"/>
      <c r="X700" s="338"/>
      <c r="Y700" s="338"/>
      <c r="Z700" s="338"/>
    </row>
    <row r="701" ht="12.75" customHeight="1">
      <c r="A701" s="321"/>
      <c r="B701" s="338"/>
      <c r="C701" s="338"/>
      <c r="D701" s="415"/>
      <c r="E701" s="338"/>
      <c r="F701" s="338"/>
      <c r="G701" s="338"/>
      <c r="H701" s="338"/>
      <c r="I701" s="338"/>
      <c r="J701" s="338"/>
      <c r="K701" s="338"/>
      <c r="L701" s="356"/>
      <c r="M701" s="356"/>
      <c r="N701" s="321"/>
      <c r="O701" s="338"/>
      <c r="P701" s="338"/>
      <c r="Q701" s="338"/>
      <c r="R701" s="338"/>
      <c r="S701" s="338"/>
      <c r="T701" s="338"/>
      <c r="U701" s="338"/>
      <c r="V701" s="338"/>
      <c r="W701" s="338"/>
      <c r="X701" s="338"/>
      <c r="Y701" s="338"/>
      <c r="Z701" s="338"/>
    </row>
    <row r="702" ht="12.75" customHeight="1">
      <c r="A702" s="321"/>
      <c r="B702" s="338"/>
      <c r="C702" s="338"/>
      <c r="D702" s="415"/>
      <c r="E702" s="338"/>
      <c r="F702" s="338"/>
      <c r="G702" s="338"/>
      <c r="H702" s="338"/>
      <c r="I702" s="338"/>
      <c r="J702" s="338"/>
      <c r="K702" s="338"/>
      <c r="L702" s="356"/>
      <c r="M702" s="356"/>
      <c r="N702" s="321"/>
      <c r="O702" s="338"/>
      <c r="P702" s="338"/>
      <c r="Q702" s="338"/>
      <c r="R702" s="338"/>
      <c r="S702" s="338"/>
      <c r="T702" s="338"/>
      <c r="U702" s="338"/>
      <c r="V702" s="338"/>
      <c r="W702" s="338"/>
      <c r="X702" s="338"/>
      <c r="Y702" s="338"/>
      <c r="Z702" s="338"/>
    </row>
    <row r="703" ht="12.75" customHeight="1">
      <c r="A703" s="321"/>
      <c r="B703" s="338"/>
      <c r="C703" s="338"/>
      <c r="D703" s="415"/>
      <c r="E703" s="338"/>
      <c r="F703" s="338"/>
      <c r="G703" s="338"/>
      <c r="H703" s="338"/>
      <c r="I703" s="338"/>
      <c r="J703" s="338"/>
      <c r="K703" s="338"/>
      <c r="L703" s="356"/>
      <c r="M703" s="356"/>
      <c r="N703" s="321"/>
      <c r="O703" s="338"/>
      <c r="P703" s="338"/>
      <c r="Q703" s="338"/>
      <c r="R703" s="338"/>
      <c r="S703" s="338"/>
      <c r="T703" s="338"/>
      <c r="U703" s="338"/>
      <c r="V703" s="338"/>
      <c r="W703" s="338"/>
      <c r="X703" s="338"/>
      <c r="Y703" s="338"/>
      <c r="Z703" s="338"/>
    </row>
    <row r="704" ht="12.75" customHeight="1">
      <c r="A704" s="321"/>
      <c r="B704" s="338"/>
      <c r="C704" s="338"/>
      <c r="D704" s="415"/>
      <c r="E704" s="338"/>
      <c r="F704" s="338"/>
      <c r="G704" s="338"/>
      <c r="H704" s="338"/>
      <c r="I704" s="338"/>
      <c r="J704" s="338"/>
      <c r="K704" s="338"/>
      <c r="L704" s="356"/>
      <c r="M704" s="356"/>
      <c r="N704" s="321"/>
      <c r="O704" s="338"/>
      <c r="P704" s="338"/>
      <c r="Q704" s="338"/>
      <c r="R704" s="338"/>
      <c r="S704" s="338"/>
      <c r="T704" s="338"/>
      <c r="U704" s="338"/>
      <c r="V704" s="338"/>
      <c r="W704" s="338"/>
      <c r="X704" s="338"/>
      <c r="Y704" s="338"/>
      <c r="Z704" s="338"/>
    </row>
    <row r="705" ht="12.75" customHeight="1">
      <c r="A705" s="321"/>
      <c r="B705" s="338"/>
      <c r="C705" s="338"/>
      <c r="D705" s="415"/>
      <c r="E705" s="338"/>
      <c r="F705" s="338"/>
      <c r="G705" s="338"/>
      <c r="H705" s="338"/>
      <c r="I705" s="338"/>
      <c r="J705" s="338"/>
      <c r="K705" s="338"/>
      <c r="L705" s="356"/>
      <c r="M705" s="356"/>
      <c r="N705" s="321"/>
      <c r="O705" s="338"/>
      <c r="P705" s="338"/>
      <c r="Q705" s="338"/>
      <c r="R705" s="338"/>
      <c r="S705" s="338"/>
      <c r="T705" s="338"/>
      <c r="U705" s="338"/>
      <c r="V705" s="338"/>
      <c r="W705" s="338"/>
      <c r="X705" s="338"/>
      <c r="Y705" s="338"/>
      <c r="Z705" s="338"/>
    </row>
    <row r="706" ht="12.75" customHeight="1">
      <c r="A706" s="321"/>
      <c r="B706" s="338"/>
      <c r="C706" s="338"/>
      <c r="D706" s="415"/>
      <c r="E706" s="338"/>
      <c r="F706" s="338"/>
      <c r="G706" s="338"/>
      <c r="H706" s="338"/>
      <c r="I706" s="338"/>
      <c r="J706" s="338"/>
      <c r="K706" s="338"/>
      <c r="L706" s="356"/>
      <c r="M706" s="356"/>
      <c r="N706" s="321"/>
      <c r="O706" s="338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</row>
    <row r="707" ht="12.75" customHeight="1">
      <c r="A707" s="321"/>
      <c r="B707" s="338"/>
      <c r="C707" s="338"/>
      <c r="D707" s="415"/>
      <c r="E707" s="338"/>
      <c r="F707" s="338"/>
      <c r="G707" s="338"/>
      <c r="H707" s="338"/>
      <c r="I707" s="338"/>
      <c r="J707" s="338"/>
      <c r="K707" s="338"/>
      <c r="L707" s="356"/>
      <c r="M707" s="356"/>
      <c r="N707" s="321"/>
      <c r="O707" s="338"/>
      <c r="P707" s="338"/>
      <c r="Q707" s="338"/>
      <c r="R707" s="338"/>
      <c r="S707" s="338"/>
      <c r="T707" s="338"/>
      <c r="U707" s="338"/>
      <c r="V707" s="338"/>
      <c r="W707" s="338"/>
      <c r="X707" s="338"/>
      <c r="Y707" s="338"/>
      <c r="Z707" s="338"/>
    </row>
    <row r="708" ht="12.75" customHeight="1">
      <c r="A708" s="321"/>
      <c r="B708" s="338"/>
      <c r="C708" s="338"/>
      <c r="D708" s="415"/>
      <c r="E708" s="338"/>
      <c r="F708" s="338"/>
      <c r="G708" s="338"/>
      <c r="H708" s="338"/>
      <c r="I708" s="338"/>
      <c r="J708" s="338"/>
      <c r="K708" s="338"/>
      <c r="L708" s="356"/>
      <c r="M708" s="356"/>
      <c r="N708" s="321"/>
      <c r="O708" s="338"/>
      <c r="P708" s="338"/>
      <c r="Q708" s="338"/>
      <c r="R708" s="338"/>
      <c r="S708" s="338"/>
      <c r="T708" s="338"/>
      <c r="U708" s="338"/>
      <c r="V708" s="338"/>
      <c r="W708" s="338"/>
      <c r="X708" s="338"/>
      <c r="Y708" s="338"/>
      <c r="Z708" s="338"/>
    </row>
    <row r="709" ht="12.75" customHeight="1">
      <c r="A709" s="321"/>
      <c r="B709" s="338"/>
      <c r="C709" s="338"/>
      <c r="D709" s="415"/>
      <c r="E709" s="338"/>
      <c r="F709" s="338"/>
      <c r="G709" s="338"/>
      <c r="H709" s="338"/>
      <c r="I709" s="338"/>
      <c r="J709" s="338"/>
      <c r="K709" s="338"/>
      <c r="L709" s="356"/>
      <c r="M709" s="356"/>
      <c r="N709" s="321"/>
      <c r="O709" s="338"/>
      <c r="P709" s="338"/>
      <c r="Q709" s="338"/>
      <c r="R709" s="338"/>
      <c r="S709" s="338"/>
      <c r="T709" s="338"/>
      <c r="U709" s="338"/>
      <c r="V709" s="338"/>
      <c r="W709" s="338"/>
      <c r="X709" s="338"/>
      <c r="Y709" s="338"/>
      <c r="Z709" s="338"/>
    </row>
    <row r="710" ht="12.75" customHeight="1">
      <c r="A710" s="321"/>
      <c r="B710" s="338"/>
      <c r="C710" s="338"/>
      <c r="D710" s="415"/>
      <c r="E710" s="338"/>
      <c r="F710" s="338"/>
      <c r="G710" s="338"/>
      <c r="H710" s="338"/>
      <c r="I710" s="338"/>
      <c r="J710" s="338"/>
      <c r="K710" s="338"/>
      <c r="L710" s="356"/>
      <c r="M710" s="356"/>
      <c r="N710" s="321"/>
      <c r="O710" s="338"/>
      <c r="P710" s="338"/>
      <c r="Q710" s="338"/>
      <c r="R710" s="338"/>
      <c r="S710" s="338"/>
      <c r="T710" s="338"/>
      <c r="U710" s="338"/>
      <c r="V710" s="338"/>
      <c r="W710" s="338"/>
      <c r="X710" s="338"/>
      <c r="Y710" s="338"/>
      <c r="Z710" s="338"/>
    </row>
    <row r="711" ht="12.75" customHeight="1">
      <c r="A711" s="321"/>
      <c r="B711" s="338"/>
      <c r="C711" s="338"/>
      <c r="D711" s="415"/>
      <c r="E711" s="338"/>
      <c r="F711" s="338"/>
      <c r="G711" s="338"/>
      <c r="H711" s="338"/>
      <c r="I711" s="338"/>
      <c r="J711" s="338"/>
      <c r="K711" s="338"/>
      <c r="L711" s="356"/>
      <c r="M711" s="356"/>
      <c r="N711" s="321"/>
      <c r="O711" s="338"/>
      <c r="P711" s="338"/>
      <c r="Q711" s="338"/>
      <c r="R711" s="338"/>
      <c r="S711" s="338"/>
      <c r="T711" s="338"/>
      <c r="U711" s="338"/>
      <c r="V711" s="338"/>
      <c r="W711" s="338"/>
      <c r="X711" s="338"/>
      <c r="Y711" s="338"/>
      <c r="Z711" s="338"/>
    </row>
    <row r="712" ht="12.75" customHeight="1">
      <c r="A712" s="321"/>
      <c r="B712" s="338"/>
      <c r="C712" s="338"/>
      <c r="D712" s="415"/>
      <c r="E712" s="338"/>
      <c r="F712" s="338"/>
      <c r="G712" s="338"/>
      <c r="H712" s="338"/>
      <c r="I712" s="338"/>
      <c r="J712" s="338"/>
      <c r="K712" s="338"/>
      <c r="L712" s="356"/>
      <c r="M712" s="356"/>
      <c r="N712" s="321"/>
      <c r="O712" s="338"/>
      <c r="P712" s="338"/>
      <c r="Q712" s="338"/>
      <c r="R712" s="338"/>
      <c r="S712" s="338"/>
      <c r="T712" s="338"/>
      <c r="U712" s="338"/>
      <c r="V712" s="338"/>
      <c r="W712" s="338"/>
      <c r="X712" s="338"/>
      <c r="Y712" s="338"/>
      <c r="Z712" s="338"/>
    </row>
    <row r="713" ht="12.75" customHeight="1">
      <c r="A713" s="321"/>
      <c r="B713" s="338"/>
      <c r="C713" s="338"/>
      <c r="D713" s="415"/>
      <c r="E713" s="338"/>
      <c r="F713" s="338"/>
      <c r="G713" s="338"/>
      <c r="H713" s="338"/>
      <c r="I713" s="338"/>
      <c r="J713" s="338"/>
      <c r="K713" s="338"/>
      <c r="L713" s="356"/>
      <c r="M713" s="356"/>
      <c r="N713" s="321"/>
      <c r="O713" s="338"/>
      <c r="P713" s="338"/>
      <c r="Q713" s="338"/>
      <c r="R713" s="338"/>
      <c r="S713" s="338"/>
      <c r="T713" s="338"/>
      <c r="U713" s="338"/>
      <c r="V713" s="338"/>
      <c r="W713" s="338"/>
      <c r="X713" s="338"/>
      <c r="Y713" s="338"/>
      <c r="Z713" s="338"/>
    </row>
    <row r="714" ht="12.75" customHeight="1">
      <c r="A714" s="321"/>
      <c r="B714" s="338"/>
      <c r="C714" s="338"/>
      <c r="D714" s="415"/>
      <c r="E714" s="338"/>
      <c r="F714" s="338"/>
      <c r="G714" s="338"/>
      <c r="H714" s="338"/>
      <c r="I714" s="338"/>
      <c r="J714" s="338"/>
      <c r="K714" s="338"/>
      <c r="L714" s="356"/>
      <c r="M714" s="356"/>
      <c r="N714" s="321"/>
      <c r="O714" s="338"/>
      <c r="P714" s="338"/>
      <c r="Q714" s="338"/>
      <c r="R714" s="338"/>
      <c r="S714" s="338"/>
      <c r="T714" s="338"/>
      <c r="U714" s="338"/>
      <c r="V714" s="338"/>
      <c r="W714" s="338"/>
      <c r="X714" s="338"/>
      <c r="Y714" s="338"/>
      <c r="Z714" s="338"/>
    </row>
    <row r="715" ht="12.75" customHeight="1">
      <c r="A715" s="321"/>
      <c r="B715" s="338"/>
      <c r="C715" s="338"/>
      <c r="D715" s="415"/>
      <c r="E715" s="338"/>
      <c r="F715" s="338"/>
      <c r="G715" s="338"/>
      <c r="H715" s="338"/>
      <c r="I715" s="338"/>
      <c r="J715" s="338"/>
      <c r="K715" s="338"/>
      <c r="L715" s="356"/>
      <c r="M715" s="356"/>
      <c r="N715" s="321"/>
      <c r="O715" s="338"/>
      <c r="P715" s="338"/>
      <c r="Q715" s="338"/>
      <c r="R715" s="338"/>
      <c r="S715" s="338"/>
      <c r="T715" s="338"/>
      <c r="U715" s="338"/>
      <c r="V715" s="338"/>
      <c r="W715" s="338"/>
      <c r="X715" s="338"/>
      <c r="Y715" s="338"/>
      <c r="Z715" s="338"/>
    </row>
    <row r="716" ht="12.75" customHeight="1">
      <c r="A716" s="321"/>
      <c r="B716" s="338"/>
      <c r="C716" s="338"/>
      <c r="D716" s="415"/>
      <c r="E716" s="338"/>
      <c r="F716" s="338"/>
      <c r="G716" s="338"/>
      <c r="H716" s="338"/>
      <c r="I716" s="338"/>
      <c r="J716" s="338"/>
      <c r="K716" s="338"/>
      <c r="L716" s="356"/>
      <c r="M716" s="356"/>
      <c r="N716" s="321"/>
      <c r="O716" s="338"/>
      <c r="P716" s="338"/>
      <c r="Q716" s="338"/>
      <c r="R716" s="338"/>
      <c r="S716" s="338"/>
      <c r="T716" s="338"/>
      <c r="U716" s="338"/>
      <c r="V716" s="338"/>
      <c r="W716" s="338"/>
      <c r="X716" s="338"/>
      <c r="Y716" s="338"/>
      <c r="Z716" s="338"/>
    </row>
    <row r="717" ht="12.75" customHeight="1">
      <c r="A717" s="321"/>
      <c r="B717" s="338"/>
      <c r="C717" s="338"/>
      <c r="D717" s="415"/>
      <c r="E717" s="338"/>
      <c r="F717" s="338"/>
      <c r="G717" s="338"/>
      <c r="H717" s="338"/>
      <c r="I717" s="338"/>
      <c r="J717" s="338"/>
      <c r="K717" s="338"/>
      <c r="L717" s="356"/>
      <c r="M717" s="356"/>
      <c r="N717" s="321"/>
      <c r="O717" s="338"/>
      <c r="P717" s="338"/>
      <c r="Q717" s="338"/>
      <c r="R717" s="338"/>
      <c r="S717" s="338"/>
      <c r="T717" s="338"/>
      <c r="U717" s="338"/>
      <c r="V717" s="338"/>
      <c r="W717" s="338"/>
      <c r="X717" s="338"/>
      <c r="Y717" s="338"/>
      <c r="Z717" s="338"/>
    </row>
    <row r="718" ht="12.75" customHeight="1">
      <c r="A718" s="321"/>
      <c r="B718" s="338"/>
      <c r="C718" s="338"/>
      <c r="D718" s="415"/>
      <c r="E718" s="338"/>
      <c r="F718" s="338"/>
      <c r="G718" s="338"/>
      <c r="H718" s="338"/>
      <c r="I718" s="338"/>
      <c r="J718" s="338"/>
      <c r="K718" s="338"/>
      <c r="L718" s="356"/>
      <c r="M718" s="356"/>
      <c r="N718" s="321"/>
      <c r="O718" s="338"/>
      <c r="P718" s="338"/>
      <c r="Q718" s="338"/>
      <c r="R718" s="338"/>
      <c r="S718" s="338"/>
      <c r="T718" s="338"/>
      <c r="U718" s="338"/>
      <c r="V718" s="338"/>
      <c r="W718" s="338"/>
      <c r="X718" s="338"/>
      <c r="Y718" s="338"/>
      <c r="Z718" s="338"/>
    </row>
    <row r="719" ht="12.75" customHeight="1">
      <c r="A719" s="321"/>
      <c r="B719" s="338"/>
      <c r="C719" s="338"/>
      <c r="D719" s="415"/>
      <c r="E719" s="338"/>
      <c r="F719" s="338"/>
      <c r="G719" s="338"/>
      <c r="H719" s="338"/>
      <c r="I719" s="338"/>
      <c r="J719" s="338"/>
      <c r="K719" s="338"/>
      <c r="L719" s="356"/>
      <c r="M719" s="356"/>
      <c r="N719" s="321"/>
      <c r="O719" s="338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</row>
    <row r="720" ht="12.75" customHeight="1">
      <c r="A720" s="321"/>
      <c r="B720" s="338"/>
      <c r="C720" s="338"/>
      <c r="D720" s="415"/>
      <c r="E720" s="338"/>
      <c r="F720" s="338"/>
      <c r="G720" s="338"/>
      <c r="H720" s="338"/>
      <c r="I720" s="338"/>
      <c r="J720" s="338"/>
      <c r="K720" s="338"/>
      <c r="L720" s="356"/>
      <c r="M720" s="356"/>
      <c r="N720" s="321"/>
      <c r="O720" s="338"/>
      <c r="P720" s="338"/>
      <c r="Q720" s="338"/>
      <c r="R720" s="338"/>
      <c r="S720" s="338"/>
      <c r="T720" s="338"/>
      <c r="U720" s="338"/>
      <c r="V720" s="338"/>
      <c r="W720" s="338"/>
      <c r="X720" s="338"/>
      <c r="Y720" s="338"/>
      <c r="Z720" s="338"/>
    </row>
    <row r="721" ht="12.75" customHeight="1">
      <c r="A721" s="321"/>
      <c r="B721" s="338"/>
      <c r="C721" s="338"/>
      <c r="D721" s="415"/>
      <c r="E721" s="338"/>
      <c r="F721" s="338"/>
      <c r="G721" s="338"/>
      <c r="H721" s="338"/>
      <c r="I721" s="338"/>
      <c r="J721" s="338"/>
      <c r="K721" s="338"/>
      <c r="L721" s="356"/>
      <c r="M721" s="356"/>
      <c r="N721" s="321"/>
      <c r="O721" s="338"/>
      <c r="P721" s="338"/>
      <c r="Q721" s="338"/>
      <c r="R721" s="338"/>
      <c r="S721" s="338"/>
      <c r="T721" s="338"/>
      <c r="U721" s="338"/>
      <c r="V721" s="338"/>
      <c r="W721" s="338"/>
      <c r="X721" s="338"/>
      <c r="Y721" s="338"/>
      <c r="Z721" s="338"/>
    </row>
    <row r="722" ht="12.75" customHeight="1">
      <c r="A722" s="321"/>
      <c r="B722" s="338"/>
      <c r="C722" s="338"/>
      <c r="D722" s="415"/>
      <c r="E722" s="338"/>
      <c r="F722" s="338"/>
      <c r="G722" s="338"/>
      <c r="H722" s="338"/>
      <c r="I722" s="338"/>
      <c r="J722" s="338"/>
      <c r="K722" s="338"/>
      <c r="L722" s="356"/>
      <c r="M722" s="356"/>
      <c r="N722" s="321"/>
      <c r="O722" s="338"/>
      <c r="P722" s="338"/>
      <c r="Q722" s="338"/>
      <c r="R722" s="338"/>
      <c r="S722" s="338"/>
      <c r="T722" s="338"/>
      <c r="U722" s="338"/>
      <c r="V722" s="338"/>
      <c r="W722" s="338"/>
      <c r="X722" s="338"/>
      <c r="Y722" s="338"/>
      <c r="Z722" s="338"/>
    </row>
    <row r="723" ht="12.75" customHeight="1">
      <c r="A723" s="321"/>
      <c r="B723" s="338"/>
      <c r="C723" s="338"/>
      <c r="D723" s="415"/>
      <c r="E723" s="338"/>
      <c r="F723" s="338"/>
      <c r="G723" s="338"/>
      <c r="H723" s="338"/>
      <c r="I723" s="338"/>
      <c r="J723" s="338"/>
      <c r="K723" s="338"/>
      <c r="L723" s="356"/>
      <c r="M723" s="356"/>
      <c r="N723" s="321"/>
      <c r="O723" s="338"/>
      <c r="P723" s="338"/>
      <c r="Q723" s="338"/>
      <c r="R723" s="338"/>
      <c r="S723" s="338"/>
      <c r="T723" s="338"/>
      <c r="U723" s="338"/>
      <c r="V723" s="338"/>
      <c r="W723" s="338"/>
      <c r="X723" s="338"/>
      <c r="Y723" s="338"/>
      <c r="Z723" s="338"/>
    </row>
    <row r="724" ht="12.75" customHeight="1">
      <c r="A724" s="321"/>
      <c r="B724" s="338"/>
      <c r="C724" s="338"/>
      <c r="D724" s="415"/>
      <c r="E724" s="338"/>
      <c r="F724" s="338"/>
      <c r="G724" s="338"/>
      <c r="H724" s="338"/>
      <c r="I724" s="338"/>
      <c r="J724" s="338"/>
      <c r="K724" s="338"/>
      <c r="L724" s="356"/>
      <c r="M724" s="356"/>
      <c r="N724" s="321"/>
      <c r="O724" s="338"/>
      <c r="P724" s="338"/>
      <c r="Q724" s="338"/>
      <c r="R724" s="338"/>
      <c r="S724" s="338"/>
      <c r="T724" s="338"/>
      <c r="U724" s="338"/>
      <c r="V724" s="338"/>
      <c r="W724" s="338"/>
      <c r="X724" s="338"/>
      <c r="Y724" s="338"/>
      <c r="Z724" s="338"/>
    </row>
    <row r="725" ht="12.75" customHeight="1">
      <c r="A725" s="321"/>
      <c r="B725" s="338"/>
      <c r="C725" s="338"/>
      <c r="D725" s="415"/>
      <c r="E725" s="338"/>
      <c r="F725" s="338"/>
      <c r="G725" s="338"/>
      <c r="H725" s="338"/>
      <c r="I725" s="338"/>
      <c r="J725" s="338"/>
      <c r="K725" s="338"/>
      <c r="L725" s="356"/>
      <c r="M725" s="356"/>
      <c r="N725" s="321"/>
      <c r="O725" s="338"/>
      <c r="P725" s="338"/>
      <c r="Q725" s="338"/>
      <c r="R725" s="338"/>
      <c r="S725" s="338"/>
      <c r="T725" s="338"/>
      <c r="U725" s="338"/>
      <c r="V725" s="338"/>
      <c r="W725" s="338"/>
      <c r="X725" s="338"/>
      <c r="Y725" s="338"/>
      <c r="Z725" s="338"/>
    </row>
    <row r="726" ht="12.75" customHeight="1">
      <c r="A726" s="321"/>
      <c r="B726" s="338"/>
      <c r="C726" s="338"/>
      <c r="D726" s="415"/>
      <c r="E726" s="338"/>
      <c r="F726" s="338"/>
      <c r="G726" s="338"/>
      <c r="H726" s="338"/>
      <c r="I726" s="338"/>
      <c r="J726" s="338"/>
      <c r="K726" s="338"/>
      <c r="L726" s="356"/>
      <c r="M726" s="356"/>
      <c r="N726" s="321"/>
      <c r="O726" s="338"/>
      <c r="P726" s="338"/>
      <c r="Q726" s="338"/>
      <c r="R726" s="338"/>
      <c r="S726" s="338"/>
      <c r="T726" s="338"/>
      <c r="U726" s="338"/>
      <c r="V726" s="338"/>
      <c r="W726" s="338"/>
      <c r="X726" s="338"/>
      <c r="Y726" s="338"/>
      <c r="Z726" s="338"/>
    </row>
    <row r="727" ht="12.75" customHeight="1">
      <c r="A727" s="321"/>
      <c r="B727" s="338"/>
      <c r="C727" s="338"/>
      <c r="D727" s="415"/>
      <c r="E727" s="338"/>
      <c r="F727" s="338"/>
      <c r="G727" s="338"/>
      <c r="H727" s="338"/>
      <c r="I727" s="338"/>
      <c r="J727" s="338"/>
      <c r="K727" s="338"/>
      <c r="L727" s="356"/>
      <c r="M727" s="356"/>
      <c r="N727" s="321"/>
      <c r="O727" s="338"/>
      <c r="P727" s="338"/>
      <c r="Q727" s="338"/>
      <c r="R727" s="338"/>
      <c r="S727" s="338"/>
      <c r="T727" s="338"/>
      <c r="U727" s="338"/>
      <c r="V727" s="338"/>
      <c r="W727" s="338"/>
      <c r="X727" s="338"/>
      <c r="Y727" s="338"/>
      <c r="Z727" s="338"/>
    </row>
    <row r="728" ht="12.75" customHeight="1">
      <c r="A728" s="321"/>
      <c r="B728" s="338"/>
      <c r="C728" s="338"/>
      <c r="D728" s="415"/>
      <c r="E728" s="338"/>
      <c r="F728" s="338"/>
      <c r="G728" s="338"/>
      <c r="H728" s="338"/>
      <c r="I728" s="338"/>
      <c r="J728" s="338"/>
      <c r="K728" s="338"/>
      <c r="L728" s="356"/>
      <c r="M728" s="356"/>
      <c r="N728" s="321"/>
      <c r="O728" s="338"/>
      <c r="P728" s="338"/>
      <c r="Q728" s="338"/>
      <c r="R728" s="338"/>
      <c r="S728" s="338"/>
      <c r="T728" s="338"/>
      <c r="U728" s="338"/>
      <c r="V728" s="338"/>
      <c r="W728" s="338"/>
      <c r="X728" s="338"/>
      <c r="Y728" s="338"/>
      <c r="Z728" s="338"/>
    </row>
    <row r="729" ht="12.75" customHeight="1">
      <c r="A729" s="321"/>
      <c r="B729" s="338"/>
      <c r="C729" s="338"/>
      <c r="D729" s="415"/>
      <c r="E729" s="338"/>
      <c r="F729" s="338"/>
      <c r="G729" s="338"/>
      <c r="H729" s="338"/>
      <c r="I729" s="338"/>
      <c r="J729" s="338"/>
      <c r="K729" s="338"/>
      <c r="L729" s="356"/>
      <c r="M729" s="356"/>
      <c r="N729" s="321"/>
      <c r="O729" s="338"/>
      <c r="P729" s="338"/>
      <c r="Q729" s="338"/>
      <c r="R729" s="338"/>
      <c r="S729" s="338"/>
      <c r="T729" s="338"/>
      <c r="U729" s="338"/>
      <c r="V729" s="338"/>
      <c r="W729" s="338"/>
      <c r="X729" s="338"/>
      <c r="Y729" s="338"/>
      <c r="Z729" s="338"/>
    </row>
    <row r="730" ht="12.75" customHeight="1">
      <c r="A730" s="321"/>
      <c r="B730" s="338"/>
      <c r="C730" s="338"/>
      <c r="D730" s="415"/>
      <c r="E730" s="338"/>
      <c r="F730" s="338"/>
      <c r="G730" s="338"/>
      <c r="H730" s="338"/>
      <c r="I730" s="338"/>
      <c r="J730" s="338"/>
      <c r="K730" s="338"/>
      <c r="L730" s="356"/>
      <c r="M730" s="356"/>
      <c r="N730" s="321"/>
      <c r="O730" s="338"/>
      <c r="P730" s="338"/>
      <c r="Q730" s="338"/>
      <c r="R730" s="338"/>
      <c r="S730" s="338"/>
      <c r="T730" s="338"/>
      <c r="U730" s="338"/>
      <c r="V730" s="338"/>
      <c r="W730" s="338"/>
      <c r="X730" s="338"/>
      <c r="Y730" s="338"/>
      <c r="Z730" s="338"/>
    </row>
    <row r="731" ht="12.75" customHeight="1">
      <c r="A731" s="321"/>
      <c r="B731" s="338"/>
      <c r="C731" s="338"/>
      <c r="D731" s="415"/>
      <c r="E731" s="338"/>
      <c r="F731" s="338"/>
      <c r="G731" s="338"/>
      <c r="H731" s="338"/>
      <c r="I731" s="338"/>
      <c r="J731" s="338"/>
      <c r="K731" s="338"/>
      <c r="L731" s="356"/>
      <c r="M731" s="356"/>
      <c r="N731" s="321"/>
      <c r="O731" s="338"/>
      <c r="P731" s="338"/>
      <c r="Q731" s="338"/>
      <c r="R731" s="338"/>
      <c r="S731" s="338"/>
      <c r="T731" s="338"/>
      <c r="U731" s="338"/>
      <c r="V731" s="338"/>
      <c r="W731" s="338"/>
      <c r="X731" s="338"/>
      <c r="Y731" s="338"/>
      <c r="Z731" s="338"/>
    </row>
    <row r="732" ht="12.75" customHeight="1">
      <c r="A732" s="321"/>
      <c r="B732" s="338"/>
      <c r="C732" s="338"/>
      <c r="D732" s="415"/>
      <c r="E732" s="338"/>
      <c r="F732" s="338"/>
      <c r="G732" s="338"/>
      <c r="H732" s="338"/>
      <c r="I732" s="338"/>
      <c r="J732" s="338"/>
      <c r="K732" s="338"/>
      <c r="L732" s="356"/>
      <c r="M732" s="356"/>
      <c r="N732" s="321"/>
      <c r="O732" s="338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</row>
    <row r="733" ht="12.75" customHeight="1">
      <c r="A733" s="321"/>
      <c r="B733" s="338"/>
      <c r="C733" s="338"/>
      <c r="D733" s="415"/>
      <c r="E733" s="338"/>
      <c r="F733" s="338"/>
      <c r="G733" s="338"/>
      <c r="H733" s="338"/>
      <c r="I733" s="338"/>
      <c r="J733" s="338"/>
      <c r="K733" s="338"/>
      <c r="L733" s="356"/>
      <c r="M733" s="356"/>
      <c r="N733" s="321"/>
      <c r="O733" s="338"/>
      <c r="P733" s="338"/>
      <c r="Q733" s="338"/>
      <c r="R733" s="338"/>
      <c r="S733" s="338"/>
      <c r="T733" s="338"/>
      <c r="U733" s="338"/>
      <c r="V733" s="338"/>
      <c r="W733" s="338"/>
      <c r="X733" s="338"/>
      <c r="Y733" s="338"/>
      <c r="Z733" s="338"/>
    </row>
    <row r="734" ht="12.75" customHeight="1">
      <c r="A734" s="321"/>
      <c r="B734" s="338"/>
      <c r="C734" s="338"/>
      <c r="D734" s="415"/>
      <c r="E734" s="338"/>
      <c r="F734" s="338"/>
      <c r="G734" s="338"/>
      <c r="H734" s="338"/>
      <c r="I734" s="338"/>
      <c r="J734" s="338"/>
      <c r="K734" s="338"/>
      <c r="L734" s="356"/>
      <c r="M734" s="356"/>
      <c r="N734" s="321"/>
      <c r="O734" s="338"/>
      <c r="P734" s="338"/>
      <c r="Q734" s="338"/>
      <c r="R734" s="338"/>
      <c r="S734" s="338"/>
      <c r="T734" s="338"/>
      <c r="U734" s="338"/>
      <c r="V734" s="338"/>
      <c r="W734" s="338"/>
      <c r="X734" s="338"/>
      <c r="Y734" s="338"/>
      <c r="Z734" s="338"/>
    </row>
    <row r="735" ht="12.75" customHeight="1">
      <c r="A735" s="321"/>
      <c r="B735" s="338"/>
      <c r="C735" s="338"/>
      <c r="D735" s="415"/>
      <c r="E735" s="338"/>
      <c r="F735" s="338"/>
      <c r="G735" s="338"/>
      <c r="H735" s="338"/>
      <c r="I735" s="338"/>
      <c r="J735" s="338"/>
      <c r="K735" s="338"/>
      <c r="L735" s="356"/>
      <c r="M735" s="356"/>
      <c r="N735" s="321"/>
      <c r="O735" s="338"/>
      <c r="P735" s="338"/>
      <c r="Q735" s="338"/>
      <c r="R735" s="338"/>
      <c r="S735" s="338"/>
      <c r="T735" s="338"/>
      <c r="U735" s="338"/>
      <c r="V735" s="338"/>
      <c r="W735" s="338"/>
      <c r="X735" s="338"/>
      <c r="Y735" s="338"/>
      <c r="Z735" s="338"/>
    </row>
    <row r="736" ht="12.75" customHeight="1">
      <c r="A736" s="321"/>
      <c r="B736" s="338"/>
      <c r="C736" s="338"/>
      <c r="D736" s="415"/>
      <c r="E736" s="338"/>
      <c r="F736" s="338"/>
      <c r="G736" s="338"/>
      <c r="H736" s="338"/>
      <c r="I736" s="338"/>
      <c r="J736" s="338"/>
      <c r="K736" s="338"/>
      <c r="L736" s="356"/>
      <c r="M736" s="356"/>
      <c r="N736" s="321"/>
      <c r="O736" s="338"/>
      <c r="P736" s="338"/>
      <c r="Q736" s="338"/>
      <c r="R736" s="338"/>
      <c r="S736" s="338"/>
      <c r="T736" s="338"/>
      <c r="U736" s="338"/>
      <c r="V736" s="338"/>
      <c r="W736" s="338"/>
      <c r="X736" s="338"/>
      <c r="Y736" s="338"/>
      <c r="Z736" s="338"/>
    </row>
    <row r="737" ht="12.75" customHeight="1">
      <c r="A737" s="321"/>
      <c r="B737" s="338"/>
      <c r="C737" s="338"/>
      <c r="D737" s="415"/>
      <c r="E737" s="338"/>
      <c r="F737" s="338"/>
      <c r="G737" s="338"/>
      <c r="H737" s="338"/>
      <c r="I737" s="338"/>
      <c r="J737" s="338"/>
      <c r="K737" s="338"/>
      <c r="L737" s="356"/>
      <c r="M737" s="356"/>
      <c r="N737" s="321"/>
      <c r="O737" s="338"/>
      <c r="P737" s="338"/>
      <c r="Q737" s="338"/>
      <c r="R737" s="338"/>
      <c r="S737" s="338"/>
      <c r="T737" s="338"/>
      <c r="U737" s="338"/>
      <c r="V737" s="338"/>
      <c r="W737" s="338"/>
      <c r="X737" s="338"/>
      <c r="Y737" s="338"/>
      <c r="Z737" s="338"/>
    </row>
    <row r="738" ht="12.75" customHeight="1">
      <c r="A738" s="321"/>
      <c r="B738" s="338"/>
      <c r="C738" s="338"/>
      <c r="D738" s="415"/>
      <c r="E738" s="338"/>
      <c r="F738" s="338"/>
      <c r="G738" s="338"/>
      <c r="H738" s="338"/>
      <c r="I738" s="338"/>
      <c r="J738" s="338"/>
      <c r="K738" s="338"/>
      <c r="L738" s="356"/>
      <c r="M738" s="356"/>
      <c r="N738" s="321"/>
      <c r="O738" s="338"/>
      <c r="P738" s="338"/>
      <c r="Q738" s="338"/>
      <c r="R738" s="338"/>
      <c r="S738" s="338"/>
      <c r="T738" s="338"/>
      <c r="U738" s="338"/>
      <c r="V738" s="338"/>
      <c r="W738" s="338"/>
      <c r="X738" s="338"/>
      <c r="Y738" s="338"/>
      <c r="Z738" s="338"/>
    </row>
    <row r="739" ht="12.75" customHeight="1">
      <c r="A739" s="321"/>
      <c r="B739" s="338"/>
      <c r="C739" s="338"/>
      <c r="D739" s="415"/>
      <c r="E739" s="338"/>
      <c r="F739" s="338"/>
      <c r="G739" s="338"/>
      <c r="H739" s="338"/>
      <c r="I739" s="338"/>
      <c r="J739" s="338"/>
      <c r="K739" s="338"/>
      <c r="L739" s="356"/>
      <c r="M739" s="356"/>
      <c r="N739" s="321"/>
      <c r="O739" s="338"/>
      <c r="P739" s="338"/>
      <c r="Q739" s="338"/>
      <c r="R739" s="338"/>
      <c r="S739" s="338"/>
      <c r="T739" s="338"/>
      <c r="U739" s="338"/>
      <c r="V739" s="338"/>
      <c r="W739" s="338"/>
      <c r="X739" s="338"/>
      <c r="Y739" s="338"/>
      <c r="Z739" s="338"/>
    </row>
    <row r="740" ht="12.75" customHeight="1">
      <c r="A740" s="321"/>
      <c r="B740" s="338"/>
      <c r="C740" s="338"/>
      <c r="D740" s="415"/>
      <c r="E740" s="338"/>
      <c r="F740" s="338"/>
      <c r="G740" s="338"/>
      <c r="H740" s="338"/>
      <c r="I740" s="338"/>
      <c r="J740" s="338"/>
      <c r="K740" s="338"/>
      <c r="L740" s="356"/>
      <c r="M740" s="356"/>
      <c r="N740" s="321"/>
      <c r="O740" s="338"/>
      <c r="P740" s="338"/>
      <c r="Q740" s="338"/>
      <c r="R740" s="338"/>
      <c r="S740" s="338"/>
      <c r="T740" s="338"/>
      <c r="U740" s="338"/>
      <c r="V740" s="338"/>
      <c r="W740" s="338"/>
      <c r="X740" s="338"/>
      <c r="Y740" s="338"/>
      <c r="Z740" s="338"/>
    </row>
    <row r="741" ht="12.75" customHeight="1">
      <c r="A741" s="321"/>
      <c r="B741" s="338"/>
      <c r="C741" s="338"/>
      <c r="D741" s="415"/>
      <c r="E741" s="338"/>
      <c r="F741" s="338"/>
      <c r="G741" s="338"/>
      <c r="H741" s="338"/>
      <c r="I741" s="338"/>
      <c r="J741" s="338"/>
      <c r="K741" s="338"/>
      <c r="L741" s="356"/>
      <c r="M741" s="356"/>
      <c r="N741" s="321"/>
      <c r="O741" s="338"/>
      <c r="P741" s="338"/>
      <c r="Q741" s="338"/>
      <c r="R741" s="338"/>
      <c r="S741" s="338"/>
      <c r="T741" s="338"/>
      <c r="U741" s="338"/>
      <c r="V741" s="338"/>
      <c r="W741" s="338"/>
      <c r="X741" s="338"/>
      <c r="Y741" s="338"/>
      <c r="Z741" s="338"/>
    </row>
    <row r="742" ht="12.75" customHeight="1">
      <c r="A742" s="321"/>
      <c r="B742" s="338"/>
      <c r="C742" s="338"/>
      <c r="D742" s="415"/>
      <c r="E742" s="338"/>
      <c r="F742" s="338"/>
      <c r="G742" s="338"/>
      <c r="H742" s="338"/>
      <c r="I742" s="338"/>
      <c r="J742" s="338"/>
      <c r="K742" s="338"/>
      <c r="L742" s="356"/>
      <c r="M742" s="356"/>
      <c r="N742" s="321"/>
      <c r="O742" s="338"/>
      <c r="P742" s="338"/>
      <c r="Q742" s="338"/>
      <c r="R742" s="338"/>
      <c r="S742" s="338"/>
      <c r="T742" s="338"/>
      <c r="U742" s="338"/>
      <c r="V742" s="338"/>
      <c r="W742" s="338"/>
      <c r="X742" s="338"/>
      <c r="Y742" s="338"/>
      <c r="Z742" s="338"/>
    </row>
    <row r="743" ht="12.75" customHeight="1">
      <c r="A743" s="321"/>
      <c r="B743" s="338"/>
      <c r="C743" s="338"/>
      <c r="D743" s="415"/>
      <c r="E743" s="338"/>
      <c r="F743" s="338"/>
      <c r="G743" s="338"/>
      <c r="H743" s="338"/>
      <c r="I743" s="338"/>
      <c r="J743" s="338"/>
      <c r="K743" s="338"/>
      <c r="L743" s="356"/>
      <c r="M743" s="356"/>
      <c r="N743" s="321"/>
      <c r="O743" s="338"/>
      <c r="P743" s="338"/>
      <c r="Q743" s="338"/>
      <c r="R743" s="338"/>
      <c r="S743" s="338"/>
      <c r="T743" s="338"/>
      <c r="U743" s="338"/>
      <c r="V743" s="338"/>
      <c r="W743" s="338"/>
      <c r="X743" s="338"/>
      <c r="Y743" s="338"/>
      <c r="Z743" s="338"/>
    </row>
    <row r="744" ht="12.75" customHeight="1">
      <c r="A744" s="321"/>
      <c r="B744" s="338"/>
      <c r="C744" s="338"/>
      <c r="D744" s="415"/>
      <c r="E744" s="338"/>
      <c r="F744" s="338"/>
      <c r="G744" s="338"/>
      <c r="H744" s="338"/>
      <c r="I744" s="338"/>
      <c r="J744" s="338"/>
      <c r="K744" s="338"/>
      <c r="L744" s="356"/>
      <c r="M744" s="356"/>
      <c r="N744" s="321"/>
      <c r="O744" s="338"/>
      <c r="P744" s="338"/>
      <c r="Q744" s="338"/>
      <c r="R744" s="338"/>
      <c r="S744" s="338"/>
      <c r="T744" s="338"/>
      <c r="U744" s="338"/>
      <c r="V744" s="338"/>
      <c r="W744" s="338"/>
      <c r="X744" s="338"/>
      <c r="Y744" s="338"/>
      <c r="Z744" s="338"/>
    </row>
    <row r="745" ht="12.75" customHeight="1">
      <c r="A745" s="321"/>
      <c r="B745" s="338"/>
      <c r="C745" s="338"/>
      <c r="D745" s="415"/>
      <c r="E745" s="338"/>
      <c r="F745" s="338"/>
      <c r="G745" s="338"/>
      <c r="H745" s="338"/>
      <c r="I745" s="338"/>
      <c r="J745" s="338"/>
      <c r="K745" s="338"/>
      <c r="L745" s="356"/>
      <c r="M745" s="356"/>
      <c r="N745" s="321"/>
      <c r="O745" s="338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</row>
    <row r="746" ht="12.75" customHeight="1">
      <c r="A746" s="321"/>
      <c r="B746" s="338"/>
      <c r="C746" s="338"/>
      <c r="D746" s="415"/>
      <c r="E746" s="338"/>
      <c r="F746" s="338"/>
      <c r="G746" s="338"/>
      <c r="H746" s="338"/>
      <c r="I746" s="338"/>
      <c r="J746" s="338"/>
      <c r="K746" s="338"/>
      <c r="L746" s="356"/>
      <c r="M746" s="356"/>
      <c r="N746" s="321"/>
      <c r="O746" s="338"/>
      <c r="P746" s="338"/>
      <c r="Q746" s="338"/>
      <c r="R746" s="338"/>
      <c r="S746" s="338"/>
      <c r="T746" s="338"/>
      <c r="U746" s="338"/>
      <c r="V746" s="338"/>
      <c r="W746" s="338"/>
      <c r="X746" s="338"/>
      <c r="Y746" s="338"/>
      <c r="Z746" s="338"/>
    </row>
    <row r="747" ht="12.75" customHeight="1">
      <c r="A747" s="321"/>
      <c r="B747" s="338"/>
      <c r="C747" s="338"/>
      <c r="D747" s="415"/>
      <c r="E747" s="338"/>
      <c r="F747" s="338"/>
      <c r="G747" s="338"/>
      <c r="H747" s="338"/>
      <c r="I747" s="338"/>
      <c r="J747" s="338"/>
      <c r="K747" s="338"/>
      <c r="L747" s="356"/>
      <c r="M747" s="356"/>
      <c r="N747" s="321"/>
      <c r="O747" s="338"/>
      <c r="P747" s="338"/>
      <c r="Q747" s="338"/>
      <c r="R747" s="338"/>
      <c r="S747" s="338"/>
      <c r="T747" s="338"/>
      <c r="U747" s="338"/>
      <c r="V747" s="338"/>
      <c r="W747" s="338"/>
      <c r="X747" s="338"/>
      <c r="Y747" s="338"/>
      <c r="Z747" s="338"/>
    </row>
    <row r="748" ht="12.75" customHeight="1">
      <c r="A748" s="321"/>
      <c r="B748" s="338"/>
      <c r="C748" s="338"/>
      <c r="D748" s="415"/>
      <c r="E748" s="338"/>
      <c r="F748" s="338"/>
      <c r="G748" s="338"/>
      <c r="H748" s="338"/>
      <c r="I748" s="338"/>
      <c r="J748" s="338"/>
      <c r="K748" s="338"/>
      <c r="L748" s="356"/>
      <c r="M748" s="356"/>
      <c r="N748" s="321"/>
      <c r="O748" s="338"/>
      <c r="P748" s="338"/>
      <c r="Q748" s="338"/>
      <c r="R748" s="338"/>
      <c r="S748" s="338"/>
      <c r="T748" s="338"/>
      <c r="U748" s="338"/>
      <c r="V748" s="338"/>
      <c r="W748" s="338"/>
      <c r="X748" s="338"/>
      <c r="Y748" s="338"/>
      <c r="Z748" s="338"/>
    </row>
    <row r="749" ht="12.75" customHeight="1">
      <c r="A749" s="321"/>
      <c r="B749" s="338"/>
      <c r="C749" s="338"/>
      <c r="D749" s="415"/>
      <c r="E749" s="338"/>
      <c r="F749" s="338"/>
      <c r="G749" s="338"/>
      <c r="H749" s="338"/>
      <c r="I749" s="338"/>
      <c r="J749" s="338"/>
      <c r="K749" s="338"/>
      <c r="L749" s="356"/>
      <c r="M749" s="356"/>
      <c r="N749" s="321"/>
      <c r="O749" s="338"/>
      <c r="P749" s="338"/>
      <c r="Q749" s="338"/>
      <c r="R749" s="338"/>
      <c r="S749" s="338"/>
      <c r="T749" s="338"/>
      <c r="U749" s="338"/>
      <c r="V749" s="338"/>
      <c r="W749" s="338"/>
      <c r="X749" s="338"/>
      <c r="Y749" s="338"/>
      <c r="Z749" s="338"/>
    </row>
    <row r="750" ht="12.75" customHeight="1">
      <c r="A750" s="321"/>
      <c r="B750" s="338"/>
      <c r="C750" s="338"/>
      <c r="D750" s="415"/>
      <c r="E750" s="338"/>
      <c r="F750" s="338"/>
      <c r="G750" s="338"/>
      <c r="H750" s="338"/>
      <c r="I750" s="338"/>
      <c r="J750" s="338"/>
      <c r="K750" s="338"/>
      <c r="L750" s="356"/>
      <c r="M750" s="356"/>
      <c r="N750" s="321"/>
      <c r="O750" s="338"/>
      <c r="P750" s="338"/>
      <c r="Q750" s="338"/>
      <c r="R750" s="338"/>
      <c r="S750" s="338"/>
      <c r="T750" s="338"/>
      <c r="U750" s="338"/>
      <c r="V750" s="338"/>
      <c r="W750" s="338"/>
      <c r="X750" s="338"/>
      <c r="Y750" s="338"/>
      <c r="Z750" s="338"/>
    </row>
    <row r="751" ht="12.75" customHeight="1">
      <c r="A751" s="321"/>
      <c r="B751" s="338"/>
      <c r="C751" s="338"/>
      <c r="D751" s="415"/>
      <c r="E751" s="338"/>
      <c r="F751" s="338"/>
      <c r="G751" s="338"/>
      <c r="H751" s="338"/>
      <c r="I751" s="338"/>
      <c r="J751" s="338"/>
      <c r="K751" s="338"/>
      <c r="L751" s="356"/>
      <c r="M751" s="356"/>
      <c r="N751" s="321"/>
      <c r="O751" s="338"/>
      <c r="P751" s="338"/>
      <c r="Q751" s="338"/>
      <c r="R751" s="338"/>
      <c r="S751" s="338"/>
      <c r="T751" s="338"/>
      <c r="U751" s="338"/>
      <c r="V751" s="338"/>
      <c r="W751" s="338"/>
      <c r="X751" s="338"/>
      <c r="Y751" s="338"/>
      <c r="Z751" s="338"/>
    </row>
    <row r="752" ht="12.75" customHeight="1">
      <c r="A752" s="321"/>
      <c r="B752" s="338"/>
      <c r="C752" s="338"/>
      <c r="D752" s="415"/>
      <c r="E752" s="338"/>
      <c r="F752" s="338"/>
      <c r="G752" s="338"/>
      <c r="H752" s="338"/>
      <c r="I752" s="338"/>
      <c r="J752" s="338"/>
      <c r="K752" s="338"/>
      <c r="L752" s="356"/>
      <c r="M752" s="356"/>
      <c r="N752" s="321"/>
      <c r="O752" s="338"/>
      <c r="P752" s="338"/>
      <c r="Q752" s="338"/>
      <c r="R752" s="338"/>
      <c r="S752" s="338"/>
      <c r="T752" s="338"/>
      <c r="U752" s="338"/>
      <c r="V752" s="338"/>
      <c r="W752" s="338"/>
      <c r="X752" s="338"/>
      <c r="Y752" s="338"/>
      <c r="Z752" s="338"/>
    </row>
    <row r="753" ht="12.75" customHeight="1">
      <c r="A753" s="321"/>
      <c r="B753" s="338"/>
      <c r="C753" s="338"/>
      <c r="D753" s="415"/>
      <c r="E753" s="338"/>
      <c r="F753" s="338"/>
      <c r="G753" s="338"/>
      <c r="H753" s="338"/>
      <c r="I753" s="338"/>
      <c r="J753" s="338"/>
      <c r="K753" s="338"/>
      <c r="L753" s="356"/>
      <c r="M753" s="356"/>
      <c r="N753" s="321"/>
      <c r="O753" s="338"/>
      <c r="P753" s="338"/>
      <c r="Q753" s="338"/>
      <c r="R753" s="338"/>
      <c r="S753" s="338"/>
      <c r="T753" s="338"/>
      <c r="U753" s="338"/>
      <c r="V753" s="338"/>
      <c r="W753" s="338"/>
      <c r="X753" s="338"/>
      <c r="Y753" s="338"/>
      <c r="Z753" s="338"/>
    </row>
    <row r="754" ht="12.75" customHeight="1">
      <c r="A754" s="321"/>
      <c r="B754" s="338"/>
      <c r="C754" s="338"/>
      <c r="D754" s="415"/>
      <c r="E754" s="338"/>
      <c r="F754" s="338"/>
      <c r="G754" s="338"/>
      <c r="H754" s="338"/>
      <c r="I754" s="338"/>
      <c r="J754" s="338"/>
      <c r="K754" s="338"/>
      <c r="L754" s="356"/>
      <c r="M754" s="356"/>
      <c r="N754" s="321"/>
      <c r="O754" s="338"/>
      <c r="P754" s="338"/>
      <c r="Q754" s="338"/>
      <c r="R754" s="338"/>
      <c r="S754" s="338"/>
      <c r="T754" s="338"/>
      <c r="U754" s="338"/>
      <c r="V754" s="338"/>
      <c r="W754" s="338"/>
      <c r="X754" s="338"/>
      <c r="Y754" s="338"/>
      <c r="Z754" s="338"/>
    </row>
    <row r="755" ht="12.75" customHeight="1">
      <c r="A755" s="321"/>
      <c r="B755" s="338"/>
      <c r="C755" s="338"/>
      <c r="D755" s="415"/>
      <c r="E755" s="338"/>
      <c r="F755" s="338"/>
      <c r="G755" s="338"/>
      <c r="H755" s="338"/>
      <c r="I755" s="338"/>
      <c r="J755" s="338"/>
      <c r="K755" s="338"/>
      <c r="L755" s="356"/>
      <c r="M755" s="356"/>
      <c r="N755" s="321"/>
      <c r="O755" s="338"/>
      <c r="P755" s="338"/>
      <c r="Q755" s="338"/>
      <c r="R755" s="338"/>
      <c r="S755" s="338"/>
      <c r="T755" s="338"/>
      <c r="U755" s="338"/>
      <c r="V755" s="338"/>
      <c r="W755" s="338"/>
      <c r="X755" s="338"/>
      <c r="Y755" s="338"/>
      <c r="Z755" s="338"/>
    </row>
    <row r="756" ht="12.75" customHeight="1">
      <c r="A756" s="321"/>
      <c r="B756" s="338"/>
      <c r="C756" s="338"/>
      <c r="D756" s="415"/>
      <c r="E756" s="338"/>
      <c r="F756" s="338"/>
      <c r="G756" s="338"/>
      <c r="H756" s="338"/>
      <c r="I756" s="338"/>
      <c r="J756" s="338"/>
      <c r="K756" s="338"/>
      <c r="L756" s="356"/>
      <c r="M756" s="356"/>
      <c r="N756" s="321"/>
      <c r="O756" s="338"/>
      <c r="P756" s="338"/>
      <c r="Q756" s="338"/>
      <c r="R756" s="338"/>
      <c r="S756" s="338"/>
      <c r="T756" s="338"/>
      <c r="U756" s="338"/>
      <c r="V756" s="338"/>
      <c r="W756" s="338"/>
      <c r="X756" s="338"/>
      <c r="Y756" s="338"/>
      <c r="Z756" s="338"/>
    </row>
    <row r="757" ht="12.75" customHeight="1">
      <c r="A757" s="321"/>
      <c r="B757" s="338"/>
      <c r="C757" s="338"/>
      <c r="D757" s="415"/>
      <c r="E757" s="338"/>
      <c r="F757" s="338"/>
      <c r="G757" s="338"/>
      <c r="H757" s="338"/>
      <c r="I757" s="338"/>
      <c r="J757" s="338"/>
      <c r="K757" s="338"/>
      <c r="L757" s="356"/>
      <c r="M757" s="356"/>
      <c r="N757" s="321"/>
      <c r="O757" s="338"/>
      <c r="P757" s="338"/>
      <c r="Q757" s="338"/>
      <c r="R757" s="338"/>
      <c r="S757" s="338"/>
      <c r="T757" s="338"/>
      <c r="U757" s="338"/>
      <c r="V757" s="338"/>
      <c r="W757" s="338"/>
      <c r="X757" s="338"/>
      <c r="Y757" s="338"/>
      <c r="Z757" s="338"/>
    </row>
    <row r="758" ht="12.75" customHeight="1">
      <c r="A758" s="321"/>
      <c r="B758" s="338"/>
      <c r="C758" s="338"/>
      <c r="D758" s="415"/>
      <c r="E758" s="338"/>
      <c r="F758" s="338"/>
      <c r="G758" s="338"/>
      <c r="H758" s="338"/>
      <c r="I758" s="338"/>
      <c r="J758" s="338"/>
      <c r="K758" s="338"/>
      <c r="L758" s="356"/>
      <c r="M758" s="356"/>
      <c r="N758" s="321"/>
      <c r="O758" s="338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</row>
    <row r="759" ht="12.75" customHeight="1">
      <c r="A759" s="321"/>
      <c r="B759" s="338"/>
      <c r="C759" s="338"/>
      <c r="D759" s="415"/>
      <c r="E759" s="338"/>
      <c r="F759" s="338"/>
      <c r="G759" s="338"/>
      <c r="H759" s="338"/>
      <c r="I759" s="338"/>
      <c r="J759" s="338"/>
      <c r="K759" s="338"/>
      <c r="L759" s="356"/>
      <c r="M759" s="356"/>
      <c r="N759" s="321"/>
      <c r="O759" s="338"/>
      <c r="P759" s="338"/>
      <c r="Q759" s="338"/>
      <c r="R759" s="338"/>
      <c r="S759" s="338"/>
      <c r="T759" s="338"/>
      <c r="U759" s="338"/>
      <c r="V759" s="338"/>
      <c r="W759" s="338"/>
      <c r="X759" s="338"/>
      <c r="Y759" s="338"/>
      <c r="Z759" s="338"/>
    </row>
    <row r="760" ht="12.75" customHeight="1">
      <c r="A760" s="321"/>
      <c r="B760" s="338"/>
      <c r="C760" s="338"/>
      <c r="D760" s="415"/>
      <c r="E760" s="338"/>
      <c r="F760" s="338"/>
      <c r="G760" s="338"/>
      <c r="H760" s="338"/>
      <c r="I760" s="338"/>
      <c r="J760" s="338"/>
      <c r="K760" s="338"/>
      <c r="L760" s="356"/>
      <c r="M760" s="356"/>
      <c r="N760" s="321"/>
      <c r="O760" s="338"/>
      <c r="P760" s="338"/>
      <c r="Q760" s="338"/>
      <c r="R760" s="338"/>
      <c r="S760" s="338"/>
      <c r="T760" s="338"/>
      <c r="U760" s="338"/>
      <c r="V760" s="338"/>
      <c r="W760" s="338"/>
      <c r="X760" s="338"/>
      <c r="Y760" s="338"/>
      <c r="Z760" s="338"/>
    </row>
    <row r="761" ht="12.75" customHeight="1">
      <c r="A761" s="321"/>
      <c r="B761" s="338"/>
      <c r="C761" s="338"/>
      <c r="D761" s="415"/>
      <c r="E761" s="338"/>
      <c r="F761" s="338"/>
      <c r="G761" s="338"/>
      <c r="H761" s="338"/>
      <c r="I761" s="338"/>
      <c r="J761" s="338"/>
      <c r="K761" s="338"/>
      <c r="L761" s="356"/>
      <c r="M761" s="356"/>
      <c r="N761" s="321"/>
      <c r="O761" s="338"/>
      <c r="P761" s="338"/>
      <c r="Q761" s="338"/>
      <c r="R761" s="338"/>
      <c r="S761" s="338"/>
      <c r="T761" s="338"/>
      <c r="U761" s="338"/>
      <c r="V761" s="338"/>
      <c r="W761" s="338"/>
      <c r="X761" s="338"/>
      <c r="Y761" s="338"/>
      <c r="Z761" s="338"/>
    </row>
    <row r="762" ht="12.75" customHeight="1">
      <c r="A762" s="321"/>
      <c r="B762" s="338"/>
      <c r="C762" s="338"/>
      <c r="D762" s="415"/>
      <c r="E762" s="338"/>
      <c r="F762" s="338"/>
      <c r="G762" s="338"/>
      <c r="H762" s="338"/>
      <c r="I762" s="338"/>
      <c r="J762" s="338"/>
      <c r="K762" s="338"/>
      <c r="L762" s="356"/>
      <c r="M762" s="356"/>
      <c r="N762" s="321"/>
      <c r="O762" s="338"/>
      <c r="P762" s="338"/>
      <c r="Q762" s="338"/>
      <c r="R762" s="338"/>
      <c r="S762" s="338"/>
      <c r="T762" s="338"/>
      <c r="U762" s="338"/>
      <c r="V762" s="338"/>
      <c r="W762" s="338"/>
      <c r="X762" s="338"/>
      <c r="Y762" s="338"/>
      <c r="Z762" s="338"/>
    </row>
    <row r="763" ht="12.75" customHeight="1">
      <c r="A763" s="321"/>
      <c r="B763" s="338"/>
      <c r="C763" s="338"/>
      <c r="D763" s="415"/>
      <c r="E763" s="338"/>
      <c r="F763" s="338"/>
      <c r="G763" s="338"/>
      <c r="H763" s="338"/>
      <c r="I763" s="338"/>
      <c r="J763" s="338"/>
      <c r="K763" s="338"/>
      <c r="L763" s="356"/>
      <c r="M763" s="356"/>
      <c r="N763" s="321"/>
      <c r="O763" s="338"/>
      <c r="P763" s="338"/>
      <c r="Q763" s="338"/>
      <c r="R763" s="338"/>
      <c r="S763" s="338"/>
      <c r="T763" s="338"/>
      <c r="U763" s="338"/>
      <c r="V763" s="338"/>
      <c r="W763" s="338"/>
      <c r="X763" s="338"/>
      <c r="Y763" s="338"/>
      <c r="Z763" s="338"/>
    </row>
    <row r="764" ht="12.75" customHeight="1">
      <c r="A764" s="321"/>
      <c r="B764" s="338"/>
      <c r="C764" s="338"/>
      <c r="D764" s="415"/>
      <c r="E764" s="338"/>
      <c r="F764" s="338"/>
      <c r="G764" s="338"/>
      <c r="H764" s="338"/>
      <c r="I764" s="338"/>
      <c r="J764" s="338"/>
      <c r="K764" s="338"/>
      <c r="L764" s="356"/>
      <c r="M764" s="356"/>
      <c r="N764" s="321"/>
      <c r="O764" s="338"/>
      <c r="P764" s="338"/>
      <c r="Q764" s="338"/>
      <c r="R764" s="338"/>
      <c r="S764" s="338"/>
      <c r="T764" s="338"/>
      <c r="U764" s="338"/>
      <c r="V764" s="338"/>
      <c r="W764" s="338"/>
      <c r="X764" s="338"/>
      <c r="Y764" s="338"/>
      <c r="Z764" s="338"/>
    </row>
    <row r="765" ht="12.75" customHeight="1">
      <c r="A765" s="321"/>
      <c r="B765" s="338"/>
      <c r="C765" s="338"/>
      <c r="D765" s="415"/>
      <c r="E765" s="338"/>
      <c r="F765" s="338"/>
      <c r="G765" s="338"/>
      <c r="H765" s="338"/>
      <c r="I765" s="338"/>
      <c r="J765" s="338"/>
      <c r="K765" s="338"/>
      <c r="L765" s="356"/>
      <c r="M765" s="356"/>
      <c r="N765" s="321"/>
      <c r="O765" s="338"/>
      <c r="P765" s="338"/>
      <c r="Q765" s="338"/>
      <c r="R765" s="338"/>
      <c r="S765" s="338"/>
      <c r="T765" s="338"/>
      <c r="U765" s="338"/>
      <c r="V765" s="338"/>
      <c r="W765" s="338"/>
      <c r="X765" s="338"/>
      <c r="Y765" s="338"/>
      <c r="Z765" s="338"/>
    </row>
    <row r="766" ht="12.75" customHeight="1">
      <c r="A766" s="321"/>
      <c r="B766" s="338"/>
      <c r="C766" s="338"/>
      <c r="D766" s="415"/>
      <c r="E766" s="338"/>
      <c r="F766" s="338"/>
      <c r="G766" s="338"/>
      <c r="H766" s="338"/>
      <c r="I766" s="338"/>
      <c r="J766" s="338"/>
      <c r="K766" s="338"/>
      <c r="L766" s="356"/>
      <c r="M766" s="356"/>
      <c r="N766" s="321"/>
      <c r="O766" s="338"/>
      <c r="P766" s="338"/>
      <c r="Q766" s="338"/>
      <c r="R766" s="338"/>
      <c r="S766" s="338"/>
      <c r="T766" s="338"/>
      <c r="U766" s="338"/>
      <c r="V766" s="338"/>
      <c r="W766" s="338"/>
      <c r="X766" s="338"/>
      <c r="Y766" s="338"/>
      <c r="Z766" s="338"/>
    </row>
    <row r="767" ht="12.75" customHeight="1">
      <c r="A767" s="321"/>
      <c r="B767" s="338"/>
      <c r="C767" s="338"/>
      <c r="D767" s="415"/>
      <c r="E767" s="338"/>
      <c r="F767" s="338"/>
      <c r="G767" s="338"/>
      <c r="H767" s="338"/>
      <c r="I767" s="338"/>
      <c r="J767" s="338"/>
      <c r="K767" s="338"/>
      <c r="L767" s="356"/>
      <c r="M767" s="356"/>
      <c r="N767" s="321"/>
      <c r="O767" s="338"/>
      <c r="P767" s="338"/>
      <c r="Q767" s="338"/>
      <c r="R767" s="338"/>
      <c r="S767" s="338"/>
      <c r="T767" s="338"/>
      <c r="U767" s="338"/>
      <c r="V767" s="338"/>
      <c r="W767" s="338"/>
      <c r="X767" s="338"/>
      <c r="Y767" s="338"/>
      <c r="Z767" s="338"/>
    </row>
    <row r="768" ht="12.75" customHeight="1">
      <c r="A768" s="321"/>
      <c r="B768" s="338"/>
      <c r="C768" s="338"/>
      <c r="D768" s="415"/>
      <c r="E768" s="338"/>
      <c r="F768" s="338"/>
      <c r="G768" s="338"/>
      <c r="H768" s="338"/>
      <c r="I768" s="338"/>
      <c r="J768" s="338"/>
      <c r="K768" s="338"/>
      <c r="L768" s="356"/>
      <c r="M768" s="356"/>
      <c r="N768" s="321"/>
      <c r="O768" s="338"/>
      <c r="P768" s="338"/>
      <c r="Q768" s="338"/>
      <c r="R768" s="338"/>
      <c r="S768" s="338"/>
      <c r="T768" s="338"/>
      <c r="U768" s="338"/>
      <c r="V768" s="338"/>
      <c r="W768" s="338"/>
      <c r="X768" s="338"/>
      <c r="Y768" s="338"/>
      <c r="Z768" s="338"/>
    </row>
    <row r="769" ht="12.75" customHeight="1">
      <c r="A769" s="321"/>
      <c r="B769" s="338"/>
      <c r="C769" s="338"/>
      <c r="D769" s="415"/>
      <c r="E769" s="338"/>
      <c r="F769" s="338"/>
      <c r="G769" s="338"/>
      <c r="H769" s="338"/>
      <c r="I769" s="338"/>
      <c r="J769" s="338"/>
      <c r="K769" s="338"/>
      <c r="L769" s="356"/>
      <c r="M769" s="356"/>
      <c r="N769" s="321"/>
      <c r="O769" s="338"/>
      <c r="P769" s="338"/>
      <c r="Q769" s="338"/>
      <c r="R769" s="338"/>
      <c r="S769" s="338"/>
      <c r="T769" s="338"/>
      <c r="U769" s="338"/>
      <c r="V769" s="338"/>
      <c r="W769" s="338"/>
      <c r="X769" s="338"/>
      <c r="Y769" s="338"/>
      <c r="Z769" s="338"/>
    </row>
    <row r="770" ht="12.75" customHeight="1">
      <c r="A770" s="321"/>
      <c r="B770" s="338"/>
      <c r="C770" s="338"/>
      <c r="D770" s="415"/>
      <c r="E770" s="338"/>
      <c r="F770" s="338"/>
      <c r="G770" s="338"/>
      <c r="H770" s="338"/>
      <c r="I770" s="338"/>
      <c r="J770" s="338"/>
      <c r="K770" s="338"/>
      <c r="L770" s="356"/>
      <c r="M770" s="356"/>
      <c r="N770" s="321"/>
      <c r="O770" s="338"/>
      <c r="P770" s="338"/>
      <c r="Q770" s="338"/>
      <c r="R770" s="338"/>
      <c r="S770" s="338"/>
      <c r="T770" s="338"/>
      <c r="U770" s="338"/>
      <c r="V770" s="338"/>
      <c r="W770" s="338"/>
      <c r="X770" s="338"/>
      <c r="Y770" s="338"/>
      <c r="Z770" s="338"/>
    </row>
    <row r="771" ht="12.75" customHeight="1">
      <c r="A771" s="321"/>
      <c r="B771" s="338"/>
      <c r="C771" s="338"/>
      <c r="D771" s="415"/>
      <c r="E771" s="338"/>
      <c r="F771" s="338"/>
      <c r="G771" s="338"/>
      <c r="H771" s="338"/>
      <c r="I771" s="338"/>
      <c r="J771" s="338"/>
      <c r="K771" s="338"/>
      <c r="L771" s="356"/>
      <c r="M771" s="356"/>
      <c r="N771" s="321"/>
      <c r="O771" s="338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</row>
    <row r="772" ht="12.75" customHeight="1">
      <c r="A772" s="321"/>
      <c r="B772" s="338"/>
      <c r="C772" s="338"/>
      <c r="D772" s="415"/>
      <c r="E772" s="338"/>
      <c r="F772" s="338"/>
      <c r="G772" s="338"/>
      <c r="H772" s="338"/>
      <c r="I772" s="338"/>
      <c r="J772" s="338"/>
      <c r="K772" s="338"/>
      <c r="L772" s="356"/>
      <c r="M772" s="356"/>
      <c r="N772" s="321"/>
      <c r="O772" s="338"/>
      <c r="P772" s="338"/>
      <c r="Q772" s="338"/>
      <c r="R772" s="338"/>
      <c r="S772" s="338"/>
      <c r="T772" s="338"/>
      <c r="U772" s="338"/>
      <c r="V772" s="338"/>
      <c r="W772" s="338"/>
      <c r="X772" s="338"/>
      <c r="Y772" s="338"/>
      <c r="Z772" s="338"/>
    </row>
    <row r="773" ht="12.75" customHeight="1">
      <c r="A773" s="321"/>
      <c r="B773" s="338"/>
      <c r="C773" s="338"/>
      <c r="D773" s="415"/>
      <c r="E773" s="338"/>
      <c r="F773" s="338"/>
      <c r="G773" s="338"/>
      <c r="H773" s="338"/>
      <c r="I773" s="338"/>
      <c r="J773" s="338"/>
      <c r="K773" s="338"/>
      <c r="L773" s="356"/>
      <c r="M773" s="356"/>
      <c r="N773" s="321"/>
      <c r="O773" s="338"/>
      <c r="P773" s="338"/>
      <c r="Q773" s="338"/>
      <c r="R773" s="338"/>
      <c r="S773" s="338"/>
      <c r="T773" s="338"/>
      <c r="U773" s="338"/>
      <c r="V773" s="338"/>
      <c r="W773" s="338"/>
      <c r="X773" s="338"/>
      <c r="Y773" s="338"/>
      <c r="Z773" s="338"/>
    </row>
    <row r="774" ht="12.75" customHeight="1">
      <c r="A774" s="321"/>
      <c r="B774" s="338"/>
      <c r="C774" s="338"/>
      <c r="D774" s="415"/>
      <c r="E774" s="338"/>
      <c r="F774" s="338"/>
      <c r="G774" s="338"/>
      <c r="H774" s="338"/>
      <c r="I774" s="338"/>
      <c r="J774" s="338"/>
      <c r="K774" s="338"/>
      <c r="L774" s="356"/>
      <c r="M774" s="356"/>
      <c r="N774" s="321"/>
      <c r="O774" s="338"/>
      <c r="P774" s="338"/>
      <c r="Q774" s="338"/>
      <c r="R774" s="338"/>
      <c r="S774" s="338"/>
      <c r="T774" s="338"/>
      <c r="U774" s="338"/>
      <c r="V774" s="338"/>
      <c r="W774" s="338"/>
      <c r="X774" s="338"/>
      <c r="Y774" s="338"/>
      <c r="Z774" s="338"/>
    </row>
    <row r="775" ht="12.75" customHeight="1">
      <c r="A775" s="321"/>
      <c r="B775" s="338"/>
      <c r="C775" s="338"/>
      <c r="D775" s="415"/>
      <c r="E775" s="338"/>
      <c r="F775" s="338"/>
      <c r="G775" s="338"/>
      <c r="H775" s="338"/>
      <c r="I775" s="338"/>
      <c r="J775" s="338"/>
      <c r="K775" s="338"/>
      <c r="L775" s="356"/>
      <c r="M775" s="356"/>
      <c r="N775" s="321"/>
      <c r="O775" s="338"/>
      <c r="P775" s="338"/>
      <c r="Q775" s="338"/>
      <c r="R775" s="338"/>
      <c r="S775" s="338"/>
      <c r="T775" s="338"/>
      <c r="U775" s="338"/>
      <c r="V775" s="338"/>
      <c r="W775" s="338"/>
      <c r="X775" s="338"/>
      <c r="Y775" s="338"/>
      <c r="Z775" s="338"/>
    </row>
    <row r="776" ht="12.75" customHeight="1">
      <c r="A776" s="321"/>
      <c r="B776" s="338"/>
      <c r="C776" s="338"/>
      <c r="D776" s="415"/>
      <c r="E776" s="338"/>
      <c r="F776" s="338"/>
      <c r="G776" s="338"/>
      <c r="H776" s="338"/>
      <c r="I776" s="338"/>
      <c r="J776" s="338"/>
      <c r="K776" s="338"/>
      <c r="L776" s="356"/>
      <c r="M776" s="356"/>
      <c r="N776" s="321"/>
      <c r="O776" s="338"/>
      <c r="P776" s="338"/>
      <c r="Q776" s="338"/>
      <c r="R776" s="338"/>
      <c r="S776" s="338"/>
      <c r="T776" s="338"/>
      <c r="U776" s="338"/>
      <c r="V776" s="338"/>
      <c r="W776" s="338"/>
      <c r="X776" s="338"/>
      <c r="Y776" s="338"/>
      <c r="Z776" s="338"/>
    </row>
    <row r="777" ht="12.75" customHeight="1">
      <c r="A777" s="321"/>
      <c r="B777" s="338"/>
      <c r="C777" s="338"/>
      <c r="D777" s="415"/>
      <c r="E777" s="338"/>
      <c r="F777" s="338"/>
      <c r="G777" s="338"/>
      <c r="H777" s="338"/>
      <c r="I777" s="338"/>
      <c r="J777" s="338"/>
      <c r="K777" s="338"/>
      <c r="L777" s="356"/>
      <c r="M777" s="356"/>
      <c r="N777" s="321"/>
      <c r="O777" s="338"/>
      <c r="P777" s="338"/>
      <c r="Q777" s="338"/>
      <c r="R777" s="338"/>
      <c r="S777" s="338"/>
      <c r="T777" s="338"/>
      <c r="U777" s="338"/>
      <c r="V777" s="338"/>
      <c r="W777" s="338"/>
      <c r="X777" s="338"/>
      <c r="Y777" s="338"/>
      <c r="Z777" s="338"/>
    </row>
    <row r="778" ht="12.75" customHeight="1">
      <c r="A778" s="321"/>
      <c r="B778" s="338"/>
      <c r="C778" s="338"/>
      <c r="D778" s="415"/>
      <c r="E778" s="338"/>
      <c r="F778" s="338"/>
      <c r="G778" s="338"/>
      <c r="H778" s="338"/>
      <c r="I778" s="338"/>
      <c r="J778" s="338"/>
      <c r="K778" s="338"/>
      <c r="L778" s="356"/>
      <c r="M778" s="356"/>
      <c r="N778" s="321"/>
      <c r="O778" s="338"/>
      <c r="P778" s="338"/>
      <c r="Q778" s="338"/>
      <c r="R778" s="338"/>
      <c r="S778" s="338"/>
      <c r="T778" s="338"/>
      <c r="U778" s="338"/>
      <c r="V778" s="338"/>
      <c r="W778" s="338"/>
      <c r="X778" s="338"/>
      <c r="Y778" s="338"/>
      <c r="Z778" s="338"/>
    </row>
    <row r="779" ht="12.75" customHeight="1">
      <c r="A779" s="321"/>
      <c r="B779" s="338"/>
      <c r="C779" s="338"/>
      <c r="D779" s="415"/>
      <c r="E779" s="338"/>
      <c r="F779" s="338"/>
      <c r="G779" s="338"/>
      <c r="H779" s="338"/>
      <c r="I779" s="338"/>
      <c r="J779" s="338"/>
      <c r="K779" s="338"/>
      <c r="L779" s="356"/>
      <c r="M779" s="356"/>
      <c r="N779" s="321"/>
      <c r="O779" s="338"/>
      <c r="P779" s="338"/>
      <c r="Q779" s="338"/>
      <c r="R779" s="338"/>
      <c r="S779" s="338"/>
      <c r="T779" s="338"/>
      <c r="U779" s="338"/>
      <c r="V779" s="338"/>
      <c r="W779" s="338"/>
      <c r="X779" s="338"/>
      <c r="Y779" s="338"/>
      <c r="Z779" s="338"/>
    </row>
    <row r="780" ht="12.75" customHeight="1">
      <c r="A780" s="321"/>
      <c r="B780" s="338"/>
      <c r="C780" s="338"/>
      <c r="D780" s="415"/>
      <c r="E780" s="338"/>
      <c r="F780" s="338"/>
      <c r="G780" s="338"/>
      <c r="H780" s="338"/>
      <c r="I780" s="338"/>
      <c r="J780" s="338"/>
      <c r="K780" s="338"/>
      <c r="L780" s="356"/>
      <c r="M780" s="356"/>
      <c r="N780" s="321"/>
      <c r="O780" s="338"/>
      <c r="P780" s="338"/>
      <c r="Q780" s="338"/>
      <c r="R780" s="338"/>
      <c r="S780" s="338"/>
      <c r="T780" s="338"/>
      <c r="U780" s="338"/>
      <c r="V780" s="338"/>
      <c r="W780" s="338"/>
      <c r="X780" s="338"/>
      <c r="Y780" s="338"/>
      <c r="Z780" s="338"/>
    </row>
    <row r="781" ht="12.75" customHeight="1">
      <c r="A781" s="321"/>
      <c r="B781" s="338"/>
      <c r="C781" s="338"/>
      <c r="D781" s="415"/>
      <c r="E781" s="338"/>
      <c r="F781" s="338"/>
      <c r="G781" s="338"/>
      <c r="H781" s="338"/>
      <c r="I781" s="338"/>
      <c r="J781" s="338"/>
      <c r="K781" s="338"/>
      <c r="L781" s="356"/>
      <c r="M781" s="356"/>
      <c r="N781" s="321"/>
      <c r="O781" s="338"/>
      <c r="P781" s="338"/>
      <c r="Q781" s="338"/>
      <c r="R781" s="338"/>
      <c r="S781" s="338"/>
      <c r="T781" s="338"/>
      <c r="U781" s="338"/>
      <c r="V781" s="338"/>
      <c r="W781" s="338"/>
      <c r="X781" s="338"/>
      <c r="Y781" s="338"/>
      <c r="Z781" s="338"/>
    </row>
    <row r="782" ht="12.75" customHeight="1">
      <c r="A782" s="321"/>
      <c r="B782" s="338"/>
      <c r="C782" s="338"/>
      <c r="D782" s="415"/>
      <c r="E782" s="338"/>
      <c r="F782" s="338"/>
      <c r="G782" s="338"/>
      <c r="H782" s="338"/>
      <c r="I782" s="338"/>
      <c r="J782" s="338"/>
      <c r="K782" s="338"/>
      <c r="L782" s="356"/>
      <c r="M782" s="356"/>
      <c r="N782" s="321"/>
      <c r="O782" s="338"/>
      <c r="P782" s="338"/>
      <c r="Q782" s="338"/>
      <c r="R782" s="338"/>
      <c r="S782" s="338"/>
      <c r="T782" s="338"/>
      <c r="U782" s="338"/>
      <c r="V782" s="338"/>
      <c r="W782" s="338"/>
      <c r="X782" s="338"/>
      <c r="Y782" s="338"/>
      <c r="Z782" s="338"/>
    </row>
    <row r="783" ht="12.75" customHeight="1">
      <c r="A783" s="321"/>
      <c r="B783" s="338"/>
      <c r="C783" s="338"/>
      <c r="D783" s="415"/>
      <c r="E783" s="338"/>
      <c r="F783" s="338"/>
      <c r="G783" s="338"/>
      <c r="H783" s="338"/>
      <c r="I783" s="338"/>
      <c r="J783" s="338"/>
      <c r="K783" s="338"/>
      <c r="L783" s="356"/>
      <c r="M783" s="356"/>
      <c r="N783" s="321"/>
      <c r="O783" s="338"/>
      <c r="P783" s="338"/>
      <c r="Q783" s="338"/>
      <c r="R783" s="338"/>
      <c r="S783" s="338"/>
      <c r="T783" s="338"/>
      <c r="U783" s="338"/>
      <c r="V783" s="338"/>
      <c r="W783" s="338"/>
      <c r="X783" s="338"/>
      <c r="Y783" s="338"/>
      <c r="Z783" s="338"/>
    </row>
    <row r="784" ht="12.75" customHeight="1">
      <c r="A784" s="321"/>
      <c r="B784" s="338"/>
      <c r="C784" s="338"/>
      <c r="D784" s="415"/>
      <c r="E784" s="338"/>
      <c r="F784" s="338"/>
      <c r="G784" s="338"/>
      <c r="H784" s="338"/>
      <c r="I784" s="338"/>
      <c r="J784" s="338"/>
      <c r="K784" s="338"/>
      <c r="L784" s="356"/>
      <c r="M784" s="356"/>
      <c r="N784" s="321"/>
      <c r="O784" s="338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</row>
    <row r="785" ht="12.75" customHeight="1">
      <c r="A785" s="321"/>
      <c r="B785" s="338"/>
      <c r="C785" s="338"/>
      <c r="D785" s="415"/>
      <c r="E785" s="338"/>
      <c r="F785" s="338"/>
      <c r="G785" s="338"/>
      <c r="H785" s="338"/>
      <c r="I785" s="338"/>
      <c r="J785" s="338"/>
      <c r="K785" s="338"/>
      <c r="L785" s="356"/>
      <c r="M785" s="356"/>
      <c r="N785" s="321"/>
      <c r="O785" s="338"/>
      <c r="P785" s="338"/>
      <c r="Q785" s="338"/>
      <c r="R785" s="338"/>
      <c r="S785" s="338"/>
      <c r="T785" s="338"/>
      <c r="U785" s="338"/>
      <c r="V785" s="338"/>
      <c r="W785" s="338"/>
      <c r="X785" s="338"/>
      <c r="Y785" s="338"/>
      <c r="Z785" s="338"/>
    </row>
    <row r="786" ht="12.75" customHeight="1">
      <c r="A786" s="321"/>
      <c r="B786" s="338"/>
      <c r="C786" s="338"/>
      <c r="D786" s="415"/>
      <c r="E786" s="338"/>
      <c r="F786" s="338"/>
      <c r="G786" s="338"/>
      <c r="H786" s="338"/>
      <c r="I786" s="338"/>
      <c r="J786" s="338"/>
      <c r="K786" s="338"/>
      <c r="L786" s="356"/>
      <c r="M786" s="356"/>
      <c r="N786" s="321"/>
      <c r="O786" s="338"/>
      <c r="P786" s="338"/>
      <c r="Q786" s="338"/>
      <c r="R786" s="338"/>
      <c r="S786" s="338"/>
      <c r="T786" s="338"/>
      <c r="U786" s="338"/>
      <c r="V786" s="338"/>
      <c r="W786" s="338"/>
      <c r="X786" s="338"/>
      <c r="Y786" s="338"/>
      <c r="Z786" s="338"/>
    </row>
    <row r="787" ht="12.75" customHeight="1">
      <c r="A787" s="321"/>
      <c r="B787" s="338"/>
      <c r="C787" s="338"/>
      <c r="D787" s="415"/>
      <c r="E787" s="338"/>
      <c r="F787" s="338"/>
      <c r="G787" s="338"/>
      <c r="H787" s="338"/>
      <c r="I787" s="338"/>
      <c r="J787" s="338"/>
      <c r="K787" s="338"/>
      <c r="L787" s="356"/>
      <c r="M787" s="356"/>
      <c r="N787" s="321"/>
      <c r="O787" s="338"/>
      <c r="P787" s="338"/>
      <c r="Q787" s="338"/>
      <c r="R787" s="338"/>
      <c r="S787" s="338"/>
      <c r="T787" s="338"/>
      <c r="U787" s="338"/>
      <c r="V787" s="338"/>
      <c r="W787" s="338"/>
      <c r="X787" s="338"/>
      <c r="Y787" s="338"/>
      <c r="Z787" s="338"/>
    </row>
    <row r="788" ht="12.75" customHeight="1">
      <c r="A788" s="321"/>
      <c r="B788" s="338"/>
      <c r="C788" s="338"/>
      <c r="D788" s="415"/>
      <c r="E788" s="338"/>
      <c r="F788" s="338"/>
      <c r="G788" s="338"/>
      <c r="H788" s="338"/>
      <c r="I788" s="338"/>
      <c r="J788" s="338"/>
      <c r="K788" s="338"/>
      <c r="L788" s="356"/>
      <c r="M788" s="356"/>
      <c r="N788" s="321"/>
      <c r="O788" s="338"/>
      <c r="P788" s="338"/>
      <c r="Q788" s="338"/>
      <c r="R788" s="338"/>
      <c r="S788" s="338"/>
      <c r="T788" s="338"/>
      <c r="U788" s="338"/>
      <c r="V788" s="338"/>
      <c r="W788" s="338"/>
      <c r="X788" s="338"/>
      <c r="Y788" s="338"/>
      <c r="Z788" s="338"/>
    </row>
    <row r="789" ht="12.75" customHeight="1">
      <c r="A789" s="321"/>
      <c r="B789" s="338"/>
      <c r="C789" s="338"/>
      <c r="D789" s="415"/>
      <c r="E789" s="338"/>
      <c r="F789" s="338"/>
      <c r="G789" s="338"/>
      <c r="H789" s="338"/>
      <c r="I789" s="338"/>
      <c r="J789" s="338"/>
      <c r="K789" s="338"/>
      <c r="L789" s="356"/>
      <c r="M789" s="356"/>
      <c r="N789" s="321"/>
      <c r="O789" s="338"/>
      <c r="P789" s="338"/>
      <c r="Q789" s="338"/>
      <c r="R789" s="338"/>
      <c r="S789" s="338"/>
      <c r="T789" s="338"/>
      <c r="U789" s="338"/>
      <c r="V789" s="338"/>
      <c r="W789" s="338"/>
      <c r="X789" s="338"/>
      <c r="Y789" s="338"/>
      <c r="Z789" s="338"/>
    </row>
    <row r="790" ht="12.75" customHeight="1">
      <c r="A790" s="321"/>
      <c r="B790" s="338"/>
      <c r="C790" s="338"/>
      <c r="D790" s="415"/>
      <c r="E790" s="338"/>
      <c r="F790" s="338"/>
      <c r="G790" s="338"/>
      <c r="H790" s="338"/>
      <c r="I790" s="338"/>
      <c r="J790" s="338"/>
      <c r="K790" s="338"/>
      <c r="L790" s="356"/>
      <c r="M790" s="356"/>
      <c r="N790" s="321"/>
      <c r="O790" s="338"/>
      <c r="P790" s="338"/>
      <c r="Q790" s="338"/>
      <c r="R790" s="338"/>
      <c r="S790" s="338"/>
      <c r="T790" s="338"/>
      <c r="U790" s="338"/>
      <c r="V790" s="338"/>
      <c r="W790" s="338"/>
      <c r="X790" s="338"/>
      <c r="Y790" s="338"/>
      <c r="Z790" s="338"/>
    </row>
    <row r="791" ht="12.75" customHeight="1">
      <c r="A791" s="321"/>
      <c r="B791" s="338"/>
      <c r="C791" s="338"/>
      <c r="D791" s="415"/>
      <c r="E791" s="338"/>
      <c r="F791" s="338"/>
      <c r="G791" s="338"/>
      <c r="H791" s="338"/>
      <c r="I791" s="338"/>
      <c r="J791" s="338"/>
      <c r="K791" s="338"/>
      <c r="L791" s="356"/>
      <c r="M791" s="356"/>
      <c r="N791" s="321"/>
      <c r="O791" s="338"/>
      <c r="P791" s="338"/>
      <c r="Q791" s="338"/>
      <c r="R791" s="338"/>
      <c r="S791" s="338"/>
      <c r="T791" s="338"/>
      <c r="U791" s="338"/>
      <c r="V791" s="338"/>
      <c r="W791" s="338"/>
      <c r="X791" s="338"/>
      <c r="Y791" s="338"/>
      <c r="Z791" s="338"/>
    </row>
    <row r="792" ht="12.75" customHeight="1">
      <c r="A792" s="321"/>
      <c r="B792" s="338"/>
      <c r="C792" s="338"/>
      <c r="D792" s="415"/>
      <c r="E792" s="338"/>
      <c r="F792" s="338"/>
      <c r="G792" s="338"/>
      <c r="H792" s="338"/>
      <c r="I792" s="338"/>
      <c r="J792" s="338"/>
      <c r="K792" s="338"/>
      <c r="L792" s="356"/>
      <c r="M792" s="356"/>
      <c r="N792" s="321"/>
      <c r="O792" s="338"/>
      <c r="P792" s="338"/>
      <c r="Q792" s="338"/>
      <c r="R792" s="338"/>
      <c r="S792" s="338"/>
      <c r="T792" s="338"/>
      <c r="U792" s="338"/>
      <c r="V792" s="338"/>
      <c r="W792" s="338"/>
      <c r="X792" s="338"/>
      <c r="Y792" s="338"/>
      <c r="Z792" s="338"/>
    </row>
    <row r="793" ht="12.75" customHeight="1">
      <c r="A793" s="321"/>
      <c r="B793" s="338"/>
      <c r="C793" s="338"/>
      <c r="D793" s="415"/>
      <c r="E793" s="338"/>
      <c r="F793" s="338"/>
      <c r="G793" s="338"/>
      <c r="H793" s="338"/>
      <c r="I793" s="338"/>
      <c r="J793" s="338"/>
      <c r="K793" s="338"/>
      <c r="L793" s="356"/>
      <c r="M793" s="356"/>
      <c r="N793" s="321"/>
      <c r="O793" s="338"/>
      <c r="P793" s="338"/>
      <c r="Q793" s="338"/>
      <c r="R793" s="338"/>
      <c r="S793" s="338"/>
      <c r="T793" s="338"/>
      <c r="U793" s="338"/>
      <c r="V793" s="338"/>
      <c r="W793" s="338"/>
      <c r="X793" s="338"/>
      <c r="Y793" s="338"/>
      <c r="Z793" s="338"/>
    </row>
    <row r="794" ht="12.75" customHeight="1">
      <c r="A794" s="321"/>
      <c r="B794" s="338"/>
      <c r="C794" s="338"/>
      <c r="D794" s="415"/>
      <c r="E794" s="338"/>
      <c r="F794" s="338"/>
      <c r="G794" s="338"/>
      <c r="H794" s="338"/>
      <c r="I794" s="338"/>
      <c r="J794" s="338"/>
      <c r="K794" s="338"/>
      <c r="L794" s="356"/>
      <c r="M794" s="356"/>
      <c r="N794" s="321"/>
      <c r="O794" s="338"/>
      <c r="P794" s="338"/>
      <c r="Q794" s="338"/>
      <c r="R794" s="338"/>
      <c r="S794" s="338"/>
      <c r="T794" s="338"/>
      <c r="U794" s="338"/>
      <c r="V794" s="338"/>
      <c r="W794" s="338"/>
      <c r="X794" s="338"/>
      <c r="Y794" s="338"/>
      <c r="Z794" s="338"/>
    </row>
    <row r="795" ht="12.75" customHeight="1">
      <c r="A795" s="321"/>
      <c r="B795" s="338"/>
      <c r="C795" s="338"/>
      <c r="D795" s="415"/>
      <c r="E795" s="338"/>
      <c r="F795" s="338"/>
      <c r="G795" s="338"/>
      <c r="H795" s="338"/>
      <c r="I795" s="338"/>
      <c r="J795" s="338"/>
      <c r="K795" s="338"/>
      <c r="L795" s="356"/>
      <c r="M795" s="356"/>
      <c r="N795" s="321"/>
      <c r="O795" s="338"/>
      <c r="P795" s="338"/>
      <c r="Q795" s="338"/>
      <c r="R795" s="338"/>
      <c r="S795" s="338"/>
      <c r="T795" s="338"/>
      <c r="U795" s="338"/>
      <c r="V795" s="338"/>
      <c r="W795" s="338"/>
      <c r="X795" s="338"/>
      <c r="Y795" s="338"/>
      <c r="Z795" s="338"/>
    </row>
    <row r="796" ht="12.75" customHeight="1">
      <c r="A796" s="321"/>
      <c r="B796" s="338"/>
      <c r="C796" s="338"/>
      <c r="D796" s="415"/>
      <c r="E796" s="338"/>
      <c r="F796" s="338"/>
      <c r="G796" s="338"/>
      <c r="H796" s="338"/>
      <c r="I796" s="338"/>
      <c r="J796" s="338"/>
      <c r="K796" s="338"/>
      <c r="L796" s="356"/>
      <c r="M796" s="356"/>
      <c r="N796" s="321"/>
      <c r="O796" s="338"/>
      <c r="P796" s="338"/>
      <c r="Q796" s="338"/>
      <c r="R796" s="338"/>
      <c r="S796" s="338"/>
      <c r="T796" s="338"/>
      <c r="U796" s="338"/>
      <c r="V796" s="338"/>
      <c r="W796" s="338"/>
      <c r="X796" s="338"/>
      <c r="Y796" s="338"/>
      <c r="Z796" s="338"/>
    </row>
    <row r="797" ht="12.75" customHeight="1">
      <c r="A797" s="321"/>
      <c r="B797" s="338"/>
      <c r="C797" s="338"/>
      <c r="D797" s="415"/>
      <c r="E797" s="338"/>
      <c r="F797" s="338"/>
      <c r="G797" s="338"/>
      <c r="H797" s="338"/>
      <c r="I797" s="338"/>
      <c r="J797" s="338"/>
      <c r="K797" s="338"/>
      <c r="L797" s="356"/>
      <c r="M797" s="356"/>
      <c r="N797" s="321"/>
      <c r="O797" s="338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</row>
    <row r="798" ht="12.75" customHeight="1">
      <c r="A798" s="321"/>
      <c r="B798" s="338"/>
      <c r="C798" s="338"/>
      <c r="D798" s="415"/>
      <c r="E798" s="338"/>
      <c r="F798" s="338"/>
      <c r="G798" s="338"/>
      <c r="H798" s="338"/>
      <c r="I798" s="338"/>
      <c r="J798" s="338"/>
      <c r="K798" s="338"/>
      <c r="L798" s="356"/>
      <c r="M798" s="356"/>
      <c r="N798" s="321"/>
      <c r="O798" s="338"/>
      <c r="P798" s="338"/>
      <c r="Q798" s="338"/>
      <c r="R798" s="338"/>
      <c r="S798" s="338"/>
      <c r="T798" s="338"/>
      <c r="U798" s="338"/>
      <c r="V798" s="338"/>
      <c r="W798" s="338"/>
      <c r="X798" s="338"/>
      <c r="Y798" s="338"/>
      <c r="Z798" s="338"/>
    </row>
    <row r="799" ht="12.75" customHeight="1">
      <c r="A799" s="321"/>
      <c r="B799" s="338"/>
      <c r="C799" s="338"/>
      <c r="D799" s="415"/>
      <c r="E799" s="338"/>
      <c r="F799" s="338"/>
      <c r="G799" s="338"/>
      <c r="H799" s="338"/>
      <c r="I799" s="338"/>
      <c r="J799" s="338"/>
      <c r="K799" s="338"/>
      <c r="L799" s="356"/>
      <c r="M799" s="356"/>
      <c r="N799" s="321"/>
      <c r="O799" s="338"/>
      <c r="P799" s="338"/>
      <c r="Q799" s="338"/>
      <c r="R799" s="338"/>
      <c r="S799" s="338"/>
      <c r="T799" s="338"/>
      <c r="U799" s="338"/>
      <c r="V799" s="338"/>
      <c r="W799" s="338"/>
      <c r="X799" s="338"/>
      <c r="Y799" s="338"/>
      <c r="Z799" s="338"/>
    </row>
    <row r="800" ht="12.75" customHeight="1">
      <c r="A800" s="321"/>
      <c r="B800" s="338"/>
      <c r="C800" s="338"/>
      <c r="D800" s="415"/>
      <c r="E800" s="338"/>
      <c r="F800" s="338"/>
      <c r="G800" s="338"/>
      <c r="H800" s="338"/>
      <c r="I800" s="338"/>
      <c r="J800" s="338"/>
      <c r="K800" s="338"/>
      <c r="L800" s="356"/>
      <c r="M800" s="356"/>
      <c r="N800" s="321"/>
      <c r="O800" s="338"/>
      <c r="P800" s="338"/>
      <c r="Q800" s="338"/>
      <c r="R800" s="338"/>
      <c r="S800" s="338"/>
      <c r="T800" s="338"/>
      <c r="U800" s="338"/>
      <c r="V800" s="338"/>
      <c r="W800" s="338"/>
      <c r="X800" s="338"/>
      <c r="Y800" s="338"/>
      <c r="Z800" s="338"/>
    </row>
    <row r="801" ht="12.75" customHeight="1">
      <c r="A801" s="321"/>
      <c r="B801" s="338"/>
      <c r="C801" s="338"/>
      <c r="D801" s="415"/>
      <c r="E801" s="338"/>
      <c r="F801" s="338"/>
      <c r="G801" s="338"/>
      <c r="H801" s="338"/>
      <c r="I801" s="338"/>
      <c r="J801" s="338"/>
      <c r="K801" s="338"/>
      <c r="L801" s="356"/>
      <c r="M801" s="356"/>
      <c r="N801" s="321"/>
      <c r="O801" s="338"/>
      <c r="P801" s="338"/>
      <c r="Q801" s="338"/>
      <c r="R801" s="338"/>
      <c r="S801" s="338"/>
      <c r="T801" s="338"/>
      <c r="U801" s="338"/>
      <c r="V801" s="338"/>
      <c r="W801" s="338"/>
      <c r="X801" s="338"/>
      <c r="Y801" s="338"/>
      <c r="Z801" s="338"/>
    </row>
    <row r="802" ht="12.75" customHeight="1">
      <c r="A802" s="321"/>
      <c r="B802" s="338"/>
      <c r="C802" s="338"/>
      <c r="D802" s="415"/>
      <c r="E802" s="338"/>
      <c r="F802" s="338"/>
      <c r="G802" s="338"/>
      <c r="H802" s="338"/>
      <c r="I802" s="338"/>
      <c r="J802" s="338"/>
      <c r="K802" s="338"/>
      <c r="L802" s="356"/>
      <c r="M802" s="356"/>
      <c r="N802" s="321"/>
      <c r="O802" s="338"/>
      <c r="P802" s="338"/>
      <c r="Q802" s="338"/>
      <c r="R802" s="338"/>
      <c r="S802" s="338"/>
      <c r="T802" s="338"/>
      <c r="U802" s="338"/>
      <c r="V802" s="338"/>
      <c r="W802" s="338"/>
      <c r="X802" s="338"/>
      <c r="Y802" s="338"/>
      <c r="Z802" s="338"/>
    </row>
    <row r="803" ht="12.75" customHeight="1">
      <c r="A803" s="321"/>
      <c r="B803" s="338"/>
      <c r="C803" s="338"/>
      <c r="D803" s="415"/>
      <c r="E803" s="338"/>
      <c r="F803" s="338"/>
      <c r="G803" s="338"/>
      <c r="H803" s="338"/>
      <c r="I803" s="338"/>
      <c r="J803" s="338"/>
      <c r="K803" s="338"/>
      <c r="L803" s="356"/>
      <c r="M803" s="356"/>
      <c r="N803" s="321"/>
      <c r="O803" s="338"/>
      <c r="P803" s="338"/>
      <c r="Q803" s="338"/>
      <c r="R803" s="338"/>
      <c r="S803" s="338"/>
      <c r="T803" s="338"/>
      <c r="U803" s="338"/>
      <c r="V803" s="338"/>
      <c r="W803" s="338"/>
      <c r="X803" s="338"/>
      <c r="Y803" s="338"/>
      <c r="Z803" s="338"/>
    </row>
    <row r="804" ht="12.75" customHeight="1">
      <c r="A804" s="321"/>
      <c r="B804" s="338"/>
      <c r="C804" s="338"/>
      <c r="D804" s="415"/>
      <c r="E804" s="338"/>
      <c r="F804" s="338"/>
      <c r="G804" s="338"/>
      <c r="H804" s="338"/>
      <c r="I804" s="338"/>
      <c r="J804" s="338"/>
      <c r="K804" s="338"/>
      <c r="L804" s="356"/>
      <c r="M804" s="356"/>
      <c r="N804" s="321"/>
      <c r="O804" s="338"/>
      <c r="P804" s="338"/>
      <c r="Q804" s="338"/>
      <c r="R804" s="338"/>
      <c r="S804" s="338"/>
      <c r="T804" s="338"/>
      <c r="U804" s="338"/>
      <c r="V804" s="338"/>
      <c r="W804" s="338"/>
      <c r="X804" s="338"/>
      <c r="Y804" s="338"/>
      <c r="Z804" s="338"/>
    </row>
    <row r="805" ht="12.75" customHeight="1">
      <c r="A805" s="321"/>
      <c r="B805" s="338"/>
      <c r="C805" s="338"/>
      <c r="D805" s="415"/>
      <c r="E805" s="338"/>
      <c r="F805" s="338"/>
      <c r="G805" s="338"/>
      <c r="H805" s="338"/>
      <c r="I805" s="338"/>
      <c r="J805" s="338"/>
      <c r="K805" s="338"/>
      <c r="L805" s="356"/>
      <c r="M805" s="356"/>
      <c r="N805" s="321"/>
      <c r="O805" s="338"/>
      <c r="P805" s="338"/>
      <c r="Q805" s="338"/>
      <c r="R805" s="338"/>
      <c r="S805" s="338"/>
      <c r="T805" s="338"/>
      <c r="U805" s="338"/>
      <c r="V805" s="338"/>
      <c r="W805" s="338"/>
      <c r="X805" s="338"/>
      <c r="Y805" s="338"/>
      <c r="Z805" s="338"/>
    </row>
    <row r="806" ht="12.75" customHeight="1">
      <c r="A806" s="321"/>
      <c r="B806" s="338"/>
      <c r="C806" s="338"/>
      <c r="D806" s="415"/>
      <c r="E806" s="338"/>
      <c r="F806" s="338"/>
      <c r="G806" s="338"/>
      <c r="H806" s="338"/>
      <c r="I806" s="338"/>
      <c r="J806" s="338"/>
      <c r="K806" s="338"/>
      <c r="L806" s="356"/>
      <c r="M806" s="356"/>
      <c r="N806" s="321"/>
      <c r="O806" s="338"/>
      <c r="P806" s="338"/>
      <c r="Q806" s="338"/>
      <c r="R806" s="338"/>
      <c r="S806" s="338"/>
      <c r="T806" s="338"/>
      <c r="U806" s="338"/>
      <c r="V806" s="338"/>
      <c r="W806" s="338"/>
      <c r="X806" s="338"/>
      <c r="Y806" s="338"/>
      <c r="Z806" s="338"/>
    </row>
    <row r="807" ht="12.75" customHeight="1">
      <c r="A807" s="321"/>
      <c r="B807" s="338"/>
      <c r="C807" s="338"/>
      <c r="D807" s="415"/>
      <c r="E807" s="338"/>
      <c r="F807" s="338"/>
      <c r="G807" s="338"/>
      <c r="H807" s="338"/>
      <c r="I807" s="338"/>
      <c r="J807" s="338"/>
      <c r="K807" s="338"/>
      <c r="L807" s="356"/>
      <c r="M807" s="356"/>
      <c r="N807" s="321"/>
      <c r="O807" s="338"/>
      <c r="P807" s="338"/>
      <c r="Q807" s="338"/>
      <c r="R807" s="338"/>
      <c r="S807" s="338"/>
      <c r="T807" s="338"/>
      <c r="U807" s="338"/>
      <c r="V807" s="338"/>
      <c r="W807" s="338"/>
      <c r="X807" s="338"/>
      <c r="Y807" s="338"/>
      <c r="Z807" s="338"/>
    </row>
    <row r="808" ht="12.75" customHeight="1">
      <c r="A808" s="321"/>
      <c r="B808" s="338"/>
      <c r="C808" s="338"/>
      <c r="D808" s="415"/>
      <c r="E808" s="338"/>
      <c r="F808" s="338"/>
      <c r="G808" s="338"/>
      <c r="H808" s="338"/>
      <c r="I808" s="338"/>
      <c r="J808" s="338"/>
      <c r="K808" s="338"/>
      <c r="L808" s="356"/>
      <c r="M808" s="356"/>
      <c r="N808" s="321"/>
      <c r="O808" s="338"/>
      <c r="P808" s="338"/>
      <c r="Q808" s="338"/>
      <c r="R808" s="338"/>
      <c r="S808" s="338"/>
      <c r="T808" s="338"/>
      <c r="U808" s="338"/>
      <c r="V808" s="338"/>
      <c r="W808" s="338"/>
      <c r="X808" s="338"/>
      <c r="Y808" s="338"/>
      <c r="Z808" s="338"/>
    </row>
    <row r="809" ht="12.75" customHeight="1">
      <c r="A809" s="321"/>
      <c r="B809" s="338"/>
      <c r="C809" s="338"/>
      <c r="D809" s="415"/>
      <c r="E809" s="338"/>
      <c r="F809" s="338"/>
      <c r="G809" s="338"/>
      <c r="H809" s="338"/>
      <c r="I809" s="338"/>
      <c r="J809" s="338"/>
      <c r="K809" s="338"/>
      <c r="L809" s="356"/>
      <c r="M809" s="356"/>
      <c r="N809" s="321"/>
      <c r="O809" s="338"/>
      <c r="P809" s="338"/>
      <c r="Q809" s="338"/>
      <c r="R809" s="338"/>
      <c r="S809" s="338"/>
      <c r="T809" s="338"/>
      <c r="U809" s="338"/>
      <c r="V809" s="338"/>
      <c r="W809" s="338"/>
      <c r="X809" s="338"/>
      <c r="Y809" s="338"/>
      <c r="Z809" s="338"/>
    </row>
    <row r="810" ht="12.75" customHeight="1">
      <c r="A810" s="321"/>
      <c r="B810" s="338"/>
      <c r="C810" s="338"/>
      <c r="D810" s="415"/>
      <c r="E810" s="338"/>
      <c r="F810" s="338"/>
      <c r="G810" s="338"/>
      <c r="H810" s="338"/>
      <c r="I810" s="338"/>
      <c r="J810" s="338"/>
      <c r="K810" s="338"/>
      <c r="L810" s="356"/>
      <c r="M810" s="356"/>
      <c r="N810" s="321"/>
      <c r="O810" s="338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</row>
    <row r="811" ht="12.75" customHeight="1">
      <c r="A811" s="321"/>
      <c r="B811" s="338"/>
      <c r="C811" s="338"/>
      <c r="D811" s="415"/>
      <c r="E811" s="338"/>
      <c r="F811" s="338"/>
      <c r="G811" s="338"/>
      <c r="H811" s="338"/>
      <c r="I811" s="338"/>
      <c r="J811" s="338"/>
      <c r="K811" s="338"/>
      <c r="L811" s="356"/>
      <c r="M811" s="356"/>
      <c r="N811" s="321"/>
      <c r="O811" s="338"/>
      <c r="P811" s="338"/>
      <c r="Q811" s="338"/>
      <c r="R811" s="338"/>
      <c r="S811" s="338"/>
      <c r="T811" s="338"/>
      <c r="U811" s="338"/>
      <c r="V811" s="338"/>
      <c r="W811" s="338"/>
      <c r="X811" s="338"/>
      <c r="Y811" s="338"/>
      <c r="Z811" s="338"/>
    </row>
    <row r="812" ht="12.75" customHeight="1">
      <c r="A812" s="321"/>
      <c r="B812" s="338"/>
      <c r="C812" s="338"/>
      <c r="D812" s="415"/>
      <c r="E812" s="338"/>
      <c r="F812" s="338"/>
      <c r="G812" s="338"/>
      <c r="H812" s="338"/>
      <c r="I812" s="338"/>
      <c r="J812" s="338"/>
      <c r="K812" s="338"/>
      <c r="L812" s="356"/>
      <c r="M812" s="356"/>
      <c r="N812" s="321"/>
      <c r="O812" s="338"/>
      <c r="P812" s="338"/>
      <c r="Q812" s="338"/>
      <c r="R812" s="338"/>
      <c r="S812" s="338"/>
      <c r="T812" s="338"/>
      <c r="U812" s="338"/>
      <c r="V812" s="338"/>
      <c r="W812" s="338"/>
      <c r="X812" s="338"/>
      <c r="Y812" s="338"/>
      <c r="Z812" s="338"/>
    </row>
    <row r="813" ht="12.75" customHeight="1">
      <c r="A813" s="321"/>
      <c r="B813" s="338"/>
      <c r="C813" s="338"/>
      <c r="D813" s="415"/>
      <c r="E813" s="338"/>
      <c r="F813" s="338"/>
      <c r="G813" s="338"/>
      <c r="H813" s="338"/>
      <c r="I813" s="338"/>
      <c r="J813" s="338"/>
      <c r="K813" s="338"/>
      <c r="L813" s="356"/>
      <c r="M813" s="356"/>
      <c r="N813" s="321"/>
      <c r="O813" s="338"/>
      <c r="P813" s="338"/>
      <c r="Q813" s="338"/>
      <c r="R813" s="338"/>
      <c r="S813" s="338"/>
      <c r="T813" s="338"/>
      <c r="U813" s="338"/>
      <c r="V813" s="338"/>
      <c r="W813" s="338"/>
      <c r="X813" s="338"/>
      <c r="Y813" s="338"/>
      <c r="Z813" s="338"/>
    </row>
    <row r="814" ht="12.75" customHeight="1">
      <c r="A814" s="321"/>
      <c r="B814" s="338"/>
      <c r="C814" s="338"/>
      <c r="D814" s="415"/>
      <c r="E814" s="338"/>
      <c r="F814" s="338"/>
      <c r="G814" s="338"/>
      <c r="H814" s="338"/>
      <c r="I814" s="338"/>
      <c r="J814" s="338"/>
      <c r="K814" s="338"/>
      <c r="L814" s="356"/>
      <c r="M814" s="356"/>
      <c r="N814" s="321"/>
      <c r="O814" s="338"/>
      <c r="P814" s="338"/>
      <c r="Q814" s="338"/>
      <c r="R814" s="338"/>
      <c r="S814" s="338"/>
      <c r="T814" s="338"/>
      <c r="U814" s="338"/>
      <c r="V814" s="338"/>
      <c r="W814" s="338"/>
      <c r="X814" s="338"/>
      <c r="Y814" s="338"/>
      <c r="Z814" s="338"/>
    </row>
    <row r="815" ht="12.75" customHeight="1">
      <c r="A815" s="321"/>
      <c r="B815" s="338"/>
      <c r="C815" s="338"/>
      <c r="D815" s="415"/>
      <c r="E815" s="338"/>
      <c r="F815" s="338"/>
      <c r="G815" s="338"/>
      <c r="H815" s="338"/>
      <c r="I815" s="338"/>
      <c r="J815" s="338"/>
      <c r="K815" s="338"/>
      <c r="L815" s="356"/>
      <c r="M815" s="356"/>
      <c r="N815" s="321"/>
      <c r="O815" s="338"/>
      <c r="P815" s="338"/>
      <c r="Q815" s="338"/>
      <c r="R815" s="338"/>
      <c r="S815" s="338"/>
      <c r="T815" s="338"/>
      <c r="U815" s="338"/>
      <c r="V815" s="338"/>
      <c r="W815" s="338"/>
      <c r="X815" s="338"/>
      <c r="Y815" s="338"/>
      <c r="Z815" s="338"/>
    </row>
    <row r="816" ht="12.75" customHeight="1">
      <c r="A816" s="321"/>
      <c r="B816" s="338"/>
      <c r="C816" s="338"/>
      <c r="D816" s="415"/>
      <c r="E816" s="338"/>
      <c r="F816" s="338"/>
      <c r="G816" s="338"/>
      <c r="H816" s="338"/>
      <c r="I816" s="338"/>
      <c r="J816" s="338"/>
      <c r="K816" s="338"/>
      <c r="L816" s="356"/>
      <c r="M816" s="356"/>
      <c r="N816" s="321"/>
      <c r="O816" s="338"/>
      <c r="P816" s="338"/>
      <c r="Q816" s="338"/>
      <c r="R816" s="338"/>
      <c r="S816" s="338"/>
      <c r="T816" s="338"/>
      <c r="U816" s="338"/>
      <c r="V816" s="338"/>
      <c r="W816" s="338"/>
      <c r="X816" s="338"/>
      <c r="Y816" s="338"/>
      <c r="Z816" s="338"/>
    </row>
    <row r="817" ht="12.75" customHeight="1">
      <c r="A817" s="321"/>
      <c r="B817" s="338"/>
      <c r="C817" s="338"/>
      <c r="D817" s="415"/>
      <c r="E817" s="338"/>
      <c r="F817" s="338"/>
      <c r="G817" s="338"/>
      <c r="H817" s="338"/>
      <c r="I817" s="338"/>
      <c r="J817" s="338"/>
      <c r="K817" s="338"/>
      <c r="L817" s="356"/>
      <c r="M817" s="356"/>
      <c r="N817" s="321"/>
      <c r="O817" s="338"/>
      <c r="P817" s="338"/>
      <c r="Q817" s="338"/>
      <c r="R817" s="338"/>
      <c r="S817" s="338"/>
      <c r="T817" s="338"/>
      <c r="U817" s="338"/>
      <c r="V817" s="338"/>
      <c r="W817" s="338"/>
      <c r="X817" s="338"/>
      <c r="Y817" s="338"/>
      <c r="Z817" s="338"/>
    </row>
    <row r="818" ht="12.75" customHeight="1">
      <c r="A818" s="321"/>
      <c r="B818" s="338"/>
      <c r="C818" s="338"/>
      <c r="D818" s="415"/>
      <c r="E818" s="338"/>
      <c r="F818" s="338"/>
      <c r="G818" s="338"/>
      <c r="H818" s="338"/>
      <c r="I818" s="338"/>
      <c r="J818" s="338"/>
      <c r="K818" s="338"/>
      <c r="L818" s="356"/>
      <c r="M818" s="356"/>
      <c r="N818" s="321"/>
      <c r="O818" s="338"/>
      <c r="P818" s="338"/>
      <c r="Q818" s="338"/>
      <c r="R818" s="338"/>
      <c r="S818" s="338"/>
      <c r="T818" s="338"/>
      <c r="U818" s="338"/>
      <c r="V818" s="338"/>
      <c r="W818" s="338"/>
      <c r="X818" s="338"/>
      <c r="Y818" s="338"/>
      <c r="Z818" s="338"/>
    </row>
    <row r="819" ht="12.75" customHeight="1">
      <c r="A819" s="321"/>
      <c r="B819" s="338"/>
      <c r="C819" s="338"/>
      <c r="D819" s="415"/>
      <c r="E819" s="338"/>
      <c r="F819" s="338"/>
      <c r="G819" s="338"/>
      <c r="H819" s="338"/>
      <c r="I819" s="338"/>
      <c r="J819" s="338"/>
      <c r="K819" s="338"/>
      <c r="L819" s="356"/>
      <c r="M819" s="356"/>
      <c r="N819" s="321"/>
      <c r="O819" s="338"/>
      <c r="P819" s="338"/>
      <c r="Q819" s="338"/>
      <c r="R819" s="338"/>
      <c r="S819" s="338"/>
      <c r="T819" s="338"/>
      <c r="U819" s="338"/>
      <c r="V819" s="338"/>
      <c r="W819" s="338"/>
      <c r="X819" s="338"/>
      <c r="Y819" s="338"/>
      <c r="Z819" s="338"/>
    </row>
    <row r="820" ht="12.75" customHeight="1">
      <c r="A820" s="321"/>
      <c r="B820" s="338"/>
      <c r="C820" s="338"/>
      <c r="D820" s="415"/>
      <c r="E820" s="338"/>
      <c r="F820" s="338"/>
      <c r="G820" s="338"/>
      <c r="H820" s="338"/>
      <c r="I820" s="338"/>
      <c r="J820" s="338"/>
      <c r="K820" s="338"/>
      <c r="L820" s="356"/>
      <c r="M820" s="356"/>
      <c r="N820" s="321"/>
      <c r="O820" s="338"/>
      <c r="P820" s="338"/>
      <c r="Q820" s="338"/>
      <c r="R820" s="338"/>
      <c r="S820" s="338"/>
      <c r="T820" s="338"/>
      <c r="U820" s="338"/>
      <c r="V820" s="338"/>
      <c r="W820" s="338"/>
      <c r="X820" s="338"/>
      <c r="Y820" s="338"/>
      <c r="Z820" s="338"/>
    </row>
    <row r="821" ht="12.75" customHeight="1">
      <c r="A821" s="321"/>
      <c r="B821" s="338"/>
      <c r="C821" s="338"/>
      <c r="D821" s="415"/>
      <c r="E821" s="338"/>
      <c r="F821" s="338"/>
      <c r="G821" s="338"/>
      <c r="H821" s="338"/>
      <c r="I821" s="338"/>
      <c r="J821" s="338"/>
      <c r="K821" s="338"/>
      <c r="L821" s="356"/>
      <c r="M821" s="356"/>
      <c r="N821" s="321"/>
      <c r="O821" s="338"/>
      <c r="P821" s="338"/>
      <c r="Q821" s="338"/>
      <c r="R821" s="338"/>
      <c r="S821" s="338"/>
      <c r="T821" s="338"/>
      <c r="U821" s="338"/>
      <c r="V821" s="338"/>
      <c r="W821" s="338"/>
      <c r="X821" s="338"/>
      <c r="Y821" s="338"/>
      <c r="Z821" s="338"/>
    </row>
    <row r="822" ht="12.75" customHeight="1">
      <c r="A822" s="321"/>
      <c r="B822" s="338"/>
      <c r="C822" s="338"/>
      <c r="D822" s="415"/>
      <c r="E822" s="338"/>
      <c r="F822" s="338"/>
      <c r="G822" s="338"/>
      <c r="H822" s="338"/>
      <c r="I822" s="338"/>
      <c r="J822" s="338"/>
      <c r="K822" s="338"/>
      <c r="L822" s="356"/>
      <c r="M822" s="356"/>
      <c r="N822" s="321"/>
      <c r="O822" s="338"/>
      <c r="P822" s="338"/>
      <c r="Q822" s="338"/>
      <c r="R822" s="338"/>
      <c r="S822" s="338"/>
      <c r="T822" s="338"/>
      <c r="U822" s="338"/>
      <c r="V822" s="338"/>
      <c r="W822" s="338"/>
      <c r="X822" s="338"/>
      <c r="Y822" s="338"/>
      <c r="Z822" s="338"/>
    </row>
    <row r="823" ht="12.75" customHeight="1">
      <c r="A823" s="321"/>
      <c r="B823" s="338"/>
      <c r="C823" s="338"/>
      <c r="D823" s="415"/>
      <c r="E823" s="338"/>
      <c r="F823" s="338"/>
      <c r="G823" s="338"/>
      <c r="H823" s="338"/>
      <c r="I823" s="338"/>
      <c r="J823" s="338"/>
      <c r="K823" s="338"/>
      <c r="L823" s="356"/>
      <c r="M823" s="356"/>
      <c r="N823" s="321"/>
      <c r="O823" s="338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</row>
    <row r="824" ht="12.75" customHeight="1">
      <c r="A824" s="321"/>
      <c r="B824" s="338"/>
      <c r="C824" s="338"/>
      <c r="D824" s="415"/>
      <c r="E824" s="338"/>
      <c r="F824" s="338"/>
      <c r="G824" s="338"/>
      <c r="H824" s="338"/>
      <c r="I824" s="338"/>
      <c r="J824" s="338"/>
      <c r="K824" s="338"/>
      <c r="L824" s="356"/>
      <c r="M824" s="356"/>
      <c r="N824" s="321"/>
      <c r="O824" s="338"/>
      <c r="P824" s="338"/>
      <c r="Q824" s="338"/>
      <c r="R824" s="338"/>
      <c r="S824" s="338"/>
      <c r="T824" s="338"/>
      <c r="U824" s="338"/>
      <c r="V824" s="338"/>
      <c r="W824" s="338"/>
      <c r="X824" s="338"/>
      <c r="Y824" s="338"/>
      <c r="Z824" s="338"/>
    </row>
    <row r="825" ht="12.75" customHeight="1">
      <c r="A825" s="321"/>
      <c r="B825" s="338"/>
      <c r="C825" s="338"/>
      <c r="D825" s="415"/>
      <c r="E825" s="338"/>
      <c r="F825" s="338"/>
      <c r="G825" s="338"/>
      <c r="H825" s="338"/>
      <c r="I825" s="338"/>
      <c r="J825" s="338"/>
      <c r="K825" s="338"/>
      <c r="L825" s="356"/>
      <c r="M825" s="356"/>
      <c r="N825" s="321"/>
      <c r="O825" s="338"/>
      <c r="P825" s="338"/>
      <c r="Q825" s="338"/>
      <c r="R825" s="338"/>
      <c r="S825" s="338"/>
      <c r="T825" s="338"/>
      <c r="U825" s="338"/>
      <c r="V825" s="338"/>
      <c r="W825" s="338"/>
      <c r="X825" s="338"/>
      <c r="Y825" s="338"/>
      <c r="Z825" s="338"/>
    </row>
    <row r="826" ht="12.75" customHeight="1">
      <c r="A826" s="321"/>
      <c r="B826" s="338"/>
      <c r="C826" s="338"/>
      <c r="D826" s="415"/>
      <c r="E826" s="338"/>
      <c r="F826" s="338"/>
      <c r="G826" s="338"/>
      <c r="H826" s="338"/>
      <c r="I826" s="338"/>
      <c r="J826" s="338"/>
      <c r="K826" s="338"/>
      <c r="L826" s="356"/>
      <c r="M826" s="356"/>
      <c r="N826" s="321"/>
      <c r="O826" s="338"/>
      <c r="P826" s="338"/>
      <c r="Q826" s="338"/>
      <c r="R826" s="338"/>
      <c r="S826" s="338"/>
      <c r="T826" s="338"/>
      <c r="U826" s="338"/>
      <c r="V826" s="338"/>
      <c r="W826" s="338"/>
      <c r="X826" s="338"/>
      <c r="Y826" s="338"/>
      <c r="Z826" s="338"/>
    </row>
    <row r="827" ht="12.75" customHeight="1">
      <c r="A827" s="321"/>
      <c r="B827" s="338"/>
      <c r="C827" s="338"/>
      <c r="D827" s="415"/>
      <c r="E827" s="338"/>
      <c r="F827" s="338"/>
      <c r="G827" s="338"/>
      <c r="H827" s="338"/>
      <c r="I827" s="338"/>
      <c r="J827" s="338"/>
      <c r="K827" s="338"/>
      <c r="L827" s="356"/>
      <c r="M827" s="356"/>
      <c r="N827" s="321"/>
      <c r="O827" s="338"/>
      <c r="P827" s="338"/>
      <c r="Q827" s="338"/>
      <c r="R827" s="338"/>
      <c r="S827" s="338"/>
      <c r="T827" s="338"/>
      <c r="U827" s="338"/>
      <c r="V827" s="338"/>
      <c r="W827" s="338"/>
      <c r="X827" s="338"/>
      <c r="Y827" s="338"/>
      <c r="Z827" s="338"/>
    </row>
    <row r="828" ht="12.75" customHeight="1">
      <c r="A828" s="321"/>
      <c r="B828" s="338"/>
      <c r="C828" s="338"/>
      <c r="D828" s="415"/>
      <c r="E828" s="338"/>
      <c r="F828" s="338"/>
      <c r="G828" s="338"/>
      <c r="H828" s="338"/>
      <c r="I828" s="338"/>
      <c r="J828" s="338"/>
      <c r="K828" s="338"/>
      <c r="L828" s="356"/>
      <c r="M828" s="356"/>
      <c r="N828" s="321"/>
      <c r="O828" s="338"/>
      <c r="P828" s="338"/>
      <c r="Q828" s="338"/>
      <c r="R828" s="338"/>
      <c r="S828" s="338"/>
      <c r="T828" s="338"/>
      <c r="U828" s="338"/>
      <c r="V828" s="338"/>
      <c r="W828" s="338"/>
      <c r="X828" s="338"/>
      <c r="Y828" s="338"/>
      <c r="Z828" s="338"/>
    </row>
    <row r="829" ht="12.75" customHeight="1">
      <c r="A829" s="321"/>
      <c r="B829" s="338"/>
      <c r="C829" s="338"/>
      <c r="D829" s="415"/>
      <c r="E829" s="338"/>
      <c r="F829" s="338"/>
      <c r="G829" s="338"/>
      <c r="H829" s="338"/>
      <c r="I829" s="338"/>
      <c r="J829" s="338"/>
      <c r="K829" s="338"/>
      <c r="L829" s="356"/>
      <c r="M829" s="356"/>
      <c r="N829" s="321"/>
      <c r="O829" s="338"/>
      <c r="P829" s="338"/>
      <c r="Q829" s="338"/>
      <c r="R829" s="338"/>
      <c r="S829" s="338"/>
      <c r="T829" s="338"/>
      <c r="U829" s="338"/>
      <c r="V829" s="338"/>
      <c r="W829" s="338"/>
      <c r="X829" s="338"/>
      <c r="Y829" s="338"/>
      <c r="Z829" s="338"/>
    </row>
    <row r="830" ht="12.75" customHeight="1">
      <c r="A830" s="321"/>
      <c r="B830" s="338"/>
      <c r="C830" s="338"/>
      <c r="D830" s="415"/>
      <c r="E830" s="338"/>
      <c r="F830" s="338"/>
      <c r="G830" s="338"/>
      <c r="H830" s="338"/>
      <c r="I830" s="338"/>
      <c r="J830" s="338"/>
      <c r="K830" s="338"/>
      <c r="L830" s="356"/>
      <c r="M830" s="356"/>
      <c r="N830" s="321"/>
      <c r="O830" s="338"/>
      <c r="P830" s="338"/>
      <c r="Q830" s="338"/>
      <c r="R830" s="338"/>
      <c r="S830" s="338"/>
      <c r="T830" s="338"/>
      <c r="U830" s="338"/>
      <c r="V830" s="338"/>
      <c r="W830" s="338"/>
      <c r="X830" s="338"/>
      <c r="Y830" s="338"/>
      <c r="Z830" s="338"/>
    </row>
    <row r="831" ht="12.75" customHeight="1">
      <c r="A831" s="321"/>
      <c r="B831" s="338"/>
      <c r="C831" s="338"/>
      <c r="D831" s="415"/>
      <c r="E831" s="338"/>
      <c r="F831" s="338"/>
      <c r="G831" s="338"/>
      <c r="H831" s="338"/>
      <c r="I831" s="338"/>
      <c r="J831" s="338"/>
      <c r="K831" s="338"/>
      <c r="L831" s="356"/>
      <c r="M831" s="356"/>
      <c r="N831" s="321"/>
      <c r="O831" s="338"/>
      <c r="P831" s="338"/>
      <c r="Q831" s="338"/>
      <c r="R831" s="338"/>
      <c r="S831" s="338"/>
      <c r="T831" s="338"/>
      <c r="U831" s="338"/>
      <c r="V831" s="338"/>
      <c r="W831" s="338"/>
      <c r="X831" s="338"/>
      <c r="Y831" s="338"/>
      <c r="Z831" s="338"/>
    </row>
    <row r="832" ht="12.75" customHeight="1">
      <c r="A832" s="321"/>
      <c r="B832" s="338"/>
      <c r="C832" s="338"/>
      <c r="D832" s="415"/>
      <c r="E832" s="338"/>
      <c r="F832" s="338"/>
      <c r="G832" s="338"/>
      <c r="H832" s="338"/>
      <c r="I832" s="338"/>
      <c r="J832" s="338"/>
      <c r="K832" s="338"/>
      <c r="L832" s="356"/>
      <c r="M832" s="356"/>
      <c r="N832" s="321"/>
      <c r="O832" s="338"/>
      <c r="P832" s="338"/>
      <c r="Q832" s="338"/>
      <c r="R832" s="338"/>
      <c r="S832" s="338"/>
      <c r="T832" s="338"/>
      <c r="U832" s="338"/>
      <c r="V832" s="338"/>
      <c r="W832" s="338"/>
      <c r="X832" s="338"/>
      <c r="Y832" s="338"/>
      <c r="Z832" s="338"/>
    </row>
    <row r="833" ht="12.75" customHeight="1">
      <c r="A833" s="321"/>
      <c r="B833" s="338"/>
      <c r="C833" s="338"/>
      <c r="D833" s="415"/>
      <c r="E833" s="338"/>
      <c r="F833" s="338"/>
      <c r="G833" s="338"/>
      <c r="H833" s="338"/>
      <c r="I833" s="338"/>
      <c r="J833" s="338"/>
      <c r="K833" s="338"/>
      <c r="L833" s="356"/>
      <c r="M833" s="356"/>
      <c r="N833" s="321"/>
      <c r="O833" s="338"/>
      <c r="P833" s="338"/>
      <c r="Q833" s="338"/>
      <c r="R833" s="338"/>
      <c r="S833" s="338"/>
      <c r="T833" s="338"/>
      <c r="U833" s="338"/>
      <c r="V833" s="338"/>
      <c r="W833" s="338"/>
      <c r="X833" s="338"/>
      <c r="Y833" s="338"/>
      <c r="Z833" s="338"/>
    </row>
    <row r="834" ht="12.75" customHeight="1">
      <c r="A834" s="321"/>
      <c r="B834" s="338"/>
      <c r="C834" s="338"/>
      <c r="D834" s="415"/>
      <c r="E834" s="338"/>
      <c r="F834" s="338"/>
      <c r="G834" s="338"/>
      <c r="H834" s="338"/>
      <c r="I834" s="338"/>
      <c r="J834" s="338"/>
      <c r="K834" s="338"/>
      <c r="L834" s="356"/>
      <c r="M834" s="356"/>
      <c r="N834" s="321"/>
      <c r="O834" s="338"/>
      <c r="P834" s="338"/>
      <c r="Q834" s="338"/>
      <c r="R834" s="338"/>
      <c r="S834" s="338"/>
      <c r="T834" s="338"/>
      <c r="U834" s="338"/>
      <c r="V834" s="338"/>
      <c r="W834" s="338"/>
      <c r="X834" s="338"/>
      <c r="Y834" s="338"/>
      <c r="Z834" s="338"/>
    </row>
    <row r="835" ht="12.75" customHeight="1">
      <c r="A835" s="321"/>
      <c r="B835" s="338"/>
      <c r="C835" s="338"/>
      <c r="D835" s="415"/>
      <c r="E835" s="338"/>
      <c r="F835" s="338"/>
      <c r="G835" s="338"/>
      <c r="H835" s="338"/>
      <c r="I835" s="338"/>
      <c r="J835" s="338"/>
      <c r="K835" s="338"/>
      <c r="L835" s="356"/>
      <c r="M835" s="356"/>
      <c r="N835" s="321"/>
      <c r="O835" s="338"/>
      <c r="P835" s="338"/>
      <c r="Q835" s="338"/>
      <c r="R835" s="338"/>
      <c r="S835" s="338"/>
      <c r="T835" s="338"/>
      <c r="U835" s="338"/>
      <c r="V835" s="338"/>
      <c r="W835" s="338"/>
      <c r="X835" s="338"/>
      <c r="Y835" s="338"/>
      <c r="Z835" s="338"/>
    </row>
    <row r="836" ht="12.75" customHeight="1">
      <c r="A836" s="321"/>
      <c r="B836" s="338"/>
      <c r="C836" s="338"/>
      <c r="D836" s="415"/>
      <c r="E836" s="338"/>
      <c r="F836" s="338"/>
      <c r="G836" s="338"/>
      <c r="H836" s="338"/>
      <c r="I836" s="338"/>
      <c r="J836" s="338"/>
      <c r="K836" s="338"/>
      <c r="L836" s="356"/>
      <c r="M836" s="356"/>
      <c r="N836" s="321"/>
      <c r="O836" s="338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</row>
    <row r="837" ht="12.75" customHeight="1">
      <c r="A837" s="321"/>
      <c r="B837" s="338"/>
      <c r="C837" s="338"/>
      <c r="D837" s="415"/>
      <c r="E837" s="338"/>
      <c r="F837" s="338"/>
      <c r="G837" s="338"/>
      <c r="H837" s="338"/>
      <c r="I837" s="338"/>
      <c r="J837" s="338"/>
      <c r="K837" s="338"/>
      <c r="L837" s="356"/>
      <c r="M837" s="356"/>
      <c r="N837" s="321"/>
      <c r="O837" s="338"/>
      <c r="P837" s="338"/>
      <c r="Q837" s="338"/>
      <c r="R837" s="338"/>
      <c r="S837" s="338"/>
      <c r="T837" s="338"/>
      <c r="U837" s="338"/>
      <c r="V837" s="338"/>
      <c r="W837" s="338"/>
      <c r="X837" s="338"/>
      <c r="Y837" s="338"/>
      <c r="Z837" s="338"/>
    </row>
    <row r="838" ht="12.75" customHeight="1">
      <c r="A838" s="321"/>
      <c r="B838" s="338"/>
      <c r="C838" s="338"/>
      <c r="D838" s="415"/>
      <c r="E838" s="338"/>
      <c r="F838" s="338"/>
      <c r="G838" s="338"/>
      <c r="H838" s="338"/>
      <c r="I838" s="338"/>
      <c r="J838" s="338"/>
      <c r="K838" s="338"/>
      <c r="L838" s="356"/>
      <c r="M838" s="356"/>
      <c r="N838" s="321"/>
      <c r="O838" s="338"/>
      <c r="P838" s="338"/>
      <c r="Q838" s="338"/>
      <c r="R838" s="338"/>
      <c r="S838" s="338"/>
      <c r="T838" s="338"/>
      <c r="U838" s="338"/>
      <c r="V838" s="338"/>
      <c r="W838" s="338"/>
      <c r="X838" s="338"/>
      <c r="Y838" s="338"/>
      <c r="Z838" s="338"/>
    </row>
    <row r="839" ht="12.75" customHeight="1">
      <c r="A839" s="321"/>
      <c r="B839" s="338"/>
      <c r="C839" s="338"/>
      <c r="D839" s="415"/>
      <c r="E839" s="338"/>
      <c r="F839" s="338"/>
      <c r="G839" s="338"/>
      <c r="H839" s="338"/>
      <c r="I839" s="338"/>
      <c r="J839" s="338"/>
      <c r="K839" s="338"/>
      <c r="L839" s="356"/>
      <c r="M839" s="356"/>
      <c r="N839" s="321"/>
      <c r="O839" s="338"/>
      <c r="P839" s="338"/>
      <c r="Q839" s="338"/>
      <c r="R839" s="338"/>
      <c r="S839" s="338"/>
      <c r="T839" s="338"/>
      <c r="U839" s="338"/>
      <c r="V839" s="338"/>
      <c r="W839" s="338"/>
      <c r="X839" s="338"/>
      <c r="Y839" s="338"/>
      <c r="Z839" s="338"/>
    </row>
    <row r="840" ht="12.75" customHeight="1">
      <c r="A840" s="321"/>
      <c r="B840" s="338"/>
      <c r="C840" s="338"/>
      <c r="D840" s="415"/>
      <c r="E840" s="338"/>
      <c r="F840" s="338"/>
      <c r="G840" s="338"/>
      <c r="H840" s="338"/>
      <c r="I840" s="338"/>
      <c r="J840" s="338"/>
      <c r="K840" s="338"/>
      <c r="L840" s="356"/>
      <c r="M840" s="356"/>
      <c r="N840" s="321"/>
      <c r="O840" s="338"/>
      <c r="P840" s="338"/>
      <c r="Q840" s="338"/>
      <c r="R840" s="338"/>
      <c r="S840" s="338"/>
      <c r="T840" s="338"/>
      <c r="U840" s="338"/>
      <c r="V840" s="338"/>
      <c r="W840" s="338"/>
      <c r="X840" s="338"/>
      <c r="Y840" s="338"/>
      <c r="Z840" s="338"/>
    </row>
    <row r="841" ht="12.75" customHeight="1">
      <c r="A841" s="321"/>
      <c r="B841" s="338"/>
      <c r="C841" s="338"/>
      <c r="D841" s="415"/>
      <c r="E841" s="338"/>
      <c r="F841" s="338"/>
      <c r="G841" s="338"/>
      <c r="H841" s="338"/>
      <c r="I841" s="338"/>
      <c r="J841" s="338"/>
      <c r="K841" s="338"/>
      <c r="L841" s="356"/>
      <c r="M841" s="356"/>
      <c r="N841" s="321"/>
      <c r="O841" s="338"/>
      <c r="P841" s="338"/>
      <c r="Q841" s="338"/>
      <c r="R841" s="338"/>
      <c r="S841" s="338"/>
      <c r="T841" s="338"/>
      <c r="U841" s="338"/>
      <c r="V841" s="338"/>
      <c r="W841" s="338"/>
      <c r="X841" s="338"/>
      <c r="Y841" s="338"/>
      <c r="Z841" s="338"/>
    </row>
    <row r="842" ht="12.75" customHeight="1">
      <c r="A842" s="321"/>
      <c r="B842" s="338"/>
      <c r="C842" s="338"/>
      <c r="D842" s="415"/>
      <c r="E842" s="338"/>
      <c r="F842" s="338"/>
      <c r="G842" s="338"/>
      <c r="H842" s="338"/>
      <c r="I842" s="338"/>
      <c r="J842" s="338"/>
      <c r="K842" s="338"/>
      <c r="L842" s="356"/>
      <c r="M842" s="356"/>
      <c r="N842" s="321"/>
      <c r="O842" s="338"/>
      <c r="P842" s="338"/>
      <c r="Q842" s="338"/>
      <c r="R842" s="338"/>
      <c r="S842" s="338"/>
      <c r="T842" s="338"/>
      <c r="U842" s="338"/>
      <c r="V842" s="338"/>
      <c r="W842" s="338"/>
      <c r="X842" s="338"/>
      <c r="Y842" s="338"/>
      <c r="Z842" s="338"/>
    </row>
    <row r="843" ht="12.75" customHeight="1">
      <c r="A843" s="321"/>
      <c r="B843" s="338"/>
      <c r="C843" s="338"/>
      <c r="D843" s="415"/>
      <c r="E843" s="338"/>
      <c r="F843" s="338"/>
      <c r="G843" s="338"/>
      <c r="H843" s="338"/>
      <c r="I843" s="338"/>
      <c r="J843" s="338"/>
      <c r="K843" s="338"/>
      <c r="L843" s="356"/>
      <c r="M843" s="356"/>
      <c r="N843" s="321"/>
      <c r="O843" s="338"/>
      <c r="P843" s="338"/>
      <c r="Q843" s="338"/>
      <c r="R843" s="338"/>
      <c r="S843" s="338"/>
      <c r="T843" s="338"/>
      <c r="U843" s="338"/>
      <c r="V843" s="338"/>
      <c r="W843" s="338"/>
      <c r="X843" s="338"/>
      <c r="Y843" s="338"/>
      <c r="Z843" s="338"/>
    </row>
    <row r="844" ht="12.75" customHeight="1">
      <c r="A844" s="321"/>
      <c r="B844" s="338"/>
      <c r="C844" s="338"/>
      <c r="D844" s="415"/>
      <c r="E844" s="338"/>
      <c r="F844" s="338"/>
      <c r="G844" s="338"/>
      <c r="H844" s="338"/>
      <c r="I844" s="338"/>
      <c r="J844" s="338"/>
      <c r="K844" s="338"/>
      <c r="L844" s="356"/>
      <c r="M844" s="356"/>
      <c r="N844" s="321"/>
      <c r="O844" s="338"/>
      <c r="P844" s="338"/>
      <c r="Q844" s="338"/>
      <c r="R844" s="338"/>
      <c r="S844" s="338"/>
      <c r="T844" s="338"/>
      <c r="U844" s="338"/>
      <c r="V844" s="338"/>
      <c r="W844" s="338"/>
      <c r="X844" s="338"/>
      <c r="Y844" s="338"/>
      <c r="Z844" s="338"/>
    </row>
    <row r="845" ht="12.75" customHeight="1">
      <c r="A845" s="321"/>
      <c r="B845" s="338"/>
      <c r="C845" s="338"/>
      <c r="D845" s="415"/>
      <c r="E845" s="338"/>
      <c r="F845" s="338"/>
      <c r="G845" s="338"/>
      <c r="H845" s="338"/>
      <c r="I845" s="338"/>
      <c r="J845" s="338"/>
      <c r="K845" s="338"/>
      <c r="L845" s="356"/>
      <c r="M845" s="356"/>
      <c r="N845" s="321"/>
      <c r="O845" s="338"/>
      <c r="P845" s="338"/>
      <c r="Q845" s="338"/>
      <c r="R845" s="338"/>
      <c r="S845" s="338"/>
      <c r="T845" s="338"/>
      <c r="U845" s="338"/>
      <c r="V845" s="338"/>
      <c r="W845" s="338"/>
      <c r="X845" s="338"/>
      <c r="Y845" s="338"/>
      <c r="Z845" s="338"/>
    </row>
    <row r="846" ht="12.75" customHeight="1">
      <c r="A846" s="321"/>
      <c r="B846" s="338"/>
      <c r="C846" s="338"/>
      <c r="D846" s="415"/>
      <c r="E846" s="338"/>
      <c r="F846" s="338"/>
      <c r="G846" s="338"/>
      <c r="H846" s="338"/>
      <c r="I846" s="338"/>
      <c r="J846" s="338"/>
      <c r="K846" s="338"/>
      <c r="L846" s="356"/>
      <c r="M846" s="356"/>
      <c r="N846" s="321"/>
      <c r="O846" s="338"/>
      <c r="P846" s="338"/>
      <c r="Q846" s="338"/>
      <c r="R846" s="338"/>
      <c r="S846" s="338"/>
      <c r="T846" s="338"/>
      <c r="U846" s="338"/>
      <c r="V846" s="338"/>
      <c r="W846" s="338"/>
      <c r="X846" s="338"/>
      <c r="Y846" s="338"/>
      <c r="Z846" s="338"/>
    </row>
    <row r="847" ht="12.75" customHeight="1">
      <c r="A847" s="321"/>
      <c r="B847" s="338"/>
      <c r="C847" s="338"/>
      <c r="D847" s="415"/>
      <c r="E847" s="338"/>
      <c r="F847" s="338"/>
      <c r="G847" s="338"/>
      <c r="H847" s="338"/>
      <c r="I847" s="338"/>
      <c r="J847" s="338"/>
      <c r="K847" s="338"/>
      <c r="L847" s="356"/>
      <c r="M847" s="356"/>
      <c r="N847" s="321"/>
      <c r="O847" s="338"/>
      <c r="P847" s="338"/>
      <c r="Q847" s="338"/>
      <c r="R847" s="338"/>
      <c r="S847" s="338"/>
      <c r="T847" s="338"/>
      <c r="U847" s="338"/>
      <c r="V847" s="338"/>
      <c r="W847" s="338"/>
      <c r="X847" s="338"/>
      <c r="Y847" s="338"/>
      <c r="Z847" s="338"/>
    </row>
    <row r="848" ht="12.75" customHeight="1">
      <c r="A848" s="321"/>
      <c r="B848" s="338"/>
      <c r="C848" s="338"/>
      <c r="D848" s="415"/>
      <c r="E848" s="338"/>
      <c r="F848" s="338"/>
      <c r="G848" s="338"/>
      <c r="H848" s="338"/>
      <c r="I848" s="338"/>
      <c r="J848" s="338"/>
      <c r="K848" s="338"/>
      <c r="L848" s="356"/>
      <c r="M848" s="356"/>
      <c r="N848" s="321"/>
      <c r="O848" s="338"/>
      <c r="P848" s="338"/>
      <c r="Q848" s="338"/>
      <c r="R848" s="338"/>
      <c r="S848" s="338"/>
      <c r="T848" s="338"/>
      <c r="U848" s="338"/>
      <c r="V848" s="338"/>
      <c r="W848" s="338"/>
      <c r="X848" s="338"/>
      <c r="Y848" s="338"/>
      <c r="Z848" s="338"/>
    </row>
    <row r="849" ht="12.75" customHeight="1">
      <c r="A849" s="321"/>
      <c r="B849" s="338"/>
      <c r="C849" s="338"/>
      <c r="D849" s="415"/>
      <c r="E849" s="338"/>
      <c r="F849" s="338"/>
      <c r="G849" s="338"/>
      <c r="H849" s="338"/>
      <c r="I849" s="338"/>
      <c r="J849" s="338"/>
      <c r="K849" s="338"/>
      <c r="L849" s="356"/>
      <c r="M849" s="356"/>
      <c r="N849" s="321"/>
      <c r="O849" s="338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</row>
    <row r="850" ht="12.75" customHeight="1">
      <c r="A850" s="321"/>
      <c r="B850" s="338"/>
      <c r="C850" s="338"/>
      <c r="D850" s="415"/>
      <c r="E850" s="338"/>
      <c r="F850" s="338"/>
      <c r="G850" s="338"/>
      <c r="H850" s="338"/>
      <c r="I850" s="338"/>
      <c r="J850" s="338"/>
      <c r="K850" s="338"/>
      <c r="L850" s="356"/>
      <c r="M850" s="356"/>
      <c r="N850" s="321"/>
      <c r="O850" s="338"/>
      <c r="P850" s="338"/>
      <c r="Q850" s="338"/>
      <c r="R850" s="338"/>
      <c r="S850" s="338"/>
      <c r="T850" s="338"/>
      <c r="U850" s="338"/>
      <c r="V850" s="338"/>
      <c r="W850" s="338"/>
      <c r="X850" s="338"/>
      <c r="Y850" s="338"/>
      <c r="Z850" s="338"/>
    </row>
    <row r="851" ht="12.75" customHeight="1">
      <c r="A851" s="321"/>
      <c r="B851" s="338"/>
      <c r="C851" s="338"/>
      <c r="D851" s="415"/>
      <c r="E851" s="338"/>
      <c r="F851" s="338"/>
      <c r="G851" s="338"/>
      <c r="H851" s="338"/>
      <c r="I851" s="338"/>
      <c r="J851" s="338"/>
      <c r="K851" s="338"/>
      <c r="L851" s="356"/>
      <c r="M851" s="356"/>
      <c r="N851" s="321"/>
      <c r="O851" s="338"/>
      <c r="P851" s="338"/>
      <c r="Q851" s="338"/>
      <c r="R851" s="338"/>
      <c r="S851" s="338"/>
      <c r="T851" s="338"/>
      <c r="U851" s="338"/>
      <c r="V851" s="338"/>
      <c r="W851" s="338"/>
      <c r="X851" s="338"/>
      <c r="Y851" s="338"/>
      <c r="Z851" s="338"/>
    </row>
    <row r="852" ht="12.75" customHeight="1">
      <c r="A852" s="321"/>
      <c r="B852" s="338"/>
      <c r="C852" s="338"/>
      <c r="D852" s="415"/>
      <c r="E852" s="338"/>
      <c r="F852" s="338"/>
      <c r="G852" s="338"/>
      <c r="H852" s="338"/>
      <c r="I852" s="338"/>
      <c r="J852" s="338"/>
      <c r="K852" s="338"/>
      <c r="L852" s="356"/>
      <c r="M852" s="356"/>
      <c r="N852" s="321"/>
      <c r="O852" s="338"/>
      <c r="P852" s="338"/>
      <c r="Q852" s="338"/>
      <c r="R852" s="338"/>
      <c r="S852" s="338"/>
      <c r="T852" s="338"/>
      <c r="U852" s="338"/>
      <c r="V852" s="338"/>
      <c r="W852" s="338"/>
      <c r="X852" s="338"/>
      <c r="Y852" s="338"/>
      <c r="Z852" s="338"/>
    </row>
    <row r="853" ht="12.75" customHeight="1">
      <c r="A853" s="321"/>
      <c r="B853" s="338"/>
      <c r="C853" s="338"/>
      <c r="D853" s="415"/>
      <c r="E853" s="338"/>
      <c r="F853" s="338"/>
      <c r="G853" s="338"/>
      <c r="H853" s="338"/>
      <c r="I853" s="338"/>
      <c r="J853" s="338"/>
      <c r="K853" s="338"/>
      <c r="L853" s="356"/>
      <c r="M853" s="356"/>
      <c r="N853" s="321"/>
      <c r="O853" s="338"/>
      <c r="P853" s="338"/>
      <c r="Q853" s="338"/>
      <c r="R853" s="338"/>
      <c r="S853" s="338"/>
      <c r="T853" s="338"/>
      <c r="U853" s="338"/>
      <c r="V853" s="338"/>
      <c r="W853" s="338"/>
      <c r="X853" s="338"/>
      <c r="Y853" s="338"/>
      <c r="Z853" s="338"/>
    </row>
    <row r="854" ht="12.75" customHeight="1">
      <c r="A854" s="321"/>
      <c r="B854" s="338"/>
      <c r="C854" s="338"/>
      <c r="D854" s="415"/>
      <c r="E854" s="338"/>
      <c r="F854" s="338"/>
      <c r="G854" s="338"/>
      <c r="H854" s="338"/>
      <c r="I854" s="338"/>
      <c r="J854" s="338"/>
      <c r="K854" s="338"/>
      <c r="L854" s="356"/>
      <c r="M854" s="356"/>
      <c r="N854" s="321"/>
      <c r="O854" s="338"/>
      <c r="P854" s="338"/>
      <c r="Q854" s="338"/>
      <c r="R854" s="338"/>
      <c r="S854" s="338"/>
      <c r="T854" s="338"/>
      <c r="U854" s="338"/>
      <c r="V854" s="338"/>
      <c r="W854" s="338"/>
      <c r="X854" s="338"/>
      <c r="Y854" s="338"/>
      <c r="Z854" s="338"/>
    </row>
    <row r="855" ht="12.75" customHeight="1">
      <c r="A855" s="321"/>
      <c r="B855" s="338"/>
      <c r="C855" s="338"/>
      <c r="D855" s="415"/>
      <c r="E855" s="338"/>
      <c r="F855" s="338"/>
      <c r="G855" s="338"/>
      <c r="H855" s="338"/>
      <c r="I855" s="338"/>
      <c r="J855" s="338"/>
      <c r="K855" s="338"/>
      <c r="L855" s="356"/>
      <c r="M855" s="356"/>
      <c r="N855" s="321"/>
      <c r="O855" s="338"/>
      <c r="P855" s="338"/>
      <c r="Q855" s="338"/>
      <c r="R855" s="338"/>
      <c r="S855" s="338"/>
      <c r="T855" s="338"/>
      <c r="U855" s="338"/>
      <c r="V855" s="338"/>
      <c r="W855" s="338"/>
      <c r="X855" s="338"/>
      <c r="Y855" s="338"/>
      <c r="Z855" s="338"/>
    </row>
    <row r="856" ht="12.75" customHeight="1">
      <c r="A856" s="321"/>
      <c r="B856" s="338"/>
      <c r="C856" s="338"/>
      <c r="D856" s="415"/>
      <c r="E856" s="338"/>
      <c r="F856" s="338"/>
      <c r="G856" s="338"/>
      <c r="H856" s="338"/>
      <c r="I856" s="338"/>
      <c r="J856" s="338"/>
      <c r="K856" s="338"/>
      <c r="L856" s="356"/>
      <c r="M856" s="356"/>
      <c r="N856" s="321"/>
      <c r="O856" s="338"/>
      <c r="P856" s="338"/>
      <c r="Q856" s="338"/>
      <c r="R856" s="338"/>
      <c r="S856" s="338"/>
      <c r="T856" s="338"/>
      <c r="U856" s="338"/>
      <c r="V856" s="338"/>
      <c r="W856" s="338"/>
      <c r="X856" s="338"/>
      <c r="Y856" s="338"/>
      <c r="Z856" s="338"/>
    </row>
    <row r="857" ht="12.75" customHeight="1">
      <c r="A857" s="321"/>
      <c r="B857" s="338"/>
      <c r="C857" s="338"/>
      <c r="D857" s="415"/>
      <c r="E857" s="338"/>
      <c r="F857" s="338"/>
      <c r="G857" s="338"/>
      <c r="H857" s="338"/>
      <c r="I857" s="338"/>
      <c r="J857" s="338"/>
      <c r="K857" s="338"/>
      <c r="L857" s="356"/>
      <c r="M857" s="356"/>
      <c r="N857" s="321"/>
      <c r="O857" s="338"/>
      <c r="P857" s="338"/>
      <c r="Q857" s="338"/>
      <c r="R857" s="338"/>
      <c r="S857" s="338"/>
      <c r="T857" s="338"/>
      <c r="U857" s="338"/>
      <c r="V857" s="338"/>
      <c r="W857" s="338"/>
      <c r="X857" s="338"/>
      <c r="Y857" s="338"/>
      <c r="Z857" s="338"/>
    </row>
    <row r="858" ht="12.75" customHeight="1">
      <c r="A858" s="321"/>
      <c r="B858" s="338"/>
      <c r="C858" s="338"/>
      <c r="D858" s="415"/>
      <c r="E858" s="338"/>
      <c r="F858" s="338"/>
      <c r="G858" s="338"/>
      <c r="H858" s="338"/>
      <c r="I858" s="338"/>
      <c r="J858" s="338"/>
      <c r="K858" s="338"/>
      <c r="L858" s="356"/>
      <c r="M858" s="356"/>
      <c r="N858" s="321"/>
      <c r="O858" s="338"/>
      <c r="P858" s="338"/>
      <c r="Q858" s="338"/>
      <c r="R858" s="338"/>
      <c r="S858" s="338"/>
      <c r="T858" s="338"/>
      <c r="U858" s="338"/>
      <c r="V858" s="338"/>
      <c r="W858" s="338"/>
      <c r="X858" s="338"/>
      <c r="Y858" s="338"/>
      <c r="Z858" s="338"/>
    </row>
    <row r="859" ht="12.75" customHeight="1">
      <c r="A859" s="321"/>
      <c r="B859" s="338"/>
      <c r="C859" s="338"/>
      <c r="D859" s="415"/>
      <c r="E859" s="338"/>
      <c r="F859" s="338"/>
      <c r="G859" s="338"/>
      <c r="H859" s="338"/>
      <c r="I859" s="338"/>
      <c r="J859" s="338"/>
      <c r="K859" s="338"/>
      <c r="L859" s="356"/>
      <c r="M859" s="356"/>
      <c r="N859" s="321"/>
      <c r="O859" s="338"/>
      <c r="P859" s="338"/>
      <c r="Q859" s="338"/>
      <c r="R859" s="338"/>
      <c r="S859" s="338"/>
      <c r="T859" s="338"/>
      <c r="U859" s="338"/>
      <c r="V859" s="338"/>
      <c r="W859" s="338"/>
      <c r="X859" s="338"/>
      <c r="Y859" s="338"/>
      <c r="Z859" s="338"/>
    </row>
    <row r="860" ht="12.75" customHeight="1">
      <c r="A860" s="321"/>
      <c r="B860" s="338"/>
      <c r="C860" s="338"/>
      <c r="D860" s="415"/>
      <c r="E860" s="338"/>
      <c r="F860" s="338"/>
      <c r="G860" s="338"/>
      <c r="H860" s="338"/>
      <c r="I860" s="338"/>
      <c r="J860" s="338"/>
      <c r="K860" s="338"/>
      <c r="L860" s="356"/>
      <c r="M860" s="356"/>
      <c r="N860" s="321"/>
      <c r="O860" s="338"/>
      <c r="P860" s="338"/>
      <c r="Q860" s="338"/>
      <c r="R860" s="338"/>
      <c r="S860" s="338"/>
      <c r="T860" s="338"/>
      <c r="U860" s="338"/>
      <c r="V860" s="338"/>
      <c r="W860" s="338"/>
      <c r="X860" s="338"/>
      <c r="Y860" s="338"/>
      <c r="Z860" s="338"/>
    </row>
    <row r="861" ht="12.75" customHeight="1">
      <c r="A861" s="321"/>
      <c r="B861" s="338"/>
      <c r="C861" s="338"/>
      <c r="D861" s="415"/>
      <c r="E861" s="338"/>
      <c r="F861" s="338"/>
      <c r="G861" s="338"/>
      <c r="H861" s="338"/>
      <c r="I861" s="338"/>
      <c r="J861" s="338"/>
      <c r="K861" s="338"/>
      <c r="L861" s="356"/>
      <c r="M861" s="356"/>
      <c r="N861" s="321"/>
      <c r="O861" s="338"/>
      <c r="P861" s="338"/>
      <c r="Q861" s="338"/>
      <c r="R861" s="338"/>
      <c r="S861" s="338"/>
      <c r="T861" s="338"/>
      <c r="U861" s="338"/>
      <c r="V861" s="338"/>
      <c r="W861" s="338"/>
      <c r="X861" s="338"/>
      <c r="Y861" s="338"/>
      <c r="Z861" s="338"/>
    </row>
    <row r="862" ht="12.75" customHeight="1">
      <c r="A862" s="321"/>
      <c r="B862" s="338"/>
      <c r="C862" s="338"/>
      <c r="D862" s="415"/>
      <c r="E862" s="338"/>
      <c r="F862" s="338"/>
      <c r="G862" s="338"/>
      <c r="H862" s="338"/>
      <c r="I862" s="338"/>
      <c r="J862" s="338"/>
      <c r="K862" s="338"/>
      <c r="L862" s="356"/>
      <c r="M862" s="356"/>
      <c r="N862" s="321"/>
      <c r="O862" s="338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</row>
    <row r="863" ht="12.75" customHeight="1">
      <c r="A863" s="321"/>
      <c r="B863" s="338"/>
      <c r="C863" s="338"/>
      <c r="D863" s="415"/>
      <c r="E863" s="338"/>
      <c r="F863" s="338"/>
      <c r="G863" s="338"/>
      <c r="H863" s="338"/>
      <c r="I863" s="338"/>
      <c r="J863" s="338"/>
      <c r="K863" s="338"/>
      <c r="L863" s="356"/>
      <c r="M863" s="356"/>
      <c r="N863" s="321"/>
      <c r="O863" s="338"/>
      <c r="P863" s="338"/>
      <c r="Q863" s="338"/>
      <c r="R863" s="338"/>
      <c r="S863" s="338"/>
      <c r="T863" s="338"/>
      <c r="U863" s="338"/>
      <c r="V863" s="338"/>
      <c r="W863" s="338"/>
      <c r="X863" s="338"/>
      <c r="Y863" s="338"/>
      <c r="Z863" s="338"/>
    </row>
    <row r="864" ht="12.75" customHeight="1">
      <c r="A864" s="321"/>
      <c r="B864" s="338"/>
      <c r="C864" s="338"/>
      <c r="D864" s="415"/>
      <c r="E864" s="338"/>
      <c r="F864" s="338"/>
      <c r="G864" s="338"/>
      <c r="H864" s="338"/>
      <c r="I864" s="338"/>
      <c r="J864" s="338"/>
      <c r="K864" s="338"/>
      <c r="L864" s="356"/>
      <c r="M864" s="356"/>
      <c r="N864" s="321"/>
      <c r="O864" s="338"/>
      <c r="P864" s="338"/>
      <c r="Q864" s="338"/>
      <c r="R864" s="338"/>
      <c r="S864" s="338"/>
      <c r="T864" s="338"/>
      <c r="U864" s="338"/>
      <c r="V864" s="338"/>
      <c r="W864" s="338"/>
      <c r="X864" s="338"/>
      <c r="Y864" s="338"/>
      <c r="Z864" s="338"/>
    </row>
    <row r="865" ht="12.75" customHeight="1">
      <c r="A865" s="321"/>
      <c r="B865" s="338"/>
      <c r="C865" s="338"/>
      <c r="D865" s="415"/>
      <c r="E865" s="338"/>
      <c r="F865" s="338"/>
      <c r="G865" s="338"/>
      <c r="H865" s="338"/>
      <c r="I865" s="338"/>
      <c r="J865" s="338"/>
      <c r="K865" s="338"/>
      <c r="L865" s="356"/>
      <c r="M865" s="356"/>
      <c r="N865" s="321"/>
      <c r="O865" s="338"/>
      <c r="P865" s="338"/>
      <c r="Q865" s="338"/>
      <c r="R865" s="338"/>
      <c r="S865" s="338"/>
      <c r="T865" s="338"/>
      <c r="U865" s="338"/>
      <c r="V865" s="338"/>
      <c r="W865" s="338"/>
      <c r="X865" s="338"/>
      <c r="Y865" s="338"/>
      <c r="Z865" s="338"/>
    </row>
    <row r="866" ht="12.75" customHeight="1">
      <c r="A866" s="321"/>
      <c r="B866" s="338"/>
      <c r="C866" s="338"/>
      <c r="D866" s="415"/>
      <c r="E866" s="338"/>
      <c r="F866" s="338"/>
      <c r="G866" s="338"/>
      <c r="H866" s="338"/>
      <c r="I866" s="338"/>
      <c r="J866" s="338"/>
      <c r="K866" s="338"/>
      <c r="L866" s="356"/>
      <c r="M866" s="356"/>
      <c r="N866" s="321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</row>
    <row r="867" ht="12.75" customHeight="1">
      <c r="A867" s="321"/>
      <c r="B867" s="338"/>
      <c r="C867" s="338"/>
      <c r="D867" s="415"/>
      <c r="E867" s="338"/>
      <c r="F867" s="338"/>
      <c r="G867" s="338"/>
      <c r="H867" s="338"/>
      <c r="I867" s="338"/>
      <c r="J867" s="338"/>
      <c r="K867" s="338"/>
      <c r="L867" s="356"/>
      <c r="M867" s="356"/>
      <c r="N867" s="321"/>
      <c r="O867" s="338"/>
      <c r="P867" s="338"/>
      <c r="Q867" s="338"/>
      <c r="R867" s="338"/>
      <c r="S867" s="338"/>
      <c r="T867" s="338"/>
      <c r="U867" s="338"/>
      <c r="V867" s="338"/>
      <c r="W867" s="338"/>
      <c r="X867" s="338"/>
      <c r="Y867" s="338"/>
      <c r="Z867" s="338"/>
    </row>
    <row r="868" ht="12.75" customHeight="1">
      <c r="A868" s="321"/>
      <c r="B868" s="338"/>
      <c r="C868" s="338"/>
      <c r="D868" s="415"/>
      <c r="E868" s="338"/>
      <c r="F868" s="338"/>
      <c r="G868" s="338"/>
      <c r="H868" s="338"/>
      <c r="I868" s="338"/>
      <c r="J868" s="338"/>
      <c r="K868" s="338"/>
      <c r="L868" s="356"/>
      <c r="M868" s="356"/>
      <c r="N868" s="321"/>
      <c r="O868" s="338"/>
      <c r="P868" s="338"/>
      <c r="Q868" s="338"/>
      <c r="R868" s="338"/>
      <c r="S868" s="338"/>
      <c r="T868" s="338"/>
      <c r="U868" s="338"/>
      <c r="V868" s="338"/>
      <c r="W868" s="338"/>
      <c r="X868" s="338"/>
      <c r="Y868" s="338"/>
      <c r="Z868" s="338"/>
    </row>
    <row r="869" ht="12.75" customHeight="1">
      <c r="A869" s="321"/>
      <c r="B869" s="338"/>
      <c r="C869" s="338"/>
      <c r="D869" s="415"/>
      <c r="E869" s="338"/>
      <c r="F869" s="338"/>
      <c r="G869" s="338"/>
      <c r="H869" s="338"/>
      <c r="I869" s="338"/>
      <c r="J869" s="338"/>
      <c r="K869" s="338"/>
      <c r="L869" s="356"/>
      <c r="M869" s="356"/>
      <c r="N869" s="321"/>
      <c r="O869" s="338"/>
      <c r="P869" s="338"/>
      <c r="Q869" s="338"/>
      <c r="R869" s="338"/>
      <c r="S869" s="338"/>
      <c r="T869" s="338"/>
      <c r="U869" s="338"/>
      <c r="V869" s="338"/>
      <c r="W869" s="338"/>
      <c r="X869" s="338"/>
      <c r="Y869" s="338"/>
      <c r="Z869" s="338"/>
    </row>
    <row r="870" ht="12.75" customHeight="1">
      <c r="A870" s="321"/>
      <c r="B870" s="338"/>
      <c r="C870" s="338"/>
      <c r="D870" s="415"/>
      <c r="E870" s="338"/>
      <c r="F870" s="338"/>
      <c r="G870" s="338"/>
      <c r="H870" s="338"/>
      <c r="I870" s="338"/>
      <c r="J870" s="338"/>
      <c r="K870" s="338"/>
      <c r="L870" s="356"/>
      <c r="M870" s="356"/>
      <c r="N870" s="321"/>
      <c r="O870" s="338"/>
      <c r="P870" s="338"/>
      <c r="Q870" s="338"/>
      <c r="R870" s="338"/>
      <c r="S870" s="338"/>
      <c r="T870" s="338"/>
      <c r="U870" s="338"/>
      <c r="V870" s="338"/>
      <c r="W870" s="338"/>
      <c r="X870" s="338"/>
      <c r="Y870" s="338"/>
      <c r="Z870" s="338"/>
    </row>
    <row r="871" ht="12.75" customHeight="1">
      <c r="A871" s="321"/>
      <c r="B871" s="338"/>
      <c r="C871" s="338"/>
      <c r="D871" s="415"/>
      <c r="E871" s="338"/>
      <c r="F871" s="338"/>
      <c r="G871" s="338"/>
      <c r="H871" s="338"/>
      <c r="I871" s="338"/>
      <c r="J871" s="338"/>
      <c r="K871" s="338"/>
      <c r="L871" s="356"/>
      <c r="M871" s="356"/>
      <c r="N871" s="321"/>
      <c r="O871" s="338"/>
      <c r="P871" s="338"/>
      <c r="Q871" s="338"/>
      <c r="R871" s="338"/>
      <c r="S871" s="338"/>
      <c r="T871" s="338"/>
      <c r="U871" s="338"/>
      <c r="V871" s="338"/>
      <c r="W871" s="338"/>
      <c r="X871" s="338"/>
      <c r="Y871" s="338"/>
      <c r="Z871" s="338"/>
    </row>
    <row r="872" ht="12.75" customHeight="1">
      <c r="A872" s="321"/>
      <c r="B872" s="338"/>
      <c r="C872" s="338"/>
      <c r="D872" s="415"/>
      <c r="E872" s="338"/>
      <c r="F872" s="338"/>
      <c r="G872" s="338"/>
      <c r="H872" s="338"/>
      <c r="I872" s="338"/>
      <c r="J872" s="338"/>
      <c r="K872" s="338"/>
      <c r="L872" s="356"/>
      <c r="M872" s="356"/>
      <c r="N872" s="321"/>
      <c r="O872" s="338"/>
      <c r="P872" s="338"/>
      <c r="Q872" s="338"/>
      <c r="R872" s="338"/>
      <c r="S872" s="338"/>
      <c r="T872" s="338"/>
      <c r="U872" s="338"/>
      <c r="V872" s="338"/>
      <c r="W872" s="338"/>
      <c r="X872" s="338"/>
      <c r="Y872" s="338"/>
      <c r="Z872" s="338"/>
    </row>
    <row r="873" ht="12.75" customHeight="1">
      <c r="A873" s="321"/>
      <c r="B873" s="338"/>
      <c r="C873" s="338"/>
      <c r="D873" s="415"/>
      <c r="E873" s="338"/>
      <c r="F873" s="338"/>
      <c r="G873" s="338"/>
      <c r="H873" s="338"/>
      <c r="I873" s="338"/>
      <c r="J873" s="338"/>
      <c r="K873" s="338"/>
      <c r="L873" s="356"/>
      <c r="M873" s="356"/>
      <c r="N873" s="321"/>
      <c r="O873" s="338"/>
      <c r="P873" s="338"/>
      <c r="Q873" s="338"/>
      <c r="R873" s="338"/>
      <c r="S873" s="338"/>
      <c r="T873" s="338"/>
      <c r="U873" s="338"/>
      <c r="V873" s="338"/>
      <c r="W873" s="338"/>
      <c r="X873" s="338"/>
      <c r="Y873" s="338"/>
      <c r="Z873" s="338"/>
    </row>
    <row r="874" ht="12.75" customHeight="1">
      <c r="A874" s="321"/>
      <c r="B874" s="338"/>
      <c r="C874" s="338"/>
      <c r="D874" s="415"/>
      <c r="E874" s="338"/>
      <c r="F874" s="338"/>
      <c r="G874" s="338"/>
      <c r="H874" s="338"/>
      <c r="I874" s="338"/>
      <c r="J874" s="338"/>
      <c r="K874" s="338"/>
      <c r="L874" s="356"/>
      <c r="M874" s="356"/>
      <c r="N874" s="321"/>
      <c r="O874" s="338"/>
      <c r="P874" s="338"/>
      <c r="Q874" s="338"/>
      <c r="R874" s="338"/>
      <c r="S874" s="338"/>
      <c r="T874" s="338"/>
      <c r="U874" s="338"/>
      <c r="V874" s="338"/>
      <c r="W874" s="338"/>
      <c r="X874" s="338"/>
      <c r="Y874" s="338"/>
      <c r="Z874" s="338"/>
    </row>
    <row r="875" ht="12.75" customHeight="1">
      <c r="A875" s="321"/>
      <c r="B875" s="338"/>
      <c r="C875" s="338"/>
      <c r="D875" s="415"/>
      <c r="E875" s="338"/>
      <c r="F875" s="338"/>
      <c r="G875" s="338"/>
      <c r="H875" s="338"/>
      <c r="I875" s="338"/>
      <c r="J875" s="338"/>
      <c r="K875" s="338"/>
      <c r="L875" s="356"/>
      <c r="M875" s="356"/>
      <c r="N875" s="321"/>
      <c r="O875" s="338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</row>
    <row r="876" ht="12.75" customHeight="1">
      <c r="A876" s="321"/>
      <c r="B876" s="338"/>
      <c r="C876" s="338"/>
      <c r="D876" s="415"/>
      <c r="E876" s="338"/>
      <c r="F876" s="338"/>
      <c r="G876" s="338"/>
      <c r="H876" s="338"/>
      <c r="I876" s="338"/>
      <c r="J876" s="338"/>
      <c r="K876" s="338"/>
      <c r="L876" s="356"/>
      <c r="M876" s="356"/>
      <c r="N876" s="321"/>
      <c r="O876" s="338"/>
      <c r="P876" s="338"/>
      <c r="Q876" s="338"/>
      <c r="R876" s="338"/>
      <c r="S876" s="338"/>
      <c r="T876" s="338"/>
      <c r="U876" s="338"/>
      <c r="V876" s="338"/>
      <c r="W876" s="338"/>
      <c r="X876" s="338"/>
      <c r="Y876" s="338"/>
      <c r="Z876" s="338"/>
    </row>
    <row r="877" ht="12.75" customHeight="1">
      <c r="A877" s="321"/>
      <c r="B877" s="338"/>
      <c r="C877" s="338"/>
      <c r="D877" s="415"/>
      <c r="E877" s="338"/>
      <c r="F877" s="338"/>
      <c r="G877" s="338"/>
      <c r="H877" s="338"/>
      <c r="I877" s="338"/>
      <c r="J877" s="338"/>
      <c r="K877" s="338"/>
      <c r="L877" s="356"/>
      <c r="M877" s="356"/>
      <c r="N877" s="321"/>
      <c r="O877" s="338"/>
      <c r="P877" s="338"/>
      <c r="Q877" s="338"/>
      <c r="R877" s="338"/>
      <c r="S877" s="338"/>
      <c r="T877" s="338"/>
      <c r="U877" s="338"/>
      <c r="V877" s="338"/>
      <c r="W877" s="338"/>
      <c r="X877" s="338"/>
      <c r="Y877" s="338"/>
      <c r="Z877" s="338"/>
    </row>
    <row r="878" ht="12.75" customHeight="1">
      <c r="A878" s="321"/>
      <c r="B878" s="338"/>
      <c r="C878" s="338"/>
      <c r="D878" s="415"/>
      <c r="E878" s="338"/>
      <c r="F878" s="338"/>
      <c r="G878" s="338"/>
      <c r="H878" s="338"/>
      <c r="I878" s="338"/>
      <c r="J878" s="338"/>
      <c r="K878" s="338"/>
      <c r="L878" s="356"/>
      <c r="M878" s="356"/>
      <c r="N878" s="321"/>
      <c r="O878" s="338"/>
      <c r="P878" s="338"/>
      <c r="Q878" s="338"/>
      <c r="R878" s="338"/>
      <c r="S878" s="338"/>
      <c r="T878" s="338"/>
      <c r="U878" s="338"/>
      <c r="V878" s="338"/>
      <c r="W878" s="338"/>
      <c r="X878" s="338"/>
      <c r="Y878" s="338"/>
      <c r="Z878" s="338"/>
    </row>
    <row r="879" ht="12.75" customHeight="1">
      <c r="A879" s="321"/>
      <c r="B879" s="338"/>
      <c r="C879" s="338"/>
      <c r="D879" s="415"/>
      <c r="E879" s="338"/>
      <c r="F879" s="338"/>
      <c r="G879" s="338"/>
      <c r="H879" s="338"/>
      <c r="I879" s="338"/>
      <c r="J879" s="338"/>
      <c r="K879" s="338"/>
      <c r="L879" s="356"/>
      <c r="M879" s="356"/>
      <c r="N879" s="321"/>
      <c r="O879" s="338"/>
      <c r="P879" s="338"/>
      <c r="Q879" s="338"/>
      <c r="R879" s="338"/>
      <c r="S879" s="338"/>
      <c r="T879" s="338"/>
      <c r="U879" s="338"/>
      <c r="V879" s="338"/>
      <c r="W879" s="338"/>
      <c r="X879" s="338"/>
      <c r="Y879" s="338"/>
      <c r="Z879" s="338"/>
    </row>
    <row r="880" ht="12.75" customHeight="1">
      <c r="A880" s="321"/>
      <c r="B880" s="338"/>
      <c r="C880" s="338"/>
      <c r="D880" s="415"/>
      <c r="E880" s="338"/>
      <c r="F880" s="338"/>
      <c r="G880" s="338"/>
      <c r="H880" s="338"/>
      <c r="I880" s="338"/>
      <c r="J880" s="338"/>
      <c r="K880" s="338"/>
      <c r="L880" s="356"/>
      <c r="M880" s="356"/>
      <c r="N880" s="321"/>
      <c r="O880" s="338"/>
      <c r="P880" s="338"/>
      <c r="Q880" s="338"/>
      <c r="R880" s="338"/>
      <c r="S880" s="338"/>
      <c r="T880" s="338"/>
      <c r="U880" s="338"/>
      <c r="V880" s="338"/>
      <c r="W880" s="338"/>
      <c r="X880" s="338"/>
      <c r="Y880" s="338"/>
      <c r="Z880" s="338"/>
    </row>
    <row r="881" ht="12.75" customHeight="1">
      <c r="A881" s="321"/>
      <c r="B881" s="338"/>
      <c r="C881" s="338"/>
      <c r="D881" s="415"/>
      <c r="E881" s="338"/>
      <c r="F881" s="338"/>
      <c r="G881" s="338"/>
      <c r="H881" s="338"/>
      <c r="I881" s="338"/>
      <c r="J881" s="338"/>
      <c r="K881" s="338"/>
      <c r="L881" s="356"/>
      <c r="M881" s="356"/>
      <c r="N881" s="321"/>
      <c r="O881" s="338"/>
      <c r="P881" s="338"/>
      <c r="Q881" s="338"/>
      <c r="R881" s="338"/>
      <c r="S881" s="338"/>
      <c r="T881" s="338"/>
      <c r="U881" s="338"/>
      <c r="V881" s="338"/>
      <c r="W881" s="338"/>
      <c r="X881" s="338"/>
      <c r="Y881" s="338"/>
      <c r="Z881" s="338"/>
    </row>
    <row r="882" ht="12.75" customHeight="1">
      <c r="A882" s="321"/>
      <c r="B882" s="338"/>
      <c r="C882" s="338"/>
      <c r="D882" s="415"/>
      <c r="E882" s="338"/>
      <c r="F882" s="338"/>
      <c r="G882" s="338"/>
      <c r="H882" s="338"/>
      <c r="I882" s="338"/>
      <c r="J882" s="338"/>
      <c r="K882" s="338"/>
      <c r="L882" s="356"/>
      <c r="M882" s="356"/>
      <c r="N882" s="321"/>
      <c r="O882" s="338"/>
      <c r="P882" s="338"/>
      <c r="Q882" s="338"/>
      <c r="R882" s="338"/>
      <c r="S882" s="338"/>
      <c r="T882" s="338"/>
      <c r="U882" s="338"/>
      <c r="V882" s="338"/>
      <c r="W882" s="338"/>
      <c r="X882" s="338"/>
      <c r="Y882" s="338"/>
      <c r="Z882" s="338"/>
    </row>
    <row r="883" ht="12.75" customHeight="1">
      <c r="A883" s="321"/>
      <c r="B883" s="338"/>
      <c r="C883" s="338"/>
      <c r="D883" s="415"/>
      <c r="E883" s="338"/>
      <c r="F883" s="338"/>
      <c r="G883" s="338"/>
      <c r="H883" s="338"/>
      <c r="I883" s="338"/>
      <c r="J883" s="338"/>
      <c r="K883" s="338"/>
      <c r="L883" s="356"/>
      <c r="M883" s="356"/>
      <c r="N883" s="321"/>
      <c r="O883" s="338"/>
      <c r="P883" s="338"/>
      <c r="Q883" s="338"/>
      <c r="R883" s="338"/>
      <c r="S883" s="338"/>
      <c r="T883" s="338"/>
      <c r="U883" s="338"/>
      <c r="V883" s="338"/>
      <c r="W883" s="338"/>
      <c r="X883" s="338"/>
      <c r="Y883" s="338"/>
      <c r="Z883" s="338"/>
    </row>
    <row r="884" ht="12.75" customHeight="1">
      <c r="A884" s="321"/>
      <c r="B884" s="338"/>
      <c r="C884" s="338"/>
      <c r="D884" s="415"/>
      <c r="E884" s="338"/>
      <c r="F884" s="338"/>
      <c r="G884" s="338"/>
      <c r="H884" s="338"/>
      <c r="I884" s="338"/>
      <c r="J884" s="338"/>
      <c r="K884" s="338"/>
      <c r="L884" s="356"/>
      <c r="M884" s="356"/>
      <c r="N884" s="321"/>
      <c r="O884" s="338"/>
      <c r="P884" s="338"/>
      <c r="Q884" s="338"/>
      <c r="R884" s="338"/>
      <c r="S884" s="338"/>
      <c r="T884" s="338"/>
      <c r="U884" s="338"/>
      <c r="V884" s="338"/>
      <c r="W884" s="338"/>
      <c r="X884" s="338"/>
      <c r="Y884" s="338"/>
      <c r="Z884" s="338"/>
    </row>
    <row r="885" ht="12.75" customHeight="1">
      <c r="A885" s="321"/>
      <c r="B885" s="338"/>
      <c r="C885" s="338"/>
      <c r="D885" s="415"/>
      <c r="E885" s="338"/>
      <c r="F885" s="338"/>
      <c r="G885" s="338"/>
      <c r="H885" s="338"/>
      <c r="I885" s="338"/>
      <c r="J885" s="338"/>
      <c r="K885" s="338"/>
      <c r="L885" s="356"/>
      <c r="M885" s="356"/>
      <c r="N885" s="321"/>
      <c r="O885" s="338"/>
      <c r="P885" s="338"/>
      <c r="Q885" s="338"/>
      <c r="R885" s="338"/>
      <c r="S885" s="338"/>
      <c r="T885" s="338"/>
      <c r="U885" s="338"/>
      <c r="V885" s="338"/>
      <c r="W885" s="338"/>
      <c r="X885" s="338"/>
      <c r="Y885" s="338"/>
      <c r="Z885" s="338"/>
    </row>
    <row r="886" ht="12.75" customHeight="1">
      <c r="A886" s="321"/>
      <c r="B886" s="338"/>
      <c r="C886" s="338"/>
      <c r="D886" s="415"/>
      <c r="E886" s="338"/>
      <c r="F886" s="338"/>
      <c r="G886" s="338"/>
      <c r="H886" s="338"/>
      <c r="I886" s="338"/>
      <c r="J886" s="338"/>
      <c r="K886" s="338"/>
      <c r="L886" s="356"/>
      <c r="M886" s="356"/>
      <c r="N886" s="321"/>
      <c r="O886" s="338"/>
      <c r="P886" s="338"/>
      <c r="Q886" s="338"/>
      <c r="R886" s="338"/>
      <c r="S886" s="338"/>
      <c r="T886" s="338"/>
      <c r="U886" s="338"/>
      <c r="V886" s="338"/>
      <c r="W886" s="338"/>
      <c r="X886" s="338"/>
      <c r="Y886" s="338"/>
      <c r="Z886" s="338"/>
    </row>
    <row r="887" ht="12.75" customHeight="1">
      <c r="A887" s="321"/>
      <c r="B887" s="338"/>
      <c r="C887" s="338"/>
      <c r="D887" s="415"/>
      <c r="E887" s="338"/>
      <c r="F887" s="338"/>
      <c r="G887" s="338"/>
      <c r="H887" s="338"/>
      <c r="I887" s="338"/>
      <c r="J887" s="338"/>
      <c r="K887" s="338"/>
      <c r="L887" s="356"/>
      <c r="M887" s="356"/>
      <c r="N887" s="321"/>
      <c r="O887" s="338"/>
      <c r="P887" s="338"/>
      <c r="Q887" s="338"/>
      <c r="R887" s="338"/>
      <c r="S887" s="338"/>
      <c r="T887" s="338"/>
      <c r="U887" s="338"/>
      <c r="V887" s="338"/>
      <c r="W887" s="338"/>
      <c r="X887" s="338"/>
      <c r="Y887" s="338"/>
      <c r="Z887" s="338"/>
    </row>
    <row r="888" ht="12.75" customHeight="1">
      <c r="A888" s="321"/>
      <c r="B888" s="338"/>
      <c r="C888" s="338"/>
      <c r="D888" s="415"/>
      <c r="E888" s="338"/>
      <c r="F888" s="338"/>
      <c r="G888" s="338"/>
      <c r="H888" s="338"/>
      <c r="I888" s="338"/>
      <c r="J888" s="338"/>
      <c r="K888" s="338"/>
      <c r="L888" s="356"/>
      <c r="M888" s="356"/>
      <c r="N888" s="321"/>
      <c r="O888" s="338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</row>
    <row r="889" ht="12.75" customHeight="1">
      <c r="A889" s="321"/>
      <c r="B889" s="338"/>
      <c r="C889" s="338"/>
      <c r="D889" s="415"/>
      <c r="E889" s="338"/>
      <c r="F889" s="338"/>
      <c r="G889" s="338"/>
      <c r="H889" s="338"/>
      <c r="I889" s="338"/>
      <c r="J889" s="338"/>
      <c r="K889" s="338"/>
      <c r="L889" s="356"/>
      <c r="M889" s="356"/>
      <c r="N889" s="321"/>
      <c r="O889" s="338"/>
      <c r="P889" s="338"/>
      <c r="Q889" s="338"/>
      <c r="R889" s="338"/>
      <c r="S889" s="338"/>
      <c r="T889" s="338"/>
      <c r="U889" s="338"/>
      <c r="V889" s="338"/>
      <c r="W889" s="338"/>
      <c r="X889" s="338"/>
      <c r="Y889" s="338"/>
      <c r="Z889" s="338"/>
    </row>
    <row r="890" ht="12.75" customHeight="1">
      <c r="A890" s="321"/>
      <c r="B890" s="338"/>
      <c r="C890" s="338"/>
      <c r="D890" s="415"/>
      <c r="E890" s="338"/>
      <c r="F890" s="338"/>
      <c r="G890" s="338"/>
      <c r="H890" s="338"/>
      <c r="I890" s="338"/>
      <c r="J890" s="338"/>
      <c r="K890" s="338"/>
      <c r="L890" s="356"/>
      <c r="M890" s="356"/>
      <c r="N890" s="321"/>
      <c r="O890" s="338"/>
      <c r="P890" s="338"/>
      <c r="Q890" s="338"/>
      <c r="R890" s="338"/>
      <c r="S890" s="338"/>
      <c r="T890" s="338"/>
      <c r="U890" s="338"/>
      <c r="V890" s="338"/>
      <c r="W890" s="338"/>
      <c r="X890" s="338"/>
      <c r="Y890" s="338"/>
      <c r="Z890" s="338"/>
    </row>
    <row r="891" ht="12.75" customHeight="1">
      <c r="A891" s="321"/>
      <c r="B891" s="338"/>
      <c r="C891" s="338"/>
      <c r="D891" s="415"/>
      <c r="E891" s="338"/>
      <c r="F891" s="338"/>
      <c r="G891" s="338"/>
      <c r="H891" s="338"/>
      <c r="I891" s="338"/>
      <c r="J891" s="338"/>
      <c r="K891" s="338"/>
      <c r="L891" s="356"/>
      <c r="M891" s="356"/>
      <c r="N891" s="321"/>
      <c r="O891" s="338"/>
      <c r="P891" s="338"/>
      <c r="Q891" s="338"/>
      <c r="R891" s="338"/>
      <c r="S891" s="338"/>
      <c r="T891" s="338"/>
      <c r="U891" s="338"/>
      <c r="V891" s="338"/>
      <c r="W891" s="338"/>
      <c r="X891" s="338"/>
      <c r="Y891" s="338"/>
      <c r="Z891" s="338"/>
    </row>
    <row r="892" ht="12.75" customHeight="1">
      <c r="A892" s="321"/>
      <c r="B892" s="338"/>
      <c r="C892" s="338"/>
      <c r="D892" s="415"/>
      <c r="E892" s="338"/>
      <c r="F892" s="338"/>
      <c r="G892" s="338"/>
      <c r="H892" s="338"/>
      <c r="I892" s="338"/>
      <c r="J892" s="338"/>
      <c r="K892" s="338"/>
      <c r="L892" s="356"/>
      <c r="M892" s="356"/>
      <c r="N892" s="321"/>
      <c r="O892" s="338"/>
      <c r="P892" s="338"/>
      <c r="Q892" s="338"/>
      <c r="R892" s="338"/>
      <c r="S892" s="338"/>
      <c r="T892" s="338"/>
      <c r="U892" s="338"/>
      <c r="V892" s="338"/>
      <c r="W892" s="338"/>
      <c r="X892" s="338"/>
      <c r="Y892" s="338"/>
      <c r="Z892" s="338"/>
    </row>
    <row r="893" ht="12.75" customHeight="1">
      <c r="A893" s="321"/>
      <c r="B893" s="338"/>
      <c r="C893" s="338"/>
      <c r="D893" s="415"/>
      <c r="E893" s="338"/>
      <c r="F893" s="338"/>
      <c r="G893" s="338"/>
      <c r="H893" s="338"/>
      <c r="I893" s="338"/>
      <c r="J893" s="338"/>
      <c r="K893" s="338"/>
      <c r="L893" s="356"/>
      <c r="M893" s="356"/>
      <c r="N893" s="321"/>
      <c r="O893" s="338"/>
      <c r="P893" s="338"/>
      <c r="Q893" s="338"/>
      <c r="R893" s="338"/>
      <c r="S893" s="338"/>
      <c r="T893" s="338"/>
      <c r="U893" s="338"/>
      <c r="V893" s="338"/>
      <c r="W893" s="338"/>
      <c r="X893" s="338"/>
      <c r="Y893" s="338"/>
      <c r="Z893" s="338"/>
    </row>
    <row r="894" ht="12.75" customHeight="1">
      <c r="A894" s="321"/>
      <c r="B894" s="338"/>
      <c r="C894" s="338"/>
      <c r="D894" s="415"/>
      <c r="E894" s="338"/>
      <c r="F894" s="338"/>
      <c r="G894" s="338"/>
      <c r="H894" s="338"/>
      <c r="I894" s="338"/>
      <c r="J894" s="338"/>
      <c r="K894" s="338"/>
      <c r="L894" s="356"/>
      <c r="M894" s="356"/>
      <c r="N894" s="321"/>
      <c r="O894" s="338"/>
      <c r="P894" s="338"/>
      <c r="Q894" s="338"/>
      <c r="R894" s="338"/>
      <c r="S894" s="338"/>
      <c r="T894" s="338"/>
      <c r="U894" s="338"/>
      <c r="V894" s="338"/>
      <c r="W894" s="338"/>
      <c r="X894" s="338"/>
      <c r="Y894" s="338"/>
      <c r="Z894" s="338"/>
    </row>
    <row r="895" ht="12.75" customHeight="1">
      <c r="A895" s="321"/>
      <c r="B895" s="338"/>
      <c r="C895" s="338"/>
      <c r="D895" s="415"/>
      <c r="E895" s="338"/>
      <c r="F895" s="338"/>
      <c r="G895" s="338"/>
      <c r="H895" s="338"/>
      <c r="I895" s="338"/>
      <c r="J895" s="338"/>
      <c r="K895" s="338"/>
      <c r="L895" s="356"/>
      <c r="M895" s="356"/>
      <c r="N895" s="321"/>
      <c r="O895" s="338"/>
      <c r="P895" s="338"/>
      <c r="Q895" s="338"/>
      <c r="R895" s="338"/>
      <c r="S895" s="338"/>
      <c r="T895" s="338"/>
      <c r="U895" s="338"/>
      <c r="V895" s="338"/>
      <c r="W895" s="338"/>
      <c r="X895" s="338"/>
      <c r="Y895" s="338"/>
      <c r="Z895" s="338"/>
    </row>
    <row r="896" ht="12.75" customHeight="1">
      <c r="A896" s="321"/>
      <c r="B896" s="338"/>
      <c r="C896" s="338"/>
      <c r="D896" s="415"/>
      <c r="E896" s="338"/>
      <c r="F896" s="338"/>
      <c r="G896" s="338"/>
      <c r="H896" s="338"/>
      <c r="I896" s="338"/>
      <c r="J896" s="338"/>
      <c r="K896" s="338"/>
      <c r="L896" s="356"/>
      <c r="M896" s="356"/>
      <c r="N896" s="321"/>
      <c r="O896" s="338"/>
      <c r="P896" s="338"/>
      <c r="Q896" s="338"/>
      <c r="R896" s="338"/>
      <c r="S896" s="338"/>
      <c r="T896" s="338"/>
      <c r="U896" s="338"/>
      <c r="V896" s="338"/>
      <c r="W896" s="338"/>
      <c r="X896" s="338"/>
      <c r="Y896" s="338"/>
      <c r="Z896" s="338"/>
    </row>
    <row r="897" ht="12.75" customHeight="1">
      <c r="A897" s="321"/>
      <c r="B897" s="338"/>
      <c r="C897" s="338"/>
      <c r="D897" s="415"/>
      <c r="E897" s="338"/>
      <c r="F897" s="338"/>
      <c r="G897" s="338"/>
      <c r="H897" s="338"/>
      <c r="I897" s="338"/>
      <c r="J897" s="338"/>
      <c r="K897" s="338"/>
      <c r="L897" s="356"/>
      <c r="M897" s="356"/>
      <c r="N897" s="321"/>
      <c r="O897" s="338"/>
      <c r="P897" s="338"/>
      <c r="Q897" s="338"/>
      <c r="R897" s="338"/>
      <c r="S897" s="338"/>
      <c r="T897" s="338"/>
      <c r="U897" s="338"/>
      <c r="V897" s="338"/>
      <c r="W897" s="338"/>
      <c r="X897" s="338"/>
      <c r="Y897" s="338"/>
      <c r="Z897" s="338"/>
    </row>
    <row r="898" ht="12.75" customHeight="1">
      <c r="A898" s="321"/>
      <c r="B898" s="338"/>
      <c r="C898" s="338"/>
      <c r="D898" s="415"/>
      <c r="E898" s="338"/>
      <c r="F898" s="338"/>
      <c r="G898" s="338"/>
      <c r="H898" s="338"/>
      <c r="I898" s="338"/>
      <c r="J898" s="338"/>
      <c r="K898" s="338"/>
      <c r="L898" s="356"/>
      <c r="M898" s="356"/>
      <c r="N898" s="321"/>
      <c r="O898" s="338"/>
      <c r="P898" s="338"/>
      <c r="Q898" s="338"/>
      <c r="R898" s="338"/>
      <c r="S898" s="338"/>
      <c r="T898" s="338"/>
      <c r="U898" s="338"/>
      <c r="V898" s="338"/>
      <c r="W898" s="338"/>
      <c r="X898" s="338"/>
      <c r="Y898" s="338"/>
      <c r="Z898" s="338"/>
    </row>
    <row r="899" ht="12.75" customHeight="1">
      <c r="A899" s="321"/>
      <c r="B899" s="338"/>
      <c r="C899" s="338"/>
      <c r="D899" s="415"/>
      <c r="E899" s="338"/>
      <c r="F899" s="338"/>
      <c r="G899" s="338"/>
      <c r="H899" s="338"/>
      <c r="I899" s="338"/>
      <c r="J899" s="338"/>
      <c r="K899" s="338"/>
      <c r="L899" s="356"/>
      <c r="M899" s="356"/>
      <c r="N899" s="321"/>
      <c r="O899" s="338"/>
      <c r="P899" s="338"/>
      <c r="Q899" s="338"/>
      <c r="R899" s="338"/>
      <c r="S899" s="338"/>
      <c r="T899" s="338"/>
      <c r="U899" s="338"/>
      <c r="V899" s="338"/>
      <c r="W899" s="338"/>
      <c r="X899" s="338"/>
      <c r="Y899" s="338"/>
      <c r="Z899" s="338"/>
    </row>
    <row r="900" ht="12.75" customHeight="1">
      <c r="A900" s="321"/>
      <c r="B900" s="338"/>
      <c r="C900" s="338"/>
      <c r="D900" s="415"/>
      <c r="E900" s="338"/>
      <c r="F900" s="338"/>
      <c r="G900" s="338"/>
      <c r="H900" s="338"/>
      <c r="I900" s="338"/>
      <c r="J900" s="338"/>
      <c r="K900" s="338"/>
      <c r="L900" s="356"/>
      <c r="M900" s="356"/>
      <c r="N900" s="321"/>
      <c r="O900" s="338"/>
      <c r="P900" s="338"/>
      <c r="Q900" s="338"/>
      <c r="R900" s="338"/>
      <c r="S900" s="338"/>
      <c r="T900" s="338"/>
      <c r="U900" s="338"/>
      <c r="V900" s="338"/>
      <c r="W900" s="338"/>
      <c r="X900" s="338"/>
      <c r="Y900" s="338"/>
      <c r="Z900" s="338"/>
    </row>
    <row r="901" ht="12.75" customHeight="1">
      <c r="A901" s="321"/>
      <c r="B901" s="338"/>
      <c r="C901" s="338"/>
      <c r="D901" s="415"/>
      <c r="E901" s="338"/>
      <c r="F901" s="338"/>
      <c r="G901" s="338"/>
      <c r="H901" s="338"/>
      <c r="I901" s="338"/>
      <c r="J901" s="338"/>
      <c r="K901" s="338"/>
      <c r="L901" s="356"/>
      <c r="M901" s="356"/>
      <c r="N901" s="321"/>
      <c r="O901" s="338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</row>
    <row r="902" ht="12.75" customHeight="1">
      <c r="A902" s="321"/>
      <c r="B902" s="338"/>
      <c r="C902" s="338"/>
      <c r="D902" s="415"/>
      <c r="E902" s="338"/>
      <c r="F902" s="338"/>
      <c r="G902" s="338"/>
      <c r="H902" s="338"/>
      <c r="I902" s="338"/>
      <c r="J902" s="338"/>
      <c r="K902" s="338"/>
      <c r="L902" s="356"/>
      <c r="M902" s="356"/>
      <c r="N902" s="321"/>
      <c r="O902" s="338"/>
      <c r="P902" s="338"/>
      <c r="Q902" s="338"/>
      <c r="R902" s="338"/>
      <c r="S902" s="338"/>
      <c r="T902" s="338"/>
      <c r="U902" s="338"/>
      <c r="V902" s="338"/>
      <c r="W902" s="338"/>
      <c r="X902" s="338"/>
      <c r="Y902" s="338"/>
      <c r="Z902" s="338"/>
    </row>
    <row r="903" ht="12.75" customHeight="1">
      <c r="A903" s="321"/>
      <c r="B903" s="338"/>
      <c r="C903" s="338"/>
      <c r="D903" s="415"/>
      <c r="E903" s="338"/>
      <c r="F903" s="338"/>
      <c r="G903" s="338"/>
      <c r="H903" s="338"/>
      <c r="I903" s="338"/>
      <c r="J903" s="338"/>
      <c r="K903" s="338"/>
      <c r="L903" s="356"/>
      <c r="M903" s="356"/>
      <c r="N903" s="321"/>
      <c r="O903" s="338"/>
      <c r="P903" s="338"/>
      <c r="Q903" s="338"/>
      <c r="R903" s="338"/>
      <c r="S903" s="338"/>
      <c r="T903" s="338"/>
      <c r="U903" s="338"/>
      <c r="V903" s="338"/>
      <c r="W903" s="338"/>
      <c r="X903" s="338"/>
      <c r="Y903" s="338"/>
      <c r="Z903" s="338"/>
    </row>
    <row r="904" ht="12.75" customHeight="1">
      <c r="A904" s="321"/>
      <c r="B904" s="338"/>
      <c r="C904" s="338"/>
      <c r="D904" s="415"/>
      <c r="E904" s="338"/>
      <c r="F904" s="338"/>
      <c r="G904" s="338"/>
      <c r="H904" s="338"/>
      <c r="I904" s="338"/>
      <c r="J904" s="338"/>
      <c r="K904" s="338"/>
      <c r="L904" s="356"/>
      <c r="M904" s="356"/>
      <c r="N904" s="321"/>
      <c r="O904" s="338"/>
      <c r="P904" s="338"/>
      <c r="Q904" s="338"/>
      <c r="R904" s="338"/>
      <c r="S904" s="338"/>
      <c r="T904" s="338"/>
      <c r="U904" s="338"/>
      <c r="V904" s="338"/>
      <c r="W904" s="338"/>
      <c r="X904" s="338"/>
      <c r="Y904" s="338"/>
      <c r="Z904" s="338"/>
    </row>
    <row r="905" ht="12.75" customHeight="1">
      <c r="A905" s="321"/>
      <c r="B905" s="338"/>
      <c r="C905" s="338"/>
      <c r="D905" s="415"/>
      <c r="E905" s="338"/>
      <c r="F905" s="338"/>
      <c r="G905" s="338"/>
      <c r="H905" s="338"/>
      <c r="I905" s="338"/>
      <c r="J905" s="338"/>
      <c r="K905" s="338"/>
      <c r="L905" s="356"/>
      <c r="M905" s="356"/>
      <c r="N905" s="321"/>
      <c r="O905" s="338"/>
      <c r="P905" s="338"/>
      <c r="Q905" s="338"/>
      <c r="R905" s="338"/>
      <c r="S905" s="338"/>
      <c r="T905" s="338"/>
      <c r="U905" s="338"/>
      <c r="V905" s="338"/>
      <c r="W905" s="338"/>
      <c r="X905" s="338"/>
      <c r="Y905" s="338"/>
      <c r="Z905" s="338"/>
    </row>
    <row r="906" ht="12.75" customHeight="1">
      <c r="A906" s="321"/>
      <c r="B906" s="338"/>
      <c r="C906" s="338"/>
      <c r="D906" s="415"/>
      <c r="E906" s="338"/>
      <c r="F906" s="338"/>
      <c r="G906" s="338"/>
      <c r="H906" s="338"/>
      <c r="I906" s="338"/>
      <c r="J906" s="338"/>
      <c r="K906" s="338"/>
      <c r="L906" s="356"/>
      <c r="M906" s="356"/>
      <c r="N906" s="321"/>
      <c r="O906" s="338"/>
      <c r="P906" s="338"/>
      <c r="Q906" s="338"/>
      <c r="R906" s="338"/>
      <c r="S906" s="338"/>
      <c r="T906" s="338"/>
      <c r="U906" s="338"/>
      <c r="V906" s="338"/>
      <c r="W906" s="338"/>
      <c r="X906" s="338"/>
      <c r="Y906" s="338"/>
      <c r="Z906" s="338"/>
    </row>
    <row r="907" ht="12.75" customHeight="1">
      <c r="A907" s="321"/>
      <c r="B907" s="338"/>
      <c r="C907" s="338"/>
      <c r="D907" s="415"/>
      <c r="E907" s="338"/>
      <c r="F907" s="338"/>
      <c r="G907" s="338"/>
      <c r="H907" s="338"/>
      <c r="I907" s="338"/>
      <c r="J907" s="338"/>
      <c r="K907" s="338"/>
      <c r="L907" s="356"/>
      <c r="M907" s="356"/>
      <c r="N907" s="321"/>
      <c r="O907" s="338"/>
      <c r="P907" s="338"/>
      <c r="Q907" s="338"/>
      <c r="R907" s="338"/>
      <c r="S907" s="338"/>
      <c r="T907" s="338"/>
      <c r="U907" s="338"/>
      <c r="V907" s="338"/>
      <c r="W907" s="338"/>
      <c r="X907" s="338"/>
      <c r="Y907" s="338"/>
      <c r="Z907" s="338"/>
    </row>
    <row r="908" ht="12.75" customHeight="1">
      <c r="A908" s="321"/>
      <c r="B908" s="338"/>
      <c r="C908" s="338"/>
      <c r="D908" s="415"/>
      <c r="E908" s="338"/>
      <c r="F908" s="338"/>
      <c r="G908" s="338"/>
      <c r="H908" s="338"/>
      <c r="I908" s="338"/>
      <c r="J908" s="338"/>
      <c r="K908" s="338"/>
      <c r="L908" s="356"/>
      <c r="M908" s="356"/>
      <c r="N908" s="321"/>
      <c r="O908" s="338"/>
      <c r="P908" s="338"/>
      <c r="Q908" s="338"/>
      <c r="R908" s="338"/>
      <c r="S908" s="338"/>
      <c r="T908" s="338"/>
      <c r="U908" s="338"/>
      <c r="V908" s="338"/>
      <c r="W908" s="338"/>
      <c r="X908" s="338"/>
      <c r="Y908" s="338"/>
      <c r="Z908" s="338"/>
    </row>
    <row r="909" ht="12.75" customHeight="1">
      <c r="A909" s="321"/>
      <c r="B909" s="338"/>
      <c r="C909" s="338"/>
      <c r="D909" s="415"/>
      <c r="E909" s="338"/>
      <c r="F909" s="338"/>
      <c r="G909" s="338"/>
      <c r="H909" s="338"/>
      <c r="I909" s="338"/>
      <c r="J909" s="338"/>
      <c r="K909" s="338"/>
      <c r="L909" s="356"/>
      <c r="M909" s="356"/>
      <c r="N909" s="321"/>
      <c r="O909" s="338"/>
      <c r="P909" s="338"/>
      <c r="Q909" s="338"/>
      <c r="R909" s="338"/>
      <c r="S909" s="338"/>
      <c r="T909" s="338"/>
      <c r="U909" s="338"/>
      <c r="V909" s="338"/>
      <c r="W909" s="338"/>
      <c r="X909" s="338"/>
      <c r="Y909" s="338"/>
      <c r="Z909" s="338"/>
    </row>
    <row r="910" ht="12.75" customHeight="1">
      <c r="A910" s="321"/>
      <c r="B910" s="338"/>
      <c r="C910" s="338"/>
      <c r="D910" s="415"/>
      <c r="E910" s="338"/>
      <c r="F910" s="338"/>
      <c r="G910" s="338"/>
      <c r="H910" s="338"/>
      <c r="I910" s="338"/>
      <c r="J910" s="338"/>
      <c r="K910" s="338"/>
      <c r="L910" s="356"/>
      <c r="M910" s="356"/>
      <c r="N910" s="321"/>
      <c r="O910" s="338"/>
      <c r="P910" s="338"/>
      <c r="Q910" s="338"/>
      <c r="R910" s="338"/>
      <c r="S910" s="338"/>
      <c r="T910" s="338"/>
      <c r="U910" s="338"/>
      <c r="V910" s="338"/>
      <c r="W910" s="338"/>
      <c r="X910" s="338"/>
      <c r="Y910" s="338"/>
      <c r="Z910" s="338"/>
    </row>
    <row r="911" ht="12.75" customHeight="1">
      <c r="A911" s="321"/>
      <c r="B911" s="338"/>
      <c r="C911" s="338"/>
      <c r="D911" s="415"/>
      <c r="E911" s="338"/>
      <c r="F911" s="338"/>
      <c r="G911" s="338"/>
      <c r="H911" s="338"/>
      <c r="I911" s="338"/>
      <c r="J911" s="338"/>
      <c r="K911" s="338"/>
      <c r="L911" s="356"/>
      <c r="M911" s="356"/>
      <c r="N911" s="321"/>
      <c r="O911" s="338"/>
      <c r="P911" s="338"/>
      <c r="Q911" s="338"/>
      <c r="R911" s="338"/>
      <c r="S911" s="338"/>
      <c r="T911" s="338"/>
      <c r="U911" s="338"/>
      <c r="V911" s="338"/>
      <c r="W911" s="338"/>
      <c r="X911" s="338"/>
      <c r="Y911" s="338"/>
      <c r="Z911" s="338"/>
    </row>
    <row r="912" ht="12.75" customHeight="1">
      <c r="A912" s="321"/>
      <c r="B912" s="338"/>
      <c r="C912" s="338"/>
      <c r="D912" s="415"/>
      <c r="E912" s="338"/>
      <c r="F912" s="338"/>
      <c r="G912" s="338"/>
      <c r="H912" s="338"/>
      <c r="I912" s="338"/>
      <c r="J912" s="338"/>
      <c r="K912" s="338"/>
      <c r="L912" s="356"/>
      <c r="M912" s="356"/>
      <c r="N912" s="321"/>
      <c r="O912" s="338"/>
      <c r="P912" s="338"/>
      <c r="Q912" s="338"/>
      <c r="R912" s="338"/>
      <c r="S912" s="338"/>
      <c r="T912" s="338"/>
      <c r="U912" s="338"/>
      <c r="V912" s="338"/>
      <c r="W912" s="338"/>
      <c r="X912" s="338"/>
      <c r="Y912" s="338"/>
      <c r="Z912" s="338"/>
    </row>
    <row r="913" ht="12.75" customHeight="1">
      <c r="A913" s="321"/>
      <c r="B913" s="338"/>
      <c r="C913" s="338"/>
      <c r="D913" s="415"/>
      <c r="E913" s="338"/>
      <c r="F913" s="338"/>
      <c r="G913" s="338"/>
      <c r="H913" s="338"/>
      <c r="I913" s="338"/>
      <c r="J913" s="338"/>
      <c r="K913" s="338"/>
      <c r="L913" s="356"/>
      <c r="M913" s="356"/>
      <c r="N913" s="321"/>
      <c r="O913" s="338"/>
      <c r="P913" s="338"/>
      <c r="Q913" s="338"/>
      <c r="R913" s="338"/>
      <c r="S913" s="338"/>
      <c r="T913" s="338"/>
      <c r="U913" s="338"/>
      <c r="V913" s="338"/>
      <c r="W913" s="338"/>
      <c r="X913" s="338"/>
      <c r="Y913" s="338"/>
      <c r="Z913" s="338"/>
    </row>
    <row r="914" ht="12.75" customHeight="1">
      <c r="A914" s="321"/>
      <c r="B914" s="338"/>
      <c r="C914" s="338"/>
      <c r="D914" s="415"/>
      <c r="E914" s="338"/>
      <c r="F914" s="338"/>
      <c r="G914" s="338"/>
      <c r="H914" s="338"/>
      <c r="I914" s="338"/>
      <c r="J914" s="338"/>
      <c r="K914" s="338"/>
      <c r="L914" s="356"/>
      <c r="M914" s="356"/>
      <c r="N914" s="321"/>
      <c r="O914" s="338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</row>
    <row r="915" ht="12.75" customHeight="1">
      <c r="A915" s="321"/>
      <c r="B915" s="338"/>
      <c r="C915" s="338"/>
      <c r="D915" s="415"/>
      <c r="E915" s="338"/>
      <c r="F915" s="338"/>
      <c r="G915" s="338"/>
      <c r="H915" s="338"/>
      <c r="I915" s="338"/>
      <c r="J915" s="338"/>
      <c r="K915" s="338"/>
      <c r="L915" s="356"/>
      <c r="M915" s="356"/>
      <c r="N915" s="321"/>
      <c r="O915" s="338"/>
      <c r="P915" s="338"/>
      <c r="Q915" s="338"/>
      <c r="R915" s="338"/>
      <c r="S915" s="338"/>
      <c r="T915" s="338"/>
      <c r="U915" s="338"/>
      <c r="V915" s="338"/>
      <c r="W915" s="338"/>
      <c r="X915" s="338"/>
      <c r="Y915" s="338"/>
      <c r="Z915" s="338"/>
    </row>
    <row r="916" ht="12.75" customHeight="1">
      <c r="A916" s="321"/>
      <c r="B916" s="338"/>
      <c r="C916" s="338"/>
      <c r="D916" s="415"/>
      <c r="E916" s="338"/>
      <c r="F916" s="338"/>
      <c r="G916" s="338"/>
      <c r="H916" s="338"/>
      <c r="I916" s="338"/>
      <c r="J916" s="338"/>
      <c r="K916" s="338"/>
      <c r="L916" s="356"/>
      <c r="M916" s="356"/>
      <c r="N916" s="321"/>
      <c r="O916" s="338"/>
      <c r="P916" s="338"/>
      <c r="Q916" s="338"/>
      <c r="R916" s="338"/>
      <c r="S916" s="338"/>
      <c r="T916" s="338"/>
      <c r="U916" s="338"/>
      <c r="V916" s="338"/>
      <c r="W916" s="338"/>
      <c r="X916" s="338"/>
      <c r="Y916" s="338"/>
      <c r="Z916" s="338"/>
    </row>
    <row r="917" ht="12.75" customHeight="1">
      <c r="A917" s="321"/>
      <c r="B917" s="338"/>
      <c r="C917" s="338"/>
      <c r="D917" s="415"/>
      <c r="E917" s="338"/>
      <c r="F917" s="338"/>
      <c r="G917" s="338"/>
      <c r="H917" s="338"/>
      <c r="I917" s="338"/>
      <c r="J917" s="338"/>
      <c r="K917" s="338"/>
      <c r="L917" s="356"/>
      <c r="M917" s="356"/>
      <c r="N917" s="321"/>
      <c r="O917" s="338"/>
      <c r="P917" s="338"/>
      <c r="Q917" s="338"/>
      <c r="R917" s="338"/>
      <c r="S917" s="338"/>
      <c r="T917" s="338"/>
      <c r="U917" s="338"/>
      <c r="V917" s="338"/>
      <c r="W917" s="338"/>
      <c r="X917" s="338"/>
      <c r="Y917" s="338"/>
      <c r="Z917" s="338"/>
    </row>
    <row r="918" ht="12.75" customHeight="1">
      <c r="A918" s="321"/>
      <c r="B918" s="338"/>
      <c r="C918" s="338"/>
      <c r="D918" s="415"/>
      <c r="E918" s="338"/>
      <c r="F918" s="338"/>
      <c r="G918" s="338"/>
      <c r="H918" s="338"/>
      <c r="I918" s="338"/>
      <c r="J918" s="338"/>
      <c r="K918" s="338"/>
      <c r="L918" s="356"/>
      <c r="M918" s="356"/>
      <c r="N918" s="321"/>
      <c r="O918" s="338"/>
      <c r="P918" s="338"/>
      <c r="Q918" s="338"/>
      <c r="R918" s="338"/>
      <c r="S918" s="338"/>
      <c r="T918" s="338"/>
      <c r="U918" s="338"/>
      <c r="V918" s="338"/>
      <c r="W918" s="338"/>
      <c r="X918" s="338"/>
      <c r="Y918" s="338"/>
      <c r="Z918" s="338"/>
    </row>
    <row r="919" ht="12.75" customHeight="1">
      <c r="A919" s="321"/>
      <c r="B919" s="338"/>
      <c r="C919" s="338"/>
      <c r="D919" s="415"/>
      <c r="E919" s="338"/>
      <c r="F919" s="338"/>
      <c r="G919" s="338"/>
      <c r="H919" s="338"/>
      <c r="I919" s="338"/>
      <c r="J919" s="338"/>
      <c r="K919" s="338"/>
      <c r="L919" s="356"/>
      <c r="M919" s="356"/>
      <c r="N919" s="321"/>
      <c r="O919" s="338"/>
      <c r="P919" s="338"/>
      <c r="Q919" s="338"/>
      <c r="R919" s="338"/>
      <c r="S919" s="338"/>
      <c r="T919" s="338"/>
      <c r="U919" s="338"/>
      <c r="V919" s="338"/>
      <c r="W919" s="338"/>
      <c r="X919" s="338"/>
      <c r="Y919" s="338"/>
      <c r="Z919" s="338"/>
    </row>
    <row r="920" ht="12.75" customHeight="1">
      <c r="A920" s="321"/>
      <c r="B920" s="338"/>
      <c r="C920" s="338"/>
      <c r="D920" s="415"/>
      <c r="E920" s="338"/>
      <c r="F920" s="338"/>
      <c r="G920" s="338"/>
      <c r="H920" s="338"/>
      <c r="I920" s="338"/>
      <c r="J920" s="338"/>
      <c r="K920" s="338"/>
      <c r="L920" s="356"/>
      <c r="M920" s="356"/>
      <c r="N920" s="321"/>
      <c r="O920" s="338"/>
      <c r="P920" s="338"/>
      <c r="Q920" s="338"/>
      <c r="R920" s="338"/>
      <c r="S920" s="338"/>
      <c r="T920" s="338"/>
      <c r="U920" s="338"/>
      <c r="V920" s="338"/>
      <c r="W920" s="338"/>
      <c r="X920" s="338"/>
      <c r="Y920" s="338"/>
      <c r="Z920" s="338"/>
    </row>
    <row r="921" ht="12.75" customHeight="1">
      <c r="A921" s="321"/>
      <c r="B921" s="338"/>
      <c r="C921" s="338"/>
      <c r="D921" s="415"/>
      <c r="E921" s="338"/>
      <c r="F921" s="338"/>
      <c r="G921" s="338"/>
      <c r="H921" s="338"/>
      <c r="I921" s="338"/>
      <c r="J921" s="338"/>
      <c r="K921" s="338"/>
      <c r="L921" s="356"/>
      <c r="M921" s="356"/>
      <c r="N921" s="321"/>
      <c r="O921" s="338"/>
      <c r="P921" s="338"/>
      <c r="Q921" s="338"/>
      <c r="R921" s="338"/>
      <c r="S921" s="338"/>
      <c r="T921" s="338"/>
      <c r="U921" s="338"/>
      <c r="V921" s="338"/>
      <c r="W921" s="338"/>
      <c r="X921" s="338"/>
      <c r="Y921" s="338"/>
      <c r="Z921" s="338"/>
    </row>
    <row r="922" ht="12.75" customHeight="1">
      <c r="A922" s="321"/>
      <c r="B922" s="338"/>
      <c r="C922" s="338"/>
      <c r="D922" s="415"/>
      <c r="E922" s="338"/>
      <c r="F922" s="338"/>
      <c r="G922" s="338"/>
      <c r="H922" s="338"/>
      <c r="I922" s="338"/>
      <c r="J922" s="338"/>
      <c r="K922" s="338"/>
      <c r="L922" s="356"/>
      <c r="M922" s="356"/>
      <c r="N922" s="321"/>
      <c r="O922" s="338"/>
      <c r="P922" s="338"/>
      <c r="Q922" s="338"/>
      <c r="R922" s="338"/>
      <c r="S922" s="338"/>
      <c r="T922" s="338"/>
      <c r="U922" s="338"/>
      <c r="V922" s="338"/>
      <c r="W922" s="338"/>
      <c r="X922" s="338"/>
      <c r="Y922" s="338"/>
      <c r="Z922" s="338"/>
    </row>
    <row r="923" ht="12.75" customHeight="1">
      <c r="A923" s="321"/>
      <c r="B923" s="338"/>
      <c r="C923" s="338"/>
      <c r="D923" s="415"/>
      <c r="E923" s="338"/>
      <c r="F923" s="338"/>
      <c r="G923" s="338"/>
      <c r="H923" s="338"/>
      <c r="I923" s="338"/>
      <c r="J923" s="338"/>
      <c r="K923" s="338"/>
      <c r="L923" s="356"/>
      <c r="M923" s="356"/>
      <c r="N923" s="321"/>
      <c r="O923" s="338"/>
      <c r="P923" s="338"/>
      <c r="Q923" s="338"/>
      <c r="R923" s="338"/>
      <c r="S923" s="338"/>
      <c r="T923" s="338"/>
      <c r="U923" s="338"/>
      <c r="V923" s="338"/>
      <c r="W923" s="338"/>
      <c r="X923" s="338"/>
      <c r="Y923" s="338"/>
      <c r="Z923" s="338"/>
    </row>
    <row r="924" ht="12.75" customHeight="1">
      <c r="A924" s="321"/>
      <c r="B924" s="338"/>
      <c r="C924" s="338"/>
      <c r="D924" s="415"/>
      <c r="E924" s="338"/>
      <c r="F924" s="338"/>
      <c r="G924" s="338"/>
      <c r="H924" s="338"/>
      <c r="I924" s="338"/>
      <c r="J924" s="338"/>
      <c r="K924" s="338"/>
      <c r="L924" s="356"/>
      <c r="M924" s="356"/>
      <c r="N924" s="321"/>
      <c r="O924" s="338"/>
      <c r="P924" s="338"/>
      <c r="Q924" s="338"/>
      <c r="R924" s="338"/>
      <c r="S924" s="338"/>
      <c r="T924" s="338"/>
      <c r="U924" s="338"/>
      <c r="V924" s="338"/>
      <c r="W924" s="338"/>
      <c r="X924" s="338"/>
      <c r="Y924" s="338"/>
      <c r="Z924" s="338"/>
    </row>
    <row r="925" ht="12.75" customHeight="1">
      <c r="A925" s="321"/>
      <c r="B925" s="338"/>
      <c r="C925" s="338"/>
      <c r="D925" s="415"/>
      <c r="E925" s="338"/>
      <c r="F925" s="338"/>
      <c r="G925" s="338"/>
      <c r="H925" s="338"/>
      <c r="I925" s="338"/>
      <c r="J925" s="338"/>
      <c r="K925" s="338"/>
      <c r="L925" s="356"/>
      <c r="M925" s="356"/>
      <c r="N925" s="321"/>
      <c r="O925" s="338"/>
      <c r="P925" s="338"/>
      <c r="Q925" s="338"/>
      <c r="R925" s="338"/>
      <c r="S925" s="338"/>
      <c r="T925" s="338"/>
      <c r="U925" s="338"/>
      <c r="V925" s="338"/>
      <c r="W925" s="338"/>
      <c r="X925" s="338"/>
      <c r="Y925" s="338"/>
      <c r="Z925" s="338"/>
    </row>
    <row r="926" ht="12.75" customHeight="1">
      <c r="A926" s="321"/>
      <c r="B926" s="338"/>
      <c r="C926" s="338"/>
      <c r="D926" s="415"/>
      <c r="E926" s="338"/>
      <c r="F926" s="338"/>
      <c r="G926" s="338"/>
      <c r="H926" s="338"/>
      <c r="I926" s="338"/>
      <c r="J926" s="338"/>
      <c r="K926" s="338"/>
      <c r="L926" s="356"/>
      <c r="M926" s="356"/>
      <c r="N926" s="321"/>
      <c r="O926" s="338"/>
      <c r="P926" s="338"/>
      <c r="Q926" s="338"/>
      <c r="R926" s="338"/>
      <c r="S926" s="338"/>
      <c r="T926" s="338"/>
      <c r="U926" s="338"/>
      <c r="V926" s="338"/>
      <c r="W926" s="338"/>
      <c r="X926" s="338"/>
      <c r="Y926" s="338"/>
      <c r="Z926" s="338"/>
    </row>
    <row r="927" ht="12.75" customHeight="1">
      <c r="A927" s="321"/>
      <c r="B927" s="338"/>
      <c r="C927" s="338"/>
      <c r="D927" s="415"/>
      <c r="E927" s="338"/>
      <c r="F927" s="338"/>
      <c r="G927" s="338"/>
      <c r="H927" s="338"/>
      <c r="I927" s="338"/>
      <c r="J927" s="338"/>
      <c r="K927" s="338"/>
      <c r="L927" s="356"/>
      <c r="M927" s="356"/>
      <c r="N927" s="321"/>
      <c r="O927" s="338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</row>
    <row r="928" ht="12.75" customHeight="1">
      <c r="A928" s="321"/>
      <c r="B928" s="338"/>
      <c r="C928" s="338"/>
      <c r="D928" s="415"/>
      <c r="E928" s="338"/>
      <c r="F928" s="338"/>
      <c r="G928" s="338"/>
      <c r="H928" s="338"/>
      <c r="I928" s="338"/>
      <c r="J928" s="338"/>
      <c r="K928" s="338"/>
      <c r="L928" s="356"/>
      <c r="M928" s="356"/>
      <c r="N928" s="321"/>
      <c r="O928" s="338"/>
      <c r="P928" s="338"/>
      <c r="Q928" s="338"/>
      <c r="R928" s="338"/>
      <c r="S928" s="338"/>
      <c r="T928" s="338"/>
      <c r="U928" s="338"/>
      <c r="V928" s="338"/>
      <c r="W928" s="338"/>
      <c r="X928" s="338"/>
      <c r="Y928" s="338"/>
      <c r="Z928" s="338"/>
    </row>
    <row r="929" ht="12.75" customHeight="1">
      <c r="A929" s="321"/>
      <c r="B929" s="338"/>
      <c r="C929" s="338"/>
      <c r="D929" s="415"/>
      <c r="E929" s="338"/>
      <c r="F929" s="338"/>
      <c r="G929" s="338"/>
      <c r="H929" s="338"/>
      <c r="I929" s="338"/>
      <c r="J929" s="338"/>
      <c r="K929" s="338"/>
      <c r="L929" s="356"/>
      <c r="M929" s="356"/>
      <c r="N929" s="321"/>
      <c r="O929" s="338"/>
      <c r="P929" s="338"/>
      <c r="Q929" s="338"/>
      <c r="R929" s="338"/>
      <c r="S929" s="338"/>
      <c r="T929" s="338"/>
      <c r="U929" s="338"/>
      <c r="V929" s="338"/>
      <c r="W929" s="338"/>
      <c r="X929" s="338"/>
      <c r="Y929" s="338"/>
      <c r="Z929" s="338"/>
    </row>
    <row r="930" ht="12.75" customHeight="1">
      <c r="A930" s="321"/>
      <c r="B930" s="338"/>
      <c r="C930" s="338"/>
      <c r="D930" s="415"/>
      <c r="E930" s="338"/>
      <c r="F930" s="338"/>
      <c r="G930" s="338"/>
      <c r="H930" s="338"/>
      <c r="I930" s="338"/>
      <c r="J930" s="338"/>
      <c r="K930" s="338"/>
      <c r="L930" s="356"/>
      <c r="M930" s="356"/>
      <c r="N930" s="321"/>
      <c r="O930" s="338"/>
      <c r="P930" s="338"/>
      <c r="Q930" s="338"/>
      <c r="R930" s="338"/>
      <c r="S930" s="338"/>
      <c r="T930" s="338"/>
      <c r="U930" s="338"/>
      <c r="V930" s="338"/>
      <c r="W930" s="338"/>
      <c r="X930" s="338"/>
      <c r="Y930" s="338"/>
      <c r="Z930" s="338"/>
    </row>
    <row r="931" ht="12.75" customHeight="1">
      <c r="A931" s="321"/>
      <c r="B931" s="338"/>
      <c r="C931" s="338"/>
      <c r="D931" s="415"/>
      <c r="E931" s="338"/>
      <c r="F931" s="338"/>
      <c r="G931" s="338"/>
      <c r="H931" s="338"/>
      <c r="I931" s="338"/>
      <c r="J931" s="338"/>
      <c r="K931" s="338"/>
      <c r="L931" s="356"/>
      <c r="M931" s="356"/>
      <c r="N931" s="321"/>
      <c r="O931" s="338"/>
      <c r="P931" s="338"/>
      <c r="Q931" s="338"/>
      <c r="R931" s="338"/>
      <c r="S931" s="338"/>
      <c r="T931" s="338"/>
      <c r="U931" s="338"/>
      <c r="V931" s="338"/>
      <c r="W931" s="338"/>
      <c r="X931" s="338"/>
      <c r="Y931" s="338"/>
      <c r="Z931" s="338"/>
    </row>
    <row r="932" ht="12.75" customHeight="1">
      <c r="A932" s="321"/>
      <c r="B932" s="338"/>
      <c r="C932" s="338"/>
      <c r="D932" s="415"/>
      <c r="E932" s="338"/>
      <c r="F932" s="338"/>
      <c r="G932" s="338"/>
      <c r="H932" s="338"/>
      <c r="I932" s="338"/>
      <c r="J932" s="338"/>
      <c r="K932" s="338"/>
      <c r="L932" s="356"/>
      <c r="M932" s="356"/>
      <c r="N932" s="321"/>
      <c r="O932" s="338"/>
      <c r="P932" s="338"/>
      <c r="Q932" s="338"/>
      <c r="R932" s="338"/>
      <c r="S932" s="338"/>
      <c r="T932" s="338"/>
      <c r="U932" s="338"/>
      <c r="V932" s="338"/>
      <c r="W932" s="338"/>
      <c r="X932" s="338"/>
      <c r="Y932" s="338"/>
      <c r="Z932" s="338"/>
    </row>
    <row r="933" ht="12.75" customHeight="1">
      <c r="A933" s="321"/>
      <c r="B933" s="338"/>
      <c r="C933" s="338"/>
      <c r="D933" s="415"/>
      <c r="E933" s="338"/>
      <c r="F933" s="338"/>
      <c r="G933" s="338"/>
      <c r="H933" s="338"/>
      <c r="I933" s="338"/>
      <c r="J933" s="338"/>
      <c r="K933" s="338"/>
      <c r="L933" s="356"/>
      <c r="M933" s="356"/>
      <c r="N933" s="321"/>
      <c r="O933" s="338"/>
      <c r="P933" s="338"/>
      <c r="Q933" s="338"/>
      <c r="R933" s="338"/>
      <c r="S933" s="338"/>
      <c r="T933" s="338"/>
      <c r="U933" s="338"/>
      <c r="V933" s="338"/>
      <c r="W933" s="338"/>
      <c r="X933" s="338"/>
      <c r="Y933" s="338"/>
      <c r="Z933" s="338"/>
    </row>
    <row r="934" ht="12.75" customHeight="1">
      <c r="A934" s="321"/>
      <c r="B934" s="338"/>
      <c r="C934" s="338"/>
      <c r="D934" s="415"/>
      <c r="E934" s="338"/>
      <c r="F934" s="338"/>
      <c r="G934" s="338"/>
      <c r="H934" s="338"/>
      <c r="I934" s="338"/>
      <c r="J934" s="338"/>
      <c r="K934" s="338"/>
      <c r="L934" s="356"/>
      <c r="M934" s="356"/>
      <c r="N934" s="321"/>
      <c r="O934" s="338"/>
      <c r="P934" s="338"/>
      <c r="Q934" s="338"/>
      <c r="R934" s="338"/>
      <c r="S934" s="338"/>
      <c r="T934" s="338"/>
      <c r="U934" s="338"/>
      <c r="V934" s="338"/>
      <c r="W934" s="338"/>
      <c r="X934" s="338"/>
      <c r="Y934" s="338"/>
      <c r="Z934" s="338"/>
    </row>
    <row r="935" ht="12.75" customHeight="1">
      <c r="A935" s="321"/>
      <c r="B935" s="338"/>
      <c r="C935" s="338"/>
      <c r="D935" s="415"/>
      <c r="E935" s="338"/>
      <c r="F935" s="338"/>
      <c r="G935" s="338"/>
      <c r="H935" s="338"/>
      <c r="I935" s="338"/>
      <c r="J935" s="338"/>
      <c r="K935" s="338"/>
      <c r="L935" s="356"/>
      <c r="M935" s="356"/>
      <c r="N935" s="321"/>
      <c r="O935" s="338"/>
      <c r="P935" s="338"/>
      <c r="Q935" s="338"/>
      <c r="R935" s="338"/>
      <c r="S935" s="338"/>
      <c r="T935" s="338"/>
      <c r="U935" s="338"/>
      <c r="V935" s="338"/>
      <c r="W935" s="338"/>
      <c r="X935" s="338"/>
      <c r="Y935" s="338"/>
      <c r="Z935" s="338"/>
    </row>
    <row r="936" ht="12.75" customHeight="1">
      <c r="A936" s="321"/>
      <c r="B936" s="338"/>
      <c r="C936" s="338"/>
      <c r="D936" s="415"/>
      <c r="E936" s="338"/>
      <c r="F936" s="338"/>
      <c r="G936" s="338"/>
      <c r="H936" s="338"/>
      <c r="I936" s="338"/>
      <c r="J936" s="338"/>
      <c r="K936" s="338"/>
      <c r="L936" s="356"/>
      <c r="M936" s="356"/>
      <c r="N936" s="321"/>
      <c r="O936" s="338"/>
      <c r="P936" s="338"/>
      <c r="Q936" s="338"/>
      <c r="R936" s="338"/>
      <c r="S936" s="338"/>
      <c r="T936" s="338"/>
      <c r="U936" s="338"/>
      <c r="V936" s="338"/>
      <c r="W936" s="338"/>
      <c r="X936" s="338"/>
      <c r="Y936" s="338"/>
      <c r="Z936" s="338"/>
    </row>
    <row r="937" ht="12.75" customHeight="1">
      <c r="A937" s="321"/>
      <c r="B937" s="338"/>
      <c r="C937" s="338"/>
      <c r="D937" s="415"/>
      <c r="E937" s="338"/>
      <c r="F937" s="338"/>
      <c r="G937" s="338"/>
      <c r="H937" s="338"/>
      <c r="I937" s="338"/>
      <c r="J937" s="338"/>
      <c r="K937" s="338"/>
      <c r="L937" s="356"/>
      <c r="M937" s="356"/>
      <c r="N937" s="321"/>
      <c r="O937" s="338"/>
      <c r="P937" s="338"/>
      <c r="Q937" s="338"/>
      <c r="R937" s="338"/>
      <c r="S937" s="338"/>
      <c r="T937" s="338"/>
      <c r="U937" s="338"/>
      <c r="V937" s="338"/>
      <c r="W937" s="338"/>
      <c r="X937" s="338"/>
      <c r="Y937" s="338"/>
      <c r="Z937" s="338"/>
    </row>
    <row r="938" ht="12.75" customHeight="1">
      <c r="A938" s="321"/>
      <c r="B938" s="338"/>
      <c r="C938" s="338"/>
      <c r="D938" s="415"/>
      <c r="E938" s="338"/>
      <c r="F938" s="338"/>
      <c r="G938" s="338"/>
      <c r="H938" s="338"/>
      <c r="I938" s="338"/>
      <c r="J938" s="338"/>
      <c r="K938" s="338"/>
      <c r="L938" s="356"/>
      <c r="M938" s="356"/>
      <c r="N938" s="321"/>
      <c r="O938" s="338"/>
      <c r="P938" s="338"/>
      <c r="Q938" s="338"/>
      <c r="R938" s="338"/>
      <c r="S938" s="338"/>
      <c r="T938" s="338"/>
      <c r="U938" s="338"/>
      <c r="V938" s="338"/>
      <c r="W938" s="338"/>
      <c r="X938" s="338"/>
      <c r="Y938" s="338"/>
      <c r="Z938" s="338"/>
    </row>
    <row r="939" ht="12.75" customHeight="1">
      <c r="A939" s="321"/>
      <c r="B939" s="338"/>
      <c r="C939" s="338"/>
      <c r="D939" s="415"/>
      <c r="E939" s="338"/>
      <c r="F939" s="338"/>
      <c r="G939" s="338"/>
      <c r="H939" s="338"/>
      <c r="I939" s="338"/>
      <c r="J939" s="338"/>
      <c r="K939" s="338"/>
      <c r="L939" s="356"/>
      <c r="M939" s="356"/>
      <c r="N939" s="321"/>
      <c r="O939" s="338"/>
      <c r="P939" s="338"/>
      <c r="Q939" s="338"/>
      <c r="R939" s="338"/>
      <c r="S939" s="338"/>
      <c r="T939" s="338"/>
      <c r="U939" s="338"/>
      <c r="V939" s="338"/>
      <c r="W939" s="338"/>
      <c r="X939" s="338"/>
      <c r="Y939" s="338"/>
      <c r="Z939" s="338"/>
    </row>
    <row r="940" ht="12.75" customHeight="1">
      <c r="A940" s="321"/>
      <c r="B940" s="338"/>
      <c r="C940" s="338"/>
      <c r="D940" s="415"/>
      <c r="E940" s="338"/>
      <c r="F940" s="338"/>
      <c r="G940" s="338"/>
      <c r="H940" s="338"/>
      <c r="I940" s="338"/>
      <c r="J940" s="338"/>
      <c r="K940" s="338"/>
      <c r="L940" s="356"/>
      <c r="M940" s="356"/>
      <c r="N940" s="321"/>
      <c r="O940" s="338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</row>
    <row r="941" ht="12.75" customHeight="1">
      <c r="A941" s="321"/>
      <c r="B941" s="338"/>
      <c r="C941" s="338"/>
      <c r="D941" s="415"/>
      <c r="E941" s="338"/>
      <c r="F941" s="338"/>
      <c r="G941" s="338"/>
      <c r="H941" s="338"/>
      <c r="I941" s="338"/>
      <c r="J941" s="338"/>
      <c r="K941" s="338"/>
      <c r="L941" s="356"/>
      <c r="M941" s="356"/>
      <c r="N941" s="321"/>
      <c r="O941" s="338"/>
      <c r="P941" s="338"/>
      <c r="Q941" s="338"/>
      <c r="R941" s="338"/>
      <c r="S941" s="338"/>
      <c r="T941" s="338"/>
      <c r="U941" s="338"/>
      <c r="V941" s="338"/>
      <c r="W941" s="338"/>
      <c r="X941" s="338"/>
      <c r="Y941" s="338"/>
      <c r="Z941" s="338"/>
    </row>
    <row r="942" ht="12.75" customHeight="1">
      <c r="A942" s="321"/>
      <c r="B942" s="338"/>
      <c r="C942" s="338"/>
      <c r="D942" s="415"/>
      <c r="E942" s="338"/>
      <c r="F942" s="338"/>
      <c r="G942" s="338"/>
      <c r="H942" s="338"/>
      <c r="I942" s="338"/>
      <c r="J942" s="338"/>
      <c r="K942" s="338"/>
      <c r="L942" s="356"/>
      <c r="M942" s="356"/>
      <c r="N942" s="321"/>
      <c r="O942" s="338"/>
      <c r="P942" s="338"/>
      <c r="Q942" s="338"/>
      <c r="R942" s="338"/>
      <c r="S942" s="338"/>
      <c r="T942" s="338"/>
      <c r="U942" s="338"/>
      <c r="V942" s="338"/>
      <c r="W942" s="338"/>
      <c r="X942" s="338"/>
      <c r="Y942" s="338"/>
      <c r="Z942" s="338"/>
    </row>
    <row r="943" ht="12.75" customHeight="1">
      <c r="A943" s="321"/>
      <c r="B943" s="338"/>
      <c r="C943" s="338"/>
      <c r="D943" s="415"/>
      <c r="E943" s="338"/>
      <c r="F943" s="338"/>
      <c r="G943" s="338"/>
      <c r="H943" s="338"/>
      <c r="I943" s="338"/>
      <c r="J943" s="338"/>
      <c r="K943" s="338"/>
      <c r="L943" s="356"/>
      <c r="M943" s="356"/>
      <c r="N943" s="321"/>
      <c r="O943" s="338"/>
      <c r="P943" s="338"/>
      <c r="Q943" s="338"/>
      <c r="R943" s="338"/>
      <c r="S943" s="338"/>
      <c r="T943" s="338"/>
      <c r="U943" s="338"/>
      <c r="V943" s="338"/>
      <c r="W943" s="338"/>
      <c r="X943" s="338"/>
      <c r="Y943" s="338"/>
      <c r="Z943" s="338"/>
    </row>
    <row r="944" ht="12.75" customHeight="1">
      <c r="A944" s="321"/>
      <c r="B944" s="338"/>
      <c r="C944" s="338"/>
      <c r="D944" s="415"/>
      <c r="E944" s="338"/>
      <c r="F944" s="338"/>
      <c r="G944" s="338"/>
      <c r="H944" s="338"/>
      <c r="I944" s="338"/>
      <c r="J944" s="338"/>
      <c r="K944" s="338"/>
      <c r="L944" s="356"/>
      <c r="M944" s="356"/>
      <c r="N944" s="321"/>
      <c r="O944" s="338"/>
      <c r="P944" s="338"/>
      <c r="Q944" s="338"/>
      <c r="R944" s="338"/>
      <c r="S944" s="338"/>
      <c r="T944" s="338"/>
      <c r="U944" s="338"/>
      <c r="V944" s="338"/>
      <c r="W944" s="338"/>
      <c r="X944" s="338"/>
      <c r="Y944" s="338"/>
      <c r="Z944" s="338"/>
    </row>
    <row r="945" ht="12.75" customHeight="1">
      <c r="A945" s="321"/>
      <c r="B945" s="338"/>
      <c r="C945" s="338"/>
      <c r="D945" s="415"/>
      <c r="E945" s="338"/>
      <c r="F945" s="338"/>
      <c r="G945" s="338"/>
      <c r="H945" s="338"/>
      <c r="I945" s="338"/>
      <c r="J945" s="338"/>
      <c r="K945" s="338"/>
      <c r="L945" s="356"/>
      <c r="M945" s="356"/>
      <c r="N945" s="321"/>
      <c r="O945" s="338"/>
      <c r="P945" s="338"/>
      <c r="Q945" s="338"/>
      <c r="R945" s="338"/>
      <c r="S945" s="338"/>
      <c r="T945" s="338"/>
      <c r="U945" s="338"/>
      <c r="V945" s="338"/>
      <c r="W945" s="338"/>
      <c r="X945" s="338"/>
      <c r="Y945" s="338"/>
      <c r="Z945" s="338"/>
    </row>
    <row r="946" ht="12.75" customHeight="1">
      <c r="A946" s="321"/>
      <c r="B946" s="338"/>
      <c r="C946" s="338"/>
      <c r="D946" s="415"/>
      <c r="E946" s="338"/>
      <c r="F946" s="338"/>
      <c r="G946" s="338"/>
      <c r="H946" s="338"/>
      <c r="I946" s="338"/>
      <c r="J946" s="338"/>
      <c r="K946" s="338"/>
      <c r="L946" s="356"/>
      <c r="M946" s="356"/>
      <c r="N946" s="321"/>
      <c r="O946" s="338"/>
      <c r="P946" s="338"/>
      <c r="Q946" s="338"/>
      <c r="R946" s="338"/>
      <c r="S946" s="338"/>
      <c r="T946" s="338"/>
      <c r="U946" s="338"/>
      <c r="V946" s="338"/>
      <c r="W946" s="338"/>
      <c r="X946" s="338"/>
      <c r="Y946" s="338"/>
      <c r="Z946" s="338"/>
    </row>
    <row r="947" ht="12.75" customHeight="1">
      <c r="A947" s="321"/>
      <c r="B947" s="338"/>
      <c r="C947" s="338"/>
      <c r="D947" s="415"/>
      <c r="E947" s="338"/>
      <c r="F947" s="338"/>
      <c r="G947" s="338"/>
      <c r="H947" s="338"/>
      <c r="I947" s="338"/>
      <c r="J947" s="338"/>
      <c r="K947" s="338"/>
      <c r="L947" s="356"/>
      <c r="M947" s="356"/>
      <c r="N947" s="321"/>
      <c r="O947" s="338"/>
      <c r="P947" s="338"/>
      <c r="Q947" s="338"/>
      <c r="R947" s="338"/>
      <c r="S947" s="338"/>
      <c r="T947" s="338"/>
      <c r="U947" s="338"/>
      <c r="V947" s="338"/>
      <c r="W947" s="338"/>
      <c r="X947" s="338"/>
      <c r="Y947" s="338"/>
      <c r="Z947" s="338"/>
    </row>
    <row r="948" ht="12.75" customHeight="1">
      <c r="A948" s="321"/>
      <c r="B948" s="338"/>
      <c r="C948" s="338"/>
      <c r="D948" s="415"/>
      <c r="E948" s="338"/>
      <c r="F948" s="338"/>
      <c r="G948" s="338"/>
      <c r="H948" s="338"/>
      <c r="I948" s="338"/>
      <c r="J948" s="338"/>
      <c r="K948" s="338"/>
      <c r="L948" s="356"/>
      <c r="M948" s="356"/>
      <c r="N948" s="321"/>
      <c r="O948" s="338"/>
      <c r="P948" s="338"/>
      <c r="Q948" s="338"/>
      <c r="R948" s="338"/>
      <c r="S948" s="338"/>
      <c r="T948" s="338"/>
      <c r="U948" s="338"/>
      <c r="V948" s="338"/>
      <c r="W948" s="338"/>
      <c r="X948" s="338"/>
      <c r="Y948" s="338"/>
      <c r="Z948" s="338"/>
    </row>
    <row r="949" ht="12.75" customHeight="1">
      <c r="A949" s="321"/>
      <c r="B949" s="338"/>
      <c r="C949" s="338"/>
      <c r="D949" s="415"/>
      <c r="E949" s="338"/>
      <c r="F949" s="338"/>
      <c r="G949" s="338"/>
      <c r="H949" s="338"/>
      <c r="I949" s="338"/>
      <c r="J949" s="338"/>
      <c r="K949" s="338"/>
      <c r="L949" s="356"/>
      <c r="M949" s="356"/>
      <c r="N949" s="321"/>
      <c r="O949" s="338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338"/>
    </row>
    <row r="950" ht="12.75" customHeight="1">
      <c r="A950" s="321"/>
      <c r="B950" s="338"/>
      <c r="C950" s="338"/>
      <c r="D950" s="415"/>
      <c r="E950" s="338"/>
      <c r="F950" s="338"/>
      <c r="G950" s="338"/>
      <c r="H950" s="338"/>
      <c r="I950" s="338"/>
      <c r="J950" s="338"/>
      <c r="K950" s="338"/>
      <c r="L950" s="356"/>
      <c r="M950" s="356"/>
      <c r="N950" s="321"/>
      <c r="O950" s="338"/>
      <c r="P950" s="338"/>
      <c r="Q950" s="338"/>
      <c r="R950" s="338"/>
      <c r="S950" s="338"/>
      <c r="T950" s="338"/>
      <c r="U950" s="338"/>
      <c r="V950" s="338"/>
      <c r="W950" s="338"/>
      <c r="X950" s="338"/>
      <c r="Y950" s="338"/>
      <c r="Z950" s="338"/>
    </row>
    <row r="951" ht="12.75" customHeight="1">
      <c r="A951" s="321"/>
      <c r="B951" s="338"/>
      <c r="C951" s="338"/>
      <c r="D951" s="415"/>
      <c r="E951" s="338"/>
      <c r="F951" s="338"/>
      <c r="G951" s="338"/>
      <c r="H951" s="338"/>
      <c r="I951" s="338"/>
      <c r="J951" s="338"/>
      <c r="K951" s="338"/>
      <c r="L951" s="356"/>
      <c r="M951" s="356"/>
      <c r="N951" s="321"/>
      <c r="O951" s="338"/>
      <c r="P951" s="338"/>
      <c r="Q951" s="338"/>
      <c r="R951" s="338"/>
      <c r="S951" s="338"/>
      <c r="T951" s="338"/>
      <c r="U951" s="338"/>
      <c r="V951" s="338"/>
      <c r="W951" s="338"/>
      <c r="X951" s="338"/>
      <c r="Y951" s="338"/>
      <c r="Z951" s="338"/>
    </row>
    <row r="952" ht="12.75" customHeight="1">
      <c r="A952" s="321"/>
      <c r="B952" s="338"/>
      <c r="C952" s="338"/>
      <c r="D952" s="415"/>
      <c r="E952" s="338"/>
      <c r="F952" s="338"/>
      <c r="G952" s="338"/>
      <c r="H952" s="338"/>
      <c r="I952" s="338"/>
      <c r="J952" s="338"/>
      <c r="K952" s="338"/>
      <c r="L952" s="356"/>
      <c r="M952" s="356"/>
      <c r="N952" s="321"/>
      <c r="O952" s="338"/>
      <c r="P952" s="338"/>
      <c r="Q952" s="338"/>
      <c r="R952" s="338"/>
      <c r="S952" s="338"/>
      <c r="T952" s="338"/>
      <c r="U952" s="338"/>
      <c r="V952" s="338"/>
      <c r="W952" s="338"/>
      <c r="X952" s="338"/>
      <c r="Y952" s="338"/>
      <c r="Z952" s="338"/>
    </row>
    <row r="953" ht="12.75" customHeight="1">
      <c r="A953" s="321"/>
      <c r="B953" s="338"/>
      <c r="C953" s="338"/>
      <c r="D953" s="415"/>
      <c r="E953" s="338"/>
      <c r="F953" s="338"/>
      <c r="G953" s="338"/>
      <c r="H953" s="338"/>
      <c r="I953" s="338"/>
      <c r="J953" s="338"/>
      <c r="K953" s="338"/>
      <c r="L953" s="356"/>
      <c r="M953" s="356"/>
      <c r="N953" s="321"/>
      <c r="O953" s="338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</row>
    <row r="954" ht="12.75" customHeight="1">
      <c r="A954" s="321"/>
      <c r="B954" s="338"/>
      <c r="C954" s="338"/>
      <c r="D954" s="415"/>
      <c r="E954" s="338"/>
      <c r="F954" s="338"/>
      <c r="G954" s="338"/>
      <c r="H954" s="338"/>
      <c r="I954" s="338"/>
      <c r="J954" s="338"/>
      <c r="K954" s="338"/>
      <c r="L954" s="356"/>
      <c r="M954" s="356"/>
      <c r="N954" s="321"/>
      <c r="O954" s="338"/>
      <c r="P954" s="338"/>
      <c r="Q954" s="338"/>
      <c r="R954" s="338"/>
      <c r="S954" s="338"/>
      <c r="T954" s="338"/>
      <c r="U954" s="338"/>
      <c r="V954" s="338"/>
      <c r="W954" s="338"/>
      <c r="X954" s="338"/>
      <c r="Y954" s="338"/>
      <c r="Z954" s="338"/>
    </row>
    <row r="955" ht="12.75" customHeight="1">
      <c r="A955" s="321"/>
      <c r="B955" s="338"/>
      <c r="C955" s="338"/>
      <c r="D955" s="415"/>
      <c r="E955" s="338"/>
      <c r="F955" s="338"/>
      <c r="G955" s="338"/>
      <c r="H955" s="338"/>
      <c r="I955" s="338"/>
      <c r="J955" s="338"/>
      <c r="K955" s="338"/>
      <c r="L955" s="356"/>
      <c r="M955" s="356"/>
      <c r="N955" s="321"/>
      <c r="O955" s="338"/>
      <c r="P955" s="338"/>
      <c r="Q955" s="338"/>
      <c r="R955" s="338"/>
      <c r="S955" s="338"/>
      <c r="T955" s="338"/>
      <c r="U955" s="338"/>
      <c r="V955" s="338"/>
      <c r="W955" s="338"/>
      <c r="X955" s="338"/>
      <c r="Y955" s="338"/>
      <c r="Z955" s="338"/>
    </row>
    <row r="956" ht="12.75" customHeight="1">
      <c r="A956" s="321"/>
      <c r="B956" s="338"/>
      <c r="C956" s="338"/>
      <c r="D956" s="415"/>
      <c r="E956" s="338"/>
      <c r="F956" s="338"/>
      <c r="G956" s="338"/>
      <c r="H956" s="338"/>
      <c r="I956" s="338"/>
      <c r="J956" s="338"/>
      <c r="K956" s="338"/>
      <c r="L956" s="356"/>
      <c r="M956" s="356"/>
      <c r="N956" s="321"/>
      <c r="O956" s="338"/>
      <c r="P956" s="338"/>
      <c r="Q956" s="338"/>
      <c r="R956" s="338"/>
      <c r="S956" s="338"/>
      <c r="T956" s="338"/>
      <c r="U956" s="338"/>
      <c r="V956" s="338"/>
      <c r="W956" s="338"/>
      <c r="X956" s="338"/>
      <c r="Y956" s="338"/>
      <c r="Z956" s="338"/>
    </row>
    <row r="957" ht="12.75" customHeight="1">
      <c r="A957" s="321"/>
      <c r="B957" s="338"/>
      <c r="C957" s="338"/>
      <c r="D957" s="415"/>
      <c r="E957" s="338"/>
      <c r="F957" s="338"/>
      <c r="G957" s="338"/>
      <c r="H957" s="338"/>
      <c r="I957" s="338"/>
      <c r="J957" s="338"/>
      <c r="K957" s="338"/>
      <c r="L957" s="356"/>
      <c r="M957" s="356"/>
      <c r="N957" s="321"/>
      <c r="O957" s="338"/>
      <c r="P957" s="338"/>
      <c r="Q957" s="338"/>
      <c r="R957" s="338"/>
      <c r="S957" s="338"/>
      <c r="T957" s="338"/>
      <c r="U957" s="338"/>
      <c r="V957" s="338"/>
      <c r="W957" s="338"/>
      <c r="X957" s="338"/>
      <c r="Y957" s="338"/>
      <c r="Z957" s="338"/>
    </row>
    <row r="958" ht="12.75" customHeight="1">
      <c r="A958" s="321"/>
      <c r="B958" s="338"/>
      <c r="C958" s="338"/>
      <c r="D958" s="415"/>
      <c r="E958" s="338"/>
      <c r="F958" s="338"/>
      <c r="G958" s="338"/>
      <c r="H958" s="338"/>
      <c r="I958" s="338"/>
      <c r="J958" s="338"/>
      <c r="K958" s="338"/>
      <c r="L958" s="356"/>
      <c r="M958" s="356"/>
      <c r="N958" s="321"/>
      <c r="O958" s="338"/>
      <c r="P958" s="338"/>
      <c r="Q958" s="338"/>
      <c r="R958" s="338"/>
      <c r="S958" s="338"/>
      <c r="T958" s="338"/>
      <c r="U958" s="338"/>
      <c r="V958" s="338"/>
      <c r="W958" s="338"/>
      <c r="X958" s="338"/>
      <c r="Y958" s="338"/>
      <c r="Z958" s="338"/>
    </row>
    <row r="959" ht="12.75" customHeight="1">
      <c r="A959" s="321"/>
      <c r="B959" s="338"/>
      <c r="C959" s="338"/>
      <c r="D959" s="415"/>
      <c r="E959" s="338"/>
      <c r="F959" s="338"/>
      <c r="G959" s="338"/>
      <c r="H959" s="338"/>
      <c r="I959" s="338"/>
      <c r="J959" s="338"/>
      <c r="K959" s="338"/>
      <c r="L959" s="356"/>
      <c r="M959" s="356"/>
      <c r="N959" s="321"/>
      <c r="O959" s="338"/>
      <c r="P959" s="338"/>
      <c r="Q959" s="338"/>
      <c r="R959" s="338"/>
      <c r="S959" s="338"/>
      <c r="T959" s="338"/>
      <c r="U959" s="338"/>
      <c r="V959" s="338"/>
      <c r="W959" s="338"/>
      <c r="X959" s="338"/>
      <c r="Y959" s="338"/>
      <c r="Z959" s="338"/>
    </row>
    <row r="960" ht="12.75" customHeight="1">
      <c r="A960" s="321"/>
      <c r="B960" s="338"/>
      <c r="C960" s="338"/>
      <c r="D960" s="415"/>
      <c r="E960" s="338"/>
      <c r="F960" s="338"/>
      <c r="G960" s="338"/>
      <c r="H960" s="338"/>
      <c r="I960" s="338"/>
      <c r="J960" s="338"/>
      <c r="K960" s="338"/>
      <c r="L960" s="356"/>
      <c r="M960" s="356"/>
      <c r="N960" s="321"/>
      <c r="O960" s="338"/>
      <c r="P960" s="338"/>
      <c r="Q960" s="338"/>
      <c r="R960" s="338"/>
      <c r="S960" s="338"/>
      <c r="T960" s="338"/>
      <c r="U960" s="338"/>
      <c r="V960" s="338"/>
      <c r="W960" s="338"/>
      <c r="X960" s="338"/>
      <c r="Y960" s="338"/>
      <c r="Z960" s="338"/>
    </row>
    <row r="961" ht="12.75" customHeight="1">
      <c r="A961" s="321"/>
      <c r="B961" s="338"/>
      <c r="C961" s="338"/>
      <c r="D961" s="415"/>
      <c r="E961" s="338"/>
      <c r="F961" s="338"/>
      <c r="G961" s="338"/>
      <c r="H961" s="338"/>
      <c r="I961" s="338"/>
      <c r="J961" s="338"/>
      <c r="K961" s="338"/>
      <c r="L961" s="356"/>
      <c r="M961" s="356"/>
      <c r="N961" s="321"/>
      <c r="O961" s="338"/>
      <c r="P961" s="338"/>
      <c r="Q961" s="338"/>
      <c r="R961" s="338"/>
      <c r="S961" s="338"/>
      <c r="T961" s="338"/>
      <c r="U961" s="338"/>
      <c r="V961" s="338"/>
      <c r="W961" s="338"/>
      <c r="X961" s="338"/>
      <c r="Y961" s="338"/>
      <c r="Z961" s="338"/>
    </row>
    <row r="962" ht="12.75" customHeight="1">
      <c r="A962" s="321"/>
      <c r="B962" s="338"/>
      <c r="C962" s="338"/>
      <c r="D962" s="415"/>
      <c r="E962" s="338"/>
      <c r="F962" s="338"/>
      <c r="G962" s="338"/>
      <c r="H962" s="338"/>
      <c r="I962" s="338"/>
      <c r="J962" s="338"/>
      <c r="K962" s="338"/>
      <c r="L962" s="356"/>
      <c r="M962" s="356"/>
      <c r="N962" s="321"/>
      <c r="O962" s="338"/>
      <c r="P962" s="338"/>
      <c r="Q962" s="338"/>
      <c r="R962" s="338"/>
      <c r="S962" s="338"/>
      <c r="T962" s="338"/>
      <c r="U962" s="338"/>
      <c r="V962" s="338"/>
      <c r="W962" s="338"/>
      <c r="X962" s="338"/>
      <c r="Y962" s="338"/>
      <c r="Z962" s="338"/>
    </row>
    <row r="963" ht="12.75" customHeight="1">
      <c r="A963" s="321"/>
      <c r="B963" s="338"/>
      <c r="C963" s="338"/>
      <c r="D963" s="415"/>
      <c r="E963" s="338"/>
      <c r="F963" s="338"/>
      <c r="G963" s="338"/>
      <c r="H963" s="338"/>
      <c r="I963" s="338"/>
      <c r="J963" s="338"/>
      <c r="K963" s="338"/>
      <c r="L963" s="356"/>
      <c r="M963" s="356"/>
      <c r="N963" s="321"/>
      <c r="O963" s="338"/>
      <c r="P963" s="338"/>
      <c r="Q963" s="338"/>
      <c r="R963" s="338"/>
      <c r="S963" s="338"/>
      <c r="T963" s="338"/>
      <c r="U963" s="338"/>
      <c r="V963" s="338"/>
      <c r="W963" s="338"/>
      <c r="X963" s="338"/>
      <c r="Y963" s="338"/>
      <c r="Z963" s="338"/>
    </row>
    <row r="964" ht="12.75" customHeight="1">
      <c r="A964" s="321"/>
      <c r="B964" s="338"/>
      <c r="C964" s="338"/>
      <c r="D964" s="415"/>
      <c r="E964" s="338"/>
      <c r="F964" s="338"/>
      <c r="G964" s="338"/>
      <c r="H964" s="338"/>
      <c r="I964" s="338"/>
      <c r="J964" s="338"/>
      <c r="K964" s="338"/>
      <c r="L964" s="356"/>
      <c r="M964" s="356"/>
      <c r="N964" s="321"/>
      <c r="O964" s="338"/>
      <c r="P964" s="338"/>
      <c r="Q964" s="338"/>
      <c r="R964" s="338"/>
      <c r="S964" s="338"/>
      <c r="T964" s="338"/>
      <c r="U964" s="338"/>
      <c r="V964" s="338"/>
      <c r="W964" s="338"/>
      <c r="X964" s="338"/>
      <c r="Y964" s="338"/>
      <c r="Z964" s="338"/>
    </row>
    <row r="965" ht="12.75" customHeight="1">
      <c r="A965" s="321"/>
      <c r="B965" s="338"/>
      <c r="C965" s="338"/>
      <c r="D965" s="415"/>
      <c r="E965" s="338"/>
      <c r="F965" s="338"/>
      <c r="G965" s="338"/>
      <c r="H965" s="338"/>
      <c r="I965" s="338"/>
      <c r="J965" s="338"/>
      <c r="K965" s="338"/>
      <c r="L965" s="356"/>
      <c r="M965" s="356"/>
      <c r="N965" s="321"/>
      <c r="O965" s="338"/>
      <c r="P965" s="338"/>
      <c r="Q965" s="338"/>
      <c r="R965" s="338"/>
      <c r="S965" s="338"/>
      <c r="T965" s="338"/>
      <c r="U965" s="338"/>
      <c r="V965" s="338"/>
      <c r="W965" s="338"/>
      <c r="X965" s="338"/>
      <c r="Y965" s="338"/>
      <c r="Z965" s="338"/>
    </row>
    <row r="966" ht="12.75" customHeight="1">
      <c r="A966" s="321"/>
      <c r="B966" s="338"/>
      <c r="C966" s="338"/>
      <c r="D966" s="415"/>
      <c r="E966" s="338"/>
      <c r="F966" s="338"/>
      <c r="G966" s="338"/>
      <c r="H966" s="338"/>
      <c r="I966" s="338"/>
      <c r="J966" s="338"/>
      <c r="K966" s="338"/>
      <c r="L966" s="356"/>
      <c r="M966" s="356"/>
      <c r="N966" s="321"/>
      <c r="O966" s="338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</row>
    <row r="967" ht="12.75" customHeight="1">
      <c r="A967" s="321"/>
      <c r="B967" s="338"/>
      <c r="C967" s="338"/>
      <c r="D967" s="415"/>
      <c r="E967" s="338"/>
      <c r="F967" s="338"/>
      <c r="G967" s="338"/>
      <c r="H967" s="338"/>
      <c r="I967" s="338"/>
      <c r="J967" s="338"/>
      <c r="K967" s="338"/>
      <c r="L967" s="356"/>
      <c r="M967" s="356"/>
      <c r="N967" s="321"/>
      <c r="O967" s="338"/>
      <c r="P967" s="338"/>
      <c r="Q967" s="338"/>
      <c r="R967" s="338"/>
      <c r="S967" s="338"/>
      <c r="T967" s="338"/>
      <c r="U967" s="338"/>
      <c r="V967" s="338"/>
      <c r="W967" s="338"/>
      <c r="X967" s="338"/>
      <c r="Y967" s="338"/>
      <c r="Z967" s="338"/>
    </row>
    <row r="968" ht="12.75" customHeight="1">
      <c r="A968" s="321"/>
      <c r="B968" s="338"/>
      <c r="C968" s="338"/>
      <c r="D968" s="415"/>
      <c r="E968" s="338"/>
      <c r="F968" s="338"/>
      <c r="G968" s="338"/>
      <c r="H968" s="338"/>
      <c r="I968" s="338"/>
      <c r="J968" s="338"/>
      <c r="K968" s="338"/>
      <c r="L968" s="356"/>
      <c r="M968" s="356"/>
      <c r="N968" s="321"/>
      <c r="O968" s="338"/>
      <c r="P968" s="338"/>
      <c r="Q968" s="338"/>
      <c r="R968" s="338"/>
      <c r="S968" s="338"/>
      <c r="T968" s="338"/>
      <c r="U968" s="338"/>
      <c r="V968" s="338"/>
      <c r="W968" s="338"/>
      <c r="X968" s="338"/>
      <c r="Y968" s="338"/>
      <c r="Z968" s="338"/>
    </row>
    <row r="969" ht="12.75" customHeight="1">
      <c r="A969" s="321"/>
      <c r="B969" s="338"/>
      <c r="C969" s="338"/>
      <c r="D969" s="415"/>
      <c r="E969" s="338"/>
      <c r="F969" s="338"/>
      <c r="G969" s="338"/>
      <c r="H969" s="338"/>
      <c r="I969" s="338"/>
      <c r="J969" s="338"/>
      <c r="K969" s="338"/>
      <c r="L969" s="356"/>
      <c r="M969" s="356"/>
      <c r="N969" s="321"/>
      <c r="O969" s="338"/>
      <c r="P969" s="338"/>
      <c r="Q969" s="338"/>
      <c r="R969" s="338"/>
      <c r="S969" s="338"/>
      <c r="T969" s="338"/>
      <c r="U969" s="338"/>
      <c r="V969" s="338"/>
      <c r="W969" s="338"/>
      <c r="X969" s="338"/>
      <c r="Y969" s="338"/>
      <c r="Z969" s="338"/>
    </row>
    <row r="970" ht="12.75" customHeight="1">
      <c r="A970" s="321"/>
      <c r="B970" s="338"/>
      <c r="C970" s="338"/>
      <c r="D970" s="415"/>
      <c r="E970" s="338"/>
      <c r="F970" s="338"/>
      <c r="G970" s="338"/>
      <c r="H970" s="338"/>
      <c r="I970" s="338"/>
      <c r="J970" s="338"/>
      <c r="K970" s="338"/>
      <c r="L970" s="356"/>
      <c r="M970" s="356"/>
      <c r="N970" s="321"/>
      <c r="O970" s="338"/>
      <c r="P970" s="338"/>
      <c r="Q970" s="338"/>
      <c r="R970" s="338"/>
      <c r="S970" s="338"/>
      <c r="T970" s="338"/>
      <c r="U970" s="338"/>
      <c r="V970" s="338"/>
      <c r="W970" s="338"/>
      <c r="X970" s="338"/>
      <c r="Y970" s="338"/>
      <c r="Z970" s="338"/>
    </row>
    <row r="971" ht="12.75" customHeight="1">
      <c r="A971" s="321"/>
      <c r="B971" s="338"/>
      <c r="C971" s="338"/>
      <c r="D971" s="415"/>
      <c r="E971" s="338"/>
      <c r="F971" s="338"/>
      <c r="G971" s="338"/>
      <c r="H971" s="338"/>
      <c r="I971" s="338"/>
      <c r="J971" s="338"/>
      <c r="K971" s="338"/>
      <c r="L971" s="356"/>
      <c r="M971" s="356"/>
      <c r="N971" s="321"/>
      <c r="O971" s="338"/>
      <c r="P971" s="338"/>
      <c r="Q971" s="338"/>
      <c r="R971" s="338"/>
      <c r="S971" s="338"/>
      <c r="T971" s="338"/>
      <c r="U971" s="338"/>
      <c r="V971" s="338"/>
      <c r="W971" s="338"/>
      <c r="X971" s="338"/>
      <c r="Y971" s="338"/>
      <c r="Z971" s="338"/>
    </row>
    <row r="972" ht="12.75" customHeight="1">
      <c r="A972" s="321"/>
      <c r="B972" s="338"/>
      <c r="C972" s="338"/>
      <c r="D972" s="415"/>
      <c r="E972" s="338"/>
      <c r="F972" s="338"/>
      <c r="G972" s="338"/>
      <c r="H972" s="338"/>
      <c r="I972" s="338"/>
      <c r="J972" s="338"/>
      <c r="K972" s="338"/>
      <c r="L972" s="356"/>
      <c r="M972" s="356"/>
      <c r="N972" s="321"/>
      <c r="O972" s="338"/>
      <c r="P972" s="338"/>
      <c r="Q972" s="338"/>
      <c r="R972" s="338"/>
      <c r="S972" s="338"/>
      <c r="T972" s="338"/>
      <c r="U972" s="338"/>
      <c r="V972" s="338"/>
      <c r="W972" s="338"/>
      <c r="X972" s="338"/>
      <c r="Y972" s="338"/>
      <c r="Z972" s="338"/>
    </row>
    <row r="973" ht="12.75" customHeight="1">
      <c r="A973" s="321"/>
      <c r="B973" s="338"/>
      <c r="C973" s="338"/>
      <c r="D973" s="415"/>
      <c r="E973" s="338"/>
      <c r="F973" s="338"/>
      <c r="G973" s="338"/>
      <c r="H973" s="338"/>
      <c r="I973" s="338"/>
      <c r="J973" s="338"/>
      <c r="K973" s="338"/>
      <c r="L973" s="356"/>
      <c r="M973" s="356"/>
      <c r="N973" s="321"/>
      <c r="O973" s="338"/>
      <c r="P973" s="338"/>
      <c r="Q973" s="338"/>
      <c r="R973" s="338"/>
      <c r="S973" s="338"/>
      <c r="T973" s="338"/>
      <c r="U973" s="338"/>
      <c r="V973" s="338"/>
      <c r="W973" s="338"/>
      <c r="X973" s="338"/>
      <c r="Y973" s="338"/>
      <c r="Z973" s="338"/>
    </row>
    <row r="974" ht="12.75" customHeight="1">
      <c r="A974" s="321"/>
      <c r="B974" s="338"/>
      <c r="C974" s="338"/>
      <c r="D974" s="415"/>
      <c r="E974" s="338"/>
      <c r="F974" s="338"/>
      <c r="G974" s="338"/>
      <c r="H974" s="338"/>
      <c r="I974" s="338"/>
      <c r="J974" s="338"/>
      <c r="K974" s="338"/>
      <c r="L974" s="356"/>
      <c r="M974" s="356"/>
      <c r="N974" s="321"/>
      <c r="O974" s="338"/>
      <c r="P974" s="338"/>
      <c r="Q974" s="338"/>
      <c r="R974" s="338"/>
      <c r="S974" s="338"/>
      <c r="T974" s="338"/>
      <c r="U974" s="338"/>
      <c r="V974" s="338"/>
      <c r="W974" s="338"/>
      <c r="X974" s="338"/>
      <c r="Y974" s="338"/>
      <c r="Z974" s="338"/>
    </row>
    <row r="975" ht="12.75" customHeight="1">
      <c r="A975" s="321"/>
      <c r="B975" s="338"/>
      <c r="C975" s="338"/>
      <c r="D975" s="415"/>
      <c r="E975" s="338"/>
      <c r="F975" s="338"/>
      <c r="G975" s="338"/>
      <c r="H975" s="338"/>
      <c r="I975" s="338"/>
      <c r="J975" s="338"/>
      <c r="K975" s="338"/>
      <c r="L975" s="356"/>
      <c r="M975" s="356"/>
      <c r="N975" s="321"/>
      <c r="O975" s="338"/>
      <c r="P975" s="338"/>
      <c r="Q975" s="338"/>
      <c r="R975" s="338"/>
      <c r="S975" s="338"/>
      <c r="T975" s="338"/>
      <c r="U975" s="338"/>
      <c r="V975" s="338"/>
      <c r="W975" s="338"/>
      <c r="X975" s="338"/>
      <c r="Y975" s="338"/>
      <c r="Z975" s="338"/>
    </row>
    <row r="976" ht="12.75" customHeight="1">
      <c r="A976" s="321"/>
      <c r="B976" s="338"/>
      <c r="C976" s="338"/>
      <c r="D976" s="415"/>
      <c r="E976" s="338"/>
      <c r="F976" s="338"/>
      <c r="G976" s="338"/>
      <c r="H976" s="338"/>
      <c r="I976" s="338"/>
      <c r="J976" s="338"/>
      <c r="K976" s="338"/>
      <c r="L976" s="356"/>
      <c r="M976" s="356"/>
      <c r="N976" s="321"/>
      <c r="O976" s="338"/>
      <c r="P976" s="338"/>
      <c r="Q976" s="338"/>
      <c r="R976" s="338"/>
      <c r="S976" s="338"/>
      <c r="T976" s="338"/>
      <c r="U976" s="338"/>
      <c r="V976" s="338"/>
      <c r="W976" s="338"/>
      <c r="X976" s="338"/>
      <c r="Y976" s="338"/>
      <c r="Z976" s="338"/>
    </row>
    <row r="977" ht="12.75" customHeight="1">
      <c r="A977" s="321"/>
      <c r="B977" s="338"/>
      <c r="C977" s="338"/>
      <c r="D977" s="415"/>
      <c r="E977" s="338"/>
      <c r="F977" s="338"/>
      <c r="G977" s="338"/>
      <c r="H977" s="338"/>
      <c r="I977" s="338"/>
      <c r="J977" s="338"/>
      <c r="K977" s="338"/>
      <c r="L977" s="356"/>
      <c r="M977" s="356"/>
      <c r="N977" s="321"/>
      <c r="O977" s="338"/>
      <c r="P977" s="338"/>
      <c r="Q977" s="338"/>
      <c r="R977" s="338"/>
      <c r="S977" s="338"/>
      <c r="T977" s="338"/>
      <c r="U977" s="338"/>
      <c r="V977" s="338"/>
      <c r="W977" s="338"/>
      <c r="X977" s="338"/>
      <c r="Y977" s="338"/>
      <c r="Z977" s="338"/>
    </row>
    <row r="978" ht="12.75" customHeight="1">
      <c r="A978" s="321"/>
      <c r="B978" s="338"/>
      <c r="C978" s="338"/>
      <c r="D978" s="415"/>
      <c r="E978" s="338"/>
      <c r="F978" s="338"/>
      <c r="G978" s="338"/>
      <c r="H978" s="338"/>
      <c r="I978" s="338"/>
      <c r="J978" s="338"/>
      <c r="K978" s="338"/>
      <c r="L978" s="356"/>
      <c r="M978" s="356"/>
      <c r="N978" s="321"/>
      <c r="O978" s="338"/>
      <c r="P978" s="338"/>
      <c r="Q978" s="338"/>
      <c r="R978" s="338"/>
      <c r="S978" s="338"/>
      <c r="T978" s="338"/>
      <c r="U978" s="338"/>
      <c r="V978" s="338"/>
      <c r="W978" s="338"/>
      <c r="X978" s="338"/>
      <c r="Y978" s="338"/>
      <c r="Z978" s="338"/>
    </row>
    <row r="979" ht="12.75" customHeight="1">
      <c r="A979" s="321"/>
      <c r="B979" s="338"/>
      <c r="C979" s="338"/>
      <c r="D979" s="415"/>
      <c r="E979" s="338"/>
      <c r="F979" s="338"/>
      <c r="G979" s="338"/>
      <c r="H979" s="338"/>
      <c r="I979" s="338"/>
      <c r="J979" s="338"/>
      <c r="K979" s="338"/>
      <c r="L979" s="356"/>
      <c r="M979" s="356"/>
      <c r="N979" s="321"/>
      <c r="O979" s="338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</row>
    <row r="980" ht="12.75" customHeight="1">
      <c r="A980" s="321"/>
      <c r="B980" s="338"/>
      <c r="C980" s="338"/>
      <c r="D980" s="415"/>
      <c r="E980" s="338"/>
      <c r="F980" s="338"/>
      <c r="G980" s="338"/>
      <c r="H980" s="338"/>
      <c r="I980" s="338"/>
      <c r="J980" s="338"/>
      <c r="K980" s="338"/>
      <c r="L980" s="356"/>
      <c r="M980" s="356"/>
      <c r="N980" s="321"/>
      <c r="O980" s="338"/>
      <c r="P980" s="338"/>
      <c r="Q980" s="338"/>
      <c r="R980" s="338"/>
      <c r="S980" s="338"/>
      <c r="T980" s="338"/>
      <c r="U980" s="338"/>
      <c r="V980" s="338"/>
      <c r="W980" s="338"/>
      <c r="X980" s="338"/>
      <c r="Y980" s="338"/>
      <c r="Z980" s="338"/>
    </row>
    <row r="981" ht="12.75" customHeight="1">
      <c r="A981" s="321"/>
      <c r="B981" s="338"/>
      <c r="C981" s="338"/>
      <c r="D981" s="415"/>
      <c r="E981" s="338"/>
      <c r="F981" s="338"/>
      <c r="G981" s="338"/>
      <c r="H981" s="338"/>
      <c r="I981" s="338"/>
      <c r="J981" s="338"/>
      <c r="K981" s="338"/>
      <c r="L981" s="356"/>
      <c r="M981" s="356"/>
      <c r="N981" s="321"/>
      <c r="O981" s="338"/>
      <c r="P981" s="338"/>
      <c r="Q981" s="338"/>
      <c r="R981" s="338"/>
      <c r="S981" s="338"/>
      <c r="T981" s="338"/>
      <c r="U981" s="338"/>
      <c r="V981" s="338"/>
      <c r="W981" s="338"/>
      <c r="X981" s="338"/>
      <c r="Y981" s="338"/>
      <c r="Z981" s="338"/>
    </row>
    <row r="982" ht="12.75" customHeight="1">
      <c r="A982" s="321"/>
      <c r="B982" s="338"/>
      <c r="C982" s="338"/>
      <c r="D982" s="415"/>
      <c r="E982" s="338"/>
      <c r="F982" s="338"/>
      <c r="G982" s="338"/>
      <c r="H982" s="338"/>
      <c r="I982" s="338"/>
      <c r="J982" s="338"/>
      <c r="K982" s="338"/>
      <c r="L982" s="356"/>
      <c r="M982" s="356"/>
      <c r="N982" s="321"/>
      <c r="O982" s="338"/>
      <c r="P982" s="338"/>
      <c r="Q982" s="338"/>
      <c r="R982" s="338"/>
      <c r="S982" s="338"/>
      <c r="T982" s="338"/>
      <c r="U982" s="338"/>
      <c r="V982" s="338"/>
      <c r="W982" s="338"/>
      <c r="X982" s="338"/>
      <c r="Y982" s="338"/>
      <c r="Z982" s="338"/>
    </row>
    <row r="983" ht="12.75" customHeight="1">
      <c r="A983" s="321"/>
      <c r="B983" s="338"/>
      <c r="C983" s="338"/>
      <c r="D983" s="415"/>
      <c r="E983" s="338"/>
      <c r="F983" s="338"/>
      <c r="G983" s="338"/>
      <c r="H983" s="338"/>
      <c r="I983" s="338"/>
      <c r="J983" s="338"/>
      <c r="K983" s="338"/>
      <c r="L983" s="356"/>
      <c r="M983" s="356"/>
      <c r="N983" s="321"/>
      <c r="O983" s="338"/>
      <c r="P983" s="338"/>
      <c r="Q983" s="338"/>
      <c r="R983" s="338"/>
      <c r="S983" s="338"/>
      <c r="T983" s="338"/>
      <c r="U983" s="338"/>
      <c r="V983" s="338"/>
      <c r="W983" s="338"/>
      <c r="X983" s="338"/>
      <c r="Y983" s="338"/>
      <c r="Z983" s="338"/>
    </row>
    <row r="984" ht="12.75" customHeight="1">
      <c r="A984" s="321"/>
      <c r="B984" s="338"/>
      <c r="C984" s="338"/>
      <c r="D984" s="415"/>
      <c r="E984" s="338"/>
      <c r="F984" s="338"/>
      <c r="G984" s="338"/>
      <c r="H984" s="338"/>
      <c r="I984" s="338"/>
      <c r="J984" s="338"/>
      <c r="K984" s="338"/>
      <c r="L984" s="356"/>
      <c r="M984" s="356"/>
      <c r="N984" s="321"/>
      <c r="O984" s="338"/>
      <c r="P984" s="338"/>
      <c r="Q984" s="338"/>
      <c r="R984" s="338"/>
      <c r="S984" s="338"/>
      <c r="T984" s="338"/>
      <c r="U984" s="338"/>
      <c r="V984" s="338"/>
      <c r="W984" s="338"/>
      <c r="X984" s="338"/>
      <c r="Y984" s="338"/>
      <c r="Z984" s="338"/>
    </row>
    <row r="985" ht="12.75" customHeight="1">
      <c r="A985" s="321"/>
      <c r="B985" s="338"/>
      <c r="C985" s="338"/>
      <c r="D985" s="415"/>
      <c r="E985" s="338"/>
      <c r="F985" s="338"/>
      <c r="G985" s="338"/>
      <c r="H985" s="338"/>
      <c r="I985" s="338"/>
      <c r="J985" s="338"/>
      <c r="K985" s="338"/>
      <c r="L985" s="356"/>
      <c r="M985" s="356"/>
      <c r="N985" s="321"/>
      <c r="O985" s="338"/>
      <c r="P985" s="338"/>
      <c r="Q985" s="338"/>
      <c r="R985" s="338"/>
      <c r="S985" s="338"/>
      <c r="T985" s="338"/>
      <c r="U985" s="338"/>
      <c r="V985" s="338"/>
      <c r="W985" s="338"/>
      <c r="X985" s="338"/>
      <c r="Y985" s="338"/>
      <c r="Z985" s="338"/>
    </row>
    <row r="986" ht="12.75" customHeight="1">
      <c r="A986" s="321"/>
      <c r="B986" s="338"/>
      <c r="C986" s="338"/>
      <c r="D986" s="415"/>
      <c r="E986" s="338"/>
      <c r="F986" s="338"/>
      <c r="G986" s="338"/>
      <c r="H986" s="338"/>
      <c r="I986" s="338"/>
      <c r="J986" s="338"/>
      <c r="K986" s="338"/>
      <c r="L986" s="356"/>
      <c r="M986" s="356"/>
      <c r="N986" s="321"/>
      <c r="O986" s="338"/>
      <c r="P986" s="338"/>
      <c r="Q986" s="338"/>
      <c r="R986" s="338"/>
      <c r="S986" s="338"/>
      <c r="T986" s="338"/>
      <c r="U986" s="338"/>
      <c r="V986" s="338"/>
      <c r="W986" s="338"/>
      <c r="X986" s="338"/>
      <c r="Y986" s="338"/>
      <c r="Z986" s="338"/>
    </row>
    <row r="987" ht="12.75" customHeight="1">
      <c r="A987" s="321"/>
      <c r="B987" s="338"/>
      <c r="C987" s="338"/>
      <c r="D987" s="415"/>
      <c r="E987" s="338"/>
      <c r="F987" s="338"/>
      <c r="G987" s="338"/>
      <c r="H987" s="338"/>
      <c r="I987" s="338"/>
      <c r="J987" s="338"/>
      <c r="K987" s="338"/>
      <c r="L987" s="356"/>
      <c r="M987" s="356"/>
      <c r="N987" s="321"/>
      <c r="O987" s="338"/>
      <c r="P987" s="338"/>
      <c r="Q987" s="338"/>
      <c r="R987" s="338"/>
      <c r="S987" s="338"/>
      <c r="T987" s="338"/>
      <c r="U987" s="338"/>
      <c r="V987" s="338"/>
      <c r="W987" s="338"/>
      <c r="X987" s="338"/>
      <c r="Y987" s="338"/>
      <c r="Z987" s="338"/>
    </row>
    <row r="988" ht="12.75" customHeight="1">
      <c r="A988" s="321"/>
      <c r="B988" s="338"/>
      <c r="C988" s="338"/>
      <c r="D988" s="415"/>
      <c r="E988" s="338"/>
      <c r="F988" s="338"/>
      <c r="G988" s="338"/>
      <c r="H988" s="338"/>
      <c r="I988" s="338"/>
      <c r="J988" s="338"/>
      <c r="K988" s="338"/>
      <c r="L988" s="356"/>
      <c r="M988" s="356"/>
      <c r="N988" s="321"/>
      <c r="O988" s="338"/>
      <c r="P988" s="338"/>
      <c r="Q988" s="338"/>
      <c r="R988" s="338"/>
      <c r="S988" s="338"/>
      <c r="T988" s="338"/>
      <c r="U988" s="338"/>
      <c r="V988" s="338"/>
      <c r="W988" s="338"/>
      <c r="X988" s="338"/>
      <c r="Y988" s="338"/>
      <c r="Z988" s="338"/>
    </row>
    <row r="989" ht="12.75" customHeight="1">
      <c r="A989" s="321"/>
      <c r="B989" s="338"/>
      <c r="C989" s="338"/>
      <c r="D989" s="415"/>
      <c r="E989" s="338"/>
      <c r="F989" s="338"/>
      <c r="G989" s="338"/>
      <c r="H989" s="338"/>
      <c r="I989" s="338"/>
      <c r="J989" s="338"/>
      <c r="K989" s="338"/>
      <c r="L989" s="356"/>
      <c r="M989" s="356"/>
      <c r="N989" s="321"/>
      <c r="O989" s="338"/>
      <c r="P989" s="338"/>
      <c r="Q989" s="338"/>
      <c r="R989" s="338"/>
      <c r="S989" s="338"/>
      <c r="T989" s="338"/>
      <c r="U989" s="338"/>
      <c r="V989" s="338"/>
      <c r="W989" s="338"/>
      <c r="X989" s="338"/>
      <c r="Y989" s="338"/>
      <c r="Z989" s="338"/>
    </row>
    <row r="990" ht="12.75" customHeight="1">
      <c r="A990" s="321"/>
      <c r="B990" s="338"/>
      <c r="C990" s="338"/>
      <c r="D990" s="415"/>
      <c r="E990" s="338"/>
      <c r="F990" s="338"/>
      <c r="G990" s="338"/>
      <c r="H990" s="338"/>
      <c r="I990" s="338"/>
      <c r="J990" s="338"/>
      <c r="K990" s="338"/>
      <c r="L990" s="356"/>
      <c r="M990" s="356"/>
      <c r="N990" s="321"/>
      <c r="O990" s="338"/>
      <c r="P990" s="338"/>
      <c r="Q990" s="338"/>
      <c r="R990" s="338"/>
      <c r="S990" s="338"/>
      <c r="T990" s="338"/>
      <c r="U990" s="338"/>
      <c r="V990" s="338"/>
      <c r="W990" s="338"/>
      <c r="X990" s="338"/>
      <c r="Y990" s="338"/>
      <c r="Z990" s="338"/>
    </row>
    <row r="991" ht="12.75" customHeight="1">
      <c r="A991" s="321"/>
      <c r="B991" s="338"/>
      <c r="C991" s="338"/>
      <c r="D991" s="415"/>
      <c r="E991" s="338"/>
      <c r="F991" s="338"/>
      <c r="G991" s="338"/>
      <c r="H991" s="338"/>
      <c r="I991" s="338"/>
      <c r="J991" s="338"/>
      <c r="K991" s="338"/>
      <c r="L991" s="356"/>
      <c r="M991" s="356"/>
      <c r="N991" s="321"/>
      <c r="O991" s="338"/>
      <c r="P991" s="338"/>
      <c r="Q991" s="338"/>
      <c r="R991" s="338"/>
      <c r="S991" s="338"/>
      <c r="T991" s="338"/>
      <c r="U991" s="338"/>
      <c r="V991" s="338"/>
      <c r="W991" s="338"/>
      <c r="X991" s="338"/>
      <c r="Y991" s="338"/>
      <c r="Z991" s="338"/>
    </row>
    <row r="992" ht="12.75" customHeight="1">
      <c r="A992" s="321"/>
      <c r="B992" s="338"/>
      <c r="C992" s="338"/>
      <c r="D992" s="415"/>
      <c r="E992" s="338"/>
      <c r="F992" s="338"/>
      <c r="G992" s="338"/>
      <c r="H992" s="338"/>
      <c r="I992" s="338"/>
      <c r="J992" s="338"/>
      <c r="K992" s="338"/>
      <c r="L992" s="356"/>
      <c r="M992" s="356"/>
      <c r="N992" s="321"/>
      <c r="O992" s="338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</row>
    <row r="993" ht="12.75" customHeight="1">
      <c r="A993" s="321"/>
      <c r="B993" s="338"/>
      <c r="C993" s="338"/>
      <c r="D993" s="415"/>
      <c r="E993" s="338"/>
      <c r="F993" s="338"/>
      <c r="G993" s="338"/>
      <c r="H993" s="338"/>
      <c r="I993" s="338"/>
      <c r="J993" s="338"/>
      <c r="K993" s="338"/>
      <c r="L993" s="356"/>
      <c r="M993" s="356"/>
      <c r="N993" s="321"/>
      <c r="O993" s="338"/>
      <c r="P993" s="338"/>
      <c r="Q993" s="338"/>
      <c r="R993" s="338"/>
      <c r="S993" s="338"/>
      <c r="T993" s="338"/>
      <c r="U993" s="338"/>
      <c r="V993" s="338"/>
      <c r="W993" s="338"/>
      <c r="X993" s="338"/>
      <c r="Y993" s="338"/>
      <c r="Z993" s="338"/>
    </row>
    <row r="994" ht="12.75" customHeight="1">
      <c r="A994" s="321"/>
      <c r="B994" s="338"/>
      <c r="C994" s="338"/>
      <c r="D994" s="415"/>
      <c r="E994" s="338"/>
      <c r="F994" s="338"/>
      <c r="G994" s="338"/>
      <c r="H994" s="338"/>
      <c r="I994" s="338"/>
      <c r="J994" s="338"/>
      <c r="K994" s="338"/>
      <c r="L994" s="356"/>
      <c r="M994" s="356"/>
      <c r="N994" s="321"/>
      <c r="O994" s="338"/>
      <c r="P994" s="338"/>
      <c r="Q994" s="338"/>
      <c r="R994" s="338"/>
      <c r="S994" s="338"/>
      <c r="T994" s="338"/>
      <c r="U994" s="338"/>
      <c r="V994" s="338"/>
      <c r="W994" s="338"/>
      <c r="X994" s="338"/>
      <c r="Y994" s="338"/>
      <c r="Z994" s="338"/>
    </row>
    <row r="995" ht="12.75" customHeight="1">
      <c r="A995" s="321"/>
      <c r="B995" s="338"/>
      <c r="C995" s="338"/>
      <c r="D995" s="415"/>
      <c r="E995" s="338"/>
      <c r="F995" s="338"/>
      <c r="G995" s="338"/>
      <c r="H995" s="338"/>
      <c r="I995" s="338"/>
      <c r="J995" s="338"/>
      <c r="K995" s="338"/>
      <c r="L995" s="356"/>
      <c r="M995" s="356"/>
      <c r="N995" s="321"/>
      <c r="O995" s="338"/>
      <c r="P995" s="338"/>
      <c r="Q995" s="338"/>
      <c r="R995" s="338"/>
      <c r="S995" s="338"/>
      <c r="T995" s="338"/>
      <c r="U995" s="338"/>
      <c r="V995" s="338"/>
      <c r="W995" s="338"/>
      <c r="X995" s="338"/>
      <c r="Y995" s="338"/>
      <c r="Z995" s="338"/>
    </row>
    <row r="996" ht="12.75" customHeight="1">
      <c r="A996" s="321"/>
      <c r="B996" s="338"/>
      <c r="C996" s="338"/>
      <c r="D996" s="415"/>
      <c r="E996" s="338"/>
      <c r="F996" s="338"/>
      <c r="G996" s="338"/>
      <c r="H996" s="338"/>
      <c r="I996" s="338"/>
      <c r="J996" s="338"/>
      <c r="K996" s="338"/>
      <c r="L996" s="356"/>
      <c r="M996" s="356"/>
      <c r="N996" s="321"/>
      <c r="O996" s="338"/>
      <c r="P996" s="338"/>
      <c r="Q996" s="338"/>
      <c r="R996" s="338"/>
      <c r="S996" s="338"/>
      <c r="T996" s="338"/>
      <c r="U996" s="338"/>
      <c r="V996" s="338"/>
      <c r="W996" s="338"/>
      <c r="X996" s="338"/>
      <c r="Y996" s="338"/>
      <c r="Z996" s="338"/>
    </row>
    <row r="997" ht="12.75" customHeight="1">
      <c r="A997" s="321"/>
      <c r="B997" s="338"/>
      <c r="C997" s="338"/>
      <c r="D997" s="415"/>
      <c r="E997" s="338"/>
      <c r="F997" s="338"/>
      <c r="G997" s="338"/>
      <c r="H997" s="338"/>
      <c r="I997" s="338"/>
      <c r="J997" s="338"/>
      <c r="K997" s="338"/>
      <c r="L997" s="356"/>
      <c r="M997" s="356"/>
      <c r="N997" s="321"/>
      <c r="O997" s="338"/>
      <c r="P997" s="338"/>
      <c r="Q997" s="338"/>
      <c r="R997" s="338"/>
      <c r="S997" s="338"/>
      <c r="T997" s="338"/>
      <c r="U997" s="338"/>
      <c r="V997" s="338"/>
      <c r="W997" s="338"/>
      <c r="X997" s="338"/>
      <c r="Y997" s="338"/>
      <c r="Z997" s="338"/>
    </row>
    <row r="998" ht="12.75" customHeight="1">
      <c r="A998" s="321"/>
      <c r="B998" s="338"/>
      <c r="C998" s="338"/>
      <c r="D998" s="415"/>
      <c r="E998" s="338"/>
      <c r="F998" s="338"/>
      <c r="G998" s="338"/>
      <c r="H998" s="338"/>
      <c r="I998" s="338"/>
      <c r="J998" s="338"/>
      <c r="K998" s="338"/>
      <c r="L998" s="356"/>
      <c r="M998" s="356"/>
      <c r="N998" s="321"/>
      <c r="O998" s="338"/>
      <c r="P998" s="338"/>
      <c r="Q998" s="338"/>
      <c r="R998" s="338"/>
      <c r="S998" s="338"/>
      <c r="T998" s="338"/>
      <c r="U998" s="338"/>
      <c r="V998" s="338"/>
      <c r="W998" s="338"/>
      <c r="X998" s="338"/>
      <c r="Y998" s="338"/>
      <c r="Z998" s="338"/>
    </row>
    <row r="999" ht="12.75" customHeight="1">
      <c r="A999" s="321"/>
      <c r="B999" s="338"/>
      <c r="C999" s="338"/>
      <c r="D999" s="415"/>
      <c r="E999" s="338"/>
      <c r="F999" s="338"/>
      <c r="G999" s="338"/>
      <c r="H999" s="338"/>
      <c r="I999" s="338"/>
      <c r="J999" s="338"/>
      <c r="K999" s="338"/>
      <c r="L999" s="356"/>
      <c r="M999" s="356"/>
      <c r="N999" s="321"/>
      <c r="O999" s="338"/>
      <c r="P999" s="338"/>
      <c r="Q999" s="338"/>
      <c r="R999" s="338"/>
      <c r="S999" s="338"/>
      <c r="T999" s="338"/>
      <c r="U999" s="338"/>
      <c r="V999" s="338"/>
      <c r="W999" s="338"/>
      <c r="X999" s="338"/>
      <c r="Y999" s="338"/>
      <c r="Z999" s="338"/>
    </row>
    <row r="1000" ht="12.75" customHeight="1">
      <c r="A1000" s="321"/>
      <c r="B1000" s="338"/>
      <c r="C1000" s="338"/>
      <c r="D1000" s="415"/>
      <c r="E1000" s="338"/>
      <c r="F1000" s="338"/>
      <c r="G1000" s="338"/>
      <c r="H1000" s="338"/>
      <c r="I1000" s="338"/>
      <c r="J1000" s="338"/>
      <c r="K1000" s="338"/>
      <c r="L1000" s="356"/>
      <c r="M1000" s="356"/>
      <c r="N1000" s="321"/>
      <c r="O1000" s="338"/>
      <c r="P1000" s="338"/>
      <c r="Q1000" s="338"/>
      <c r="R1000" s="338"/>
      <c r="S1000" s="338"/>
      <c r="T1000" s="338"/>
      <c r="U1000" s="338"/>
      <c r="V1000" s="338"/>
      <c r="W1000" s="338"/>
      <c r="X1000" s="338"/>
      <c r="Y1000" s="338"/>
      <c r="Z1000" s="338"/>
    </row>
  </sheetData>
  <mergeCells count="17">
    <mergeCell ref="B6:B7"/>
    <mergeCell ref="C6:C7"/>
    <mergeCell ref="D6:D7"/>
    <mergeCell ref="E6:E7"/>
    <mergeCell ref="F6:F7"/>
    <mergeCell ref="G6:G7"/>
    <mergeCell ref="H6:H7"/>
    <mergeCell ref="Q6:Q7"/>
    <mergeCell ref="R6:R7"/>
    <mergeCell ref="S6:S7"/>
    <mergeCell ref="I6:I7"/>
    <mergeCell ref="J6:J7"/>
    <mergeCell ref="K6:K7"/>
    <mergeCell ref="L6:L7"/>
    <mergeCell ref="M6:M7"/>
    <mergeCell ref="N6:N7"/>
    <mergeCell ref="P6:P7"/>
  </mergeCells>
  <printOptions/>
  <pageMargins bottom="0.75" footer="0.0" header="0.0" left="0.25" right="0.25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 fitToPage="1"/>
  </sheetPr>
  <sheetViews>
    <sheetView workbookViewId="0">
      <pane xSplit="3.0" topLeftCell="D1" activePane="topRight" state="frozen"/>
      <selection activeCell="E2" sqref="E2" pane="topRight"/>
    </sheetView>
  </sheetViews>
  <sheetFormatPr customHeight="1" defaultColWidth="14.43" defaultRowHeight="15.0"/>
  <cols>
    <col customWidth="1" min="1" max="1" width="9.14"/>
    <col customWidth="1" min="2" max="2" width="4.29"/>
    <col customWidth="1" min="3" max="3" width="26.43"/>
    <col customWidth="1" hidden="1" min="4" max="4" width="0.14"/>
    <col customWidth="1" hidden="1" min="5" max="5" width="12.86"/>
    <col customWidth="1" hidden="1" min="6" max="6" width="12.0"/>
    <col customWidth="1" hidden="1" min="7" max="8" width="12.86"/>
    <col customWidth="1" hidden="1" min="9" max="9" width="12.71"/>
    <col customWidth="1" hidden="1" min="10" max="11" width="13.86"/>
    <col customWidth="1" hidden="1" min="12" max="12" width="14.14"/>
    <col customWidth="1" hidden="1" min="13" max="14" width="13.86"/>
    <col customWidth="1" hidden="1" min="15" max="15" width="15.14"/>
    <col customWidth="1" hidden="1" min="16" max="16" width="12.86"/>
    <col customWidth="1" hidden="1" min="17" max="17" width="14.86"/>
    <col customWidth="1" hidden="1" min="18" max="19" width="15.14"/>
    <col customWidth="1" min="20" max="20" width="15.14"/>
    <col customWidth="1" min="21" max="21" width="15.43"/>
    <col customWidth="1" min="22" max="22" width="15.14"/>
    <col customWidth="1" min="23" max="26" width="9.14"/>
  </cols>
  <sheetData>
    <row r="1" ht="12.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66"/>
      <c r="W1" s="3"/>
      <c r="X1" s="3"/>
      <c r="Y1" s="3"/>
      <c r="Z1" s="3"/>
    </row>
    <row r="2" ht="12.0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66"/>
      <c r="W2" s="3"/>
      <c r="X2" s="3"/>
      <c r="Y2" s="3"/>
      <c r="Z2" s="3"/>
    </row>
    <row r="3" ht="12.0" hidden="1" customHeight="1">
      <c r="A3" s="3"/>
      <c r="B3" s="429" t="s">
        <v>324</v>
      </c>
      <c r="C3" s="3"/>
      <c r="D3" s="430"/>
      <c r="E3" s="430"/>
      <c r="F3" s="430"/>
      <c r="G3" s="43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66"/>
      <c r="W3" s="3"/>
      <c r="X3" s="3"/>
      <c r="Y3" s="3"/>
      <c r="Z3" s="3"/>
    </row>
    <row r="4" ht="15.0" hidden="1" customHeight="1">
      <c r="A4" s="431"/>
      <c r="B4" s="432" t="s">
        <v>109</v>
      </c>
      <c r="C4" s="432" t="s">
        <v>325</v>
      </c>
      <c r="D4" s="287" t="s">
        <v>326</v>
      </c>
      <c r="E4" s="158"/>
      <c r="F4" s="158"/>
      <c r="G4" s="432" t="s">
        <v>327</v>
      </c>
      <c r="H4" s="432" t="s">
        <v>4</v>
      </c>
      <c r="I4" s="432" t="s">
        <v>5</v>
      </c>
      <c r="J4" s="432" t="s">
        <v>328</v>
      </c>
      <c r="K4" s="432" t="s">
        <v>329</v>
      </c>
      <c r="L4" s="432" t="s">
        <v>330</v>
      </c>
      <c r="M4" s="432" t="s">
        <v>331</v>
      </c>
      <c r="N4" s="432" t="s">
        <v>332</v>
      </c>
      <c r="O4" s="432" t="s">
        <v>9</v>
      </c>
      <c r="P4" s="287" t="s">
        <v>20</v>
      </c>
      <c r="Q4" s="158"/>
      <c r="R4" s="432" t="s">
        <v>10</v>
      </c>
      <c r="S4" s="432" t="s">
        <v>11</v>
      </c>
      <c r="T4" s="432" t="s">
        <v>12</v>
      </c>
      <c r="U4" s="138" t="s">
        <v>14</v>
      </c>
      <c r="V4" s="432" t="s">
        <v>20</v>
      </c>
      <c r="W4" s="431"/>
      <c r="X4" s="431"/>
      <c r="Y4" s="431"/>
      <c r="Z4" s="431"/>
    </row>
    <row r="5" ht="15.0" hidden="1" customHeight="1">
      <c r="A5" s="431"/>
      <c r="B5" s="19"/>
      <c r="C5" s="19"/>
      <c r="D5" s="94" t="s">
        <v>333</v>
      </c>
      <c r="E5" s="94" t="s">
        <v>334</v>
      </c>
      <c r="F5" s="94" t="s">
        <v>335</v>
      </c>
      <c r="G5" s="19"/>
      <c r="H5" s="19"/>
      <c r="I5" s="19"/>
      <c r="J5" s="19"/>
      <c r="K5" s="19"/>
      <c r="L5" s="19"/>
      <c r="M5" s="19"/>
      <c r="N5" s="19"/>
      <c r="O5" s="19"/>
      <c r="P5" s="94" t="s">
        <v>336</v>
      </c>
      <c r="Q5" s="94" t="s">
        <v>337</v>
      </c>
      <c r="R5" s="19"/>
      <c r="S5" s="19"/>
      <c r="T5" s="19"/>
      <c r="U5" s="19"/>
      <c r="V5" s="19"/>
      <c r="W5" s="431"/>
      <c r="X5" s="431"/>
      <c r="Y5" s="431"/>
      <c r="Z5" s="431"/>
    </row>
    <row r="6" ht="12.0" hidden="1" customHeight="1">
      <c r="A6" s="3"/>
      <c r="B6" s="3">
        <v>1.0</v>
      </c>
      <c r="C6" s="3" t="s">
        <v>338</v>
      </c>
      <c r="D6" s="433">
        <f>280668493.71-21103589</f>
        <v>259564904.7</v>
      </c>
      <c r="E6" s="3">
        <v>6.7514843287E8</v>
      </c>
      <c r="F6" s="3">
        <f>+E6-D6</f>
        <v>415583528.2</v>
      </c>
      <c r="G6" s="3">
        <v>6.7514843287E8</v>
      </c>
      <c r="H6" s="3">
        <f t="shared" ref="H6:N6" si="1">675148433</f>
        <v>675148433</v>
      </c>
      <c r="I6" s="3">
        <f t="shared" si="1"/>
        <v>675148433</v>
      </c>
      <c r="J6" s="3">
        <f t="shared" si="1"/>
        <v>675148433</v>
      </c>
      <c r="K6" s="3">
        <f t="shared" si="1"/>
        <v>675148433</v>
      </c>
      <c r="L6" s="3">
        <f t="shared" si="1"/>
        <v>675148433</v>
      </c>
      <c r="M6" s="3">
        <f t="shared" si="1"/>
        <v>675148433</v>
      </c>
      <c r="N6" s="3">
        <f t="shared" si="1"/>
        <v>675148433</v>
      </c>
      <c r="O6" s="3">
        <v>0.0</v>
      </c>
      <c r="P6" s="3">
        <f t="shared" ref="P6:P12" si="2">+L6-I6</f>
        <v>0</v>
      </c>
      <c r="Q6" s="3">
        <f t="shared" ref="Q6:Q12" si="3">-O6-L6</f>
        <v>-675148433</v>
      </c>
      <c r="R6" s="3"/>
      <c r="S6" s="3">
        <v>0.0</v>
      </c>
      <c r="T6" s="3">
        <v>0.0</v>
      </c>
      <c r="U6" s="3">
        <v>0.0</v>
      </c>
      <c r="V6" s="66">
        <f t="shared" ref="V6:V12" si="4">+U6-T6</f>
        <v>0</v>
      </c>
      <c r="W6" s="3"/>
      <c r="X6" s="3"/>
      <c r="Y6" s="3"/>
      <c r="Z6" s="3"/>
    </row>
    <row r="7" ht="12.0" hidden="1" customHeight="1">
      <c r="A7" s="3"/>
      <c r="B7" s="3">
        <v>2.0</v>
      </c>
      <c r="C7" s="3" t="s">
        <v>339</v>
      </c>
      <c r="D7" s="433"/>
      <c r="E7" s="3"/>
      <c r="F7" s="3"/>
      <c r="G7" s="3"/>
      <c r="H7" s="3"/>
      <c r="I7" s="3"/>
      <c r="J7" s="3"/>
      <c r="K7" s="3"/>
      <c r="L7" s="3"/>
      <c r="M7" s="3"/>
      <c r="N7" s="3"/>
      <c r="O7" s="66">
        <v>3.4345E8</v>
      </c>
      <c r="P7" s="3">
        <f t="shared" si="2"/>
        <v>0</v>
      </c>
      <c r="Q7" s="3">
        <f t="shared" si="3"/>
        <v>-343450000</v>
      </c>
      <c r="R7" s="66"/>
      <c r="S7" s="66"/>
      <c r="T7" s="66"/>
      <c r="U7" s="66"/>
      <c r="V7" s="66">
        <f t="shared" si="4"/>
        <v>0</v>
      </c>
      <c r="W7" s="3"/>
      <c r="X7" s="3"/>
      <c r="Y7" s="3"/>
      <c r="Z7" s="3"/>
    </row>
    <row r="8" ht="12.0" hidden="1" customHeight="1">
      <c r="A8" s="3"/>
      <c r="B8" s="3">
        <v>3.0</v>
      </c>
      <c r="C8" s="3" t="s">
        <v>340</v>
      </c>
      <c r="D8" s="433"/>
      <c r="E8" s="3"/>
      <c r="F8" s="3"/>
      <c r="G8" s="3"/>
      <c r="H8" s="3">
        <v>0.0</v>
      </c>
      <c r="I8" s="3">
        <v>0.0</v>
      </c>
      <c r="J8" s="3">
        <v>0.0</v>
      </c>
      <c r="K8" s="3">
        <v>0.0</v>
      </c>
      <c r="L8" s="3">
        <v>3.67346939E8</v>
      </c>
      <c r="M8" s="3">
        <v>3.67346939E8</v>
      </c>
      <c r="N8" s="3">
        <v>3.67346939E8</v>
      </c>
      <c r="O8" s="66">
        <v>3.67346939E8</v>
      </c>
      <c r="P8" s="3">
        <f t="shared" si="2"/>
        <v>367346939</v>
      </c>
      <c r="Q8" s="3">
        <f t="shared" si="3"/>
        <v>-734693878</v>
      </c>
      <c r="R8" s="66"/>
      <c r="S8" s="66"/>
      <c r="T8" s="66"/>
      <c r="U8" s="66"/>
      <c r="V8" s="66">
        <f t="shared" si="4"/>
        <v>0</v>
      </c>
      <c r="W8" s="3"/>
      <c r="X8" s="3"/>
      <c r="Y8" s="3"/>
      <c r="Z8" s="3"/>
    </row>
    <row r="9" ht="12.0" hidden="1" customHeight="1">
      <c r="A9" s="3"/>
      <c r="B9" s="3">
        <v>5.0</v>
      </c>
      <c r="C9" s="3" t="s">
        <v>341</v>
      </c>
      <c r="D9" s="3">
        <f t="shared" ref="D9:E9" si="5">159999999.54-6034744</f>
        <v>153965255.5</v>
      </c>
      <c r="E9" s="3">
        <f t="shared" si="5"/>
        <v>153965255.5</v>
      </c>
      <c r="F9" s="3">
        <f t="shared" ref="F9:F12" si="9">+E9-D9</f>
        <v>0</v>
      </c>
      <c r="G9" s="3">
        <f>260000000-27833233</f>
        <v>232166767</v>
      </c>
      <c r="H9" s="3">
        <f>312727732.26-34333332.76</f>
        <v>278394399.5</v>
      </c>
      <c r="I9" s="3">
        <f t="shared" ref="I9:K9" si="6">152727732.26-7500000</f>
        <v>145227732.3</v>
      </c>
      <c r="J9" s="3">
        <f t="shared" si="6"/>
        <v>145227732.3</v>
      </c>
      <c r="K9" s="3">
        <f t="shared" si="6"/>
        <v>145227732.3</v>
      </c>
      <c r="L9" s="3">
        <f t="shared" ref="L9:N9" si="7">152727732.26-10000000</f>
        <v>142727732.3</v>
      </c>
      <c r="M9" s="3">
        <f t="shared" si="7"/>
        <v>142727732.3</v>
      </c>
      <c r="N9" s="3">
        <f t="shared" si="7"/>
        <v>142727732.3</v>
      </c>
      <c r="O9" s="66">
        <f>132717732.26-10999250</f>
        <v>121718482.3</v>
      </c>
      <c r="P9" s="3">
        <f t="shared" si="2"/>
        <v>-2500000</v>
      </c>
      <c r="Q9" s="3">
        <f t="shared" si="3"/>
        <v>-264446214.5</v>
      </c>
      <c r="R9" s="66">
        <v>1.2061250116000001E8</v>
      </c>
      <c r="S9" s="66">
        <v>1.1421860676E8</v>
      </c>
      <c r="T9" s="66">
        <v>1.1311262565E8</v>
      </c>
      <c r="U9" s="66">
        <f>132717732.26-19605106.61</f>
        <v>113112625.7</v>
      </c>
      <c r="V9" s="66">
        <f t="shared" si="4"/>
        <v>0</v>
      </c>
      <c r="W9" s="3"/>
      <c r="X9" s="3"/>
      <c r="Y9" s="3"/>
      <c r="Z9" s="3"/>
    </row>
    <row r="10" ht="12.0" hidden="1" customHeight="1">
      <c r="A10" s="3"/>
      <c r="B10" s="3">
        <v>6.0</v>
      </c>
      <c r="C10" s="3" t="s">
        <v>342</v>
      </c>
      <c r="D10" s="3">
        <f t="shared" ref="D10:E10" si="8">39480843.06-6034744</f>
        <v>33446099.06</v>
      </c>
      <c r="E10" s="3">
        <f t="shared" si="8"/>
        <v>33446099.06</v>
      </c>
      <c r="F10" s="3">
        <f t="shared" si="9"/>
        <v>0</v>
      </c>
      <c r="G10" s="3">
        <f>48474843.06-9070756</f>
        <v>39404087.06</v>
      </c>
      <c r="H10" s="3">
        <f>51878779.43-10318968.99</f>
        <v>41559810.44</v>
      </c>
      <c r="I10" s="3">
        <f t="shared" ref="I10:K10" si="10">66878779.43-11615938.5</f>
        <v>55262840.93</v>
      </c>
      <c r="J10" s="3">
        <f t="shared" si="10"/>
        <v>55262840.93</v>
      </c>
      <c r="K10" s="3">
        <f t="shared" si="10"/>
        <v>55262840.93</v>
      </c>
      <c r="L10" s="3">
        <f t="shared" ref="L10:M10" si="11">66878779.43-12912908.01</f>
        <v>53965871.42</v>
      </c>
      <c r="M10" s="3">
        <f t="shared" si="11"/>
        <v>53965871.42</v>
      </c>
      <c r="N10" s="3">
        <f>66878779.43-12912908.01+1950000</f>
        <v>55915871.42</v>
      </c>
      <c r="O10" s="66">
        <f>68651479.43-14209877.52</f>
        <v>54441601.91</v>
      </c>
      <c r="P10" s="3">
        <f t="shared" si="2"/>
        <v>-1296969.51</v>
      </c>
      <c r="Q10" s="3">
        <f t="shared" si="3"/>
        <v>-108407473.3</v>
      </c>
      <c r="R10" s="66">
        <v>5.314463240000001E7</v>
      </c>
      <c r="S10" s="66">
        <v>5.2267865580000006E7</v>
      </c>
      <c r="T10" s="66">
        <v>4.818822281E7</v>
      </c>
      <c r="U10" s="66">
        <f>68651479.43-20463256.62</f>
        <v>48188222.81</v>
      </c>
      <c r="V10" s="66">
        <f t="shared" si="4"/>
        <v>0</v>
      </c>
      <c r="W10" s="3"/>
      <c r="X10" s="3"/>
      <c r="Y10" s="3"/>
      <c r="Z10" s="3"/>
    </row>
    <row r="11" ht="12.0" hidden="1" customHeight="1">
      <c r="A11" s="3"/>
      <c r="B11" s="3">
        <v>7.0</v>
      </c>
      <c r="C11" s="3" t="s">
        <v>343</v>
      </c>
      <c r="D11" s="3">
        <f t="shared" ref="D11:E11" si="12">24142317.92-14846186</f>
        <v>9296131.92</v>
      </c>
      <c r="E11" s="3">
        <f t="shared" si="12"/>
        <v>9296131.92</v>
      </c>
      <c r="F11" s="3">
        <f t="shared" si="9"/>
        <v>0</v>
      </c>
      <c r="G11" s="3">
        <f>24316772.47-18067522</f>
        <v>6249250.47</v>
      </c>
      <c r="H11" s="3">
        <f>24316772.47-19254556.45</f>
        <v>5062216.02</v>
      </c>
      <c r="I11" s="3">
        <f t="shared" ref="I11:K11" si="13">24316772.47-20441590.03</f>
        <v>3875182.44</v>
      </c>
      <c r="J11" s="3">
        <f t="shared" si="13"/>
        <v>3875182.44</v>
      </c>
      <c r="K11" s="3">
        <f t="shared" si="13"/>
        <v>3875182.44</v>
      </c>
      <c r="L11" s="3">
        <f t="shared" ref="L11:N11" si="14">26316681.56-21628623.61</f>
        <v>4688057.95</v>
      </c>
      <c r="M11" s="3">
        <f t="shared" si="14"/>
        <v>4688057.95</v>
      </c>
      <c r="N11" s="3">
        <f t="shared" si="14"/>
        <v>4688057.95</v>
      </c>
      <c r="O11" s="66">
        <f>30133090.65-22815657.19</f>
        <v>7317433.46</v>
      </c>
      <c r="P11" s="3">
        <f t="shared" si="2"/>
        <v>812875.51</v>
      </c>
      <c r="Q11" s="3">
        <f t="shared" si="3"/>
        <v>-12005491.41</v>
      </c>
      <c r="R11" s="66">
        <v>6130399.879999997</v>
      </c>
      <c r="S11" s="66">
        <v>7403065.259999998</v>
      </c>
      <c r="T11" s="66">
        <v>7195102.25</v>
      </c>
      <c r="U11" s="66">
        <f>30953090.65-23757988.4</f>
        <v>7195102.25</v>
      </c>
      <c r="V11" s="66">
        <f t="shared" si="4"/>
        <v>0</v>
      </c>
      <c r="W11" s="3"/>
      <c r="X11" s="3"/>
      <c r="Y11" s="3"/>
      <c r="Z11" s="3"/>
    </row>
    <row r="12" ht="12.0" hidden="1" customHeight="1">
      <c r="A12" s="3"/>
      <c r="B12" s="3">
        <v>8.0</v>
      </c>
      <c r="C12" s="3" t="s">
        <v>344</v>
      </c>
      <c r="D12" s="3">
        <v>0.0</v>
      </c>
      <c r="E12" s="3">
        <v>4.70373656E8</v>
      </c>
      <c r="F12" s="3">
        <f t="shared" si="9"/>
        <v>470373656</v>
      </c>
      <c r="G12" s="3">
        <v>4.70373656E8</v>
      </c>
      <c r="H12" s="3">
        <f t="shared" ref="H12:K12" si="15">470373656+161141969.9-94074731.2</f>
        <v>537440894.7</v>
      </c>
      <c r="I12" s="3">
        <f t="shared" si="15"/>
        <v>537440894.7</v>
      </c>
      <c r="J12" s="3">
        <f t="shared" si="15"/>
        <v>537440894.7</v>
      </c>
      <c r="K12" s="3">
        <f t="shared" si="15"/>
        <v>537440894.7</v>
      </c>
      <c r="L12" s="3">
        <f t="shared" ref="L12:N12" si="16">631515625.9-188149462.4</f>
        <v>443366163.5</v>
      </c>
      <c r="M12" s="3">
        <f t="shared" si="16"/>
        <v>443366163.5</v>
      </c>
      <c r="N12" s="3">
        <f t="shared" si="16"/>
        <v>443366163.5</v>
      </c>
      <c r="O12" s="66">
        <f>631515625.9-154820078.77</f>
        <v>476695547.1</v>
      </c>
      <c r="P12" s="3">
        <f t="shared" si="2"/>
        <v>-94074731.2</v>
      </c>
      <c r="Q12" s="3">
        <f t="shared" si="3"/>
        <v>-920061710.6</v>
      </c>
      <c r="R12" s="66">
        <v>5.082525055E8</v>
      </c>
      <c r="S12" s="66">
        <v>5.082525055E8</v>
      </c>
      <c r="T12" s="66">
        <v>5.082525055E8</v>
      </c>
      <c r="U12" s="66">
        <f>696401967.9-188149462.4</f>
        <v>508252505.5</v>
      </c>
      <c r="V12" s="66">
        <f t="shared" si="4"/>
        <v>0</v>
      </c>
      <c r="W12" s="3"/>
      <c r="X12" s="3"/>
      <c r="Y12" s="3"/>
      <c r="Z12" s="3"/>
    </row>
    <row r="13" ht="12.0" hidden="1" customHeight="1">
      <c r="A13" s="3"/>
      <c r="B13" s="288" t="s">
        <v>323</v>
      </c>
      <c r="C13" s="158"/>
      <c r="D13" s="159">
        <f t="shared" ref="D13:V13" si="17">SUM(D6:D12)</f>
        <v>456272391.2</v>
      </c>
      <c r="E13" s="159">
        <f t="shared" si="17"/>
        <v>1342229575</v>
      </c>
      <c r="F13" s="159">
        <f t="shared" si="17"/>
        <v>885957184.2</v>
      </c>
      <c r="G13" s="159">
        <f t="shared" si="17"/>
        <v>1423342193</v>
      </c>
      <c r="H13" s="159">
        <f t="shared" si="17"/>
        <v>1537605754</v>
      </c>
      <c r="I13" s="159">
        <f t="shared" si="17"/>
        <v>1416955083</v>
      </c>
      <c r="J13" s="159">
        <f t="shared" si="17"/>
        <v>1416955083</v>
      </c>
      <c r="K13" s="159">
        <f t="shared" si="17"/>
        <v>1416955083</v>
      </c>
      <c r="L13" s="159">
        <f t="shared" si="17"/>
        <v>1687243197</v>
      </c>
      <c r="M13" s="159">
        <f t="shared" si="17"/>
        <v>1687243197</v>
      </c>
      <c r="N13" s="159">
        <f t="shared" si="17"/>
        <v>1689193197</v>
      </c>
      <c r="O13" s="159">
        <f t="shared" si="17"/>
        <v>1370970004</v>
      </c>
      <c r="P13" s="159">
        <f t="shared" si="17"/>
        <v>270288113.8</v>
      </c>
      <c r="Q13" s="159">
        <f t="shared" si="17"/>
        <v>-3058213201</v>
      </c>
      <c r="R13" s="159">
        <f t="shared" si="17"/>
        <v>688140038.9</v>
      </c>
      <c r="S13" s="159">
        <f t="shared" si="17"/>
        <v>682142043.1</v>
      </c>
      <c r="T13" s="159">
        <f t="shared" si="17"/>
        <v>676748456.2</v>
      </c>
      <c r="U13" s="281">
        <f t="shared" si="17"/>
        <v>676748456.2</v>
      </c>
      <c r="V13" s="281">
        <f t="shared" si="17"/>
        <v>0</v>
      </c>
      <c r="W13" s="3"/>
      <c r="X13" s="3"/>
      <c r="Y13" s="3"/>
      <c r="Z13" s="3"/>
    </row>
    <row r="14" ht="12.0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66"/>
      <c r="W14" s="3"/>
      <c r="X14" s="3"/>
      <c r="Y14" s="3"/>
      <c r="Z14" s="3"/>
    </row>
    <row r="15" ht="12.0" customHeight="1">
      <c r="A15" s="3"/>
      <c r="B15" s="3"/>
      <c r="C15" s="3"/>
      <c r="D15" s="3"/>
      <c r="E15" s="3"/>
      <c r="F15" s="3"/>
      <c r="G15" s="434">
        <v>1.69964367607E9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66"/>
      <c r="W15" s="3"/>
      <c r="X15" s="3"/>
      <c r="Y15" s="3"/>
      <c r="Z15" s="3"/>
    </row>
    <row r="16" ht="12.0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66"/>
      <c r="W16" s="3"/>
      <c r="X16" s="3"/>
      <c r="Y16" s="3"/>
      <c r="Z16" s="3"/>
    </row>
    <row r="17" ht="12.0" customHeight="1">
      <c r="A17" s="3"/>
      <c r="B17" s="435" t="s">
        <v>345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66"/>
      <c r="W17" s="3"/>
      <c r="X17" s="3"/>
      <c r="Y17" s="3"/>
      <c r="Z17" s="3"/>
    </row>
    <row r="18" ht="12.0" customHeight="1">
      <c r="A18" s="431"/>
      <c r="B18" s="432" t="s">
        <v>109</v>
      </c>
      <c r="C18" s="432" t="s">
        <v>325</v>
      </c>
      <c r="D18" s="287" t="s">
        <v>326</v>
      </c>
      <c r="E18" s="158"/>
      <c r="F18" s="158"/>
      <c r="G18" s="432" t="s">
        <v>327</v>
      </c>
      <c r="H18" s="432" t="s">
        <v>4</v>
      </c>
      <c r="I18" s="432" t="s">
        <v>5</v>
      </c>
      <c r="J18" s="432" t="s">
        <v>328</v>
      </c>
      <c r="K18" s="432" t="s">
        <v>329</v>
      </c>
      <c r="L18" s="432" t="s">
        <v>330</v>
      </c>
      <c r="M18" s="432" t="s">
        <v>331</v>
      </c>
      <c r="N18" s="432" t="s">
        <v>332</v>
      </c>
      <c r="O18" s="432" t="s">
        <v>9</v>
      </c>
      <c r="P18" s="287" t="s">
        <v>20</v>
      </c>
      <c r="Q18" s="158"/>
      <c r="R18" s="432" t="s">
        <v>10</v>
      </c>
      <c r="S18" s="432" t="s">
        <v>11</v>
      </c>
      <c r="T18" s="432" t="s">
        <v>12</v>
      </c>
      <c r="U18" s="432" t="s">
        <v>15</v>
      </c>
      <c r="V18" s="432" t="s">
        <v>20</v>
      </c>
      <c r="W18" s="431"/>
      <c r="X18" s="431"/>
      <c r="Y18" s="431"/>
      <c r="Z18" s="431"/>
    </row>
    <row r="19" ht="15.0" customHeight="1">
      <c r="A19" s="431"/>
      <c r="B19" s="19"/>
      <c r="C19" s="19"/>
      <c r="D19" s="94" t="s">
        <v>333</v>
      </c>
      <c r="E19" s="94" t="s">
        <v>334</v>
      </c>
      <c r="F19" s="94" t="s">
        <v>335</v>
      </c>
      <c r="G19" s="19"/>
      <c r="H19" s="19"/>
      <c r="I19" s="19"/>
      <c r="J19" s="19"/>
      <c r="K19" s="19"/>
      <c r="L19" s="19"/>
      <c r="M19" s="19"/>
      <c r="N19" s="19"/>
      <c r="O19" s="19"/>
      <c r="P19" s="94" t="s">
        <v>336</v>
      </c>
      <c r="Q19" s="94" t="s">
        <v>337</v>
      </c>
      <c r="R19" s="19"/>
      <c r="S19" s="19"/>
      <c r="T19" s="19"/>
      <c r="U19" s="19"/>
      <c r="V19" s="19"/>
      <c r="W19" s="431"/>
      <c r="X19" s="431"/>
      <c r="Y19" s="431"/>
      <c r="Z19" s="431"/>
    </row>
    <row r="20" ht="12.0" customHeight="1">
      <c r="A20" s="3"/>
      <c r="B20" s="3">
        <v>1.0</v>
      </c>
      <c r="C20" s="436" t="s">
        <v>346</v>
      </c>
      <c r="D20" s="154">
        <v>6.3372E9</v>
      </c>
      <c r="E20" s="66">
        <v>6.3372E9</v>
      </c>
      <c r="F20" s="66">
        <f t="shared" ref="F20:F29" si="19">+E20-D20</f>
        <v>0</v>
      </c>
      <c r="G20" s="66">
        <v>6.3372E9</v>
      </c>
      <c r="H20" s="66">
        <f t="shared" ref="H20:O20" si="18">6337200000</f>
        <v>6337200000</v>
      </c>
      <c r="I20" s="66">
        <f t="shared" si="18"/>
        <v>6337200000</v>
      </c>
      <c r="J20" s="66">
        <f t="shared" si="18"/>
        <v>6337200000</v>
      </c>
      <c r="K20" s="66">
        <f t="shared" si="18"/>
        <v>6337200000</v>
      </c>
      <c r="L20" s="66">
        <f t="shared" si="18"/>
        <v>6337200000</v>
      </c>
      <c r="M20" s="66">
        <f t="shared" si="18"/>
        <v>6337200000</v>
      </c>
      <c r="N20" s="66">
        <f t="shared" si="18"/>
        <v>6337200000</v>
      </c>
      <c r="O20" s="70">
        <f t="shared" si="18"/>
        <v>6337200000</v>
      </c>
      <c r="P20" s="5">
        <f t="shared" ref="P20:P33" si="21">+L20-I20</f>
        <v>0</v>
      </c>
      <c r="Q20" s="5">
        <f t="shared" ref="Q20:Q33" si="22">+O20-L20</f>
        <v>0</v>
      </c>
      <c r="R20" s="70">
        <v>7.688521264E9</v>
      </c>
      <c r="S20" s="70">
        <v>7.688521264E9</v>
      </c>
      <c r="T20" s="70">
        <v>7.89122709E9</v>
      </c>
      <c r="U20" s="70" t="str">
        <f>valuation!S17</f>
        <v>#REF!</v>
      </c>
      <c r="V20" s="70" t="str">
        <f t="shared" ref="V20:V33" si="23">+U20-T20</f>
        <v>#REF!</v>
      </c>
      <c r="W20" s="3"/>
      <c r="X20" s="3"/>
      <c r="Y20" s="3"/>
      <c r="Z20" s="3"/>
    </row>
    <row r="21" ht="12.0" customHeight="1">
      <c r="A21" s="3"/>
      <c r="B21" s="3">
        <v>2.0</v>
      </c>
      <c r="C21" s="437" t="s">
        <v>347</v>
      </c>
      <c r="D21" s="3">
        <v>1.6E9</v>
      </c>
      <c r="E21" s="3">
        <v>1.6E9</v>
      </c>
      <c r="F21" s="3">
        <f t="shared" si="19"/>
        <v>0</v>
      </c>
      <c r="G21" s="3">
        <v>1.6E9</v>
      </c>
      <c r="H21" s="3">
        <f>1252934266.56+600000000</f>
        <v>1852934267</v>
      </c>
      <c r="I21" s="3">
        <f t="shared" ref="I21:O21" si="20">1852934266.56</f>
        <v>1852934267</v>
      </c>
      <c r="J21" s="3">
        <f t="shared" si="20"/>
        <v>1852934267</v>
      </c>
      <c r="K21" s="3">
        <f t="shared" si="20"/>
        <v>1852934267</v>
      </c>
      <c r="L21" s="3">
        <f t="shared" si="20"/>
        <v>1852934267</v>
      </c>
      <c r="M21" s="3">
        <f t="shared" si="20"/>
        <v>1852934267</v>
      </c>
      <c r="N21" s="3">
        <f t="shared" si="20"/>
        <v>1852934267</v>
      </c>
      <c r="O21" s="5">
        <f t="shared" si="20"/>
        <v>1852934267</v>
      </c>
      <c r="P21" s="5">
        <f t="shared" si="21"/>
        <v>0</v>
      </c>
      <c r="Q21" s="5">
        <f t="shared" si="22"/>
        <v>0</v>
      </c>
      <c r="R21" s="5">
        <v>1.85293426656E9</v>
      </c>
      <c r="S21" s="5">
        <v>1.85293426656E9</v>
      </c>
      <c r="T21" s="5">
        <v>3.81850498856E9</v>
      </c>
      <c r="U21" s="70" t="str">
        <f>valuation!S19</f>
        <v>#REF!</v>
      </c>
      <c r="V21" s="70" t="str">
        <f t="shared" si="23"/>
        <v>#REF!</v>
      </c>
      <c r="W21" s="3"/>
      <c r="X21" s="3"/>
      <c r="Y21" s="3"/>
      <c r="Z21" s="3"/>
    </row>
    <row r="22" ht="12.0" customHeight="1">
      <c r="A22" s="3"/>
      <c r="B22" s="3">
        <v>3.0</v>
      </c>
      <c r="C22" s="437" t="s">
        <v>348</v>
      </c>
      <c r="D22" s="433">
        <v>1.23906466452E9</v>
      </c>
      <c r="E22" s="3">
        <v>9.8299999952E8</v>
      </c>
      <c r="F22" s="3">
        <f t="shared" si="19"/>
        <v>-256064665</v>
      </c>
      <c r="G22" s="3">
        <v>9.8299999952E8</v>
      </c>
      <c r="H22" s="3">
        <f t="shared" ref="H22:O22" si="24">983000000</f>
        <v>983000000</v>
      </c>
      <c r="I22" s="3">
        <f t="shared" si="24"/>
        <v>983000000</v>
      </c>
      <c r="J22" s="3">
        <f t="shared" si="24"/>
        <v>983000000</v>
      </c>
      <c r="K22" s="3">
        <f t="shared" si="24"/>
        <v>983000000</v>
      </c>
      <c r="L22" s="3">
        <f t="shared" si="24"/>
        <v>983000000</v>
      </c>
      <c r="M22" s="3">
        <f t="shared" si="24"/>
        <v>983000000</v>
      </c>
      <c r="N22" s="3">
        <f t="shared" si="24"/>
        <v>983000000</v>
      </c>
      <c r="O22" s="5">
        <f t="shared" si="24"/>
        <v>983000000</v>
      </c>
      <c r="P22" s="5">
        <f t="shared" si="21"/>
        <v>0</v>
      </c>
      <c r="Q22" s="5">
        <f t="shared" si="22"/>
        <v>0</v>
      </c>
      <c r="R22" s="5">
        <v>9.83E8</v>
      </c>
      <c r="S22" s="5">
        <v>9.83E8</v>
      </c>
      <c r="T22" s="5">
        <v>2.12621082852E9</v>
      </c>
      <c r="U22" s="70" t="str">
        <f>valuation!#REF!</f>
        <v>#ERROR!</v>
      </c>
      <c r="V22" s="70" t="str">
        <f t="shared" si="23"/>
        <v>#ERROR!</v>
      </c>
      <c r="W22" s="3"/>
      <c r="X22" s="3"/>
      <c r="Y22" s="3"/>
      <c r="Z22" s="3"/>
    </row>
    <row r="23" ht="12.0" customHeight="1">
      <c r="A23" s="3"/>
      <c r="B23" s="3">
        <v>4.0</v>
      </c>
      <c r="C23" s="437" t="s">
        <v>349</v>
      </c>
      <c r="D23" s="437"/>
      <c r="E23" s="3">
        <v>1.3E7</v>
      </c>
      <c r="F23" s="3">
        <f t="shared" si="19"/>
        <v>13000000</v>
      </c>
      <c r="G23" s="3">
        <v>1.3E7</v>
      </c>
      <c r="H23" s="3">
        <v>6.45E7</v>
      </c>
      <c r="I23" s="3">
        <f t="shared" ref="I23:O23" si="25">+H23</f>
        <v>64500000</v>
      </c>
      <c r="J23" s="3">
        <f t="shared" si="25"/>
        <v>64500000</v>
      </c>
      <c r="K23" s="3">
        <f t="shared" si="25"/>
        <v>64500000</v>
      </c>
      <c r="L23" s="3">
        <f t="shared" si="25"/>
        <v>64500000</v>
      </c>
      <c r="M23" s="3">
        <f t="shared" si="25"/>
        <v>64500000</v>
      </c>
      <c r="N23" s="3">
        <f t="shared" si="25"/>
        <v>64500000</v>
      </c>
      <c r="O23" s="70">
        <f t="shared" si="25"/>
        <v>64500000</v>
      </c>
      <c r="P23" s="5">
        <f t="shared" si="21"/>
        <v>0</v>
      </c>
      <c r="Q23" s="5">
        <f t="shared" si="22"/>
        <v>0</v>
      </c>
      <c r="R23" s="70">
        <v>6.45E7</v>
      </c>
      <c r="S23" s="70">
        <v>5.45E7</v>
      </c>
      <c r="T23" s="70">
        <v>1.25E7</v>
      </c>
      <c r="U23" s="70">
        <v>1.25E7</v>
      </c>
      <c r="V23" s="70">
        <f t="shared" si="23"/>
        <v>0</v>
      </c>
      <c r="W23" s="3"/>
      <c r="X23" s="3"/>
      <c r="Y23" s="3"/>
      <c r="Z23" s="3"/>
    </row>
    <row r="24" ht="12.0" customHeight="1">
      <c r="A24" s="3"/>
      <c r="B24" s="3">
        <v>5.0</v>
      </c>
      <c r="C24" s="437" t="s">
        <v>350</v>
      </c>
      <c r="D24" s="437">
        <v>0.0</v>
      </c>
      <c r="E24" s="437">
        <v>0.0</v>
      </c>
      <c r="F24" s="3">
        <f t="shared" si="19"/>
        <v>0</v>
      </c>
      <c r="G24" s="437"/>
      <c r="H24" s="3">
        <v>1.125E8</v>
      </c>
      <c r="I24" s="3">
        <f t="shared" ref="I24:O24" si="26">+H24</f>
        <v>112500000</v>
      </c>
      <c r="J24" s="3">
        <f t="shared" si="26"/>
        <v>112500000</v>
      </c>
      <c r="K24" s="3">
        <f t="shared" si="26"/>
        <v>112500000</v>
      </c>
      <c r="L24" s="3">
        <f t="shared" si="26"/>
        <v>112500000</v>
      </c>
      <c r="M24" s="3">
        <f t="shared" si="26"/>
        <v>112500000</v>
      </c>
      <c r="N24" s="3">
        <f t="shared" si="26"/>
        <v>112500000</v>
      </c>
      <c r="O24" s="70">
        <f t="shared" si="26"/>
        <v>112500000</v>
      </c>
      <c r="P24" s="5">
        <f t="shared" si="21"/>
        <v>0</v>
      </c>
      <c r="Q24" s="5">
        <f t="shared" si="22"/>
        <v>0</v>
      </c>
      <c r="R24" s="70">
        <v>1.125E8</v>
      </c>
      <c r="S24" s="70">
        <v>1.125E8</v>
      </c>
      <c r="T24" s="70">
        <v>4.0E8</v>
      </c>
      <c r="U24" s="70">
        <v>4.0E8</v>
      </c>
      <c r="V24" s="70">
        <f t="shared" si="23"/>
        <v>0</v>
      </c>
      <c r="W24" s="3"/>
      <c r="X24" s="3"/>
      <c r="Y24" s="3"/>
      <c r="Z24" s="3"/>
    </row>
    <row r="25" ht="12.0" customHeight="1">
      <c r="A25" s="3"/>
      <c r="B25" s="3">
        <v>6.0</v>
      </c>
      <c r="C25" s="437" t="s">
        <v>351</v>
      </c>
      <c r="D25" s="433">
        <v>1.0487155052E9</v>
      </c>
      <c r="E25" s="3">
        <v>1.3824000002E9</v>
      </c>
      <c r="F25" s="3">
        <f t="shared" si="19"/>
        <v>333684495</v>
      </c>
      <c r="G25" s="3">
        <v>1.3824000002E9</v>
      </c>
      <c r="H25" s="3">
        <f t="shared" ref="H25:O25" si="27">1382400000</f>
        <v>1382400000</v>
      </c>
      <c r="I25" s="3">
        <f t="shared" si="27"/>
        <v>1382400000</v>
      </c>
      <c r="J25" s="3">
        <f t="shared" si="27"/>
        <v>1382400000</v>
      </c>
      <c r="K25" s="3">
        <f t="shared" si="27"/>
        <v>1382400000</v>
      </c>
      <c r="L25" s="3">
        <f t="shared" si="27"/>
        <v>1382400000</v>
      </c>
      <c r="M25" s="3">
        <f t="shared" si="27"/>
        <v>1382400000</v>
      </c>
      <c r="N25" s="3">
        <f t="shared" si="27"/>
        <v>1382400000</v>
      </c>
      <c r="O25" s="70">
        <f t="shared" si="27"/>
        <v>1382400000</v>
      </c>
      <c r="P25" s="5">
        <f t="shared" si="21"/>
        <v>0</v>
      </c>
      <c r="Q25" s="5">
        <f t="shared" si="22"/>
        <v>0</v>
      </c>
      <c r="R25" s="70">
        <v>1.3824E9</v>
      </c>
      <c r="S25" s="70">
        <v>1.3824E9</v>
      </c>
      <c r="T25" s="70" t="str">
        <f>valuation!S20</f>
        <v>#REF!</v>
      </c>
      <c r="U25" s="70" t="str">
        <f>T25</f>
        <v>#REF!</v>
      </c>
      <c r="V25" s="70" t="str">
        <f t="shared" si="23"/>
        <v>#REF!</v>
      </c>
      <c r="W25" s="3"/>
      <c r="X25" s="3"/>
      <c r="Y25" s="3"/>
      <c r="Z25" s="3"/>
    </row>
    <row r="26" ht="12.0" customHeight="1">
      <c r="A26" s="3"/>
      <c r="B26" s="3">
        <v>7.0</v>
      </c>
      <c r="C26" s="3" t="s">
        <v>352</v>
      </c>
      <c r="D26" s="433">
        <v>1.85E7</v>
      </c>
      <c r="E26" s="3">
        <v>1.78814029E8</v>
      </c>
      <c r="F26" s="3">
        <f t="shared" si="19"/>
        <v>160314029</v>
      </c>
      <c r="G26" s="3">
        <v>1.78814029E8</v>
      </c>
      <c r="H26" s="3">
        <f>29500000+160315029</f>
        <v>189815029</v>
      </c>
      <c r="I26" s="3">
        <f t="shared" ref="I26:N26" si="28">+H26</f>
        <v>189815029</v>
      </c>
      <c r="J26" s="3">
        <f t="shared" si="28"/>
        <v>189815029</v>
      </c>
      <c r="K26" s="3">
        <f t="shared" si="28"/>
        <v>189815029</v>
      </c>
      <c r="L26" s="3">
        <f t="shared" si="28"/>
        <v>189815029</v>
      </c>
      <c r="M26" s="3">
        <f t="shared" si="28"/>
        <v>189815029</v>
      </c>
      <c r="N26" s="3">
        <f t="shared" si="28"/>
        <v>189815029</v>
      </c>
      <c r="O26" s="70">
        <f>+N26+5000000+1108415</f>
        <v>195923444</v>
      </c>
      <c r="P26" s="5">
        <f t="shared" si="21"/>
        <v>0</v>
      </c>
      <c r="Q26" s="5">
        <f t="shared" si="22"/>
        <v>6108415</v>
      </c>
      <c r="R26" s="70">
        <v>1.95923444E8</v>
      </c>
      <c r="S26" s="70">
        <v>1.99814029E8</v>
      </c>
      <c r="T26" s="70">
        <v>1.6031402899999702E8</v>
      </c>
      <c r="U26" s="70" t="str">
        <f>valuation!E45</f>
        <v>#REF!</v>
      </c>
      <c r="V26" s="70" t="str">
        <f t="shared" si="23"/>
        <v>#REF!</v>
      </c>
      <c r="W26" s="3"/>
      <c r="X26" s="3"/>
      <c r="Y26" s="3"/>
      <c r="Z26" s="3"/>
    </row>
    <row r="27" ht="12.0" customHeight="1">
      <c r="A27" s="3"/>
      <c r="B27" s="3">
        <v>8.0</v>
      </c>
      <c r="C27" s="3" t="s">
        <v>204</v>
      </c>
      <c r="D27" s="433">
        <v>1.0E7</v>
      </c>
      <c r="E27" s="3">
        <v>1.0E7</v>
      </c>
      <c r="F27" s="3">
        <f t="shared" si="19"/>
        <v>0</v>
      </c>
      <c r="G27" s="3">
        <v>1.0E7</v>
      </c>
      <c r="H27" s="3">
        <f t="shared" ref="H27:O27" si="29">10000000</f>
        <v>10000000</v>
      </c>
      <c r="I27" s="3">
        <f t="shared" si="29"/>
        <v>10000000</v>
      </c>
      <c r="J27" s="3">
        <f t="shared" si="29"/>
        <v>10000000</v>
      </c>
      <c r="K27" s="3">
        <f t="shared" si="29"/>
        <v>10000000</v>
      </c>
      <c r="L27" s="3">
        <f t="shared" si="29"/>
        <v>10000000</v>
      </c>
      <c r="M27" s="3">
        <f t="shared" si="29"/>
        <v>10000000</v>
      </c>
      <c r="N27" s="3">
        <f t="shared" si="29"/>
        <v>10000000</v>
      </c>
      <c r="O27" s="70">
        <f t="shared" si="29"/>
        <v>10000000</v>
      </c>
      <c r="P27" s="5">
        <f t="shared" si="21"/>
        <v>0</v>
      </c>
      <c r="Q27" s="5">
        <f t="shared" si="22"/>
        <v>0</v>
      </c>
      <c r="R27" s="70">
        <v>1.0E7</v>
      </c>
      <c r="S27" s="70">
        <v>1.0E7</v>
      </c>
      <c r="T27" s="70">
        <v>1.0E7</v>
      </c>
      <c r="U27" s="70">
        <f>10000000</f>
        <v>10000000</v>
      </c>
      <c r="V27" s="70">
        <f t="shared" si="23"/>
        <v>0</v>
      </c>
      <c r="W27" s="3"/>
      <c r="X27" s="3"/>
      <c r="Y27" s="3"/>
      <c r="Z27" s="3"/>
    </row>
    <row r="28" ht="12.0" customHeight="1">
      <c r="A28" s="3"/>
      <c r="B28" s="3">
        <v>9.0</v>
      </c>
      <c r="C28" s="3" t="s">
        <v>353</v>
      </c>
      <c r="D28" s="3">
        <v>0.0</v>
      </c>
      <c r="E28" s="3">
        <v>0.0</v>
      </c>
      <c r="F28" s="3">
        <f t="shared" si="19"/>
        <v>0</v>
      </c>
      <c r="G28" s="3"/>
      <c r="H28" s="3">
        <f>58000163.84</f>
        <v>58000163.84</v>
      </c>
      <c r="I28" s="3">
        <f>+H28+500000</f>
        <v>58500163.84</v>
      </c>
      <c r="J28" s="3">
        <f t="shared" ref="J28:K28" si="30">+I28</f>
        <v>58500163.84</v>
      </c>
      <c r="K28" s="3">
        <f t="shared" si="30"/>
        <v>58500163.84</v>
      </c>
      <c r="L28" s="3">
        <v>5.894016384E7</v>
      </c>
      <c r="M28" s="3">
        <v>5.894016384E7</v>
      </c>
      <c r="N28" s="3">
        <v>5.894016384E7</v>
      </c>
      <c r="O28" s="70">
        <v>5.894016384E7</v>
      </c>
      <c r="P28" s="5">
        <f t="shared" si="21"/>
        <v>440000</v>
      </c>
      <c r="Q28" s="5">
        <f t="shared" si="22"/>
        <v>0</v>
      </c>
      <c r="R28" s="70">
        <v>5.894016384E7</v>
      </c>
      <c r="S28" s="70">
        <v>5.894016384E7</v>
      </c>
      <c r="T28" s="438">
        <v>5.800016384E7</v>
      </c>
      <c r="U28" s="438">
        <v>5.800016384E7</v>
      </c>
      <c r="V28" s="70">
        <f t="shared" si="23"/>
        <v>0</v>
      </c>
      <c r="W28" s="3"/>
      <c r="X28" s="3"/>
      <c r="Y28" s="3"/>
      <c r="Z28" s="3"/>
    </row>
    <row r="29" ht="12.0" hidden="1" customHeight="1">
      <c r="A29" s="3"/>
      <c r="B29" s="3">
        <v>10.0</v>
      </c>
      <c r="C29" s="3" t="s">
        <v>354</v>
      </c>
      <c r="D29" s="3">
        <v>0.0</v>
      </c>
      <c r="E29" s="3">
        <v>0.0</v>
      </c>
      <c r="F29" s="3">
        <f t="shared" si="19"/>
        <v>0</v>
      </c>
      <c r="G29" s="3"/>
      <c r="H29" s="3">
        <v>2.961027233E7</v>
      </c>
      <c r="I29" s="3">
        <f t="shared" ref="I29:O29" si="31">+H29</f>
        <v>29610272.33</v>
      </c>
      <c r="J29" s="3">
        <f t="shared" si="31"/>
        <v>29610272.33</v>
      </c>
      <c r="K29" s="3">
        <f t="shared" si="31"/>
        <v>29610272.33</v>
      </c>
      <c r="L29" s="3">
        <f t="shared" si="31"/>
        <v>29610272.33</v>
      </c>
      <c r="M29" s="3">
        <f t="shared" si="31"/>
        <v>29610272.33</v>
      </c>
      <c r="N29" s="3">
        <f t="shared" si="31"/>
        <v>29610272.33</v>
      </c>
      <c r="O29" s="70">
        <f t="shared" si="31"/>
        <v>29610272.33</v>
      </c>
      <c r="P29" s="5">
        <f t="shared" si="21"/>
        <v>0</v>
      </c>
      <c r="Q29" s="5">
        <f t="shared" si="22"/>
        <v>0</v>
      </c>
      <c r="R29" s="70">
        <v>2.961027233E7</v>
      </c>
      <c r="S29" s="70">
        <v>2.961027233E7</v>
      </c>
      <c r="T29" s="70"/>
      <c r="U29" s="70"/>
      <c r="V29" s="70">
        <f t="shared" si="23"/>
        <v>0</v>
      </c>
      <c r="W29" s="3"/>
      <c r="X29" s="3"/>
      <c r="Y29" s="3"/>
      <c r="Z29" s="3"/>
    </row>
    <row r="30" ht="12.0" customHeight="1">
      <c r="A30" s="3"/>
      <c r="B30" s="3">
        <v>10.0</v>
      </c>
      <c r="C30" s="3" t="s">
        <v>355</v>
      </c>
      <c r="D30" s="3"/>
      <c r="E30" s="3"/>
      <c r="F30" s="3"/>
      <c r="G30" s="3"/>
      <c r="H30" s="3">
        <v>0.0</v>
      </c>
      <c r="I30" s="3">
        <v>3.29393556542E9</v>
      </c>
      <c r="J30" s="3">
        <v>3.29393556542E9</v>
      </c>
      <c r="K30" s="3">
        <v>3.29393556542E9</v>
      </c>
      <c r="L30" s="3">
        <v>3.29393556542E9</v>
      </c>
      <c r="M30" s="3">
        <v>3.29393556542E9</v>
      </c>
      <c r="N30" s="3">
        <v>3.29393556542E9</v>
      </c>
      <c r="O30" s="70">
        <v>7.43125850142E9</v>
      </c>
      <c r="P30" s="5">
        <f t="shared" si="21"/>
        <v>0</v>
      </c>
      <c r="Q30" s="5">
        <f t="shared" si="22"/>
        <v>4137322936</v>
      </c>
      <c r="R30" s="70">
        <v>7.24303447995E9</v>
      </c>
      <c r="S30" s="70">
        <v>7.24303447995E9</v>
      </c>
      <c r="T30" s="70">
        <v>9.32411206691E9</v>
      </c>
      <c r="U30" s="70">
        <v>9.61786081691E9</v>
      </c>
      <c r="V30" s="70">
        <f t="shared" si="23"/>
        <v>293748750</v>
      </c>
      <c r="W30" s="3"/>
      <c r="X30" s="3"/>
      <c r="Y30" s="3"/>
      <c r="Z30" s="3"/>
    </row>
    <row r="31" ht="12.0" customHeight="1">
      <c r="A31" s="3"/>
      <c r="B31" s="3">
        <v>11.0</v>
      </c>
      <c r="C31" s="3" t="s">
        <v>192</v>
      </c>
      <c r="D31" s="3"/>
      <c r="E31" s="3"/>
      <c r="F31" s="3"/>
      <c r="G31" s="3"/>
      <c r="H31" s="3">
        <v>0.0</v>
      </c>
      <c r="I31" s="3">
        <v>1.41E8</v>
      </c>
      <c r="J31" s="3">
        <v>1.41E8</v>
      </c>
      <c r="K31" s="3">
        <v>1.41E8</v>
      </c>
      <c r="L31" s="3">
        <v>1.41E8</v>
      </c>
      <c r="M31" s="3">
        <v>1.41E8</v>
      </c>
      <c r="N31" s="3">
        <v>1.41E8</v>
      </c>
      <c r="O31" s="70">
        <v>1.41E8</v>
      </c>
      <c r="P31" s="5">
        <f t="shared" si="21"/>
        <v>0</v>
      </c>
      <c r="Q31" s="5">
        <f t="shared" si="22"/>
        <v>0</v>
      </c>
      <c r="R31" s="70">
        <v>1.04E8</v>
      </c>
      <c r="S31" s="70">
        <v>1.04E8</v>
      </c>
      <c r="T31" s="70">
        <v>1.04E8</v>
      </c>
      <c r="U31" s="70">
        <v>1.04E8</v>
      </c>
      <c r="V31" s="70">
        <f t="shared" si="23"/>
        <v>0</v>
      </c>
      <c r="W31" s="3"/>
      <c r="X31" s="3"/>
      <c r="Y31" s="3"/>
      <c r="Z31" s="3"/>
    </row>
    <row r="32" ht="12.0" customHeight="1">
      <c r="A32" s="3"/>
      <c r="B32" s="3">
        <v>12.0</v>
      </c>
      <c r="C32" s="3" t="s">
        <v>356</v>
      </c>
      <c r="D32" s="433"/>
      <c r="E32" s="3"/>
      <c r="F32" s="3"/>
      <c r="G32" s="3"/>
      <c r="H32" s="3"/>
      <c r="I32" s="3"/>
      <c r="J32" s="3"/>
      <c r="K32" s="3">
        <v>2.5E7</v>
      </c>
      <c r="L32" s="3">
        <v>2.5E7</v>
      </c>
      <c r="M32" s="3">
        <v>2.5E7</v>
      </c>
      <c r="N32" s="3">
        <f t="shared" ref="N32:O32" si="32">25000000+13500000</f>
        <v>38500000</v>
      </c>
      <c r="O32" s="70">
        <f t="shared" si="32"/>
        <v>38500000</v>
      </c>
      <c r="P32" s="5">
        <f t="shared" si="21"/>
        <v>25000000</v>
      </c>
      <c r="Q32" s="5">
        <f t="shared" si="22"/>
        <v>13500000</v>
      </c>
      <c r="R32" s="70">
        <v>3.85E7</v>
      </c>
      <c r="S32" s="70">
        <v>3.85E7</v>
      </c>
      <c r="T32" s="70">
        <f>valuation!E43</f>
        <v>40000000</v>
      </c>
      <c r="U32" s="70">
        <f>T32</f>
        <v>40000000</v>
      </c>
      <c r="V32" s="70">
        <f t="shared" si="23"/>
        <v>0</v>
      </c>
      <c r="W32" s="3"/>
      <c r="X32" s="3"/>
      <c r="Y32" s="3"/>
      <c r="Z32" s="3"/>
    </row>
    <row r="33" ht="12.0" customHeight="1">
      <c r="A33" s="3"/>
      <c r="B33" s="3">
        <v>13.0</v>
      </c>
      <c r="C33" s="3" t="s">
        <v>357</v>
      </c>
      <c r="D33" s="433"/>
      <c r="E33" s="3"/>
      <c r="F33" s="3"/>
      <c r="G33" s="3"/>
      <c r="H33" s="3"/>
      <c r="I33" s="3"/>
      <c r="J33" s="3"/>
      <c r="K33" s="3">
        <v>2.5E7</v>
      </c>
      <c r="L33" s="3">
        <v>2.5E7</v>
      </c>
      <c r="M33" s="3">
        <v>2.5E7</v>
      </c>
      <c r="N33" s="3">
        <f t="shared" ref="N33:O33" si="33">25000000+13500000</f>
        <v>38500000</v>
      </c>
      <c r="O33" s="70">
        <f t="shared" si="33"/>
        <v>38500000</v>
      </c>
      <c r="P33" s="5">
        <f t="shared" si="21"/>
        <v>25000000</v>
      </c>
      <c r="Q33" s="5">
        <f t="shared" si="22"/>
        <v>13500000</v>
      </c>
      <c r="R33" s="70">
        <v>3.85E7</v>
      </c>
      <c r="S33" s="70">
        <v>3.85E7</v>
      </c>
      <c r="T33" s="70">
        <v>3.0E9</v>
      </c>
      <c r="U33" s="70">
        <v>3.0E9</v>
      </c>
      <c r="V33" s="70">
        <f t="shared" si="23"/>
        <v>0</v>
      </c>
      <c r="W33" s="3"/>
      <c r="X33" s="3"/>
      <c r="Y33" s="3"/>
      <c r="Z33" s="3"/>
    </row>
    <row r="34" ht="12.0" customHeight="1">
      <c r="A34" s="3"/>
      <c r="B34" s="288" t="s">
        <v>358</v>
      </c>
      <c r="C34" s="158"/>
      <c r="D34" s="159">
        <f t="shared" ref="D34:J34" si="34">SUM(D20:D31)</f>
        <v>10253480170</v>
      </c>
      <c r="E34" s="159">
        <f t="shared" si="34"/>
        <v>10504414029</v>
      </c>
      <c r="F34" s="159">
        <f t="shared" si="34"/>
        <v>250933859</v>
      </c>
      <c r="G34" s="159">
        <f t="shared" si="34"/>
        <v>10504414029</v>
      </c>
      <c r="H34" s="159">
        <f t="shared" si="34"/>
        <v>11019959732</v>
      </c>
      <c r="I34" s="159">
        <f t="shared" si="34"/>
        <v>14455395297</v>
      </c>
      <c r="J34" s="159">
        <f t="shared" si="34"/>
        <v>14455395297</v>
      </c>
      <c r="K34" s="159">
        <f t="shared" ref="K34:R34" si="35">SUM(K20:K33)</f>
        <v>14505395297</v>
      </c>
      <c r="L34" s="159">
        <f t="shared" si="35"/>
        <v>14505835297</v>
      </c>
      <c r="M34" s="159">
        <f t="shared" si="35"/>
        <v>14505835297</v>
      </c>
      <c r="N34" s="159">
        <f t="shared" si="35"/>
        <v>14532835297</v>
      </c>
      <c r="O34" s="281">
        <f t="shared" si="35"/>
        <v>18676266648</v>
      </c>
      <c r="P34" s="281">
        <f t="shared" si="35"/>
        <v>50440000</v>
      </c>
      <c r="Q34" s="281">
        <f t="shared" si="35"/>
        <v>4170431351</v>
      </c>
      <c r="R34" s="281">
        <f t="shared" si="35"/>
        <v>19802363891</v>
      </c>
      <c r="S34" s="281"/>
      <c r="T34" s="281" t="str">
        <f t="shared" ref="T34:U34" si="36">SUM(T20:T33)</f>
        <v>#REF!</v>
      </c>
      <c r="U34" s="281" t="str">
        <f t="shared" si="36"/>
        <v>#REF!</v>
      </c>
      <c r="V34" s="281" t="str">
        <f>R34-U34</f>
        <v>#REF!</v>
      </c>
      <c r="W34" s="3"/>
      <c r="X34" s="3"/>
      <c r="Y34" s="3"/>
      <c r="Z34" s="3"/>
    </row>
    <row r="35" ht="12.0" customHeight="1">
      <c r="A35" s="3"/>
      <c r="B35" s="3"/>
      <c r="C35" s="3"/>
      <c r="D35" s="3"/>
      <c r="E35" s="3" t="str">
        <f>+E34/1000-#REF!</f>
        <v>#REF!</v>
      </c>
      <c r="F35" s="3"/>
      <c r="G35" s="3"/>
      <c r="H35" s="3"/>
      <c r="I35" s="3"/>
      <c r="J35" s="3"/>
      <c r="K35" s="3"/>
      <c r="L35" s="3"/>
      <c r="M35" s="3"/>
      <c r="N35" s="3"/>
      <c r="O35" s="3">
        <f>28462635015.97-O34</f>
        <v>9786368368</v>
      </c>
      <c r="P35" s="3"/>
      <c r="Q35" s="3"/>
      <c r="R35" s="3"/>
      <c r="S35" s="3"/>
      <c r="T35" s="3"/>
      <c r="U35" s="3"/>
      <c r="V35" s="66"/>
      <c r="W35" s="3"/>
      <c r="X35" s="3"/>
      <c r="Y35" s="3"/>
      <c r="Z35" s="3"/>
    </row>
    <row r="36" ht="12.0" customHeight="1">
      <c r="A36" s="3"/>
      <c r="B36" s="3"/>
      <c r="C36" s="3"/>
      <c r="D36" s="3"/>
      <c r="E36" s="3"/>
      <c r="F36" s="3"/>
      <c r="G36" s="3"/>
      <c r="H36" s="3"/>
      <c r="I36" s="3"/>
      <c r="J36" s="3">
        <f>24280263664.97-J34</f>
        <v>9824868368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6"/>
      <c r="W36" s="3"/>
      <c r="X36" s="3"/>
      <c r="Y36" s="3"/>
      <c r="Z36" s="3"/>
    </row>
    <row r="37" ht="12.0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66"/>
      <c r="W37" s="3"/>
      <c r="X37" s="3"/>
      <c r="Y37" s="3"/>
      <c r="Z37" s="3"/>
    </row>
    <row r="38" ht="12.0" customHeight="1">
      <c r="A38" s="3"/>
      <c r="B38" s="3"/>
      <c r="C38" s="3"/>
      <c r="D38" s="3"/>
      <c r="E38" s="3"/>
      <c r="F38" s="3"/>
      <c r="G38" s="3"/>
      <c r="H38" s="3"/>
      <c r="I38" s="3"/>
      <c r="J38" s="3" t="s">
        <v>172</v>
      </c>
      <c r="K38" s="3"/>
      <c r="L38" s="2" t="s">
        <v>171</v>
      </c>
      <c r="M38" s="2"/>
      <c r="N38" s="2"/>
      <c r="O38" s="3"/>
      <c r="P38" s="2" t="s">
        <v>359</v>
      </c>
      <c r="Q38" s="2"/>
      <c r="R38" s="3"/>
      <c r="S38" s="3"/>
      <c r="T38" s="3"/>
      <c r="U38" s="66"/>
      <c r="V38" s="66"/>
      <c r="W38" s="3"/>
      <c r="X38" s="3"/>
      <c r="Y38" s="3"/>
      <c r="Z38" s="3"/>
    </row>
    <row r="39" ht="12.0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5"/>
      <c r="V39" s="66"/>
      <c r="W39" s="3"/>
      <c r="X39" s="3"/>
      <c r="Y39" s="3"/>
      <c r="Z39" s="3"/>
    </row>
    <row r="40" ht="12.0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66"/>
      <c r="W40" s="3"/>
      <c r="X40" s="3"/>
      <c r="Y40" s="3"/>
      <c r="Z40" s="3"/>
    </row>
    <row r="41" ht="12.0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66"/>
      <c r="W41" s="3"/>
      <c r="X41" s="3"/>
      <c r="Y41" s="3"/>
      <c r="Z41" s="3"/>
    </row>
    <row r="42" ht="12.0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66"/>
      <c r="W42" s="3"/>
      <c r="X42" s="3"/>
      <c r="Y42" s="3"/>
      <c r="Z42" s="3"/>
    </row>
    <row r="43" ht="12.0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66"/>
      <c r="W43" s="3"/>
      <c r="X43" s="3"/>
      <c r="Y43" s="3"/>
      <c r="Z43" s="3"/>
    </row>
    <row r="44" ht="12.0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66"/>
      <c r="W44" s="3"/>
      <c r="X44" s="3"/>
      <c r="Y44" s="3"/>
      <c r="Z44" s="3"/>
    </row>
    <row r="45" ht="12.0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66"/>
      <c r="W45" s="3"/>
      <c r="X45" s="3"/>
      <c r="Y45" s="3"/>
      <c r="Z45" s="3"/>
    </row>
    <row r="46" ht="12.0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66"/>
      <c r="W46" s="3"/>
      <c r="X46" s="3"/>
      <c r="Y46" s="3"/>
      <c r="Z46" s="3"/>
    </row>
    <row r="47" ht="12.0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66"/>
      <c r="W47" s="3"/>
      <c r="X47" s="3"/>
      <c r="Y47" s="3"/>
      <c r="Z47" s="3"/>
    </row>
    <row r="48" ht="12.0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66"/>
      <c r="W48" s="3"/>
      <c r="X48" s="3"/>
      <c r="Y48" s="3"/>
      <c r="Z48" s="3"/>
    </row>
    <row r="49" ht="12.0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66"/>
      <c r="W49" s="3"/>
      <c r="X49" s="3"/>
      <c r="Y49" s="3"/>
      <c r="Z49" s="3"/>
    </row>
    <row r="50" ht="12.0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66"/>
      <c r="W50" s="3"/>
      <c r="X50" s="3"/>
      <c r="Y50" s="3"/>
      <c r="Z50" s="3"/>
    </row>
    <row r="51" ht="12.0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66"/>
      <c r="W51" s="3"/>
      <c r="X51" s="3"/>
      <c r="Y51" s="3"/>
      <c r="Z51" s="3"/>
    </row>
    <row r="52" ht="12.0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66"/>
      <c r="W52" s="3"/>
      <c r="X52" s="3"/>
      <c r="Y52" s="3"/>
      <c r="Z52" s="3"/>
    </row>
    <row r="53" ht="12.0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66"/>
      <c r="W53" s="3"/>
      <c r="X53" s="3"/>
      <c r="Y53" s="3"/>
      <c r="Z53" s="3"/>
    </row>
    <row r="54" ht="12.0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66"/>
      <c r="W54" s="3"/>
      <c r="X54" s="3"/>
      <c r="Y54" s="3"/>
      <c r="Z54" s="3"/>
    </row>
    <row r="55" ht="12.0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66"/>
      <c r="W55" s="3"/>
      <c r="X55" s="3"/>
      <c r="Y55" s="3"/>
      <c r="Z55" s="3"/>
    </row>
    <row r="56" ht="12.0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66"/>
      <c r="W56" s="3"/>
      <c r="X56" s="3"/>
      <c r="Y56" s="3"/>
      <c r="Z56" s="3"/>
    </row>
    <row r="57" ht="12.0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66"/>
      <c r="W57" s="3"/>
      <c r="X57" s="3"/>
      <c r="Y57" s="3"/>
      <c r="Z57" s="3"/>
    </row>
    <row r="58" ht="12.0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66"/>
      <c r="W58" s="3"/>
      <c r="X58" s="3"/>
      <c r="Y58" s="3"/>
      <c r="Z58" s="3"/>
    </row>
    <row r="59" ht="12.0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66"/>
      <c r="W59" s="3"/>
      <c r="X59" s="3"/>
      <c r="Y59" s="3"/>
      <c r="Z59" s="3"/>
    </row>
    <row r="60" ht="12.0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66"/>
      <c r="W60" s="3"/>
      <c r="X60" s="3"/>
      <c r="Y60" s="3"/>
      <c r="Z60" s="3"/>
    </row>
    <row r="61" ht="12.0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66"/>
      <c r="W61" s="3"/>
      <c r="X61" s="3"/>
      <c r="Y61" s="3"/>
      <c r="Z61" s="3"/>
    </row>
    <row r="62" ht="12.0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66"/>
      <c r="W62" s="3"/>
      <c r="X62" s="3"/>
      <c r="Y62" s="3"/>
      <c r="Z62" s="3"/>
    </row>
    <row r="63" ht="12.0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66"/>
      <c r="W63" s="3"/>
      <c r="X63" s="3"/>
      <c r="Y63" s="3"/>
      <c r="Z63" s="3"/>
    </row>
    <row r="64" ht="12.0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66"/>
      <c r="W64" s="3"/>
      <c r="X64" s="3"/>
      <c r="Y64" s="3"/>
      <c r="Z64" s="3"/>
    </row>
    <row r="65" ht="12.0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66"/>
      <c r="W65" s="3"/>
      <c r="X65" s="3"/>
      <c r="Y65" s="3"/>
      <c r="Z65" s="3"/>
    </row>
    <row r="66" ht="12.0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66"/>
      <c r="W66" s="3"/>
      <c r="X66" s="3"/>
      <c r="Y66" s="3"/>
      <c r="Z66" s="3"/>
    </row>
    <row r="67" ht="12.0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66"/>
      <c r="W67" s="3"/>
      <c r="X67" s="3"/>
      <c r="Y67" s="3"/>
      <c r="Z67" s="3"/>
    </row>
    <row r="68" ht="12.0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66"/>
      <c r="W68" s="3"/>
      <c r="X68" s="3"/>
      <c r="Y68" s="3"/>
      <c r="Z68" s="3"/>
    </row>
    <row r="69" ht="12.0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66"/>
      <c r="W69" s="3"/>
      <c r="X69" s="3"/>
      <c r="Y69" s="3"/>
      <c r="Z69" s="3"/>
    </row>
    <row r="70" ht="12.0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66"/>
      <c r="W70" s="3"/>
      <c r="X70" s="3"/>
      <c r="Y70" s="3"/>
      <c r="Z70" s="3"/>
    </row>
    <row r="71" ht="12.0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66"/>
      <c r="W71" s="3"/>
      <c r="X71" s="3"/>
      <c r="Y71" s="3"/>
      <c r="Z71" s="3"/>
    </row>
    <row r="72" ht="12.0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66"/>
      <c r="W72" s="3"/>
      <c r="X72" s="3"/>
      <c r="Y72" s="3"/>
      <c r="Z72" s="3"/>
    </row>
    <row r="73" ht="12.0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66"/>
      <c r="W73" s="3"/>
      <c r="X73" s="3"/>
      <c r="Y73" s="3"/>
      <c r="Z73" s="3"/>
    </row>
    <row r="74" ht="12.0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66"/>
      <c r="W74" s="3"/>
      <c r="X74" s="3"/>
      <c r="Y74" s="3"/>
      <c r="Z74" s="3"/>
    </row>
    <row r="75" ht="12.0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66"/>
      <c r="W75" s="3"/>
      <c r="X75" s="3"/>
      <c r="Y75" s="3"/>
      <c r="Z75" s="3"/>
    </row>
    <row r="76" ht="12.0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66"/>
      <c r="W76" s="3"/>
      <c r="X76" s="3"/>
      <c r="Y76" s="3"/>
      <c r="Z76" s="3"/>
    </row>
    <row r="77" ht="12.0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66"/>
      <c r="W77" s="3"/>
      <c r="X77" s="3"/>
      <c r="Y77" s="3"/>
      <c r="Z77" s="3"/>
    </row>
    <row r="78" ht="12.0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66"/>
      <c r="W78" s="3"/>
      <c r="X78" s="3"/>
      <c r="Y78" s="3"/>
      <c r="Z78" s="3"/>
    </row>
    <row r="79" ht="12.0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66"/>
      <c r="W79" s="3"/>
      <c r="X79" s="3"/>
      <c r="Y79" s="3"/>
      <c r="Z79" s="3"/>
    </row>
    <row r="80" ht="12.0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66"/>
      <c r="W80" s="3"/>
      <c r="X80" s="3"/>
      <c r="Y80" s="3"/>
      <c r="Z80" s="3"/>
    </row>
    <row r="81" ht="12.0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66"/>
      <c r="W81" s="3"/>
      <c r="X81" s="3"/>
      <c r="Y81" s="3"/>
      <c r="Z81" s="3"/>
    </row>
    <row r="82" ht="12.0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66"/>
      <c r="W82" s="3"/>
      <c r="X82" s="3"/>
      <c r="Y82" s="3"/>
      <c r="Z82" s="3"/>
    </row>
    <row r="83" ht="12.0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66"/>
      <c r="W83" s="3"/>
      <c r="X83" s="3"/>
      <c r="Y83" s="3"/>
      <c r="Z83" s="3"/>
    </row>
    <row r="84" ht="12.0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66"/>
      <c r="W84" s="3"/>
      <c r="X84" s="3"/>
      <c r="Y84" s="3"/>
      <c r="Z84" s="3"/>
    </row>
    <row r="85" ht="12.0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66"/>
      <c r="W85" s="3"/>
      <c r="X85" s="3"/>
      <c r="Y85" s="3"/>
      <c r="Z85" s="3"/>
    </row>
    <row r="86" ht="12.0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66"/>
      <c r="W86" s="3"/>
      <c r="X86" s="3"/>
      <c r="Y86" s="3"/>
      <c r="Z86" s="3"/>
    </row>
    <row r="87" ht="12.0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66"/>
      <c r="W87" s="3"/>
      <c r="X87" s="3"/>
      <c r="Y87" s="3"/>
      <c r="Z87" s="3"/>
    </row>
    <row r="88" ht="12.0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66"/>
      <c r="W88" s="3"/>
      <c r="X88" s="3"/>
      <c r="Y88" s="3"/>
      <c r="Z88" s="3"/>
    </row>
    <row r="89" ht="12.0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66"/>
      <c r="W89" s="3"/>
      <c r="X89" s="3"/>
      <c r="Y89" s="3"/>
      <c r="Z89" s="3"/>
    </row>
    <row r="90" ht="12.0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66"/>
      <c r="W90" s="3"/>
      <c r="X90" s="3"/>
      <c r="Y90" s="3"/>
      <c r="Z90" s="3"/>
    </row>
    <row r="91" ht="12.0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66"/>
      <c r="W91" s="3"/>
      <c r="X91" s="3"/>
      <c r="Y91" s="3"/>
      <c r="Z91" s="3"/>
    </row>
    <row r="92" ht="12.0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66"/>
      <c r="W92" s="3"/>
      <c r="X92" s="3"/>
      <c r="Y92" s="3"/>
      <c r="Z92" s="3"/>
    </row>
    <row r="93" ht="12.0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66"/>
      <c r="W93" s="3"/>
      <c r="X93" s="3"/>
      <c r="Y93" s="3"/>
      <c r="Z93" s="3"/>
    </row>
    <row r="94" ht="12.0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66"/>
      <c r="W94" s="3"/>
      <c r="X94" s="3"/>
      <c r="Y94" s="3"/>
      <c r="Z94" s="3"/>
    </row>
    <row r="95" ht="12.0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66"/>
      <c r="W95" s="3"/>
      <c r="X95" s="3"/>
      <c r="Y95" s="3"/>
      <c r="Z95" s="3"/>
    </row>
    <row r="96" ht="12.0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66"/>
      <c r="W96" s="3"/>
      <c r="X96" s="3"/>
      <c r="Y96" s="3"/>
      <c r="Z96" s="3"/>
    </row>
    <row r="97" ht="12.0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66"/>
      <c r="W97" s="3"/>
      <c r="X97" s="3"/>
      <c r="Y97" s="3"/>
      <c r="Z97" s="3"/>
    </row>
    <row r="98" ht="12.0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66"/>
      <c r="W98" s="3"/>
      <c r="X98" s="3"/>
      <c r="Y98" s="3"/>
      <c r="Z98" s="3"/>
    </row>
    <row r="99" ht="12.0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66"/>
      <c r="W99" s="3"/>
      <c r="X99" s="3"/>
      <c r="Y99" s="3"/>
      <c r="Z99" s="3"/>
    </row>
    <row r="100" ht="12.0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66"/>
      <c r="W100" s="3"/>
      <c r="X100" s="3"/>
      <c r="Y100" s="3"/>
      <c r="Z100" s="3"/>
    </row>
    <row r="101" ht="12.0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66"/>
      <c r="W101" s="3"/>
      <c r="X101" s="3"/>
      <c r="Y101" s="3"/>
      <c r="Z101" s="3"/>
    </row>
    <row r="102" ht="12.0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66"/>
      <c r="W102" s="3"/>
      <c r="X102" s="3"/>
      <c r="Y102" s="3"/>
      <c r="Z102" s="3"/>
    </row>
    <row r="103" ht="12.0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66"/>
      <c r="W103" s="3"/>
      <c r="X103" s="3"/>
      <c r="Y103" s="3"/>
      <c r="Z103" s="3"/>
    </row>
    <row r="104" ht="12.0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66"/>
      <c r="W104" s="3"/>
      <c r="X104" s="3"/>
      <c r="Y104" s="3"/>
      <c r="Z104" s="3"/>
    </row>
    <row r="105" ht="12.0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66"/>
      <c r="W105" s="3"/>
      <c r="X105" s="3"/>
      <c r="Y105" s="3"/>
      <c r="Z105" s="3"/>
    </row>
    <row r="106" ht="12.0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66"/>
      <c r="W106" s="3"/>
      <c r="X106" s="3"/>
      <c r="Y106" s="3"/>
      <c r="Z106" s="3"/>
    </row>
    <row r="107" ht="12.0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66"/>
      <c r="W107" s="3"/>
      <c r="X107" s="3"/>
      <c r="Y107" s="3"/>
      <c r="Z107" s="3"/>
    </row>
    <row r="108" ht="12.0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66"/>
      <c r="W108" s="3"/>
      <c r="X108" s="3"/>
      <c r="Y108" s="3"/>
      <c r="Z108" s="3"/>
    </row>
    <row r="109" ht="12.0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66"/>
      <c r="W109" s="3"/>
      <c r="X109" s="3"/>
      <c r="Y109" s="3"/>
      <c r="Z109" s="3"/>
    </row>
    <row r="110" ht="12.0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66"/>
      <c r="W110" s="3"/>
      <c r="X110" s="3"/>
      <c r="Y110" s="3"/>
      <c r="Z110" s="3"/>
    </row>
    <row r="111" ht="12.0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66"/>
      <c r="W111" s="3"/>
      <c r="X111" s="3"/>
      <c r="Y111" s="3"/>
      <c r="Z111" s="3"/>
    </row>
    <row r="112" ht="12.0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66"/>
      <c r="W112" s="3"/>
      <c r="X112" s="3"/>
      <c r="Y112" s="3"/>
      <c r="Z112" s="3"/>
    </row>
    <row r="113" ht="12.0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66"/>
      <c r="W113" s="3"/>
      <c r="X113" s="3"/>
      <c r="Y113" s="3"/>
      <c r="Z113" s="3"/>
    </row>
    <row r="114" ht="12.0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66"/>
      <c r="W114" s="3"/>
      <c r="X114" s="3"/>
      <c r="Y114" s="3"/>
      <c r="Z114" s="3"/>
    </row>
    <row r="115" ht="12.0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66"/>
      <c r="W115" s="3"/>
      <c r="X115" s="3"/>
      <c r="Y115" s="3"/>
      <c r="Z115" s="3"/>
    </row>
    <row r="116" ht="12.0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66"/>
      <c r="W116" s="3"/>
      <c r="X116" s="3"/>
      <c r="Y116" s="3"/>
      <c r="Z116" s="3"/>
    </row>
    <row r="117" ht="12.0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66"/>
      <c r="W117" s="3"/>
      <c r="X117" s="3"/>
      <c r="Y117" s="3"/>
      <c r="Z117" s="3"/>
    </row>
    <row r="118" ht="12.0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66"/>
      <c r="W118" s="3"/>
      <c r="X118" s="3"/>
      <c r="Y118" s="3"/>
      <c r="Z118" s="3"/>
    </row>
    <row r="119" ht="12.0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66"/>
      <c r="W119" s="3"/>
      <c r="X119" s="3"/>
      <c r="Y119" s="3"/>
      <c r="Z119" s="3"/>
    </row>
    <row r="120" ht="12.0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66"/>
      <c r="W120" s="3"/>
      <c r="X120" s="3"/>
      <c r="Y120" s="3"/>
      <c r="Z120" s="3"/>
    </row>
    <row r="121" ht="12.0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66"/>
      <c r="W121" s="3"/>
      <c r="X121" s="3"/>
      <c r="Y121" s="3"/>
      <c r="Z121" s="3"/>
    </row>
    <row r="122" ht="12.0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66"/>
      <c r="W122" s="3"/>
      <c r="X122" s="3"/>
      <c r="Y122" s="3"/>
      <c r="Z122" s="3"/>
    </row>
    <row r="123" ht="12.0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66"/>
      <c r="W123" s="3"/>
      <c r="X123" s="3"/>
      <c r="Y123" s="3"/>
      <c r="Z123" s="3"/>
    </row>
    <row r="124" ht="12.0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66"/>
      <c r="W124" s="3"/>
      <c r="X124" s="3"/>
      <c r="Y124" s="3"/>
      <c r="Z124" s="3"/>
    </row>
    <row r="125" ht="12.0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66"/>
      <c r="W125" s="3"/>
      <c r="X125" s="3"/>
      <c r="Y125" s="3"/>
      <c r="Z125" s="3"/>
    </row>
    <row r="126" ht="12.0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66"/>
      <c r="W126" s="3"/>
      <c r="X126" s="3"/>
      <c r="Y126" s="3"/>
      <c r="Z126" s="3"/>
    </row>
    <row r="127" ht="12.0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66"/>
      <c r="W127" s="3"/>
      <c r="X127" s="3"/>
      <c r="Y127" s="3"/>
      <c r="Z127" s="3"/>
    </row>
    <row r="128" ht="12.0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66"/>
      <c r="W128" s="3"/>
      <c r="X128" s="3"/>
      <c r="Y128" s="3"/>
      <c r="Z128" s="3"/>
    </row>
    <row r="129" ht="12.0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66"/>
      <c r="W129" s="3"/>
      <c r="X129" s="3"/>
      <c r="Y129" s="3"/>
      <c r="Z129" s="3"/>
    </row>
    <row r="130" ht="12.0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66"/>
      <c r="W130" s="3"/>
      <c r="X130" s="3"/>
      <c r="Y130" s="3"/>
      <c r="Z130" s="3"/>
    </row>
    <row r="131" ht="12.0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66"/>
      <c r="W131" s="3"/>
      <c r="X131" s="3"/>
      <c r="Y131" s="3"/>
      <c r="Z131" s="3"/>
    </row>
    <row r="132" ht="12.0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66"/>
      <c r="W132" s="3"/>
      <c r="X132" s="3"/>
      <c r="Y132" s="3"/>
      <c r="Z132" s="3"/>
    </row>
    <row r="133" ht="12.0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66"/>
      <c r="W133" s="3"/>
      <c r="X133" s="3"/>
      <c r="Y133" s="3"/>
      <c r="Z133" s="3"/>
    </row>
    <row r="134" ht="12.0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66"/>
      <c r="W134" s="3"/>
      <c r="X134" s="3"/>
      <c r="Y134" s="3"/>
      <c r="Z134" s="3"/>
    </row>
    <row r="135" ht="12.0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66"/>
      <c r="W135" s="3"/>
      <c r="X135" s="3"/>
      <c r="Y135" s="3"/>
      <c r="Z135" s="3"/>
    </row>
    <row r="136" ht="12.0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66"/>
      <c r="W136" s="3"/>
      <c r="X136" s="3"/>
      <c r="Y136" s="3"/>
      <c r="Z136" s="3"/>
    </row>
    <row r="137" ht="12.0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66"/>
      <c r="W137" s="3"/>
      <c r="X137" s="3"/>
      <c r="Y137" s="3"/>
      <c r="Z137" s="3"/>
    </row>
    <row r="138" ht="12.0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66"/>
      <c r="W138" s="3"/>
      <c r="X138" s="3"/>
      <c r="Y138" s="3"/>
      <c r="Z138" s="3"/>
    </row>
    <row r="139" ht="12.0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66"/>
      <c r="W139" s="3"/>
      <c r="X139" s="3"/>
      <c r="Y139" s="3"/>
      <c r="Z139" s="3"/>
    </row>
    <row r="140" ht="12.0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66"/>
      <c r="W140" s="3"/>
      <c r="X140" s="3"/>
      <c r="Y140" s="3"/>
      <c r="Z140" s="3"/>
    </row>
    <row r="141" ht="12.0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66"/>
      <c r="W141" s="3"/>
      <c r="X141" s="3"/>
      <c r="Y141" s="3"/>
      <c r="Z141" s="3"/>
    </row>
    <row r="142" ht="12.0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66"/>
      <c r="W142" s="3"/>
      <c r="X142" s="3"/>
      <c r="Y142" s="3"/>
      <c r="Z142" s="3"/>
    </row>
    <row r="143" ht="12.0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66"/>
      <c r="W143" s="3"/>
      <c r="X143" s="3"/>
      <c r="Y143" s="3"/>
      <c r="Z143" s="3"/>
    </row>
    <row r="144" ht="12.0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66"/>
      <c r="W144" s="3"/>
      <c r="X144" s="3"/>
      <c r="Y144" s="3"/>
      <c r="Z144" s="3"/>
    </row>
    <row r="145" ht="12.0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66"/>
      <c r="W145" s="3"/>
      <c r="X145" s="3"/>
      <c r="Y145" s="3"/>
      <c r="Z145" s="3"/>
    </row>
    <row r="146" ht="12.0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66"/>
      <c r="W146" s="3"/>
      <c r="X146" s="3"/>
      <c r="Y146" s="3"/>
      <c r="Z146" s="3"/>
    </row>
    <row r="147" ht="12.0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66"/>
      <c r="W147" s="3"/>
      <c r="X147" s="3"/>
      <c r="Y147" s="3"/>
      <c r="Z147" s="3"/>
    </row>
    <row r="148" ht="12.0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66"/>
      <c r="W148" s="3"/>
      <c r="X148" s="3"/>
      <c r="Y148" s="3"/>
      <c r="Z148" s="3"/>
    </row>
    <row r="149" ht="12.0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66"/>
      <c r="W149" s="3"/>
      <c r="X149" s="3"/>
      <c r="Y149" s="3"/>
      <c r="Z149" s="3"/>
    </row>
    <row r="150" ht="12.0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66"/>
      <c r="W150" s="3"/>
      <c r="X150" s="3"/>
      <c r="Y150" s="3"/>
      <c r="Z150" s="3"/>
    </row>
    <row r="151" ht="12.0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66"/>
      <c r="W151" s="3"/>
      <c r="X151" s="3"/>
      <c r="Y151" s="3"/>
      <c r="Z151" s="3"/>
    </row>
    <row r="152" ht="12.0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66"/>
      <c r="W152" s="3"/>
      <c r="X152" s="3"/>
      <c r="Y152" s="3"/>
      <c r="Z152" s="3"/>
    </row>
    <row r="153" ht="12.0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66"/>
      <c r="W153" s="3"/>
      <c r="X153" s="3"/>
      <c r="Y153" s="3"/>
      <c r="Z153" s="3"/>
    </row>
    <row r="154" ht="12.0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66"/>
      <c r="W154" s="3"/>
      <c r="X154" s="3"/>
      <c r="Y154" s="3"/>
      <c r="Z154" s="3"/>
    </row>
    <row r="155" ht="12.0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66"/>
      <c r="W155" s="3"/>
      <c r="X155" s="3"/>
      <c r="Y155" s="3"/>
      <c r="Z155" s="3"/>
    </row>
    <row r="156" ht="12.0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66"/>
      <c r="W156" s="3"/>
      <c r="X156" s="3"/>
      <c r="Y156" s="3"/>
      <c r="Z156" s="3"/>
    </row>
    <row r="157" ht="12.0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66"/>
      <c r="W157" s="3"/>
      <c r="X157" s="3"/>
      <c r="Y157" s="3"/>
      <c r="Z157" s="3"/>
    </row>
    <row r="158" ht="12.0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66"/>
      <c r="W158" s="3"/>
      <c r="X158" s="3"/>
      <c r="Y158" s="3"/>
      <c r="Z158" s="3"/>
    </row>
    <row r="159" ht="12.0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66"/>
      <c r="W159" s="3"/>
      <c r="X159" s="3"/>
      <c r="Y159" s="3"/>
      <c r="Z159" s="3"/>
    </row>
    <row r="160" ht="12.0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66"/>
      <c r="W160" s="3"/>
      <c r="X160" s="3"/>
      <c r="Y160" s="3"/>
      <c r="Z160" s="3"/>
    </row>
    <row r="161" ht="12.0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66"/>
      <c r="W161" s="3"/>
      <c r="X161" s="3"/>
      <c r="Y161" s="3"/>
      <c r="Z161" s="3"/>
    </row>
    <row r="162" ht="12.0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66"/>
      <c r="W162" s="3"/>
      <c r="X162" s="3"/>
      <c r="Y162" s="3"/>
      <c r="Z162" s="3"/>
    </row>
    <row r="163" ht="12.0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66"/>
      <c r="W163" s="3"/>
      <c r="X163" s="3"/>
      <c r="Y163" s="3"/>
      <c r="Z163" s="3"/>
    </row>
    <row r="164" ht="12.0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66"/>
      <c r="W164" s="3"/>
      <c r="X164" s="3"/>
      <c r="Y164" s="3"/>
      <c r="Z164" s="3"/>
    </row>
    <row r="165" ht="12.0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66"/>
      <c r="W165" s="3"/>
      <c r="X165" s="3"/>
      <c r="Y165" s="3"/>
      <c r="Z165" s="3"/>
    </row>
    <row r="166" ht="12.0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66"/>
      <c r="W166" s="3"/>
      <c r="X166" s="3"/>
      <c r="Y166" s="3"/>
      <c r="Z166" s="3"/>
    </row>
    <row r="167" ht="12.0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66"/>
      <c r="W167" s="3"/>
      <c r="X167" s="3"/>
      <c r="Y167" s="3"/>
      <c r="Z167" s="3"/>
    </row>
    <row r="168" ht="12.0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66"/>
      <c r="W168" s="3"/>
      <c r="X168" s="3"/>
      <c r="Y168" s="3"/>
      <c r="Z168" s="3"/>
    </row>
    <row r="169" ht="12.0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66"/>
      <c r="W169" s="3"/>
      <c r="X169" s="3"/>
      <c r="Y169" s="3"/>
      <c r="Z169" s="3"/>
    </row>
    <row r="170" ht="12.0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66"/>
      <c r="W170" s="3"/>
      <c r="X170" s="3"/>
      <c r="Y170" s="3"/>
      <c r="Z170" s="3"/>
    </row>
    <row r="171" ht="12.0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66"/>
      <c r="W171" s="3"/>
      <c r="X171" s="3"/>
      <c r="Y171" s="3"/>
      <c r="Z171" s="3"/>
    </row>
    <row r="172" ht="12.0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66"/>
      <c r="W172" s="3"/>
      <c r="X172" s="3"/>
      <c r="Y172" s="3"/>
      <c r="Z172" s="3"/>
    </row>
    <row r="173" ht="12.0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66"/>
      <c r="W173" s="3"/>
      <c r="X173" s="3"/>
      <c r="Y173" s="3"/>
      <c r="Z173" s="3"/>
    </row>
    <row r="174" ht="12.0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66"/>
      <c r="W174" s="3"/>
      <c r="X174" s="3"/>
      <c r="Y174" s="3"/>
      <c r="Z174" s="3"/>
    </row>
    <row r="175" ht="12.0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66"/>
      <c r="W175" s="3"/>
      <c r="X175" s="3"/>
      <c r="Y175" s="3"/>
      <c r="Z175" s="3"/>
    </row>
    <row r="176" ht="12.0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66"/>
      <c r="W176" s="3"/>
      <c r="X176" s="3"/>
      <c r="Y176" s="3"/>
      <c r="Z176" s="3"/>
    </row>
    <row r="177" ht="12.0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66"/>
      <c r="W177" s="3"/>
      <c r="X177" s="3"/>
      <c r="Y177" s="3"/>
      <c r="Z177" s="3"/>
    </row>
    <row r="178" ht="12.0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66"/>
      <c r="W178" s="3"/>
      <c r="X178" s="3"/>
      <c r="Y178" s="3"/>
      <c r="Z178" s="3"/>
    </row>
    <row r="179" ht="12.0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66"/>
      <c r="W179" s="3"/>
      <c r="X179" s="3"/>
      <c r="Y179" s="3"/>
      <c r="Z179" s="3"/>
    </row>
    <row r="180" ht="12.0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66"/>
      <c r="W180" s="3"/>
      <c r="X180" s="3"/>
      <c r="Y180" s="3"/>
      <c r="Z180" s="3"/>
    </row>
    <row r="181" ht="12.0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66"/>
      <c r="W181" s="3"/>
      <c r="X181" s="3"/>
      <c r="Y181" s="3"/>
      <c r="Z181" s="3"/>
    </row>
    <row r="182" ht="12.0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66"/>
      <c r="W182" s="3"/>
      <c r="X182" s="3"/>
      <c r="Y182" s="3"/>
      <c r="Z182" s="3"/>
    </row>
    <row r="183" ht="12.0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66"/>
      <c r="W183" s="3"/>
      <c r="X183" s="3"/>
      <c r="Y183" s="3"/>
      <c r="Z183" s="3"/>
    </row>
    <row r="184" ht="12.0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66"/>
      <c r="W184" s="3"/>
      <c r="X184" s="3"/>
      <c r="Y184" s="3"/>
      <c r="Z184" s="3"/>
    </row>
    <row r="185" ht="12.0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66"/>
      <c r="W185" s="3"/>
      <c r="X185" s="3"/>
      <c r="Y185" s="3"/>
      <c r="Z185" s="3"/>
    </row>
    <row r="186" ht="12.0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66"/>
      <c r="W186" s="3"/>
      <c r="X186" s="3"/>
      <c r="Y186" s="3"/>
      <c r="Z186" s="3"/>
    </row>
    <row r="187" ht="12.0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66"/>
      <c r="W187" s="3"/>
      <c r="X187" s="3"/>
      <c r="Y187" s="3"/>
      <c r="Z187" s="3"/>
    </row>
    <row r="188" ht="12.0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66"/>
      <c r="W188" s="3"/>
      <c r="X188" s="3"/>
      <c r="Y188" s="3"/>
      <c r="Z188" s="3"/>
    </row>
    <row r="189" ht="12.0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66"/>
      <c r="W189" s="3"/>
      <c r="X189" s="3"/>
      <c r="Y189" s="3"/>
      <c r="Z189" s="3"/>
    </row>
    <row r="190" ht="12.0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66"/>
      <c r="W190" s="3"/>
      <c r="X190" s="3"/>
      <c r="Y190" s="3"/>
      <c r="Z190" s="3"/>
    </row>
    <row r="191" ht="12.0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66"/>
      <c r="W191" s="3"/>
      <c r="X191" s="3"/>
      <c r="Y191" s="3"/>
      <c r="Z191" s="3"/>
    </row>
    <row r="192" ht="12.0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66"/>
      <c r="W192" s="3"/>
      <c r="X192" s="3"/>
      <c r="Y192" s="3"/>
      <c r="Z192" s="3"/>
    </row>
    <row r="193" ht="12.0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66"/>
      <c r="W193" s="3"/>
      <c r="X193" s="3"/>
      <c r="Y193" s="3"/>
      <c r="Z193" s="3"/>
    </row>
    <row r="194" ht="12.0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66"/>
      <c r="W194" s="3"/>
      <c r="X194" s="3"/>
      <c r="Y194" s="3"/>
      <c r="Z194" s="3"/>
    </row>
    <row r="195" ht="12.0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66"/>
      <c r="W195" s="3"/>
      <c r="X195" s="3"/>
      <c r="Y195" s="3"/>
      <c r="Z195" s="3"/>
    </row>
    <row r="196" ht="12.0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66"/>
      <c r="W196" s="3"/>
      <c r="X196" s="3"/>
      <c r="Y196" s="3"/>
      <c r="Z196" s="3"/>
    </row>
    <row r="197" ht="12.0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66"/>
      <c r="W197" s="3"/>
      <c r="X197" s="3"/>
      <c r="Y197" s="3"/>
      <c r="Z197" s="3"/>
    </row>
    <row r="198" ht="12.0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66"/>
      <c r="W198" s="3"/>
      <c r="X198" s="3"/>
      <c r="Y198" s="3"/>
      <c r="Z198" s="3"/>
    </row>
    <row r="199" ht="12.0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66"/>
      <c r="W199" s="3"/>
      <c r="X199" s="3"/>
      <c r="Y199" s="3"/>
      <c r="Z199" s="3"/>
    </row>
    <row r="200" ht="12.0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66"/>
      <c r="W200" s="3"/>
      <c r="X200" s="3"/>
      <c r="Y200" s="3"/>
      <c r="Z200" s="3"/>
    </row>
    <row r="201" ht="12.0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66"/>
      <c r="W201" s="3"/>
      <c r="X201" s="3"/>
      <c r="Y201" s="3"/>
      <c r="Z201" s="3"/>
    </row>
    <row r="202" ht="12.0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66"/>
      <c r="W202" s="3"/>
      <c r="X202" s="3"/>
      <c r="Y202" s="3"/>
      <c r="Z202" s="3"/>
    </row>
    <row r="203" ht="12.0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66"/>
      <c r="W203" s="3"/>
      <c r="X203" s="3"/>
      <c r="Y203" s="3"/>
      <c r="Z203" s="3"/>
    </row>
    <row r="204" ht="12.0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66"/>
      <c r="W204" s="3"/>
      <c r="X204" s="3"/>
      <c r="Y204" s="3"/>
      <c r="Z204" s="3"/>
    </row>
    <row r="205" ht="12.0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66"/>
      <c r="W205" s="3"/>
      <c r="X205" s="3"/>
      <c r="Y205" s="3"/>
      <c r="Z205" s="3"/>
    </row>
    <row r="206" ht="12.0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66"/>
      <c r="W206" s="3"/>
      <c r="X206" s="3"/>
      <c r="Y206" s="3"/>
      <c r="Z206" s="3"/>
    </row>
    <row r="207" ht="12.0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66"/>
      <c r="W207" s="3"/>
      <c r="X207" s="3"/>
      <c r="Y207" s="3"/>
      <c r="Z207" s="3"/>
    </row>
    <row r="208" ht="12.0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66"/>
      <c r="W208" s="3"/>
      <c r="X208" s="3"/>
      <c r="Y208" s="3"/>
      <c r="Z208" s="3"/>
    </row>
    <row r="209" ht="12.0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66"/>
      <c r="W209" s="3"/>
      <c r="X209" s="3"/>
      <c r="Y209" s="3"/>
      <c r="Z209" s="3"/>
    </row>
    <row r="210" ht="12.0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66"/>
      <c r="W210" s="3"/>
      <c r="X210" s="3"/>
      <c r="Y210" s="3"/>
      <c r="Z210" s="3"/>
    </row>
    <row r="211" ht="12.0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66"/>
      <c r="W211" s="3"/>
      <c r="X211" s="3"/>
      <c r="Y211" s="3"/>
      <c r="Z211" s="3"/>
    </row>
    <row r="212" ht="12.0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66"/>
      <c r="W212" s="3"/>
      <c r="X212" s="3"/>
      <c r="Y212" s="3"/>
      <c r="Z212" s="3"/>
    </row>
    <row r="213" ht="12.0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66"/>
      <c r="W213" s="3"/>
      <c r="X213" s="3"/>
      <c r="Y213" s="3"/>
      <c r="Z213" s="3"/>
    </row>
    <row r="214" ht="12.0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66"/>
      <c r="W214" s="3"/>
      <c r="X214" s="3"/>
      <c r="Y214" s="3"/>
      <c r="Z214" s="3"/>
    </row>
    <row r="215" ht="12.0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66"/>
      <c r="W215" s="3"/>
      <c r="X215" s="3"/>
      <c r="Y215" s="3"/>
      <c r="Z215" s="3"/>
    </row>
    <row r="216" ht="12.0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66"/>
      <c r="W216" s="3"/>
      <c r="X216" s="3"/>
      <c r="Y216" s="3"/>
      <c r="Z216" s="3"/>
    </row>
    <row r="217" ht="12.0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66"/>
      <c r="W217" s="3"/>
      <c r="X217" s="3"/>
      <c r="Y217" s="3"/>
      <c r="Z217" s="3"/>
    </row>
    <row r="218" ht="12.0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66"/>
      <c r="W218" s="3"/>
      <c r="X218" s="3"/>
      <c r="Y218" s="3"/>
      <c r="Z218" s="3"/>
    </row>
    <row r="219" ht="12.0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66"/>
      <c r="W219" s="3"/>
      <c r="X219" s="3"/>
      <c r="Y219" s="3"/>
      <c r="Z219" s="3"/>
    </row>
    <row r="220" ht="12.0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66"/>
      <c r="W220" s="3"/>
      <c r="X220" s="3"/>
      <c r="Y220" s="3"/>
      <c r="Z220" s="3"/>
    </row>
    <row r="221" ht="12.0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66"/>
      <c r="W221" s="3"/>
      <c r="X221" s="3"/>
      <c r="Y221" s="3"/>
      <c r="Z221" s="3"/>
    </row>
    <row r="222" ht="12.0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66"/>
      <c r="W222" s="3"/>
      <c r="X222" s="3"/>
      <c r="Y222" s="3"/>
      <c r="Z222" s="3"/>
    </row>
    <row r="223" ht="12.0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66"/>
      <c r="W223" s="3"/>
      <c r="X223" s="3"/>
      <c r="Y223" s="3"/>
      <c r="Z223" s="3"/>
    </row>
    <row r="224" ht="12.0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66"/>
      <c r="W224" s="3"/>
      <c r="X224" s="3"/>
      <c r="Y224" s="3"/>
      <c r="Z224" s="3"/>
    </row>
    <row r="225" ht="12.0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66"/>
      <c r="W225" s="3"/>
      <c r="X225" s="3"/>
      <c r="Y225" s="3"/>
      <c r="Z225" s="3"/>
    </row>
    <row r="226" ht="12.0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66"/>
      <c r="W226" s="3"/>
      <c r="X226" s="3"/>
      <c r="Y226" s="3"/>
      <c r="Z226" s="3"/>
    </row>
    <row r="227" ht="12.0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66"/>
      <c r="W227" s="3"/>
      <c r="X227" s="3"/>
      <c r="Y227" s="3"/>
      <c r="Z227" s="3"/>
    </row>
    <row r="228" ht="12.0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66"/>
      <c r="W228" s="3"/>
      <c r="X228" s="3"/>
      <c r="Y228" s="3"/>
      <c r="Z228" s="3"/>
    </row>
    <row r="229" ht="12.0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66"/>
      <c r="W229" s="3"/>
      <c r="X229" s="3"/>
      <c r="Y229" s="3"/>
      <c r="Z229" s="3"/>
    </row>
    <row r="230" ht="12.0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66"/>
      <c r="W230" s="3"/>
      <c r="X230" s="3"/>
      <c r="Y230" s="3"/>
      <c r="Z230" s="3"/>
    </row>
    <row r="231" ht="12.0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66"/>
      <c r="W231" s="3"/>
      <c r="X231" s="3"/>
      <c r="Y231" s="3"/>
      <c r="Z231" s="3"/>
    </row>
    <row r="232" ht="12.0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66"/>
      <c r="W232" s="3"/>
      <c r="X232" s="3"/>
      <c r="Y232" s="3"/>
      <c r="Z232" s="3"/>
    </row>
    <row r="233" ht="12.0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66"/>
      <c r="W233" s="3"/>
      <c r="X233" s="3"/>
      <c r="Y233" s="3"/>
      <c r="Z233" s="3"/>
    </row>
    <row r="234" ht="12.0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66"/>
      <c r="W234" s="3"/>
      <c r="X234" s="3"/>
      <c r="Y234" s="3"/>
      <c r="Z234" s="3"/>
    </row>
    <row r="235" ht="12.0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66"/>
      <c r="W235" s="3"/>
      <c r="X235" s="3"/>
      <c r="Y235" s="3"/>
      <c r="Z235" s="3"/>
    </row>
    <row r="236" ht="12.0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66"/>
      <c r="W236" s="3"/>
      <c r="X236" s="3"/>
      <c r="Y236" s="3"/>
      <c r="Z236" s="3"/>
    </row>
    <row r="237" ht="12.0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66"/>
      <c r="W237" s="3"/>
      <c r="X237" s="3"/>
      <c r="Y237" s="3"/>
      <c r="Z237" s="3"/>
    </row>
    <row r="238" ht="12.0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66"/>
      <c r="W238" s="3"/>
      <c r="X238" s="3"/>
      <c r="Y238" s="3"/>
      <c r="Z238" s="3"/>
    </row>
    <row r="239" ht="12.0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66"/>
      <c r="W239" s="3"/>
      <c r="X239" s="3"/>
      <c r="Y239" s="3"/>
      <c r="Z239" s="3"/>
    </row>
    <row r="240" ht="12.0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66"/>
      <c r="W240" s="3"/>
      <c r="X240" s="3"/>
      <c r="Y240" s="3"/>
      <c r="Z240" s="3"/>
    </row>
    <row r="241" ht="12.0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66"/>
      <c r="W241" s="3"/>
      <c r="X241" s="3"/>
      <c r="Y241" s="3"/>
      <c r="Z241" s="3"/>
    </row>
    <row r="242" ht="12.0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66"/>
      <c r="W242" s="3"/>
      <c r="X242" s="3"/>
      <c r="Y242" s="3"/>
      <c r="Z242" s="3"/>
    </row>
    <row r="243" ht="12.0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66"/>
      <c r="W243" s="3"/>
      <c r="X243" s="3"/>
      <c r="Y243" s="3"/>
      <c r="Z243" s="3"/>
    </row>
    <row r="244" ht="12.0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66"/>
      <c r="W244" s="3"/>
      <c r="X244" s="3"/>
      <c r="Y244" s="3"/>
      <c r="Z244" s="3"/>
    </row>
    <row r="245" ht="12.0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66"/>
      <c r="W245" s="3"/>
      <c r="X245" s="3"/>
      <c r="Y245" s="3"/>
      <c r="Z245" s="3"/>
    </row>
    <row r="246" ht="12.0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66"/>
      <c r="W246" s="3"/>
      <c r="X246" s="3"/>
      <c r="Y246" s="3"/>
      <c r="Z246" s="3"/>
    </row>
    <row r="247" ht="12.0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66"/>
      <c r="W247" s="3"/>
      <c r="X247" s="3"/>
      <c r="Y247" s="3"/>
      <c r="Z247" s="3"/>
    </row>
    <row r="248" ht="12.0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66"/>
      <c r="W248" s="3"/>
      <c r="X248" s="3"/>
      <c r="Y248" s="3"/>
      <c r="Z248" s="3"/>
    </row>
    <row r="249" ht="12.0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66"/>
      <c r="W249" s="3"/>
      <c r="X249" s="3"/>
      <c r="Y249" s="3"/>
      <c r="Z249" s="3"/>
    </row>
    <row r="250" ht="12.0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66"/>
      <c r="W250" s="3"/>
      <c r="X250" s="3"/>
      <c r="Y250" s="3"/>
      <c r="Z250" s="3"/>
    </row>
    <row r="251" ht="12.0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66"/>
      <c r="W251" s="3"/>
      <c r="X251" s="3"/>
      <c r="Y251" s="3"/>
      <c r="Z251" s="3"/>
    </row>
    <row r="252" ht="12.0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66"/>
      <c r="W252" s="3"/>
      <c r="X252" s="3"/>
      <c r="Y252" s="3"/>
      <c r="Z252" s="3"/>
    </row>
    <row r="253" ht="12.0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66"/>
      <c r="W253" s="3"/>
      <c r="X253" s="3"/>
      <c r="Y253" s="3"/>
      <c r="Z253" s="3"/>
    </row>
    <row r="254" ht="12.0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66"/>
      <c r="W254" s="3"/>
      <c r="X254" s="3"/>
      <c r="Y254" s="3"/>
      <c r="Z254" s="3"/>
    </row>
    <row r="255" ht="12.0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66"/>
      <c r="W255" s="3"/>
      <c r="X255" s="3"/>
      <c r="Y255" s="3"/>
      <c r="Z255" s="3"/>
    </row>
    <row r="256" ht="12.0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66"/>
      <c r="W256" s="3"/>
      <c r="X256" s="3"/>
      <c r="Y256" s="3"/>
      <c r="Z256" s="3"/>
    </row>
    <row r="257" ht="12.0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66"/>
      <c r="W257" s="3"/>
      <c r="X257" s="3"/>
      <c r="Y257" s="3"/>
      <c r="Z257" s="3"/>
    </row>
    <row r="258" ht="12.0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66"/>
      <c r="W258" s="3"/>
      <c r="X258" s="3"/>
      <c r="Y258" s="3"/>
      <c r="Z258" s="3"/>
    </row>
    <row r="259" ht="12.0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66"/>
      <c r="W259" s="3"/>
      <c r="X259" s="3"/>
      <c r="Y259" s="3"/>
      <c r="Z259" s="3"/>
    </row>
    <row r="260" ht="12.0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66"/>
      <c r="W260" s="3"/>
      <c r="X260" s="3"/>
      <c r="Y260" s="3"/>
      <c r="Z260" s="3"/>
    </row>
    <row r="261" ht="12.0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66"/>
      <c r="W261" s="3"/>
      <c r="X261" s="3"/>
      <c r="Y261" s="3"/>
      <c r="Z261" s="3"/>
    </row>
    <row r="262" ht="12.0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66"/>
      <c r="W262" s="3"/>
      <c r="X262" s="3"/>
      <c r="Y262" s="3"/>
      <c r="Z262" s="3"/>
    </row>
    <row r="263" ht="12.0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66"/>
      <c r="W263" s="3"/>
      <c r="X263" s="3"/>
      <c r="Y263" s="3"/>
      <c r="Z263" s="3"/>
    </row>
    <row r="264" ht="12.0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66"/>
      <c r="W264" s="3"/>
      <c r="X264" s="3"/>
      <c r="Y264" s="3"/>
      <c r="Z264" s="3"/>
    </row>
    <row r="265" ht="12.0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66"/>
      <c r="W265" s="3"/>
      <c r="X265" s="3"/>
      <c r="Y265" s="3"/>
      <c r="Z265" s="3"/>
    </row>
    <row r="266" ht="12.0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66"/>
      <c r="W266" s="3"/>
      <c r="X266" s="3"/>
      <c r="Y266" s="3"/>
      <c r="Z266" s="3"/>
    </row>
    <row r="267" ht="12.0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66"/>
      <c r="W267" s="3"/>
      <c r="X267" s="3"/>
      <c r="Y267" s="3"/>
      <c r="Z267" s="3"/>
    </row>
    <row r="268" ht="12.0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66"/>
      <c r="W268" s="3"/>
      <c r="X268" s="3"/>
      <c r="Y268" s="3"/>
      <c r="Z268" s="3"/>
    </row>
    <row r="269" ht="12.0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66"/>
      <c r="W269" s="3"/>
      <c r="X269" s="3"/>
      <c r="Y269" s="3"/>
      <c r="Z269" s="3"/>
    </row>
    <row r="270" ht="12.0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66"/>
      <c r="W270" s="3"/>
      <c r="X270" s="3"/>
      <c r="Y270" s="3"/>
      <c r="Z270" s="3"/>
    </row>
    <row r="271" ht="12.0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66"/>
      <c r="W271" s="3"/>
      <c r="X271" s="3"/>
      <c r="Y271" s="3"/>
      <c r="Z271" s="3"/>
    </row>
    <row r="272" ht="12.0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66"/>
      <c r="W272" s="3"/>
      <c r="X272" s="3"/>
      <c r="Y272" s="3"/>
      <c r="Z272" s="3"/>
    </row>
    <row r="273" ht="12.0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66"/>
      <c r="W273" s="3"/>
      <c r="X273" s="3"/>
      <c r="Y273" s="3"/>
      <c r="Z273" s="3"/>
    </row>
    <row r="274" ht="12.0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66"/>
      <c r="W274" s="3"/>
      <c r="X274" s="3"/>
      <c r="Y274" s="3"/>
      <c r="Z274" s="3"/>
    </row>
    <row r="275" ht="12.0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66"/>
      <c r="W275" s="3"/>
      <c r="X275" s="3"/>
      <c r="Y275" s="3"/>
      <c r="Z275" s="3"/>
    </row>
    <row r="276" ht="12.0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66"/>
      <c r="W276" s="3"/>
      <c r="X276" s="3"/>
      <c r="Y276" s="3"/>
      <c r="Z276" s="3"/>
    </row>
    <row r="277" ht="12.0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66"/>
      <c r="W277" s="3"/>
      <c r="X277" s="3"/>
      <c r="Y277" s="3"/>
      <c r="Z277" s="3"/>
    </row>
    <row r="278" ht="12.0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66"/>
      <c r="W278" s="3"/>
      <c r="X278" s="3"/>
      <c r="Y278" s="3"/>
      <c r="Z278" s="3"/>
    </row>
    <row r="279" ht="12.0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66"/>
      <c r="W279" s="3"/>
      <c r="X279" s="3"/>
      <c r="Y279" s="3"/>
      <c r="Z279" s="3"/>
    </row>
    <row r="280" ht="12.0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66"/>
      <c r="W280" s="3"/>
      <c r="X280" s="3"/>
      <c r="Y280" s="3"/>
      <c r="Z280" s="3"/>
    </row>
    <row r="281" ht="12.0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66"/>
      <c r="W281" s="3"/>
      <c r="X281" s="3"/>
      <c r="Y281" s="3"/>
      <c r="Z281" s="3"/>
    </row>
    <row r="282" ht="12.0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66"/>
      <c r="W282" s="3"/>
      <c r="X282" s="3"/>
      <c r="Y282" s="3"/>
      <c r="Z282" s="3"/>
    </row>
    <row r="283" ht="12.0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66"/>
      <c r="W283" s="3"/>
      <c r="X283" s="3"/>
      <c r="Y283" s="3"/>
      <c r="Z283" s="3"/>
    </row>
    <row r="284" ht="12.0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66"/>
      <c r="W284" s="3"/>
      <c r="X284" s="3"/>
      <c r="Y284" s="3"/>
      <c r="Z284" s="3"/>
    </row>
    <row r="285" ht="12.0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66"/>
      <c r="W285" s="3"/>
      <c r="X285" s="3"/>
      <c r="Y285" s="3"/>
      <c r="Z285" s="3"/>
    </row>
    <row r="286" ht="12.0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66"/>
      <c r="W286" s="3"/>
      <c r="X286" s="3"/>
      <c r="Y286" s="3"/>
      <c r="Z286" s="3"/>
    </row>
    <row r="287" ht="12.0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66"/>
      <c r="W287" s="3"/>
      <c r="X287" s="3"/>
      <c r="Y287" s="3"/>
      <c r="Z287" s="3"/>
    </row>
    <row r="288" ht="12.0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66"/>
      <c r="W288" s="3"/>
      <c r="X288" s="3"/>
      <c r="Y288" s="3"/>
      <c r="Z288" s="3"/>
    </row>
    <row r="289" ht="12.0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66"/>
      <c r="W289" s="3"/>
      <c r="X289" s="3"/>
      <c r="Y289" s="3"/>
      <c r="Z289" s="3"/>
    </row>
    <row r="290" ht="12.0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66"/>
      <c r="W290" s="3"/>
      <c r="X290" s="3"/>
      <c r="Y290" s="3"/>
      <c r="Z290" s="3"/>
    </row>
    <row r="291" ht="12.0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66"/>
      <c r="W291" s="3"/>
      <c r="X291" s="3"/>
      <c r="Y291" s="3"/>
      <c r="Z291" s="3"/>
    </row>
    <row r="292" ht="12.0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66"/>
      <c r="W292" s="3"/>
      <c r="X292" s="3"/>
      <c r="Y292" s="3"/>
      <c r="Z292" s="3"/>
    </row>
    <row r="293" ht="12.0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66"/>
      <c r="W293" s="3"/>
      <c r="X293" s="3"/>
      <c r="Y293" s="3"/>
      <c r="Z293" s="3"/>
    </row>
    <row r="294" ht="12.0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66"/>
      <c r="W294" s="3"/>
      <c r="X294" s="3"/>
      <c r="Y294" s="3"/>
      <c r="Z294" s="3"/>
    </row>
    <row r="295" ht="12.0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66"/>
      <c r="W295" s="3"/>
      <c r="X295" s="3"/>
      <c r="Y295" s="3"/>
      <c r="Z295" s="3"/>
    </row>
    <row r="296" ht="12.0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66"/>
      <c r="W296" s="3"/>
      <c r="X296" s="3"/>
      <c r="Y296" s="3"/>
      <c r="Z296" s="3"/>
    </row>
    <row r="297" ht="12.0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66"/>
      <c r="W297" s="3"/>
      <c r="X297" s="3"/>
      <c r="Y297" s="3"/>
      <c r="Z297" s="3"/>
    </row>
    <row r="298" ht="12.0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66"/>
      <c r="W298" s="3"/>
      <c r="X298" s="3"/>
      <c r="Y298" s="3"/>
      <c r="Z298" s="3"/>
    </row>
    <row r="299" ht="12.0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66"/>
      <c r="W299" s="3"/>
      <c r="X299" s="3"/>
      <c r="Y299" s="3"/>
      <c r="Z299" s="3"/>
    </row>
    <row r="300" ht="12.0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66"/>
      <c r="W300" s="3"/>
      <c r="X300" s="3"/>
      <c r="Y300" s="3"/>
      <c r="Z300" s="3"/>
    </row>
    <row r="301" ht="12.0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66"/>
      <c r="W301" s="3"/>
      <c r="X301" s="3"/>
      <c r="Y301" s="3"/>
      <c r="Z301" s="3"/>
    </row>
    <row r="302" ht="12.0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66"/>
      <c r="W302" s="3"/>
      <c r="X302" s="3"/>
      <c r="Y302" s="3"/>
      <c r="Z302" s="3"/>
    </row>
    <row r="303" ht="12.0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66"/>
      <c r="W303" s="3"/>
      <c r="X303" s="3"/>
      <c r="Y303" s="3"/>
      <c r="Z303" s="3"/>
    </row>
    <row r="304" ht="12.0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66"/>
      <c r="W304" s="3"/>
      <c r="X304" s="3"/>
      <c r="Y304" s="3"/>
      <c r="Z304" s="3"/>
    </row>
    <row r="305" ht="12.0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66"/>
      <c r="W305" s="3"/>
      <c r="X305" s="3"/>
      <c r="Y305" s="3"/>
      <c r="Z305" s="3"/>
    </row>
    <row r="306" ht="12.0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66"/>
      <c r="W306" s="3"/>
      <c r="X306" s="3"/>
      <c r="Y306" s="3"/>
      <c r="Z306" s="3"/>
    </row>
    <row r="307" ht="12.0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66"/>
      <c r="W307" s="3"/>
      <c r="X307" s="3"/>
      <c r="Y307" s="3"/>
      <c r="Z307" s="3"/>
    </row>
    <row r="308" ht="12.0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66"/>
      <c r="W308" s="3"/>
      <c r="X308" s="3"/>
      <c r="Y308" s="3"/>
      <c r="Z308" s="3"/>
    </row>
    <row r="309" ht="12.0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66"/>
      <c r="W309" s="3"/>
      <c r="X309" s="3"/>
      <c r="Y309" s="3"/>
      <c r="Z309" s="3"/>
    </row>
    <row r="310" ht="12.0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66"/>
      <c r="W310" s="3"/>
      <c r="X310" s="3"/>
      <c r="Y310" s="3"/>
      <c r="Z310" s="3"/>
    </row>
    <row r="311" ht="12.0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66"/>
      <c r="W311" s="3"/>
      <c r="X311" s="3"/>
      <c r="Y311" s="3"/>
      <c r="Z311" s="3"/>
    </row>
    <row r="312" ht="12.0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66"/>
      <c r="W312" s="3"/>
      <c r="X312" s="3"/>
      <c r="Y312" s="3"/>
      <c r="Z312" s="3"/>
    </row>
    <row r="313" ht="12.0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66"/>
      <c r="W313" s="3"/>
      <c r="X313" s="3"/>
      <c r="Y313" s="3"/>
      <c r="Z313" s="3"/>
    </row>
    <row r="314" ht="12.0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66"/>
      <c r="W314" s="3"/>
      <c r="X314" s="3"/>
      <c r="Y314" s="3"/>
      <c r="Z314" s="3"/>
    </row>
    <row r="315" ht="12.0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66"/>
      <c r="W315" s="3"/>
      <c r="X315" s="3"/>
      <c r="Y315" s="3"/>
      <c r="Z315" s="3"/>
    </row>
    <row r="316" ht="12.0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66"/>
      <c r="W316" s="3"/>
      <c r="X316" s="3"/>
      <c r="Y316" s="3"/>
      <c r="Z316" s="3"/>
    </row>
    <row r="317" ht="12.0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66"/>
      <c r="W317" s="3"/>
      <c r="X317" s="3"/>
      <c r="Y317" s="3"/>
      <c r="Z317" s="3"/>
    </row>
    <row r="318" ht="12.0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66"/>
      <c r="W318" s="3"/>
      <c r="X318" s="3"/>
      <c r="Y318" s="3"/>
      <c r="Z318" s="3"/>
    </row>
    <row r="319" ht="12.0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66"/>
      <c r="W319" s="3"/>
      <c r="X319" s="3"/>
      <c r="Y319" s="3"/>
      <c r="Z319" s="3"/>
    </row>
    <row r="320" ht="12.0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66"/>
      <c r="W320" s="3"/>
      <c r="X320" s="3"/>
      <c r="Y320" s="3"/>
      <c r="Z320" s="3"/>
    </row>
    <row r="321" ht="12.0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66"/>
      <c r="W321" s="3"/>
      <c r="X321" s="3"/>
      <c r="Y321" s="3"/>
      <c r="Z321" s="3"/>
    </row>
    <row r="322" ht="12.0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66"/>
      <c r="W322" s="3"/>
      <c r="X322" s="3"/>
      <c r="Y322" s="3"/>
      <c r="Z322" s="3"/>
    </row>
    <row r="323" ht="12.0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66"/>
      <c r="W323" s="3"/>
      <c r="X323" s="3"/>
      <c r="Y323" s="3"/>
      <c r="Z323" s="3"/>
    </row>
    <row r="324" ht="12.0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66"/>
      <c r="W324" s="3"/>
      <c r="X324" s="3"/>
      <c r="Y324" s="3"/>
      <c r="Z324" s="3"/>
    </row>
    <row r="325" ht="12.0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66"/>
      <c r="W325" s="3"/>
      <c r="X325" s="3"/>
      <c r="Y325" s="3"/>
      <c r="Z325" s="3"/>
    </row>
    <row r="326" ht="12.0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66"/>
      <c r="W326" s="3"/>
      <c r="X326" s="3"/>
      <c r="Y326" s="3"/>
      <c r="Z326" s="3"/>
    </row>
    <row r="327" ht="12.0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66"/>
      <c r="W327" s="3"/>
      <c r="X327" s="3"/>
      <c r="Y327" s="3"/>
      <c r="Z327" s="3"/>
    </row>
    <row r="328" ht="12.0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66"/>
      <c r="W328" s="3"/>
      <c r="X328" s="3"/>
      <c r="Y328" s="3"/>
      <c r="Z328" s="3"/>
    </row>
    <row r="329" ht="12.0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66"/>
      <c r="W329" s="3"/>
      <c r="X329" s="3"/>
      <c r="Y329" s="3"/>
      <c r="Z329" s="3"/>
    </row>
    <row r="330" ht="12.0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66"/>
      <c r="W330" s="3"/>
      <c r="X330" s="3"/>
      <c r="Y330" s="3"/>
      <c r="Z330" s="3"/>
    </row>
    <row r="331" ht="12.0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66"/>
      <c r="W331" s="3"/>
      <c r="X331" s="3"/>
      <c r="Y331" s="3"/>
      <c r="Z331" s="3"/>
    </row>
    <row r="332" ht="12.0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66"/>
      <c r="W332" s="3"/>
      <c r="X332" s="3"/>
      <c r="Y332" s="3"/>
      <c r="Z332" s="3"/>
    </row>
    <row r="333" ht="12.0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66"/>
      <c r="W333" s="3"/>
      <c r="X333" s="3"/>
      <c r="Y333" s="3"/>
      <c r="Z333" s="3"/>
    </row>
    <row r="334" ht="12.0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66"/>
      <c r="W334" s="3"/>
      <c r="X334" s="3"/>
      <c r="Y334" s="3"/>
      <c r="Z334" s="3"/>
    </row>
    <row r="335" ht="12.0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66"/>
      <c r="W335" s="3"/>
      <c r="X335" s="3"/>
      <c r="Y335" s="3"/>
      <c r="Z335" s="3"/>
    </row>
    <row r="336" ht="12.0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66"/>
      <c r="W336" s="3"/>
      <c r="X336" s="3"/>
      <c r="Y336" s="3"/>
      <c r="Z336" s="3"/>
    </row>
    <row r="337" ht="12.0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66"/>
      <c r="W337" s="3"/>
      <c r="X337" s="3"/>
      <c r="Y337" s="3"/>
      <c r="Z337" s="3"/>
    </row>
    <row r="338" ht="12.0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66"/>
      <c r="W338" s="3"/>
      <c r="X338" s="3"/>
      <c r="Y338" s="3"/>
      <c r="Z338" s="3"/>
    </row>
    <row r="339" ht="12.0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66"/>
      <c r="W339" s="3"/>
      <c r="X339" s="3"/>
      <c r="Y339" s="3"/>
      <c r="Z339" s="3"/>
    </row>
    <row r="340" ht="12.0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66"/>
      <c r="W340" s="3"/>
      <c r="X340" s="3"/>
      <c r="Y340" s="3"/>
      <c r="Z340" s="3"/>
    </row>
    <row r="341" ht="12.0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66"/>
      <c r="W341" s="3"/>
      <c r="X341" s="3"/>
      <c r="Y341" s="3"/>
      <c r="Z341" s="3"/>
    </row>
    <row r="342" ht="12.0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66"/>
      <c r="W342" s="3"/>
      <c r="X342" s="3"/>
      <c r="Y342" s="3"/>
      <c r="Z342" s="3"/>
    </row>
    <row r="343" ht="12.0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66"/>
      <c r="W343" s="3"/>
      <c r="X343" s="3"/>
      <c r="Y343" s="3"/>
      <c r="Z343" s="3"/>
    </row>
    <row r="344" ht="12.0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66"/>
      <c r="W344" s="3"/>
      <c r="X344" s="3"/>
      <c r="Y344" s="3"/>
      <c r="Z344" s="3"/>
    </row>
    <row r="345" ht="12.0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66"/>
      <c r="W345" s="3"/>
      <c r="X345" s="3"/>
      <c r="Y345" s="3"/>
      <c r="Z345" s="3"/>
    </row>
    <row r="346" ht="12.0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66"/>
      <c r="W346" s="3"/>
      <c r="X346" s="3"/>
      <c r="Y346" s="3"/>
      <c r="Z346" s="3"/>
    </row>
    <row r="347" ht="12.0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66"/>
      <c r="W347" s="3"/>
      <c r="X347" s="3"/>
      <c r="Y347" s="3"/>
      <c r="Z347" s="3"/>
    </row>
    <row r="348" ht="12.0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66"/>
      <c r="W348" s="3"/>
      <c r="X348" s="3"/>
      <c r="Y348" s="3"/>
      <c r="Z348" s="3"/>
    </row>
    <row r="349" ht="12.0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66"/>
      <c r="W349" s="3"/>
      <c r="X349" s="3"/>
      <c r="Y349" s="3"/>
      <c r="Z349" s="3"/>
    </row>
    <row r="350" ht="12.0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66"/>
      <c r="W350" s="3"/>
      <c r="X350" s="3"/>
      <c r="Y350" s="3"/>
      <c r="Z350" s="3"/>
    </row>
    <row r="351" ht="12.0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66"/>
      <c r="W351" s="3"/>
      <c r="X351" s="3"/>
      <c r="Y351" s="3"/>
      <c r="Z351" s="3"/>
    </row>
    <row r="352" ht="12.0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66"/>
      <c r="W352" s="3"/>
      <c r="X352" s="3"/>
      <c r="Y352" s="3"/>
      <c r="Z352" s="3"/>
    </row>
    <row r="353" ht="12.0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66"/>
      <c r="W353" s="3"/>
      <c r="X353" s="3"/>
      <c r="Y353" s="3"/>
      <c r="Z353" s="3"/>
    </row>
    <row r="354" ht="12.0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66"/>
      <c r="W354" s="3"/>
      <c r="X354" s="3"/>
      <c r="Y354" s="3"/>
      <c r="Z354" s="3"/>
    </row>
    <row r="355" ht="12.0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66"/>
      <c r="W355" s="3"/>
      <c r="X355" s="3"/>
      <c r="Y355" s="3"/>
      <c r="Z355" s="3"/>
    </row>
    <row r="356" ht="12.0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66"/>
      <c r="W356" s="3"/>
      <c r="X356" s="3"/>
      <c r="Y356" s="3"/>
      <c r="Z356" s="3"/>
    </row>
    <row r="357" ht="12.0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66"/>
      <c r="W357" s="3"/>
      <c r="X357" s="3"/>
      <c r="Y357" s="3"/>
      <c r="Z357" s="3"/>
    </row>
    <row r="358" ht="12.0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66"/>
      <c r="W358" s="3"/>
      <c r="X358" s="3"/>
      <c r="Y358" s="3"/>
      <c r="Z358" s="3"/>
    </row>
    <row r="359" ht="12.0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66"/>
      <c r="W359" s="3"/>
      <c r="X359" s="3"/>
      <c r="Y359" s="3"/>
      <c r="Z359" s="3"/>
    </row>
    <row r="360" ht="12.0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66"/>
      <c r="W360" s="3"/>
      <c r="X360" s="3"/>
      <c r="Y360" s="3"/>
      <c r="Z360" s="3"/>
    </row>
    <row r="361" ht="12.0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66"/>
      <c r="W361" s="3"/>
      <c r="X361" s="3"/>
      <c r="Y361" s="3"/>
      <c r="Z361" s="3"/>
    </row>
    <row r="362" ht="12.0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66"/>
      <c r="W362" s="3"/>
      <c r="X362" s="3"/>
      <c r="Y362" s="3"/>
      <c r="Z362" s="3"/>
    </row>
    <row r="363" ht="12.0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66"/>
      <c r="W363" s="3"/>
      <c r="X363" s="3"/>
      <c r="Y363" s="3"/>
      <c r="Z363" s="3"/>
    </row>
    <row r="364" ht="12.0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66"/>
      <c r="W364" s="3"/>
      <c r="X364" s="3"/>
      <c r="Y364" s="3"/>
      <c r="Z364" s="3"/>
    </row>
    <row r="365" ht="12.0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66"/>
      <c r="W365" s="3"/>
      <c r="X365" s="3"/>
      <c r="Y365" s="3"/>
      <c r="Z365" s="3"/>
    </row>
    <row r="366" ht="12.0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66"/>
      <c r="W366" s="3"/>
      <c r="X366" s="3"/>
      <c r="Y366" s="3"/>
      <c r="Z366" s="3"/>
    </row>
    <row r="367" ht="12.0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66"/>
      <c r="W367" s="3"/>
      <c r="X367" s="3"/>
      <c r="Y367" s="3"/>
      <c r="Z367" s="3"/>
    </row>
    <row r="368" ht="12.0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66"/>
      <c r="W368" s="3"/>
      <c r="X368" s="3"/>
      <c r="Y368" s="3"/>
      <c r="Z368" s="3"/>
    </row>
    <row r="369" ht="12.0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66"/>
      <c r="W369" s="3"/>
      <c r="X369" s="3"/>
      <c r="Y369" s="3"/>
      <c r="Z369" s="3"/>
    </row>
    <row r="370" ht="12.0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66"/>
      <c r="W370" s="3"/>
      <c r="X370" s="3"/>
      <c r="Y370" s="3"/>
      <c r="Z370" s="3"/>
    </row>
    <row r="371" ht="12.0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66"/>
      <c r="W371" s="3"/>
      <c r="X371" s="3"/>
      <c r="Y371" s="3"/>
      <c r="Z371" s="3"/>
    </row>
    <row r="372" ht="12.0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66"/>
      <c r="W372" s="3"/>
      <c r="X372" s="3"/>
      <c r="Y372" s="3"/>
      <c r="Z372" s="3"/>
    </row>
    <row r="373" ht="12.0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66"/>
      <c r="W373" s="3"/>
      <c r="X373" s="3"/>
      <c r="Y373" s="3"/>
      <c r="Z373" s="3"/>
    </row>
    <row r="374" ht="12.0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66"/>
      <c r="W374" s="3"/>
      <c r="X374" s="3"/>
      <c r="Y374" s="3"/>
      <c r="Z374" s="3"/>
    </row>
    <row r="375" ht="12.0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66"/>
      <c r="W375" s="3"/>
      <c r="X375" s="3"/>
      <c r="Y375" s="3"/>
      <c r="Z375" s="3"/>
    </row>
    <row r="376" ht="12.0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66"/>
      <c r="W376" s="3"/>
      <c r="X376" s="3"/>
      <c r="Y376" s="3"/>
      <c r="Z376" s="3"/>
    </row>
    <row r="377" ht="12.0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66"/>
      <c r="W377" s="3"/>
      <c r="X377" s="3"/>
      <c r="Y377" s="3"/>
      <c r="Z377" s="3"/>
    </row>
    <row r="378" ht="12.0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66"/>
      <c r="W378" s="3"/>
      <c r="X378" s="3"/>
      <c r="Y378" s="3"/>
      <c r="Z378" s="3"/>
    </row>
    <row r="379" ht="12.0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66"/>
      <c r="W379" s="3"/>
      <c r="X379" s="3"/>
      <c r="Y379" s="3"/>
      <c r="Z379" s="3"/>
    </row>
    <row r="380" ht="12.0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66"/>
      <c r="W380" s="3"/>
      <c r="X380" s="3"/>
      <c r="Y380" s="3"/>
      <c r="Z380" s="3"/>
    </row>
    <row r="381" ht="12.0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66"/>
      <c r="W381" s="3"/>
      <c r="X381" s="3"/>
      <c r="Y381" s="3"/>
      <c r="Z381" s="3"/>
    </row>
    <row r="382" ht="12.0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66"/>
      <c r="W382" s="3"/>
      <c r="X382" s="3"/>
      <c r="Y382" s="3"/>
      <c r="Z382" s="3"/>
    </row>
    <row r="383" ht="12.0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66"/>
      <c r="W383" s="3"/>
      <c r="X383" s="3"/>
      <c r="Y383" s="3"/>
      <c r="Z383" s="3"/>
    </row>
    <row r="384" ht="12.0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66"/>
      <c r="W384" s="3"/>
      <c r="X384" s="3"/>
      <c r="Y384" s="3"/>
      <c r="Z384" s="3"/>
    </row>
    <row r="385" ht="12.0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66"/>
      <c r="W385" s="3"/>
      <c r="X385" s="3"/>
      <c r="Y385" s="3"/>
      <c r="Z385" s="3"/>
    </row>
    <row r="386" ht="12.0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66"/>
      <c r="W386" s="3"/>
      <c r="X386" s="3"/>
      <c r="Y386" s="3"/>
      <c r="Z386" s="3"/>
    </row>
    <row r="387" ht="12.0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66"/>
      <c r="W387" s="3"/>
      <c r="X387" s="3"/>
      <c r="Y387" s="3"/>
      <c r="Z387" s="3"/>
    </row>
    <row r="388" ht="12.0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66"/>
      <c r="W388" s="3"/>
      <c r="X388" s="3"/>
      <c r="Y388" s="3"/>
      <c r="Z388" s="3"/>
    </row>
    <row r="389" ht="12.0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66"/>
      <c r="W389" s="3"/>
      <c r="X389" s="3"/>
      <c r="Y389" s="3"/>
      <c r="Z389" s="3"/>
    </row>
    <row r="390" ht="12.0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66"/>
      <c r="W390" s="3"/>
      <c r="X390" s="3"/>
      <c r="Y390" s="3"/>
      <c r="Z390" s="3"/>
    </row>
    <row r="391" ht="12.0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66"/>
      <c r="W391" s="3"/>
      <c r="X391" s="3"/>
      <c r="Y391" s="3"/>
      <c r="Z391" s="3"/>
    </row>
    <row r="392" ht="12.0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66"/>
      <c r="W392" s="3"/>
      <c r="X392" s="3"/>
      <c r="Y392" s="3"/>
      <c r="Z392" s="3"/>
    </row>
    <row r="393" ht="12.0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66"/>
      <c r="W393" s="3"/>
      <c r="X393" s="3"/>
      <c r="Y393" s="3"/>
      <c r="Z393" s="3"/>
    </row>
    <row r="394" ht="12.0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66"/>
      <c r="W394" s="3"/>
      <c r="X394" s="3"/>
      <c r="Y394" s="3"/>
      <c r="Z394" s="3"/>
    </row>
    <row r="395" ht="12.0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66"/>
      <c r="W395" s="3"/>
      <c r="X395" s="3"/>
      <c r="Y395" s="3"/>
      <c r="Z395" s="3"/>
    </row>
    <row r="396" ht="12.0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66"/>
      <c r="W396" s="3"/>
      <c r="X396" s="3"/>
      <c r="Y396" s="3"/>
      <c r="Z396" s="3"/>
    </row>
    <row r="397" ht="12.0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66"/>
      <c r="W397" s="3"/>
      <c r="X397" s="3"/>
      <c r="Y397" s="3"/>
      <c r="Z397" s="3"/>
    </row>
    <row r="398" ht="12.0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66"/>
      <c r="W398" s="3"/>
      <c r="X398" s="3"/>
      <c r="Y398" s="3"/>
      <c r="Z398" s="3"/>
    </row>
    <row r="399" ht="12.0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66"/>
      <c r="W399" s="3"/>
      <c r="X399" s="3"/>
      <c r="Y399" s="3"/>
      <c r="Z399" s="3"/>
    </row>
    <row r="400" ht="12.0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66"/>
      <c r="W400" s="3"/>
      <c r="X400" s="3"/>
      <c r="Y400" s="3"/>
      <c r="Z400" s="3"/>
    </row>
    <row r="401" ht="12.0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66"/>
      <c r="W401" s="3"/>
      <c r="X401" s="3"/>
      <c r="Y401" s="3"/>
      <c r="Z401" s="3"/>
    </row>
    <row r="402" ht="12.0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66"/>
      <c r="W402" s="3"/>
      <c r="X402" s="3"/>
      <c r="Y402" s="3"/>
      <c r="Z402" s="3"/>
    </row>
    <row r="403" ht="12.0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66"/>
      <c r="W403" s="3"/>
      <c r="X403" s="3"/>
      <c r="Y403" s="3"/>
      <c r="Z403" s="3"/>
    </row>
    <row r="404" ht="12.0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66"/>
      <c r="W404" s="3"/>
      <c r="X404" s="3"/>
      <c r="Y404" s="3"/>
      <c r="Z404" s="3"/>
    </row>
    <row r="405" ht="12.0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66"/>
      <c r="W405" s="3"/>
      <c r="X405" s="3"/>
      <c r="Y405" s="3"/>
      <c r="Z405" s="3"/>
    </row>
    <row r="406" ht="12.0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66"/>
      <c r="W406" s="3"/>
      <c r="X406" s="3"/>
      <c r="Y406" s="3"/>
      <c r="Z406" s="3"/>
    </row>
    <row r="407" ht="12.0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66"/>
      <c r="W407" s="3"/>
      <c r="X407" s="3"/>
      <c r="Y407" s="3"/>
      <c r="Z407" s="3"/>
    </row>
    <row r="408" ht="12.0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66"/>
      <c r="W408" s="3"/>
      <c r="X408" s="3"/>
      <c r="Y408" s="3"/>
      <c r="Z408" s="3"/>
    </row>
    <row r="409" ht="12.0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66"/>
      <c r="W409" s="3"/>
      <c r="X409" s="3"/>
      <c r="Y409" s="3"/>
      <c r="Z409" s="3"/>
    </row>
    <row r="410" ht="12.0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66"/>
      <c r="W410" s="3"/>
      <c r="X410" s="3"/>
      <c r="Y410" s="3"/>
      <c r="Z410" s="3"/>
    </row>
    <row r="411" ht="12.0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66"/>
      <c r="W411" s="3"/>
      <c r="X411" s="3"/>
      <c r="Y411" s="3"/>
      <c r="Z411" s="3"/>
    </row>
    <row r="412" ht="12.0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66"/>
      <c r="W412" s="3"/>
      <c r="X412" s="3"/>
      <c r="Y412" s="3"/>
      <c r="Z412" s="3"/>
    </row>
    <row r="413" ht="12.0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66"/>
      <c r="W413" s="3"/>
      <c r="X413" s="3"/>
      <c r="Y413" s="3"/>
      <c r="Z413" s="3"/>
    </row>
    <row r="414" ht="12.0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66"/>
      <c r="W414" s="3"/>
      <c r="X414" s="3"/>
      <c r="Y414" s="3"/>
      <c r="Z414" s="3"/>
    </row>
    <row r="415" ht="12.0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66"/>
      <c r="W415" s="3"/>
      <c r="X415" s="3"/>
      <c r="Y415" s="3"/>
      <c r="Z415" s="3"/>
    </row>
    <row r="416" ht="12.0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66"/>
      <c r="W416" s="3"/>
      <c r="X416" s="3"/>
      <c r="Y416" s="3"/>
      <c r="Z416" s="3"/>
    </row>
    <row r="417" ht="12.0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66"/>
      <c r="W417" s="3"/>
      <c r="X417" s="3"/>
      <c r="Y417" s="3"/>
      <c r="Z417" s="3"/>
    </row>
    <row r="418" ht="12.0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66"/>
      <c r="W418" s="3"/>
      <c r="X418" s="3"/>
      <c r="Y418" s="3"/>
      <c r="Z418" s="3"/>
    </row>
    <row r="419" ht="12.0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66"/>
      <c r="W419" s="3"/>
      <c r="X419" s="3"/>
      <c r="Y419" s="3"/>
      <c r="Z419" s="3"/>
    </row>
    <row r="420" ht="12.0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66"/>
      <c r="W420" s="3"/>
      <c r="X420" s="3"/>
      <c r="Y420" s="3"/>
      <c r="Z420" s="3"/>
    </row>
    <row r="421" ht="12.0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66"/>
      <c r="W421" s="3"/>
      <c r="X421" s="3"/>
      <c r="Y421" s="3"/>
      <c r="Z421" s="3"/>
    </row>
    <row r="422" ht="12.0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66"/>
      <c r="W422" s="3"/>
      <c r="X422" s="3"/>
      <c r="Y422" s="3"/>
      <c r="Z422" s="3"/>
    </row>
    <row r="423" ht="12.0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66"/>
      <c r="W423" s="3"/>
      <c r="X423" s="3"/>
      <c r="Y423" s="3"/>
      <c r="Z423" s="3"/>
    </row>
    <row r="424" ht="12.0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66"/>
      <c r="W424" s="3"/>
      <c r="X424" s="3"/>
      <c r="Y424" s="3"/>
      <c r="Z424" s="3"/>
    </row>
    <row r="425" ht="12.0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66"/>
      <c r="W425" s="3"/>
      <c r="X425" s="3"/>
      <c r="Y425" s="3"/>
      <c r="Z425" s="3"/>
    </row>
    <row r="426" ht="12.0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66"/>
      <c r="W426" s="3"/>
      <c r="X426" s="3"/>
      <c r="Y426" s="3"/>
      <c r="Z426" s="3"/>
    </row>
    <row r="427" ht="12.0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66"/>
      <c r="W427" s="3"/>
      <c r="X427" s="3"/>
      <c r="Y427" s="3"/>
      <c r="Z427" s="3"/>
    </row>
    <row r="428" ht="12.0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66"/>
      <c r="W428" s="3"/>
      <c r="X428" s="3"/>
      <c r="Y428" s="3"/>
      <c r="Z428" s="3"/>
    </row>
    <row r="429" ht="12.0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66"/>
      <c r="W429" s="3"/>
      <c r="X429" s="3"/>
      <c r="Y429" s="3"/>
      <c r="Z429" s="3"/>
    </row>
    <row r="430" ht="12.0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66"/>
      <c r="W430" s="3"/>
      <c r="X430" s="3"/>
      <c r="Y430" s="3"/>
      <c r="Z430" s="3"/>
    </row>
    <row r="431" ht="12.0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66"/>
      <c r="W431" s="3"/>
      <c r="X431" s="3"/>
      <c r="Y431" s="3"/>
      <c r="Z431" s="3"/>
    </row>
    <row r="432" ht="12.0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66"/>
      <c r="W432" s="3"/>
      <c r="X432" s="3"/>
      <c r="Y432" s="3"/>
      <c r="Z432" s="3"/>
    </row>
    <row r="433" ht="12.0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66"/>
      <c r="W433" s="3"/>
      <c r="X433" s="3"/>
      <c r="Y433" s="3"/>
      <c r="Z433" s="3"/>
    </row>
    <row r="434" ht="12.0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66"/>
      <c r="W434" s="3"/>
      <c r="X434" s="3"/>
      <c r="Y434" s="3"/>
      <c r="Z434" s="3"/>
    </row>
    <row r="435" ht="12.0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66"/>
      <c r="W435" s="3"/>
      <c r="X435" s="3"/>
      <c r="Y435" s="3"/>
      <c r="Z435" s="3"/>
    </row>
    <row r="436" ht="12.0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66"/>
      <c r="W436" s="3"/>
      <c r="X436" s="3"/>
      <c r="Y436" s="3"/>
      <c r="Z436" s="3"/>
    </row>
    <row r="437" ht="12.0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66"/>
      <c r="W437" s="3"/>
      <c r="X437" s="3"/>
      <c r="Y437" s="3"/>
      <c r="Z437" s="3"/>
    </row>
    <row r="438" ht="12.0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66"/>
      <c r="W438" s="3"/>
      <c r="X438" s="3"/>
      <c r="Y438" s="3"/>
      <c r="Z438" s="3"/>
    </row>
    <row r="439" ht="12.0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66"/>
      <c r="W439" s="3"/>
      <c r="X439" s="3"/>
      <c r="Y439" s="3"/>
      <c r="Z439" s="3"/>
    </row>
    <row r="440" ht="12.0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66"/>
      <c r="W440" s="3"/>
      <c r="X440" s="3"/>
      <c r="Y440" s="3"/>
      <c r="Z440" s="3"/>
    </row>
    <row r="441" ht="12.0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66"/>
      <c r="W441" s="3"/>
      <c r="X441" s="3"/>
      <c r="Y441" s="3"/>
      <c r="Z441" s="3"/>
    </row>
    <row r="442" ht="12.0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66"/>
      <c r="W442" s="3"/>
      <c r="X442" s="3"/>
      <c r="Y442" s="3"/>
      <c r="Z442" s="3"/>
    </row>
    <row r="443" ht="12.0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66"/>
      <c r="W443" s="3"/>
      <c r="X443" s="3"/>
      <c r="Y443" s="3"/>
      <c r="Z443" s="3"/>
    </row>
    <row r="444" ht="12.0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66"/>
      <c r="W444" s="3"/>
      <c r="X444" s="3"/>
      <c r="Y444" s="3"/>
      <c r="Z444" s="3"/>
    </row>
    <row r="445" ht="12.0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66"/>
      <c r="W445" s="3"/>
      <c r="X445" s="3"/>
      <c r="Y445" s="3"/>
      <c r="Z445" s="3"/>
    </row>
    <row r="446" ht="12.0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66"/>
      <c r="W446" s="3"/>
      <c r="X446" s="3"/>
      <c r="Y446" s="3"/>
      <c r="Z446" s="3"/>
    </row>
    <row r="447" ht="12.0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66"/>
      <c r="W447" s="3"/>
      <c r="X447" s="3"/>
      <c r="Y447" s="3"/>
      <c r="Z447" s="3"/>
    </row>
    <row r="448" ht="12.0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66"/>
      <c r="W448" s="3"/>
      <c r="X448" s="3"/>
      <c r="Y448" s="3"/>
      <c r="Z448" s="3"/>
    </row>
    <row r="449" ht="12.0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66"/>
      <c r="W449" s="3"/>
      <c r="X449" s="3"/>
      <c r="Y449" s="3"/>
      <c r="Z449" s="3"/>
    </row>
    <row r="450" ht="12.0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66"/>
      <c r="W450" s="3"/>
      <c r="X450" s="3"/>
      <c r="Y450" s="3"/>
      <c r="Z450" s="3"/>
    </row>
    <row r="451" ht="12.0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66"/>
      <c r="W451" s="3"/>
      <c r="X451" s="3"/>
      <c r="Y451" s="3"/>
      <c r="Z451" s="3"/>
    </row>
    <row r="452" ht="12.0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66"/>
      <c r="W452" s="3"/>
      <c r="X452" s="3"/>
      <c r="Y452" s="3"/>
      <c r="Z452" s="3"/>
    </row>
    <row r="453" ht="12.0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66"/>
      <c r="W453" s="3"/>
      <c r="X453" s="3"/>
      <c r="Y453" s="3"/>
      <c r="Z453" s="3"/>
    </row>
    <row r="454" ht="12.0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66"/>
      <c r="W454" s="3"/>
      <c r="X454" s="3"/>
      <c r="Y454" s="3"/>
      <c r="Z454" s="3"/>
    </row>
    <row r="455" ht="12.0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66"/>
      <c r="W455" s="3"/>
      <c r="X455" s="3"/>
      <c r="Y455" s="3"/>
      <c r="Z455" s="3"/>
    </row>
    <row r="456" ht="12.0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66"/>
      <c r="W456" s="3"/>
      <c r="X456" s="3"/>
      <c r="Y456" s="3"/>
      <c r="Z456" s="3"/>
    </row>
    <row r="457" ht="12.0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66"/>
      <c r="W457" s="3"/>
      <c r="X457" s="3"/>
      <c r="Y457" s="3"/>
      <c r="Z457" s="3"/>
    </row>
    <row r="458" ht="12.0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66"/>
      <c r="W458" s="3"/>
      <c r="X458" s="3"/>
      <c r="Y458" s="3"/>
      <c r="Z458" s="3"/>
    </row>
    <row r="459" ht="12.0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66"/>
      <c r="W459" s="3"/>
      <c r="X459" s="3"/>
      <c r="Y459" s="3"/>
      <c r="Z459" s="3"/>
    </row>
    <row r="460" ht="12.0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66"/>
      <c r="W460" s="3"/>
      <c r="X460" s="3"/>
      <c r="Y460" s="3"/>
      <c r="Z460" s="3"/>
    </row>
    <row r="461" ht="12.0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66"/>
      <c r="W461" s="3"/>
      <c r="X461" s="3"/>
      <c r="Y461" s="3"/>
      <c r="Z461" s="3"/>
    </row>
    <row r="462" ht="12.0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66"/>
      <c r="W462" s="3"/>
      <c r="X462" s="3"/>
      <c r="Y462" s="3"/>
      <c r="Z462" s="3"/>
    </row>
    <row r="463" ht="12.0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66"/>
      <c r="W463" s="3"/>
      <c r="X463" s="3"/>
      <c r="Y463" s="3"/>
      <c r="Z463" s="3"/>
    </row>
    <row r="464" ht="12.0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66"/>
      <c r="W464" s="3"/>
      <c r="X464" s="3"/>
      <c r="Y464" s="3"/>
      <c r="Z464" s="3"/>
    </row>
    <row r="465" ht="12.0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66"/>
      <c r="W465" s="3"/>
      <c r="X465" s="3"/>
      <c r="Y465" s="3"/>
      <c r="Z465" s="3"/>
    </row>
    <row r="466" ht="12.0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66"/>
      <c r="W466" s="3"/>
      <c r="X466" s="3"/>
      <c r="Y466" s="3"/>
      <c r="Z466" s="3"/>
    </row>
    <row r="467" ht="12.0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66"/>
      <c r="W467" s="3"/>
      <c r="X467" s="3"/>
      <c r="Y467" s="3"/>
      <c r="Z467" s="3"/>
    </row>
    <row r="468" ht="12.0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66"/>
      <c r="W468" s="3"/>
      <c r="X468" s="3"/>
      <c r="Y468" s="3"/>
      <c r="Z468" s="3"/>
    </row>
    <row r="469" ht="12.0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66"/>
      <c r="W469" s="3"/>
      <c r="X469" s="3"/>
      <c r="Y469" s="3"/>
      <c r="Z469" s="3"/>
    </row>
    <row r="470" ht="12.0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66"/>
      <c r="W470" s="3"/>
      <c r="X470" s="3"/>
      <c r="Y470" s="3"/>
      <c r="Z470" s="3"/>
    </row>
    <row r="471" ht="12.0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66"/>
      <c r="W471" s="3"/>
      <c r="X471" s="3"/>
      <c r="Y471" s="3"/>
      <c r="Z471" s="3"/>
    </row>
    <row r="472" ht="12.0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66"/>
      <c r="W472" s="3"/>
      <c r="X472" s="3"/>
      <c r="Y472" s="3"/>
      <c r="Z472" s="3"/>
    </row>
    <row r="473" ht="12.0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66"/>
      <c r="W473" s="3"/>
      <c r="X473" s="3"/>
      <c r="Y473" s="3"/>
      <c r="Z473" s="3"/>
    </row>
    <row r="474" ht="12.0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66"/>
      <c r="W474" s="3"/>
      <c r="X474" s="3"/>
      <c r="Y474" s="3"/>
      <c r="Z474" s="3"/>
    </row>
    <row r="475" ht="12.0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66"/>
      <c r="W475" s="3"/>
      <c r="X475" s="3"/>
      <c r="Y475" s="3"/>
      <c r="Z475" s="3"/>
    </row>
    <row r="476" ht="12.0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66"/>
      <c r="W476" s="3"/>
      <c r="X476" s="3"/>
      <c r="Y476" s="3"/>
      <c r="Z476" s="3"/>
    </row>
    <row r="477" ht="12.0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66"/>
      <c r="W477" s="3"/>
      <c r="X477" s="3"/>
      <c r="Y477" s="3"/>
      <c r="Z477" s="3"/>
    </row>
    <row r="478" ht="12.0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66"/>
      <c r="W478" s="3"/>
      <c r="X478" s="3"/>
      <c r="Y478" s="3"/>
      <c r="Z478" s="3"/>
    </row>
    <row r="479" ht="12.0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66"/>
      <c r="W479" s="3"/>
      <c r="X479" s="3"/>
      <c r="Y479" s="3"/>
      <c r="Z479" s="3"/>
    </row>
    <row r="480" ht="12.0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66"/>
      <c r="W480" s="3"/>
      <c r="X480" s="3"/>
      <c r="Y480" s="3"/>
      <c r="Z480" s="3"/>
    </row>
    <row r="481" ht="12.0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66"/>
      <c r="W481" s="3"/>
      <c r="X481" s="3"/>
      <c r="Y481" s="3"/>
      <c r="Z481" s="3"/>
    </row>
    <row r="482" ht="12.0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66"/>
      <c r="W482" s="3"/>
      <c r="X482" s="3"/>
      <c r="Y482" s="3"/>
      <c r="Z482" s="3"/>
    </row>
    <row r="483" ht="12.0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66"/>
      <c r="W483" s="3"/>
      <c r="X483" s="3"/>
      <c r="Y483" s="3"/>
      <c r="Z483" s="3"/>
    </row>
    <row r="484" ht="12.0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66"/>
      <c r="W484" s="3"/>
      <c r="X484" s="3"/>
      <c r="Y484" s="3"/>
      <c r="Z484" s="3"/>
    </row>
    <row r="485" ht="12.0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66"/>
      <c r="W485" s="3"/>
      <c r="X485" s="3"/>
      <c r="Y485" s="3"/>
      <c r="Z485" s="3"/>
    </row>
    <row r="486" ht="12.0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66"/>
      <c r="W486" s="3"/>
      <c r="X486" s="3"/>
      <c r="Y486" s="3"/>
      <c r="Z486" s="3"/>
    </row>
    <row r="487" ht="12.0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66"/>
      <c r="W487" s="3"/>
      <c r="X487" s="3"/>
      <c r="Y487" s="3"/>
      <c r="Z487" s="3"/>
    </row>
    <row r="488" ht="12.0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66"/>
      <c r="W488" s="3"/>
      <c r="X488" s="3"/>
      <c r="Y488" s="3"/>
      <c r="Z488" s="3"/>
    </row>
    <row r="489" ht="12.0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66"/>
      <c r="W489" s="3"/>
      <c r="X489" s="3"/>
      <c r="Y489" s="3"/>
      <c r="Z489" s="3"/>
    </row>
    <row r="490" ht="12.0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66"/>
      <c r="W490" s="3"/>
      <c r="X490" s="3"/>
      <c r="Y490" s="3"/>
      <c r="Z490" s="3"/>
    </row>
    <row r="491" ht="12.0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66"/>
      <c r="W491" s="3"/>
      <c r="X491" s="3"/>
      <c r="Y491" s="3"/>
      <c r="Z491" s="3"/>
    </row>
    <row r="492" ht="12.0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66"/>
      <c r="W492" s="3"/>
      <c r="X492" s="3"/>
      <c r="Y492" s="3"/>
      <c r="Z492" s="3"/>
    </row>
    <row r="493" ht="12.0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66"/>
      <c r="W493" s="3"/>
      <c r="X493" s="3"/>
      <c r="Y493" s="3"/>
      <c r="Z493" s="3"/>
    </row>
    <row r="494" ht="12.0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66"/>
      <c r="W494" s="3"/>
      <c r="X494" s="3"/>
      <c r="Y494" s="3"/>
      <c r="Z494" s="3"/>
    </row>
    <row r="495" ht="12.0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66"/>
      <c r="W495" s="3"/>
      <c r="X495" s="3"/>
      <c r="Y495" s="3"/>
      <c r="Z495" s="3"/>
    </row>
    <row r="496" ht="12.0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66"/>
      <c r="W496" s="3"/>
      <c r="X496" s="3"/>
      <c r="Y496" s="3"/>
      <c r="Z496" s="3"/>
    </row>
    <row r="497" ht="12.0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66"/>
      <c r="W497" s="3"/>
      <c r="X497" s="3"/>
      <c r="Y497" s="3"/>
      <c r="Z497" s="3"/>
    </row>
    <row r="498" ht="12.0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66"/>
      <c r="W498" s="3"/>
      <c r="X498" s="3"/>
      <c r="Y498" s="3"/>
      <c r="Z498" s="3"/>
    </row>
    <row r="499" ht="12.0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66"/>
      <c r="W499" s="3"/>
      <c r="X499" s="3"/>
      <c r="Y499" s="3"/>
      <c r="Z499" s="3"/>
    </row>
    <row r="500" ht="12.0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66"/>
      <c r="W500" s="3"/>
      <c r="X500" s="3"/>
      <c r="Y500" s="3"/>
      <c r="Z500" s="3"/>
    </row>
    <row r="501" ht="12.0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66"/>
      <c r="W501" s="3"/>
      <c r="X501" s="3"/>
      <c r="Y501" s="3"/>
      <c r="Z501" s="3"/>
    </row>
    <row r="502" ht="12.0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66"/>
      <c r="W502" s="3"/>
      <c r="X502" s="3"/>
      <c r="Y502" s="3"/>
      <c r="Z502" s="3"/>
    </row>
    <row r="503" ht="12.0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66"/>
      <c r="W503" s="3"/>
      <c r="X503" s="3"/>
      <c r="Y503" s="3"/>
      <c r="Z503" s="3"/>
    </row>
    <row r="504" ht="12.0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66"/>
      <c r="W504" s="3"/>
      <c r="X504" s="3"/>
      <c r="Y504" s="3"/>
      <c r="Z504" s="3"/>
    </row>
    <row r="505" ht="12.0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66"/>
      <c r="W505" s="3"/>
      <c r="X505" s="3"/>
      <c r="Y505" s="3"/>
      <c r="Z505" s="3"/>
    </row>
    <row r="506" ht="12.0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66"/>
      <c r="W506" s="3"/>
      <c r="X506" s="3"/>
      <c r="Y506" s="3"/>
      <c r="Z506" s="3"/>
    </row>
    <row r="507" ht="12.0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66"/>
      <c r="W507" s="3"/>
      <c r="X507" s="3"/>
      <c r="Y507" s="3"/>
      <c r="Z507" s="3"/>
    </row>
    <row r="508" ht="12.0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66"/>
      <c r="W508" s="3"/>
      <c r="X508" s="3"/>
      <c r="Y508" s="3"/>
      <c r="Z508" s="3"/>
    </row>
    <row r="509" ht="12.0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66"/>
      <c r="W509" s="3"/>
      <c r="X509" s="3"/>
      <c r="Y509" s="3"/>
      <c r="Z509" s="3"/>
    </row>
    <row r="510" ht="12.0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66"/>
      <c r="W510" s="3"/>
      <c r="X510" s="3"/>
      <c r="Y510" s="3"/>
      <c r="Z510" s="3"/>
    </row>
    <row r="511" ht="12.0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66"/>
      <c r="W511" s="3"/>
      <c r="X511" s="3"/>
      <c r="Y511" s="3"/>
      <c r="Z511" s="3"/>
    </row>
    <row r="512" ht="12.0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66"/>
      <c r="W512" s="3"/>
      <c r="X512" s="3"/>
      <c r="Y512" s="3"/>
      <c r="Z512" s="3"/>
    </row>
    <row r="513" ht="12.0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66"/>
      <c r="W513" s="3"/>
      <c r="X513" s="3"/>
      <c r="Y513" s="3"/>
      <c r="Z513" s="3"/>
    </row>
    <row r="514" ht="12.0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66"/>
      <c r="W514" s="3"/>
      <c r="X514" s="3"/>
      <c r="Y514" s="3"/>
      <c r="Z514" s="3"/>
    </row>
    <row r="515" ht="12.0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66"/>
      <c r="W515" s="3"/>
      <c r="X515" s="3"/>
      <c r="Y515" s="3"/>
      <c r="Z515" s="3"/>
    </row>
    <row r="516" ht="12.0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66"/>
      <c r="W516" s="3"/>
      <c r="X516" s="3"/>
      <c r="Y516" s="3"/>
      <c r="Z516" s="3"/>
    </row>
    <row r="517" ht="12.0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66"/>
      <c r="W517" s="3"/>
      <c r="X517" s="3"/>
      <c r="Y517" s="3"/>
      <c r="Z517" s="3"/>
    </row>
    <row r="518" ht="12.0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66"/>
      <c r="W518" s="3"/>
      <c r="X518" s="3"/>
      <c r="Y518" s="3"/>
      <c r="Z518" s="3"/>
    </row>
    <row r="519" ht="12.0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66"/>
      <c r="W519" s="3"/>
      <c r="X519" s="3"/>
      <c r="Y519" s="3"/>
      <c r="Z519" s="3"/>
    </row>
    <row r="520" ht="12.0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66"/>
      <c r="W520" s="3"/>
      <c r="X520" s="3"/>
      <c r="Y520" s="3"/>
      <c r="Z520" s="3"/>
    </row>
    <row r="521" ht="12.0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66"/>
      <c r="W521" s="3"/>
      <c r="X521" s="3"/>
      <c r="Y521" s="3"/>
      <c r="Z521" s="3"/>
    </row>
    <row r="522" ht="12.0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66"/>
      <c r="W522" s="3"/>
      <c r="X522" s="3"/>
      <c r="Y522" s="3"/>
      <c r="Z522" s="3"/>
    </row>
    <row r="523" ht="12.0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66"/>
      <c r="W523" s="3"/>
      <c r="X523" s="3"/>
      <c r="Y523" s="3"/>
      <c r="Z523" s="3"/>
    </row>
    <row r="524" ht="12.0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66"/>
      <c r="W524" s="3"/>
      <c r="X524" s="3"/>
      <c r="Y524" s="3"/>
      <c r="Z524" s="3"/>
    </row>
    <row r="525" ht="12.0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66"/>
      <c r="W525" s="3"/>
      <c r="X525" s="3"/>
      <c r="Y525" s="3"/>
      <c r="Z525" s="3"/>
    </row>
    <row r="526" ht="12.0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66"/>
      <c r="W526" s="3"/>
      <c r="X526" s="3"/>
      <c r="Y526" s="3"/>
      <c r="Z526" s="3"/>
    </row>
    <row r="527" ht="12.0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66"/>
      <c r="W527" s="3"/>
      <c r="X527" s="3"/>
      <c r="Y527" s="3"/>
      <c r="Z527" s="3"/>
    </row>
    <row r="528" ht="12.0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66"/>
      <c r="W528" s="3"/>
      <c r="X528" s="3"/>
      <c r="Y528" s="3"/>
      <c r="Z528" s="3"/>
    </row>
    <row r="529" ht="12.0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66"/>
      <c r="W529" s="3"/>
      <c r="X529" s="3"/>
      <c r="Y529" s="3"/>
      <c r="Z529" s="3"/>
    </row>
    <row r="530" ht="12.0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66"/>
      <c r="W530" s="3"/>
      <c r="X530" s="3"/>
      <c r="Y530" s="3"/>
      <c r="Z530" s="3"/>
    </row>
    <row r="531" ht="12.0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66"/>
      <c r="W531" s="3"/>
      <c r="X531" s="3"/>
      <c r="Y531" s="3"/>
      <c r="Z531" s="3"/>
    </row>
    <row r="532" ht="12.0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66"/>
      <c r="W532" s="3"/>
      <c r="X532" s="3"/>
      <c r="Y532" s="3"/>
      <c r="Z532" s="3"/>
    </row>
    <row r="533" ht="12.0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66"/>
      <c r="W533" s="3"/>
      <c r="X533" s="3"/>
      <c r="Y533" s="3"/>
      <c r="Z533" s="3"/>
    </row>
    <row r="534" ht="12.0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66"/>
      <c r="W534" s="3"/>
      <c r="X534" s="3"/>
      <c r="Y534" s="3"/>
      <c r="Z534" s="3"/>
    </row>
    <row r="535" ht="12.0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66"/>
      <c r="W535" s="3"/>
      <c r="X535" s="3"/>
      <c r="Y535" s="3"/>
      <c r="Z535" s="3"/>
    </row>
    <row r="536" ht="12.0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66"/>
      <c r="W536" s="3"/>
      <c r="X536" s="3"/>
      <c r="Y536" s="3"/>
      <c r="Z536" s="3"/>
    </row>
    <row r="537" ht="12.0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66"/>
      <c r="W537" s="3"/>
      <c r="X537" s="3"/>
      <c r="Y537" s="3"/>
      <c r="Z537" s="3"/>
    </row>
    <row r="538" ht="12.0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66"/>
      <c r="W538" s="3"/>
      <c r="X538" s="3"/>
      <c r="Y538" s="3"/>
      <c r="Z538" s="3"/>
    </row>
    <row r="539" ht="12.0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66"/>
      <c r="W539" s="3"/>
      <c r="X539" s="3"/>
      <c r="Y539" s="3"/>
      <c r="Z539" s="3"/>
    </row>
    <row r="540" ht="12.0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66"/>
      <c r="W540" s="3"/>
      <c r="X540" s="3"/>
      <c r="Y540" s="3"/>
      <c r="Z540" s="3"/>
    </row>
    <row r="541" ht="12.0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66"/>
      <c r="W541" s="3"/>
      <c r="X541" s="3"/>
      <c r="Y541" s="3"/>
      <c r="Z541" s="3"/>
    </row>
    <row r="542" ht="12.0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66"/>
      <c r="W542" s="3"/>
      <c r="X542" s="3"/>
      <c r="Y542" s="3"/>
      <c r="Z542" s="3"/>
    </row>
    <row r="543" ht="12.0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66"/>
      <c r="W543" s="3"/>
      <c r="X543" s="3"/>
      <c r="Y543" s="3"/>
      <c r="Z543" s="3"/>
    </row>
    <row r="544" ht="12.0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66"/>
      <c r="W544" s="3"/>
      <c r="X544" s="3"/>
      <c r="Y544" s="3"/>
      <c r="Z544" s="3"/>
    </row>
    <row r="545" ht="12.0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66"/>
      <c r="W545" s="3"/>
      <c r="X545" s="3"/>
      <c r="Y545" s="3"/>
      <c r="Z545" s="3"/>
    </row>
    <row r="546" ht="12.0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66"/>
      <c r="W546" s="3"/>
      <c r="X546" s="3"/>
      <c r="Y546" s="3"/>
      <c r="Z546" s="3"/>
    </row>
    <row r="547" ht="12.0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66"/>
      <c r="W547" s="3"/>
      <c r="X547" s="3"/>
      <c r="Y547" s="3"/>
      <c r="Z547" s="3"/>
    </row>
    <row r="548" ht="12.0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66"/>
      <c r="W548" s="3"/>
      <c r="X548" s="3"/>
      <c r="Y548" s="3"/>
      <c r="Z548" s="3"/>
    </row>
    <row r="549" ht="12.0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66"/>
      <c r="W549" s="3"/>
      <c r="X549" s="3"/>
      <c r="Y549" s="3"/>
      <c r="Z549" s="3"/>
    </row>
    <row r="550" ht="12.0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66"/>
      <c r="W550" s="3"/>
      <c r="X550" s="3"/>
      <c r="Y550" s="3"/>
      <c r="Z550" s="3"/>
    </row>
    <row r="551" ht="12.0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66"/>
      <c r="W551" s="3"/>
      <c r="X551" s="3"/>
      <c r="Y551" s="3"/>
      <c r="Z551" s="3"/>
    </row>
    <row r="552" ht="12.0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66"/>
      <c r="W552" s="3"/>
      <c r="X552" s="3"/>
      <c r="Y552" s="3"/>
      <c r="Z552" s="3"/>
    </row>
    <row r="553" ht="12.0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66"/>
      <c r="W553" s="3"/>
      <c r="X553" s="3"/>
      <c r="Y553" s="3"/>
      <c r="Z553" s="3"/>
    </row>
    <row r="554" ht="12.0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66"/>
      <c r="W554" s="3"/>
      <c r="X554" s="3"/>
      <c r="Y554" s="3"/>
      <c r="Z554" s="3"/>
    </row>
    <row r="555" ht="12.0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66"/>
      <c r="W555" s="3"/>
      <c r="X555" s="3"/>
      <c r="Y555" s="3"/>
      <c r="Z555" s="3"/>
    </row>
    <row r="556" ht="12.0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66"/>
      <c r="W556" s="3"/>
      <c r="X556" s="3"/>
      <c r="Y556" s="3"/>
      <c r="Z556" s="3"/>
    </row>
    <row r="557" ht="12.0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66"/>
      <c r="W557" s="3"/>
      <c r="X557" s="3"/>
      <c r="Y557" s="3"/>
      <c r="Z557" s="3"/>
    </row>
    <row r="558" ht="12.0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66"/>
      <c r="W558" s="3"/>
      <c r="X558" s="3"/>
      <c r="Y558" s="3"/>
      <c r="Z558" s="3"/>
    </row>
    <row r="559" ht="12.0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66"/>
      <c r="W559" s="3"/>
      <c r="X559" s="3"/>
      <c r="Y559" s="3"/>
      <c r="Z559" s="3"/>
    </row>
    <row r="560" ht="12.0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66"/>
      <c r="W560" s="3"/>
      <c r="X560" s="3"/>
      <c r="Y560" s="3"/>
      <c r="Z560" s="3"/>
    </row>
    <row r="561" ht="12.0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66"/>
      <c r="W561" s="3"/>
      <c r="X561" s="3"/>
      <c r="Y561" s="3"/>
      <c r="Z561" s="3"/>
    </row>
    <row r="562" ht="12.0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66"/>
      <c r="W562" s="3"/>
      <c r="X562" s="3"/>
      <c r="Y562" s="3"/>
      <c r="Z562" s="3"/>
    </row>
    <row r="563" ht="12.0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66"/>
      <c r="W563" s="3"/>
      <c r="X563" s="3"/>
      <c r="Y563" s="3"/>
      <c r="Z563" s="3"/>
    </row>
    <row r="564" ht="12.0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66"/>
      <c r="W564" s="3"/>
      <c r="X564" s="3"/>
      <c r="Y564" s="3"/>
      <c r="Z564" s="3"/>
    </row>
    <row r="565" ht="12.0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66"/>
      <c r="W565" s="3"/>
      <c r="X565" s="3"/>
      <c r="Y565" s="3"/>
      <c r="Z565" s="3"/>
    </row>
    <row r="566" ht="12.0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66"/>
      <c r="W566" s="3"/>
      <c r="X566" s="3"/>
      <c r="Y566" s="3"/>
      <c r="Z566" s="3"/>
    </row>
    <row r="567" ht="12.0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66"/>
      <c r="W567" s="3"/>
      <c r="X567" s="3"/>
      <c r="Y567" s="3"/>
      <c r="Z567" s="3"/>
    </row>
    <row r="568" ht="12.0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66"/>
      <c r="W568" s="3"/>
      <c r="X568" s="3"/>
      <c r="Y568" s="3"/>
      <c r="Z568" s="3"/>
    </row>
    <row r="569" ht="12.0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66"/>
      <c r="W569" s="3"/>
      <c r="X569" s="3"/>
      <c r="Y569" s="3"/>
      <c r="Z569" s="3"/>
    </row>
    <row r="570" ht="12.0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66"/>
      <c r="W570" s="3"/>
      <c r="X570" s="3"/>
      <c r="Y570" s="3"/>
      <c r="Z570" s="3"/>
    </row>
    <row r="571" ht="12.0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66"/>
      <c r="W571" s="3"/>
      <c r="X571" s="3"/>
      <c r="Y571" s="3"/>
      <c r="Z571" s="3"/>
    </row>
    <row r="572" ht="12.0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66"/>
      <c r="W572" s="3"/>
      <c r="X572" s="3"/>
      <c r="Y572" s="3"/>
      <c r="Z572" s="3"/>
    </row>
    <row r="573" ht="12.0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66"/>
      <c r="W573" s="3"/>
      <c r="X573" s="3"/>
      <c r="Y573" s="3"/>
      <c r="Z573" s="3"/>
    </row>
    <row r="574" ht="12.0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66"/>
      <c r="W574" s="3"/>
      <c r="X574" s="3"/>
      <c r="Y574" s="3"/>
      <c r="Z574" s="3"/>
    </row>
    <row r="575" ht="12.0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66"/>
      <c r="W575" s="3"/>
      <c r="X575" s="3"/>
      <c r="Y575" s="3"/>
      <c r="Z575" s="3"/>
    </row>
    <row r="576" ht="12.0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66"/>
      <c r="W576" s="3"/>
      <c r="X576" s="3"/>
      <c r="Y576" s="3"/>
      <c r="Z576" s="3"/>
    </row>
    <row r="577" ht="12.0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66"/>
      <c r="W577" s="3"/>
      <c r="X577" s="3"/>
      <c r="Y577" s="3"/>
      <c r="Z577" s="3"/>
    </row>
    <row r="578" ht="12.0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66"/>
      <c r="W578" s="3"/>
      <c r="X578" s="3"/>
      <c r="Y578" s="3"/>
      <c r="Z578" s="3"/>
    </row>
    <row r="579" ht="12.0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66"/>
      <c r="W579" s="3"/>
      <c r="X579" s="3"/>
      <c r="Y579" s="3"/>
      <c r="Z579" s="3"/>
    </row>
    <row r="580" ht="12.0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66"/>
      <c r="W580" s="3"/>
      <c r="X580" s="3"/>
      <c r="Y580" s="3"/>
      <c r="Z580" s="3"/>
    </row>
    <row r="581" ht="12.0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66"/>
      <c r="W581" s="3"/>
      <c r="X581" s="3"/>
      <c r="Y581" s="3"/>
      <c r="Z581" s="3"/>
    </row>
    <row r="582" ht="12.0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66"/>
      <c r="W582" s="3"/>
      <c r="X582" s="3"/>
      <c r="Y582" s="3"/>
      <c r="Z582" s="3"/>
    </row>
    <row r="583" ht="12.0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66"/>
      <c r="W583" s="3"/>
      <c r="X583" s="3"/>
      <c r="Y583" s="3"/>
      <c r="Z583" s="3"/>
    </row>
    <row r="584" ht="12.0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66"/>
      <c r="W584" s="3"/>
      <c r="X584" s="3"/>
      <c r="Y584" s="3"/>
      <c r="Z584" s="3"/>
    </row>
    <row r="585" ht="12.0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66"/>
      <c r="W585" s="3"/>
      <c r="X585" s="3"/>
      <c r="Y585" s="3"/>
      <c r="Z585" s="3"/>
    </row>
    <row r="586" ht="12.0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66"/>
      <c r="W586" s="3"/>
      <c r="X586" s="3"/>
      <c r="Y586" s="3"/>
      <c r="Z586" s="3"/>
    </row>
    <row r="587" ht="12.0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66"/>
      <c r="W587" s="3"/>
      <c r="X587" s="3"/>
      <c r="Y587" s="3"/>
      <c r="Z587" s="3"/>
    </row>
    <row r="588" ht="12.0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66"/>
      <c r="W588" s="3"/>
      <c r="X588" s="3"/>
      <c r="Y588" s="3"/>
      <c r="Z588" s="3"/>
    </row>
    <row r="589" ht="12.0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66"/>
      <c r="W589" s="3"/>
      <c r="X589" s="3"/>
      <c r="Y589" s="3"/>
      <c r="Z589" s="3"/>
    </row>
    <row r="590" ht="12.0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66"/>
      <c r="W590" s="3"/>
      <c r="X590" s="3"/>
      <c r="Y590" s="3"/>
      <c r="Z590" s="3"/>
    </row>
    <row r="591" ht="12.0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66"/>
      <c r="W591" s="3"/>
      <c r="X591" s="3"/>
      <c r="Y591" s="3"/>
      <c r="Z591" s="3"/>
    </row>
    <row r="592" ht="12.0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66"/>
      <c r="W592" s="3"/>
      <c r="X592" s="3"/>
      <c r="Y592" s="3"/>
      <c r="Z592" s="3"/>
    </row>
    <row r="593" ht="12.0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66"/>
      <c r="W593" s="3"/>
      <c r="X593" s="3"/>
      <c r="Y593" s="3"/>
      <c r="Z593" s="3"/>
    </row>
    <row r="594" ht="12.0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66"/>
      <c r="W594" s="3"/>
      <c r="X594" s="3"/>
      <c r="Y594" s="3"/>
      <c r="Z594" s="3"/>
    </row>
    <row r="595" ht="12.0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66"/>
      <c r="W595" s="3"/>
      <c r="X595" s="3"/>
      <c r="Y595" s="3"/>
      <c r="Z595" s="3"/>
    </row>
    <row r="596" ht="12.0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66"/>
      <c r="W596" s="3"/>
      <c r="X596" s="3"/>
      <c r="Y596" s="3"/>
      <c r="Z596" s="3"/>
    </row>
    <row r="597" ht="12.0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66"/>
      <c r="W597" s="3"/>
      <c r="X597" s="3"/>
      <c r="Y597" s="3"/>
      <c r="Z597" s="3"/>
    </row>
    <row r="598" ht="12.0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66"/>
      <c r="W598" s="3"/>
      <c r="X598" s="3"/>
      <c r="Y598" s="3"/>
      <c r="Z598" s="3"/>
    </row>
    <row r="599" ht="12.0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66"/>
      <c r="W599" s="3"/>
      <c r="X599" s="3"/>
      <c r="Y599" s="3"/>
      <c r="Z599" s="3"/>
    </row>
    <row r="600" ht="12.0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66"/>
      <c r="W600" s="3"/>
      <c r="X600" s="3"/>
      <c r="Y600" s="3"/>
      <c r="Z600" s="3"/>
    </row>
    <row r="601" ht="12.0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66"/>
      <c r="W601" s="3"/>
      <c r="X601" s="3"/>
      <c r="Y601" s="3"/>
      <c r="Z601" s="3"/>
    </row>
    <row r="602" ht="12.0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66"/>
      <c r="W602" s="3"/>
      <c r="X602" s="3"/>
      <c r="Y602" s="3"/>
      <c r="Z602" s="3"/>
    </row>
    <row r="603" ht="12.0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66"/>
      <c r="W603" s="3"/>
      <c r="X603" s="3"/>
      <c r="Y603" s="3"/>
      <c r="Z603" s="3"/>
    </row>
    <row r="604" ht="12.0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66"/>
      <c r="W604" s="3"/>
      <c r="X604" s="3"/>
      <c r="Y604" s="3"/>
      <c r="Z604" s="3"/>
    </row>
    <row r="605" ht="12.0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66"/>
      <c r="W605" s="3"/>
      <c r="X605" s="3"/>
      <c r="Y605" s="3"/>
      <c r="Z605" s="3"/>
    </row>
    <row r="606" ht="12.0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66"/>
      <c r="W606" s="3"/>
      <c r="X606" s="3"/>
      <c r="Y606" s="3"/>
      <c r="Z606" s="3"/>
    </row>
    <row r="607" ht="12.0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66"/>
      <c r="W607" s="3"/>
      <c r="X607" s="3"/>
      <c r="Y607" s="3"/>
      <c r="Z607" s="3"/>
    </row>
    <row r="608" ht="12.0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66"/>
      <c r="W608" s="3"/>
      <c r="X608" s="3"/>
      <c r="Y608" s="3"/>
      <c r="Z608" s="3"/>
    </row>
    <row r="609" ht="12.0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66"/>
      <c r="W609" s="3"/>
      <c r="X609" s="3"/>
      <c r="Y609" s="3"/>
      <c r="Z609" s="3"/>
    </row>
    <row r="610" ht="12.0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66"/>
      <c r="W610" s="3"/>
      <c r="X610" s="3"/>
      <c r="Y610" s="3"/>
      <c r="Z610" s="3"/>
    </row>
    <row r="611" ht="12.0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66"/>
      <c r="W611" s="3"/>
      <c r="X611" s="3"/>
      <c r="Y611" s="3"/>
      <c r="Z611" s="3"/>
    </row>
    <row r="612" ht="12.0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66"/>
      <c r="W612" s="3"/>
      <c r="X612" s="3"/>
      <c r="Y612" s="3"/>
      <c r="Z612" s="3"/>
    </row>
    <row r="613" ht="12.0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66"/>
      <c r="W613" s="3"/>
      <c r="X613" s="3"/>
      <c r="Y613" s="3"/>
      <c r="Z613" s="3"/>
    </row>
    <row r="614" ht="12.0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66"/>
      <c r="W614" s="3"/>
      <c r="X614" s="3"/>
      <c r="Y614" s="3"/>
      <c r="Z614" s="3"/>
    </row>
    <row r="615" ht="12.0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66"/>
      <c r="W615" s="3"/>
      <c r="X615" s="3"/>
      <c r="Y615" s="3"/>
      <c r="Z615" s="3"/>
    </row>
    <row r="616" ht="12.0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66"/>
      <c r="W616" s="3"/>
      <c r="X616" s="3"/>
      <c r="Y616" s="3"/>
      <c r="Z616" s="3"/>
    </row>
    <row r="617" ht="12.0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66"/>
      <c r="W617" s="3"/>
      <c r="X617" s="3"/>
      <c r="Y617" s="3"/>
      <c r="Z617" s="3"/>
    </row>
    <row r="618" ht="12.0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66"/>
      <c r="W618" s="3"/>
      <c r="X618" s="3"/>
      <c r="Y618" s="3"/>
      <c r="Z618" s="3"/>
    </row>
    <row r="619" ht="12.0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66"/>
      <c r="W619" s="3"/>
      <c r="X619" s="3"/>
      <c r="Y619" s="3"/>
      <c r="Z619" s="3"/>
    </row>
    <row r="620" ht="12.0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66"/>
      <c r="W620" s="3"/>
      <c r="X620" s="3"/>
      <c r="Y620" s="3"/>
      <c r="Z620" s="3"/>
    </row>
    <row r="621" ht="12.0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66"/>
      <c r="W621" s="3"/>
      <c r="X621" s="3"/>
      <c r="Y621" s="3"/>
      <c r="Z621" s="3"/>
    </row>
    <row r="622" ht="12.0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66"/>
      <c r="W622" s="3"/>
      <c r="X622" s="3"/>
      <c r="Y622" s="3"/>
      <c r="Z622" s="3"/>
    </row>
    <row r="623" ht="12.0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66"/>
      <c r="W623" s="3"/>
      <c r="X623" s="3"/>
      <c r="Y623" s="3"/>
      <c r="Z623" s="3"/>
    </row>
    <row r="624" ht="12.0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66"/>
      <c r="W624" s="3"/>
      <c r="X624" s="3"/>
      <c r="Y624" s="3"/>
      <c r="Z624" s="3"/>
    </row>
    <row r="625" ht="12.0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66"/>
      <c r="W625" s="3"/>
      <c r="X625" s="3"/>
      <c r="Y625" s="3"/>
      <c r="Z625" s="3"/>
    </row>
    <row r="626" ht="12.0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66"/>
      <c r="W626" s="3"/>
      <c r="X626" s="3"/>
      <c r="Y626" s="3"/>
      <c r="Z626" s="3"/>
    </row>
    <row r="627" ht="12.0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66"/>
      <c r="W627" s="3"/>
      <c r="X627" s="3"/>
      <c r="Y627" s="3"/>
      <c r="Z627" s="3"/>
    </row>
    <row r="628" ht="12.0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66"/>
      <c r="W628" s="3"/>
      <c r="X628" s="3"/>
      <c r="Y628" s="3"/>
      <c r="Z628" s="3"/>
    </row>
    <row r="629" ht="12.0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66"/>
      <c r="W629" s="3"/>
      <c r="X629" s="3"/>
      <c r="Y629" s="3"/>
      <c r="Z629" s="3"/>
    </row>
    <row r="630" ht="12.0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66"/>
      <c r="W630" s="3"/>
      <c r="X630" s="3"/>
      <c r="Y630" s="3"/>
      <c r="Z630" s="3"/>
    </row>
    <row r="631" ht="12.0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66"/>
      <c r="W631" s="3"/>
      <c r="X631" s="3"/>
      <c r="Y631" s="3"/>
      <c r="Z631" s="3"/>
    </row>
    <row r="632" ht="12.0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66"/>
      <c r="W632" s="3"/>
      <c r="X632" s="3"/>
      <c r="Y632" s="3"/>
      <c r="Z632" s="3"/>
    </row>
    <row r="633" ht="12.0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66"/>
      <c r="W633" s="3"/>
      <c r="X633" s="3"/>
      <c r="Y633" s="3"/>
      <c r="Z633" s="3"/>
    </row>
    <row r="634" ht="12.0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66"/>
      <c r="W634" s="3"/>
      <c r="X634" s="3"/>
      <c r="Y634" s="3"/>
      <c r="Z634" s="3"/>
    </row>
    <row r="635" ht="12.0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66"/>
      <c r="W635" s="3"/>
      <c r="X635" s="3"/>
      <c r="Y635" s="3"/>
      <c r="Z635" s="3"/>
    </row>
    <row r="636" ht="12.0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66"/>
      <c r="W636" s="3"/>
      <c r="X636" s="3"/>
      <c r="Y636" s="3"/>
      <c r="Z636" s="3"/>
    </row>
    <row r="637" ht="12.0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66"/>
      <c r="W637" s="3"/>
      <c r="X637" s="3"/>
      <c r="Y637" s="3"/>
      <c r="Z637" s="3"/>
    </row>
    <row r="638" ht="12.0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66"/>
      <c r="W638" s="3"/>
      <c r="X638" s="3"/>
      <c r="Y638" s="3"/>
      <c r="Z638" s="3"/>
    </row>
    <row r="639" ht="12.0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66"/>
      <c r="W639" s="3"/>
      <c r="X639" s="3"/>
      <c r="Y639" s="3"/>
      <c r="Z639" s="3"/>
    </row>
    <row r="640" ht="12.0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66"/>
      <c r="W640" s="3"/>
      <c r="X640" s="3"/>
      <c r="Y640" s="3"/>
      <c r="Z640" s="3"/>
    </row>
    <row r="641" ht="12.0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66"/>
      <c r="W641" s="3"/>
      <c r="X641" s="3"/>
      <c r="Y641" s="3"/>
      <c r="Z641" s="3"/>
    </row>
    <row r="642" ht="12.0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66"/>
      <c r="W642" s="3"/>
      <c r="X642" s="3"/>
      <c r="Y642" s="3"/>
      <c r="Z642" s="3"/>
    </row>
    <row r="643" ht="12.0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66"/>
      <c r="W643" s="3"/>
      <c r="X643" s="3"/>
      <c r="Y643" s="3"/>
      <c r="Z643" s="3"/>
    </row>
    <row r="644" ht="12.0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66"/>
      <c r="W644" s="3"/>
      <c r="X644" s="3"/>
      <c r="Y644" s="3"/>
      <c r="Z644" s="3"/>
    </row>
    <row r="645" ht="12.0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66"/>
      <c r="W645" s="3"/>
      <c r="X645" s="3"/>
      <c r="Y645" s="3"/>
      <c r="Z645" s="3"/>
    </row>
    <row r="646" ht="12.0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66"/>
      <c r="W646" s="3"/>
      <c r="X646" s="3"/>
      <c r="Y646" s="3"/>
      <c r="Z646" s="3"/>
    </row>
    <row r="647" ht="12.0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66"/>
      <c r="W647" s="3"/>
      <c r="X647" s="3"/>
      <c r="Y647" s="3"/>
      <c r="Z647" s="3"/>
    </row>
    <row r="648" ht="12.0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66"/>
      <c r="W648" s="3"/>
      <c r="X648" s="3"/>
      <c r="Y648" s="3"/>
      <c r="Z648" s="3"/>
    </row>
    <row r="649" ht="12.0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66"/>
      <c r="W649" s="3"/>
      <c r="X649" s="3"/>
      <c r="Y649" s="3"/>
      <c r="Z649" s="3"/>
    </row>
    <row r="650" ht="12.0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66"/>
      <c r="W650" s="3"/>
      <c r="X650" s="3"/>
      <c r="Y650" s="3"/>
      <c r="Z650" s="3"/>
    </row>
    <row r="651" ht="12.0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66"/>
      <c r="W651" s="3"/>
      <c r="X651" s="3"/>
      <c r="Y651" s="3"/>
      <c r="Z651" s="3"/>
    </row>
    <row r="652" ht="12.0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66"/>
      <c r="W652" s="3"/>
      <c r="X652" s="3"/>
      <c r="Y652" s="3"/>
      <c r="Z652" s="3"/>
    </row>
    <row r="653" ht="12.0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66"/>
      <c r="W653" s="3"/>
      <c r="X653" s="3"/>
      <c r="Y653" s="3"/>
      <c r="Z653" s="3"/>
    </row>
    <row r="654" ht="12.0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66"/>
      <c r="W654" s="3"/>
      <c r="X654" s="3"/>
      <c r="Y654" s="3"/>
      <c r="Z654" s="3"/>
    </row>
    <row r="655" ht="12.0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66"/>
      <c r="W655" s="3"/>
      <c r="X655" s="3"/>
      <c r="Y655" s="3"/>
      <c r="Z655" s="3"/>
    </row>
    <row r="656" ht="12.0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66"/>
      <c r="W656" s="3"/>
      <c r="X656" s="3"/>
      <c r="Y656" s="3"/>
      <c r="Z656" s="3"/>
    </row>
    <row r="657" ht="12.0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66"/>
      <c r="W657" s="3"/>
      <c r="X657" s="3"/>
      <c r="Y657" s="3"/>
      <c r="Z657" s="3"/>
    </row>
    <row r="658" ht="12.0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66"/>
      <c r="W658" s="3"/>
      <c r="X658" s="3"/>
      <c r="Y658" s="3"/>
      <c r="Z658" s="3"/>
    </row>
    <row r="659" ht="12.0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66"/>
      <c r="W659" s="3"/>
      <c r="X659" s="3"/>
      <c r="Y659" s="3"/>
      <c r="Z659" s="3"/>
    </row>
    <row r="660" ht="12.0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66"/>
      <c r="W660" s="3"/>
      <c r="X660" s="3"/>
      <c r="Y660" s="3"/>
      <c r="Z660" s="3"/>
    </row>
    <row r="661" ht="12.0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66"/>
      <c r="W661" s="3"/>
      <c r="X661" s="3"/>
      <c r="Y661" s="3"/>
      <c r="Z661" s="3"/>
    </row>
    <row r="662" ht="12.0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66"/>
      <c r="W662" s="3"/>
      <c r="X662" s="3"/>
      <c r="Y662" s="3"/>
      <c r="Z662" s="3"/>
    </row>
    <row r="663" ht="12.0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66"/>
      <c r="W663" s="3"/>
      <c r="X663" s="3"/>
      <c r="Y663" s="3"/>
      <c r="Z663" s="3"/>
    </row>
    <row r="664" ht="12.0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66"/>
      <c r="W664" s="3"/>
      <c r="X664" s="3"/>
      <c r="Y664" s="3"/>
      <c r="Z664" s="3"/>
    </row>
    <row r="665" ht="12.0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66"/>
      <c r="W665" s="3"/>
      <c r="X665" s="3"/>
      <c r="Y665" s="3"/>
      <c r="Z665" s="3"/>
    </row>
    <row r="666" ht="12.0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66"/>
      <c r="W666" s="3"/>
      <c r="X666" s="3"/>
      <c r="Y666" s="3"/>
      <c r="Z666" s="3"/>
    </row>
    <row r="667" ht="12.0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66"/>
      <c r="W667" s="3"/>
      <c r="X667" s="3"/>
      <c r="Y667" s="3"/>
      <c r="Z667" s="3"/>
    </row>
    <row r="668" ht="12.0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66"/>
      <c r="W668" s="3"/>
      <c r="X668" s="3"/>
      <c r="Y668" s="3"/>
      <c r="Z668" s="3"/>
    </row>
    <row r="669" ht="12.0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66"/>
      <c r="W669" s="3"/>
      <c r="X669" s="3"/>
      <c r="Y669" s="3"/>
      <c r="Z669" s="3"/>
    </row>
    <row r="670" ht="12.0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66"/>
      <c r="W670" s="3"/>
      <c r="X670" s="3"/>
      <c r="Y670" s="3"/>
      <c r="Z670" s="3"/>
    </row>
    <row r="671" ht="12.0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66"/>
      <c r="W671" s="3"/>
      <c r="X671" s="3"/>
      <c r="Y671" s="3"/>
      <c r="Z671" s="3"/>
    </row>
    <row r="672" ht="12.0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66"/>
      <c r="W672" s="3"/>
      <c r="X672" s="3"/>
      <c r="Y672" s="3"/>
      <c r="Z672" s="3"/>
    </row>
    <row r="673" ht="12.0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66"/>
      <c r="W673" s="3"/>
      <c r="X673" s="3"/>
      <c r="Y673" s="3"/>
      <c r="Z673" s="3"/>
    </row>
    <row r="674" ht="12.0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66"/>
      <c r="W674" s="3"/>
      <c r="X674" s="3"/>
      <c r="Y674" s="3"/>
      <c r="Z674" s="3"/>
    </row>
    <row r="675" ht="12.0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66"/>
      <c r="W675" s="3"/>
      <c r="X675" s="3"/>
      <c r="Y675" s="3"/>
      <c r="Z675" s="3"/>
    </row>
    <row r="676" ht="12.0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66"/>
      <c r="W676" s="3"/>
      <c r="X676" s="3"/>
      <c r="Y676" s="3"/>
      <c r="Z676" s="3"/>
    </row>
    <row r="677" ht="12.0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66"/>
      <c r="W677" s="3"/>
      <c r="X677" s="3"/>
      <c r="Y677" s="3"/>
      <c r="Z677" s="3"/>
    </row>
    <row r="678" ht="12.0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66"/>
      <c r="W678" s="3"/>
      <c r="X678" s="3"/>
      <c r="Y678" s="3"/>
      <c r="Z678" s="3"/>
    </row>
    <row r="679" ht="12.0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66"/>
      <c r="W679" s="3"/>
      <c r="X679" s="3"/>
      <c r="Y679" s="3"/>
      <c r="Z679" s="3"/>
    </row>
    <row r="680" ht="12.0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66"/>
      <c r="W680" s="3"/>
      <c r="X680" s="3"/>
      <c r="Y680" s="3"/>
      <c r="Z680" s="3"/>
    </row>
    <row r="681" ht="12.0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66"/>
      <c r="W681" s="3"/>
      <c r="X681" s="3"/>
      <c r="Y681" s="3"/>
      <c r="Z681" s="3"/>
    </row>
    <row r="682" ht="12.0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66"/>
      <c r="W682" s="3"/>
      <c r="X682" s="3"/>
      <c r="Y682" s="3"/>
      <c r="Z682" s="3"/>
    </row>
    <row r="683" ht="12.0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66"/>
      <c r="W683" s="3"/>
      <c r="X683" s="3"/>
      <c r="Y683" s="3"/>
      <c r="Z683" s="3"/>
    </row>
    <row r="684" ht="12.0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66"/>
      <c r="W684" s="3"/>
      <c r="X684" s="3"/>
      <c r="Y684" s="3"/>
      <c r="Z684" s="3"/>
    </row>
    <row r="685" ht="12.0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66"/>
      <c r="W685" s="3"/>
      <c r="X685" s="3"/>
      <c r="Y685" s="3"/>
      <c r="Z685" s="3"/>
    </row>
    <row r="686" ht="12.0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66"/>
      <c r="W686" s="3"/>
      <c r="X686" s="3"/>
      <c r="Y686" s="3"/>
      <c r="Z686" s="3"/>
    </row>
    <row r="687" ht="12.0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66"/>
      <c r="W687" s="3"/>
      <c r="X687" s="3"/>
      <c r="Y687" s="3"/>
      <c r="Z687" s="3"/>
    </row>
    <row r="688" ht="12.0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66"/>
      <c r="W688" s="3"/>
      <c r="X688" s="3"/>
      <c r="Y688" s="3"/>
      <c r="Z688" s="3"/>
    </row>
    <row r="689" ht="12.0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66"/>
      <c r="W689" s="3"/>
      <c r="X689" s="3"/>
      <c r="Y689" s="3"/>
      <c r="Z689" s="3"/>
    </row>
    <row r="690" ht="12.0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66"/>
      <c r="W690" s="3"/>
      <c r="X690" s="3"/>
      <c r="Y690" s="3"/>
      <c r="Z690" s="3"/>
    </row>
    <row r="691" ht="12.0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66"/>
      <c r="W691" s="3"/>
      <c r="X691" s="3"/>
      <c r="Y691" s="3"/>
      <c r="Z691" s="3"/>
    </row>
    <row r="692" ht="12.0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66"/>
      <c r="W692" s="3"/>
      <c r="X692" s="3"/>
      <c r="Y692" s="3"/>
      <c r="Z692" s="3"/>
    </row>
    <row r="693" ht="12.0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66"/>
      <c r="W693" s="3"/>
      <c r="X693" s="3"/>
      <c r="Y693" s="3"/>
      <c r="Z693" s="3"/>
    </row>
    <row r="694" ht="12.0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66"/>
      <c r="W694" s="3"/>
      <c r="X694" s="3"/>
      <c r="Y694" s="3"/>
      <c r="Z694" s="3"/>
    </row>
    <row r="695" ht="12.0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66"/>
      <c r="W695" s="3"/>
      <c r="X695" s="3"/>
      <c r="Y695" s="3"/>
      <c r="Z695" s="3"/>
    </row>
    <row r="696" ht="12.0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66"/>
      <c r="W696" s="3"/>
      <c r="X696" s="3"/>
      <c r="Y696" s="3"/>
      <c r="Z696" s="3"/>
    </row>
    <row r="697" ht="12.0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66"/>
      <c r="W697" s="3"/>
      <c r="X697" s="3"/>
      <c r="Y697" s="3"/>
      <c r="Z697" s="3"/>
    </row>
    <row r="698" ht="12.0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66"/>
      <c r="W698" s="3"/>
      <c r="X698" s="3"/>
      <c r="Y698" s="3"/>
      <c r="Z698" s="3"/>
    </row>
    <row r="699" ht="12.0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66"/>
      <c r="W699" s="3"/>
      <c r="X699" s="3"/>
      <c r="Y699" s="3"/>
      <c r="Z699" s="3"/>
    </row>
    <row r="700" ht="12.0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66"/>
      <c r="W700" s="3"/>
      <c r="X700" s="3"/>
      <c r="Y700" s="3"/>
      <c r="Z700" s="3"/>
    </row>
    <row r="701" ht="12.0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66"/>
      <c r="W701" s="3"/>
      <c r="X701" s="3"/>
      <c r="Y701" s="3"/>
      <c r="Z701" s="3"/>
    </row>
    <row r="702" ht="12.0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66"/>
      <c r="W702" s="3"/>
      <c r="X702" s="3"/>
      <c r="Y702" s="3"/>
      <c r="Z702" s="3"/>
    </row>
    <row r="703" ht="12.0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66"/>
      <c r="W703" s="3"/>
      <c r="X703" s="3"/>
      <c r="Y703" s="3"/>
      <c r="Z703" s="3"/>
    </row>
    <row r="704" ht="12.0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66"/>
      <c r="W704" s="3"/>
      <c r="X704" s="3"/>
      <c r="Y704" s="3"/>
      <c r="Z704" s="3"/>
    </row>
    <row r="705" ht="12.0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66"/>
      <c r="W705" s="3"/>
      <c r="X705" s="3"/>
      <c r="Y705" s="3"/>
      <c r="Z705" s="3"/>
    </row>
    <row r="706" ht="12.0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66"/>
      <c r="W706" s="3"/>
      <c r="X706" s="3"/>
      <c r="Y706" s="3"/>
      <c r="Z706" s="3"/>
    </row>
    <row r="707" ht="12.0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66"/>
      <c r="W707" s="3"/>
      <c r="X707" s="3"/>
      <c r="Y707" s="3"/>
      <c r="Z707" s="3"/>
    </row>
    <row r="708" ht="12.0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66"/>
      <c r="W708" s="3"/>
      <c r="X708" s="3"/>
      <c r="Y708" s="3"/>
      <c r="Z708" s="3"/>
    </row>
    <row r="709" ht="12.0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66"/>
      <c r="W709" s="3"/>
      <c r="X709" s="3"/>
      <c r="Y709" s="3"/>
      <c r="Z709" s="3"/>
    </row>
    <row r="710" ht="12.0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66"/>
      <c r="W710" s="3"/>
      <c r="X710" s="3"/>
      <c r="Y710" s="3"/>
      <c r="Z710" s="3"/>
    </row>
    <row r="711" ht="12.0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66"/>
      <c r="W711" s="3"/>
      <c r="X711" s="3"/>
      <c r="Y711" s="3"/>
      <c r="Z711" s="3"/>
    </row>
    <row r="712" ht="12.0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66"/>
      <c r="W712" s="3"/>
      <c r="X712" s="3"/>
      <c r="Y712" s="3"/>
      <c r="Z712" s="3"/>
    </row>
    <row r="713" ht="12.0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66"/>
      <c r="W713" s="3"/>
      <c r="X713" s="3"/>
      <c r="Y713" s="3"/>
      <c r="Z713" s="3"/>
    </row>
    <row r="714" ht="12.0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66"/>
      <c r="W714" s="3"/>
      <c r="X714" s="3"/>
      <c r="Y714" s="3"/>
      <c r="Z714" s="3"/>
    </row>
    <row r="715" ht="12.0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66"/>
      <c r="W715" s="3"/>
      <c r="X715" s="3"/>
      <c r="Y715" s="3"/>
      <c r="Z715" s="3"/>
    </row>
    <row r="716" ht="12.0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66"/>
      <c r="W716" s="3"/>
      <c r="X716" s="3"/>
      <c r="Y716" s="3"/>
      <c r="Z716" s="3"/>
    </row>
    <row r="717" ht="12.0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66"/>
      <c r="W717" s="3"/>
      <c r="X717" s="3"/>
      <c r="Y717" s="3"/>
      <c r="Z717" s="3"/>
    </row>
    <row r="718" ht="12.0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66"/>
      <c r="W718" s="3"/>
      <c r="X718" s="3"/>
      <c r="Y718" s="3"/>
      <c r="Z718" s="3"/>
    </row>
    <row r="719" ht="12.0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66"/>
      <c r="W719" s="3"/>
      <c r="X719" s="3"/>
      <c r="Y719" s="3"/>
      <c r="Z719" s="3"/>
    </row>
    <row r="720" ht="12.0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66"/>
      <c r="W720" s="3"/>
      <c r="X720" s="3"/>
      <c r="Y720" s="3"/>
      <c r="Z720" s="3"/>
    </row>
    <row r="721" ht="12.0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66"/>
      <c r="W721" s="3"/>
      <c r="X721" s="3"/>
      <c r="Y721" s="3"/>
      <c r="Z721" s="3"/>
    </row>
    <row r="722" ht="12.0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66"/>
      <c r="W722" s="3"/>
      <c r="X722" s="3"/>
      <c r="Y722" s="3"/>
      <c r="Z722" s="3"/>
    </row>
    <row r="723" ht="12.0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66"/>
      <c r="W723" s="3"/>
      <c r="X723" s="3"/>
      <c r="Y723" s="3"/>
      <c r="Z723" s="3"/>
    </row>
    <row r="724" ht="12.0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66"/>
      <c r="W724" s="3"/>
      <c r="X724" s="3"/>
      <c r="Y724" s="3"/>
      <c r="Z724" s="3"/>
    </row>
    <row r="725" ht="12.0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66"/>
      <c r="W725" s="3"/>
      <c r="X725" s="3"/>
      <c r="Y725" s="3"/>
      <c r="Z725" s="3"/>
    </row>
    <row r="726" ht="12.0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66"/>
      <c r="W726" s="3"/>
      <c r="X726" s="3"/>
      <c r="Y726" s="3"/>
      <c r="Z726" s="3"/>
    </row>
    <row r="727" ht="12.0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66"/>
      <c r="W727" s="3"/>
      <c r="X727" s="3"/>
      <c r="Y727" s="3"/>
      <c r="Z727" s="3"/>
    </row>
    <row r="728" ht="12.0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66"/>
      <c r="W728" s="3"/>
      <c r="X728" s="3"/>
      <c r="Y728" s="3"/>
      <c r="Z728" s="3"/>
    </row>
    <row r="729" ht="12.0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66"/>
      <c r="W729" s="3"/>
      <c r="X729" s="3"/>
      <c r="Y729" s="3"/>
      <c r="Z729" s="3"/>
    </row>
    <row r="730" ht="12.0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66"/>
      <c r="W730" s="3"/>
      <c r="X730" s="3"/>
      <c r="Y730" s="3"/>
      <c r="Z730" s="3"/>
    </row>
    <row r="731" ht="12.0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66"/>
      <c r="W731" s="3"/>
      <c r="X731" s="3"/>
      <c r="Y731" s="3"/>
      <c r="Z731" s="3"/>
    </row>
    <row r="732" ht="12.0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66"/>
      <c r="W732" s="3"/>
      <c r="X732" s="3"/>
      <c r="Y732" s="3"/>
      <c r="Z732" s="3"/>
    </row>
    <row r="733" ht="12.0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66"/>
      <c r="W733" s="3"/>
      <c r="X733" s="3"/>
      <c r="Y733" s="3"/>
      <c r="Z733" s="3"/>
    </row>
    <row r="734" ht="12.0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66"/>
      <c r="W734" s="3"/>
      <c r="X734" s="3"/>
      <c r="Y734" s="3"/>
      <c r="Z734" s="3"/>
    </row>
    <row r="735" ht="12.0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66"/>
      <c r="W735" s="3"/>
      <c r="X735" s="3"/>
      <c r="Y735" s="3"/>
      <c r="Z735" s="3"/>
    </row>
    <row r="736" ht="12.0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66"/>
      <c r="W736" s="3"/>
      <c r="X736" s="3"/>
      <c r="Y736" s="3"/>
      <c r="Z736" s="3"/>
    </row>
    <row r="737" ht="12.0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66"/>
      <c r="W737" s="3"/>
      <c r="X737" s="3"/>
      <c r="Y737" s="3"/>
      <c r="Z737" s="3"/>
    </row>
    <row r="738" ht="12.0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66"/>
      <c r="W738" s="3"/>
      <c r="X738" s="3"/>
      <c r="Y738" s="3"/>
      <c r="Z738" s="3"/>
    </row>
    <row r="739" ht="12.0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66"/>
      <c r="W739" s="3"/>
      <c r="X739" s="3"/>
      <c r="Y739" s="3"/>
      <c r="Z739" s="3"/>
    </row>
    <row r="740" ht="12.0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66"/>
      <c r="W740" s="3"/>
      <c r="X740" s="3"/>
      <c r="Y740" s="3"/>
      <c r="Z740" s="3"/>
    </row>
    <row r="741" ht="12.0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66"/>
      <c r="W741" s="3"/>
      <c r="X741" s="3"/>
      <c r="Y741" s="3"/>
      <c r="Z741" s="3"/>
    </row>
    <row r="742" ht="12.0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66"/>
      <c r="W742" s="3"/>
      <c r="X742" s="3"/>
      <c r="Y742" s="3"/>
      <c r="Z742" s="3"/>
    </row>
    <row r="743" ht="12.0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66"/>
      <c r="W743" s="3"/>
      <c r="X743" s="3"/>
      <c r="Y743" s="3"/>
      <c r="Z743" s="3"/>
    </row>
    <row r="744" ht="12.0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66"/>
      <c r="W744" s="3"/>
      <c r="X744" s="3"/>
      <c r="Y744" s="3"/>
      <c r="Z744" s="3"/>
    </row>
    <row r="745" ht="12.0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66"/>
      <c r="W745" s="3"/>
      <c r="X745" s="3"/>
      <c r="Y745" s="3"/>
      <c r="Z745" s="3"/>
    </row>
    <row r="746" ht="12.0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66"/>
      <c r="W746" s="3"/>
      <c r="X746" s="3"/>
      <c r="Y746" s="3"/>
      <c r="Z746" s="3"/>
    </row>
    <row r="747" ht="12.0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66"/>
      <c r="W747" s="3"/>
      <c r="X747" s="3"/>
      <c r="Y747" s="3"/>
      <c r="Z747" s="3"/>
    </row>
    <row r="748" ht="12.0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66"/>
      <c r="W748" s="3"/>
      <c r="X748" s="3"/>
      <c r="Y748" s="3"/>
      <c r="Z748" s="3"/>
    </row>
    <row r="749" ht="12.0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66"/>
      <c r="W749" s="3"/>
      <c r="X749" s="3"/>
      <c r="Y749" s="3"/>
      <c r="Z749" s="3"/>
    </row>
    <row r="750" ht="12.0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66"/>
      <c r="W750" s="3"/>
      <c r="X750" s="3"/>
      <c r="Y750" s="3"/>
      <c r="Z750" s="3"/>
    </row>
    <row r="751" ht="12.0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66"/>
      <c r="W751" s="3"/>
      <c r="X751" s="3"/>
      <c r="Y751" s="3"/>
      <c r="Z751" s="3"/>
    </row>
    <row r="752" ht="12.0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66"/>
      <c r="W752" s="3"/>
      <c r="X752" s="3"/>
      <c r="Y752" s="3"/>
      <c r="Z752" s="3"/>
    </row>
    <row r="753" ht="12.0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66"/>
      <c r="W753" s="3"/>
      <c r="X753" s="3"/>
      <c r="Y753" s="3"/>
      <c r="Z753" s="3"/>
    </row>
    <row r="754" ht="12.0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66"/>
      <c r="W754" s="3"/>
      <c r="X754" s="3"/>
      <c r="Y754" s="3"/>
      <c r="Z754" s="3"/>
    </row>
    <row r="755" ht="12.0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66"/>
      <c r="W755" s="3"/>
      <c r="X755" s="3"/>
      <c r="Y755" s="3"/>
      <c r="Z755" s="3"/>
    </row>
    <row r="756" ht="12.0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66"/>
      <c r="W756" s="3"/>
      <c r="X756" s="3"/>
      <c r="Y756" s="3"/>
      <c r="Z756" s="3"/>
    </row>
    <row r="757" ht="12.0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66"/>
      <c r="W757" s="3"/>
      <c r="X757" s="3"/>
      <c r="Y757" s="3"/>
      <c r="Z757" s="3"/>
    </row>
    <row r="758" ht="12.0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66"/>
      <c r="W758" s="3"/>
      <c r="X758" s="3"/>
      <c r="Y758" s="3"/>
      <c r="Z758" s="3"/>
    </row>
    <row r="759" ht="12.0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66"/>
      <c r="W759" s="3"/>
      <c r="X759" s="3"/>
      <c r="Y759" s="3"/>
      <c r="Z759" s="3"/>
    </row>
    <row r="760" ht="12.0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66"/>
      <c r="W760" s="3"/>
      <c r="X760" s="3"/>
      <c r="Y760" s="3"/>
      <c r="Z760" s="3"/>
    </row>
    <row r="761" ht="12.0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66"/>
      <c r="W761" s="3"/>
      <c r="X761" s="3"/>
      <c r="Y761" s="3"/>
      <c r="Z761" s="3"/>
    </row>
    <row r="762" ht="12.0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66"/>
      <c r="W762" s="3"/>
      <c r="X762" s="3"/>
      <c r="Y762" s="3"/>
      <c r="Z762" s="3"/>
    </row>
    <row r="763" ht="12.0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66"/>
      <c r="W763" s="3"/>
      <c r="X763" s="3"/>
      <c r="Y763" s="3"/>
      <c r="Z763" s="3"/>
    </row>
    <row r="764" ht="12.0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66"/>
      <c r="W764" s="3"/>
      <c r="X764" s="3"/>
      <c r="Y764" s="3"/>
      <c r="Z764" s="3"/>
    </row>
    <row r="765" ht="12.0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66"/>
      <c r="W765" s="3"/>
      <c r="X765" s="3"/>
      <c r="Y765" s="3"/>
      <c r="Z765" s="3"/>
    </row>
    <row r="766" ht="12.0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66"/>
      <c r="W766" s="3"/>
      <c r="X766" s="3"/>
      <c r="Y766" s="3"/>
      <c r="Z766" s="3"/>
    </row>
    <row r="767" ht="12.0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66"/>
      <c r="W767" s="3"/>
      <c r="X767" s="3"/>
      <c r="Y767" s="3"/>
      <c r="Z767" s="3"/>
    </row>
    <row r="768" ht="12.0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66"/>
      <c r="W768" s="3"/>
      <c r="X768" s="3"/>
      <c r="Y768" s="3"/>
      <c r="Z768" s="3"/>
    </row>
    <row r="769" ht="12.0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66"/>
      <c r="W769" s="3"/>
      <c r="X769" s="3"/>
      <c r="Y769" s="3"/>
      <c r="Z769" s="3"/>
    </row>
    <row r="770" ht="12.0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66"/>
      <c r="W770" s="3"/>
      <c r="X770" s="3"/>
      <c r="Y770" s="3"/>
      <c r="Z770" s="3"/>
    </row>
    <row r="771" ht="12.0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66"/>
      <c r="W771" s="3"/>
      <c r="X771" s="3"/>
      <c r="Y771" s="3"/>
      <c r="Z771" s="3"/>
    </row>
    <row r="772" ht="12.0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66"/>
      <c r="W772" s="3"/>
      <c r="X772" s="3"/>
      <c r="Y772" s="3"/>
      <c r="Z772" s="3"/>
    </row>
    <row r="773" ht="12.0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66"/>
      <c r="W773" s="3"/>
      <c r="X773" s="3"/>
      <c r="Y773" s="3"/>
      <c r="Z773" s="3"/>
    </row>
    <row r="774" ht="12.0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66"/>
      <c r="W774" s="3"/>
      <c r="X774" s="3"/>
      <c r="Y774" s="3"/>
      <c r="Z774" s="3"/>
    </row>
    <row r="775" ht="12.0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66"/>
      <c r="W775" s="3"/>
      <c r="X775" s="3"/>
      <c r="Y775" s="3"/>
      <c r="Z775" s="3"/>
    </row>
    <row r="776" ht="12.0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66"/>
      <c r="W776" s="3"/>
      <c r="X776" s="3"/>
      <c r="Y776" s="3"/>
      <c r="Z776" s="3"/>
    </row>
    <row r="777" ht="12.0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66"/>
      <c r="W777" s="3"/>
      <c r="X777" s="3"/>
      <c r="Y777" s="3"/>
      <c r="Z777" s="3"/>
    </row>
    <row r="778" ht="12.0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66"/>
      <c r="W778" s="3"/>
      <c r="X778" s="3"/>
      <c r="Y778" s="3"/>
      <c r="Z778" s="3"/>
    </row>
    <row r="779" ht="12.0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66"/>
      <c r="W779" s="3"/>
      <c r="X779" s="3"/>
      <c r="Y779" s="3"/>
      <c r="Z779" s="3"/>
    </row>
    <row r="780" ht="12.0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66"/>
      <c r="W780" s="3"/>
      <c r="X780" s="3"/>
      <c r="Y780" s="3"/>
      <c r="Z780" s="3"/>
    </row>
    <row r="781" ht="12.0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66"/>
      <c r="W781" s="3"/>
      <c r="X781" s="3"/>
      <c r="Y781" s="3"/>
      <c r="Z781" s="3"/>
    </row>
    <row r="782" ht="12.0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66"/>
      <c r="W782" s="3"/>
      <c r="X782" s="3"/>
      <c r="Y782" s="3"/>
      <c r="Z782" s="3"/>
    </row>
    <row r="783" ht="12.0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66"/>
      <c r="W783" s="3"/>
      <c r="X783" s="3"/>
      <c r="Y783" s="3"/>
      <c r="Z783" s="3"/>
    </row>
    <row r="784" ht="12.0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66"/>
      <c r="W784" s="3"/>
      <c r="X784" s="3"/>
      <c r="Y784" s="3"/>
      <c r="Z784" s="3"/>
    </row>
    <row r="785" ht="12.0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66"/>
      <c r="W785" s="3"/>
      <c r="X785" s="3"/>
      <c r="Y785" s="3"/>
      <c r="Z785" s="3"/>
    </row>
    <row r="786" ht="12.0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66"/>
      <c r="W786" s="3"/>
      <c r="X786" s="3"/>
      <c r="Y786" s="3"/>
      <c r="Z786" s="3"/>
    </row>
    <row r="787" ht="12.0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66"/>
      <c r="W787" s="3"/>
      <c r="X787" s="3"/>
      <c r="Y787" s="3"/>
      <c r="Z787" s="3"/>
    </row>
    <row r="788" ht="12.0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66"/>
      <c r="W788" s="3"/>
      <c r="X788" s="3"/>
      <c r="Y788" s="3"/>
      <c r="Z788" s="3"/>
    </row>
    <row r="789" ht="12.0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66"/>
      <c r="W789" s="3"/>
      <c r="X789" s="3"/>
      <c r="Y789" s="3"/>
      <c r="Z789" s="3"/>
    </row>
    <row r="790" ht="12.0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66"/>
      <c r="W790" s="3"/>
      <c r="X790" s="3"/>
      <c r="Y790" s="3"/>
      <c r="Z790" s="3"/>
    </row>
    <row r="791" ht="12.0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66"/>
      <c r="W791" s="3"/>
      <c r="X791" s="3"/>
      <c r="Y791" s="3"/>
      <c r="Z791" s="3"/>
    </row>
    <row r="792" ht="12.0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66"/>
      <c r="W792" s="3"/>
      <c r="X792" s="3"/>
      <c r="Y792" s="3"/>
      <c r="Z792" s="3"/>
    </row>
    <row r="793" ht="12.0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66"/>
      <c r="W793" s="3"/>
      <c r="X793" s="3"/>
      <c r="Y793" s="3"/>
      <c r="Z793" s="3"/>
    </row>
    <row r="794" ht="12.0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66"/>
      <c r="W794" s="3"/>
      <c r="X794" s="3"/>
      <c r="Y794" s="3"/>
      <c r="Z794" s="3"/>
    </row>
    <row r="795" ht="12.0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66"/>
      <c r="W795" s="3"/>
      <c r="X795" s="3"/>
      <c r="Y795" s="3"/>
      <c r="Z795" s="3"/>
    </row>
    <row r="796" ht="12.0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66"/>
      <c r="W796" s="3"/>
      <c r="X796" s="3"/>
      <c r="Y796" s="3"/>
      <c r="Z796" s="3"/>
    </row>
    <row r="797" ht="12.0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66"/>
      <c r="W797" s="3"/>
      <c r="X797" s="3"/>
      <c r="Y797" s="3"/>
      <c r="Z797" s="3"/>
    </row>
    <row r="798" ht="12.0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66"/>
      <c r="W798" s="3"/>
      <c r="X798" s="3"/>
      <c r="Y798" s="3"/>
      <c r="Z798" s="3"/>
    </row>
    <row r="799" ht="12.0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66"/>
      <c r="W799" s="3"/>
      <c r="X799" s="3"/>
      <c r="Y799" s="3"/>
      <c r="Z799" s="3"/>
    </row>
    <row r="800" ht="12.0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66"/>
      <c r="W800" s="3"/>
      <c r="X800" s="3"/>
      <c r="Y800" s="3"/>
      <c r="Z800" s="3"/>
    </row>
    <row r="801" ht="12.0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66"/>
      <c r="W801" s="3"/>
      <c r="X801" s="3"/>
      <c r="Y801" s="3"/>
      <c r="Z801" s="3"/>
    </row>
    <row r="802" ht="12.0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66"/>
      <c r="W802" s="3"/>
      <c r="X802" s="3"/>
      <c r="Y802" s="3"/>
      <c r="Z802" s="3"/>
    </row>
    <row r="803" ht="12.0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66"/>
      <c r="W803" s="3"/>
      <c r="X803" s="3"/>
      <c r="Y803" s="3"/>
      <c r="Z803" s="3"/>
    </row>
    <row r="804" ht="12.0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66"/>
      <c r="W804" s="3"/>
      <c r="X804" s="3"/>
      <c r="Y804" s="3"/>
      <c r="Z804" s="3"/>
    </row>
    <row r="805" ht="12.0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66"/>
      <c r="W805" s="3"/>
      <c r="X805" s="3"/>
      <c r="Y805" s="3"/>
      <c r="Z805" s="3"/>
    </row>
    <row r="806" ht="12.0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66"/>
      <c r="W806" s="3"/>
      <c r="X806" s="3"/>
      <c r="Y806" s="3"/>
      <c r="Z806" s="3"/>
    </row>
    <row r="807" ht="12.0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66"/>
      <c r="W807" s="3"/>
      <c r="X807" s="3"/>
      <c r="Y807" s="3"/>
      <c r="Z807" s="3"/>
    </row>
    <row r="808" ht="12.0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66"/>
      <c r="W808" s="3"/>
      <c r="X808" s="3"/>
      <c r="Y808" s="3"/>
      <c r="Z808" s="3"/>
    </row>
    <row r="809" ht="12.0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66"/>
      <c r="W809" s="3"/>
      <c r="X809" s="3"/>
      <c r="Y809" s="3"/>
      <c r="Z809" s="3"/>
    </row>
    <row r="810" ht="12.0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66"/>
      <c r="W810" s="3"/>
      <c r="X810" s="3"/>
      <c r="Y810" s="3"/>
      <c r="Z810" s="3"/>
    </row>
    <row r="811" ht="12.0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66"/>
      <c r="W811" s="3"/>
      <c r="X811" s="3"/>
      <c r="Y811" s="3"/>
      <c r="Z811" s="3"/>
    </row>
    <row r="812" ht="12.0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66"/>
      <c r="W812" s="3"/>
      <c r="X812" s="3"/>
      <c r="Y812" s="3"/>
      <c r="Z812" s="3"/>
    </row>
    <row r="813" ht="12.0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66"/>
      <c r="W813" s="3"/>
      <c r="X813" s="3"/>
      <c r="Y813" s="3"/>
      <c r="Z813" s="3"/>
    </row>
    <row r="814" ht="12.0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66"/>
      <c r="W814" s="3"/>
      <c r="X814" s="3"/>
      <c r="Y814" s="3"/>
      <c r="Z814" s="3"/>
    </row>
    <row r="815" ht="12.0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66"/>
      <c r="W815" s="3"/>
      <c r="X815" s="3"/>
      <c r="Y815" s="3"/>
      <c r="Z815" s="3"/>
    </row>
    <row r="816" ht="12.0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66"/>
      <c r="W816" s="3"/>
      <c r="X816" s="3"/>
      <c r="Y816" s="3"/>
      <c r="Z816" s="3"/>
    </row>
    <row r="817" ht="12.0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66"/>
      <c r="W817" s="3"/>
      <c r="X817" s="3"/>
      <c r="Y817" s="3"/>
      <c r="Z817" s="3"/>
    </row>
    <row r="818" ht="12.0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66"/>
      <c r="W818" s="3"/>
      <c r="X818" s="3"/>
      <c r="Y818" s="3"/>
      <c r="Z818" s="3"/>
    </row>
    <row r="819" ht="12.0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66"/>
      <c r="W819" s="3"/>
      <c r="X819" s="3"/>
      <c r="Y819" s="3"/>
      <c r="Z819" s="3"/>
    </row>
    <row r="820" ht="12.0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66"/>
      <c r="W820" s="3"/>
      <c r="X820" s="3"/>
      <c r="Y820" s="3"/>
      <c r="Z820" s="3"/>
    </row>
    <row r="821" ht="12.0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66"/>
      <c r="W821" s="3"/>
      <c r="X821" s="3"/>
      <c r="Y821" s="3"/>
      <c r="Z821" s="3"/>
    </row>
    <row r="822" ht="12.0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66"/>
      <c r="W822" s="3"/>
      <c r="X822" s="3"/>
      <c r="Y822" s="3"/>
      <c r="Z822" s="3"/>
    </row>
    <row r="823" ht="12.0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66"/>
      <c r="W823" s="3"/>
      <c r="X823" s="3"/>
      <c r="Y823" s="3"/>
      <c r="Z823" s="3"/>
    </row>
    <row r="824" ht="12.0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66"/>
      <c r="W824" s="3"/>
      <c r="X824" s="3"/>
      <c r="Y824" s="3"/>
      <c r="Z824" s="3"/>
    </row>
    <row r="825" ht="12.0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66"/>
      <c r="W825" s="3"/>
      <c r="X825" s="3"/>
      <c r="Y825" s="3"/>
      <c r="Z825" s="3"/>
    </row>
    <row r="826" ht="12.0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66"/>
      <c r="W826" s="3"/>
      <c r="X826" s="3"/>
      <c r="Y826" s="3"/>
      <c r="Z826" s="3"/>
    </row>
    <row r="827" ht="12.0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66"/>
      <c r="W827" s="3"/>
      <c r="X827" s="3"/>
      <c r="Y827" s="3"/>
      <c r="Z827" s="3"/>
    </row>
    <row r="828" ht="12.0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66"/>
      <c r="W828" s="3"/>
      <c r="X828" s="3"/>
      <c r="Y828" s="3"/>
      <c r="Z828" s="3"/>
    </row>
    <row r="829" ht="12.0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66"/>
      <c r="W829" s="3"/>
      <c r="X829" s="3"/>
      <c r="Y829" s="3"/>
      <c r="Z829" s="3"/>
    </row>
    <row r="830" ht="12.0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66"/>
      <c r="W830" s="3"/>
      <c r="X830" s="3"/>
      <c r="Y830" s="3"/>
      <c r="Z830" s="3"/>
    </row>
    <row r="831" ht="12.0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66"/>
      <c r="W831" s="3"/>
      <c r="X831" s="3"/>
      <c r="Y831" s="3"/>
      <c r="Z831" s="3"/>
    </row>
    <row r="832" ht="12.0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66"/>
      <c r="W832" s="3"/>
      <c r="X832" s="3"/>
      <c r="Y832" s="3"/>
      <c r="Z832" s="3"/>
    </row>
    <row r="833" ht="12.0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66"/>
      <c r="W833" s="3"/>
      <c r="X833" s="3"/>
      <c r="Y833" s="3"/>
      <c r="Z833" s="3"/>
    </row>
    <row r="834" ht="12.0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66"/>
      <c r="W834" s="3"/>
      <c r="X834" s="3"/>
      <c r="Y834" s="3"/>
      <c r="Z834" s="3"/>
    </row>
    <row r="835" ht="12.0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66"/>
      <c r="W835" s="3"/>
      <c r="X835" s="3"/>
      <c r="Y835" s="3"/>
      <c r="Z835" s="3"/>
    </row>
    <row r="836" ht="12.0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66"/>
      <c r="W836" s="3"/>
      <c r="X836" s="3"/>
      <c r="Y836" s="3"/>
      <c r="Z836" s="3"/>
    </row>
    <row r="837" ht="12.0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66"/>
      <c r="W837" s="3"/>
      <c r="X837" s="3"/>
      <c r="Y837" s="3"/>
      <c r="Z837" s="3"/>
    </row>
    <row r="838" ht="12.0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66"/>
      <c r="W838" s="3"/>
      <c r="X838" s="3"/>
      <c r="Y838" s="3"/>
      <c r="Z838" s="3"/>
    </row>
    <row r="839" ht="12.0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66"/>
      <c r="W839" s="3"/>
      <c r="X839" s="3"/>
      <c r="Y839" s="3"/>
      <c r="Z839" s="3"/>
    </row>
    <row r="840" ht="12.0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66"/>
      <c r="W840" s="3"/>
      <c r="X840" s="3"/>
      <c r="Y840" s="3"/>
      <c r="Z840" s="3"/>
    </row>
    <row r="841" ht="12.0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66"/>
      <c r="W841" s="3"/>
      <c r="X841" s="3"/>
      <c r="Y841" s="3"/>
      <c r="Z841" s="3"/>
    </row>
    <row r="842" ht="12.0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66"/>
      <c r="W842" s="3"/>
      <c r="X842" s="3"/>
      <c r="Y842" s="3"/>
      <c r="Z842" s="3"/>
    </row>
    <row r="843" ht="12.0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66"/>
      <c r="W843" s="3"/>
      <c r="X843" s="3"/>
      <c r="Y843" s="3"/>
      <c r="Z843" s="3"/>
    </row>
    <row r="844" ht="12.0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66"/>
      <c r="W844" s="3"/>
      <c r="X844" s="3"/>
      <c r="Y844" s="3"/>
      <c r="Z844" s="3"/>
    </row>
    <row r="845" ht="12.0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66"/>
      <c r="W845" s="3"/>
      <c r="X845" s="3"/>
      <c r="Y845" s="3"/>
      <c r="Z845" s="3"/>
    </row>
    <row r="846" ht="12.0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66"/>
      <c r="W846" s="3"/>
      <c r="X846" s="3"/>
      <c r="Y846" s="3"/>
      <c r="Z846" s="3"/>
    </row>
    <row r="847" ht="12.0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66"/>
      <c r="W847" s="3"/>
      <c r="X847" s="3"/>
      <c r="Y847" s="3"/>
      <c r="Z847" s="3"/>
    </row>
    <row r="848" ht="12.0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66"/>
      <c r="W848" s="3"/>
      <c r="X848" s="3"/>
      <c r="Y848" s="3"/>
      <c r="Z848" s="3"/>
    </row>
    <row r="849" ht="12.0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66"/>
      <c r="W849" s="3"/>
      <c r="X849" s="3"/>
      <c r="Y849" s="3"/>
      <c r="Z849" s="3"/>
    </row>
    <row r="850" ht="12.0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66"/>
      <c r="W850" s="3"/>
      <c r="X850" s="3"/>
      <c r="Y850" s="3"/>
      <c r="Z850" s="3"/>
    </row>
    <row r="851" ht="12.0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66"/>
      <c r="W851" s="3"/>
      <c r="X851" s="3"/>
      <c r="Y851" s="3"/>
      <c r="Z851" s="3"/>
    </row>
    <row r="852" ht="12.0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66"/>
      <c r="W852" s="3"/>
      <c r="X852" s="3"/>
      <c r="Y852" s="3"/>
      <c r="Z852" s="3"/>
    </row>
    <row r="853" ht="12.0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66"/>
      <c r="W853" s="3"/>
      <c r="X853" s="3"/>
      <c r="Y853" s="3"/>
      <c r="Z853" s="3"/>
    </row>
    <row r="854" ht="12.0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66"/>
      <c r="W854" s="3"/>
      <c r="X854" s="3"/>
      <c r="Y854" s="3"/>
      <c r="Z854" s="3"/>
    </row>
    <row r="855" ht="12.0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66"/>
      <c r="W855" s="3"/>
      <c r="X855" s="3"/>
      <c r="Y855" s="3"/>
      <c r="Z855" s="3"/>
    </row>
    <row r="856" ht="12.0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66"/>
      <c r="W856" s="3"/>
      <c r="X856" s="3"/>
      <c r="Y856" s="3"/>
      <c r="Z856" s="3"/>
    </row>
    <row r="857" ht="12.0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66"/>
      <c r="W857" s="3"/>
      <c r="X857" s="3"/>
      <c r="Y857" s="3"/>
      <c r="Z857" s="3"/>
    </row>
    <row r="858" ht="12.0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66"/>
      <c r="W858" s="3"/>
      <c r="X858" s="3"/>
      <c r="Y858" s="3"/>
      <c r="Z858" s="3"/>
    </row>
    <row r="859" ht="12.0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66"/>
      <c r="W859" s="3"/>
      <c r="X859" s="3"/>
      <c r="Y859" s="3"/>
      <c r="Z859" s="3"/>
    </row>
    <row r="860" ht="12.0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66"/>
      <c r="W860" s="3"/>
      <c r="X860" s="3"/>
      <c r="Y860" s="3"/>
      <c r="Z860" s="3"/>
    </row>
    <row r="861" ht="12.0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66"/>
      <c r="W861" s="3"/>
      <c r="X861" s="3"/>
      <c r="Y861" s="3"/>
      <c r="Z861" s="3"/>
    </row>
    <row r="862" ht="12.0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66"/>
      <c r="W862" s="3"/>
      <c r="X862" s="3"/>
      <c r="Y862" s="3"/>
      <c r="Z862" s="3"/>
    </row>
    <row r="863" ht="12.0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66"/>
      <c r="W863" s="3"/>
      <c r="X863" s="3"/>
      <c r="Y863" s="3"/>
      <c r="Z863" s="3"/>
    </row>
    <row r="864" ht="12.0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66"/>
      <c r="W864" s="3"/>
      <c r="X864" s="3"/>
      <c r="Y864" s="3"/>
      <c r="Z864" s="3"/>
    </row>
    <row r="865" ht="12.0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66"/>
      <c r="W865" s="3"/>
      <c r="X865" s="3"/>
      <c r="Y865" s="3"/>
      <c r="Z865" s="3"/>
    </row>
    <row r="866" ht="12.0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66"/>
      <c r="W866" s="3"/>
      <c r="X866" s="3"/>
      <c r="Y866" s="3"/>
      <c r="Z866" s="3"/>
    </row>
    <row r="867" ht="12.0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66"/>
      <c r="W867" s="3"/>
      <c r="X867" s="3"/>
      <c r="Y867" s="3"/>
      <c r="Z867" s="3"/>
    </row>
    <row r="868" ht="12.0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66"/>
      <c r="W868" s="3"/>
      <c r="X868" s="3"/>
      <c r="Y868" s="3"/>
      <c r="Z868" s="3"/>
    </row>
    <row r="869" ht="12.0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66"/>
      <c r="W869" s="3"/>
      <c r="X869" s="3"/>
      <c r="Y869" s="3"/>
      <c r="Z869" s="3"/>
    </row>
    <row r="870" ht="12.0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66"/>
      <c r="W870" s="3"/>
      <c r="X870" s="3"/>
      <c r="Y870" s="3"/>
      <c r="Z870" s="3"/>
    </row>
    <row r="871" ht="12.0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66"/>
      <c r="W871" s="3"/>
      <c r="X871" s="3"/>
      <c r="Y871" s="3"/>
      <c r="Z871" s="3"/>
    </row>
    <row r="872" ht="12.0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66"/>
      <c r="W872" s="3"/>
      <c r="X872" s="3"/>
      <c r="Y872" s="3"/>
      <c r="Z872" s="3"/>
    </row>
    <row r="873" ht="12.0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66"/>
      <c r="W873" s="3"/>
      <c r="X873" s="3"/>
      <c r="Y873" s="3"/>
      <c r="Z873" s="3"/>
    </row>
    <row r="874" ht="12.0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66"/>
      <c r="W874" s="3"/>
      <c r="X874" s="3"/>
      <c r="Y874" s="3"/>
      <c r="Z874" s="3"/>
    </row>
    <row r="875" ht="12.0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66"/>
      <c r="W875" s="3"/>
      <c r="X875" s="3"/>
      <c r="Y875" s="3"/>
      <c r="Z875" s="3"/>
    </row>
    <row r="876" ht="12.0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66"/>
      <c r="W876" s="3"/>
      <c r="X876" s="3"/>
      <c r="Y876" s="3"/>
      <c r="Z876" s="3"/>
    </row>
    <row r="877" ht="12.0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66"/>
      <c r="W877" s="3"/>
      <c r="X877" s="3"/>
      <c r="Y877" s="3"/>
      <c r="Z877" s="3"/>
    </row>
    <row r="878" ht="12.0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66"/>
      <c r="W878" s="3"/>
      <c r="X878" s="3"/>
      <c r="Y878" s="3"/>
      <c r="Z878" s="3"/>
    </row>
    <row r="879" ht="12.0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66"/>
      <c r="W879" s="3"/>
      <c r="X879" s="3"/>
      <c r="Y879" s="3"/>
      <c r="Z879" s="3"/>
    </row>
    <row r="880" ht="12.0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66"/>
      <c r="W880" s="3"/>
      <c r="X880" s="3"/>
      <c r="Y880" s="3"/>
      <c r="Z880" s="3"/>
    </row>
    <row r="881" ht="12.0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66"/>
      <c r="W881" s="3"/>
      <c r="X881" s="3"/>
      <c r="Y881" s="3"/>
      <c r="Z881" s="3"/>
    </row>
    <row r="882" ht="12.0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66"/>
      <c r="W882" s="3"/>
      <c r="X882" s="3"/>
      <c r="Y882" s="3"/>
      <c r="Z882" s="3"/>
    </row>
    <row r="883" ht="12.0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66"/>
      <c r="W883" s="3"/>
      <c r="X883" s="3"/>
      <c r="Y883" s="3"/>
      <c r="Z883" s="3"/>
    </row>
    <row r="884" ht="12.0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66"/>
      <c r="W884" s="3"/>
      <c r="X884" s="3"/>
      <c r="Y884" s="3"/>
      <c r="Z884" s="3"/>
    </row>
    <row r="885" ht="12.0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66"/>
      <c r="W885" s="3"/>
      <c r="X885" s="3"/>
      <c r="Y885" s="3"/>
      <c r="Z885" s="3"/>
    </row>
    <row r="886" ht="12.0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66"/>
      <c r="W886" s="3"/>
      <c r="X886" s="3"/>
      <c r="Y886" s="3"/>
      <c r="Z886" s="3"/>
    </row>
    <row r="887" ht="12.0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66"/>
      <c r="W887" s="3"/>
      <c r="X887" s="3"/>
      <c r="Y887" s="3"/>
      <c r="Z887" s="3"/>
    </row>
    <row r="888" ht="12.0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66"/>
      <c r="W888" s="3"/>
      <c r="X888" s="3"/>
      <c r="Y888" s="3"/>
      <c r="Z888" s="3"/>
    </row>
    <row r="889" ht="12.0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66"/>
      <c r="W889" s="3"/>
      <c r="X889" s="3"/>
      <c r="Y889" s="3"/>
      <c r="Z889" s="3"/>
    </row>
    <row r="890" ht="12.0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66"/>
      <c r="W890" s="3"/>
      <c r="X890" s="3"/>
      <c r="Y890" s="3"/>
      <c r="Z890" s="3"/>
    </row>
    <row r="891" ht="12.0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66"/>
      <c r="W891" s="3"/>
      <c r="X891" s="3"/>
      <c r="Y891" s="3"/>
      <c r="Z891" s="3"/>
    </row>
    <row r="892" ht="12.0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66"/>
      <c r="W892" s="3"/>
      <c r="X892" s="3"/>
      <c r="Y892" s="3"/>
      <c r="Z892" s="3"/>
    </row>
    <row r="893" ht="12.0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66"/>
      <c r="W893" s="3"/>
      <c r="X893" s="3"/>
      <c r="Y893" s="3"/>
      <c r="Z893" s="3"/>
    </row>
    <row r="894" ht="12.0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66"/>
      <c r="W894" s="3"/>
      <c r="X894" s="3"/>
      <c r="Y894" s="3"/>
      <c r="Z894" s="3"/>
    </row>
    <row r="895" ht="12.0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66"/>
      <c r="W895" s="3"/>
      <c r="X895" s="3"/>
      <c r="Y895" s="3"/>
      <c r="Z895" s="3"/>
    </row>
    <row r="896" ht="12.0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66"/>
      <c r="W896" s="3"/>
      <c r="X896" s="3"/>
      <c r="Y896" s="3"/>
      <c r="Z896" s="3"/>
    </row>
    <row r="897" ht="12.0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66"/>
      <c r="W897" s="3"/>
      <c r="X897" s="3"/>
      <c r="Y897" s="3"/>
      <c r="Z897" s="3"/>
    </row>
    <row r="898" ht="12.0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66"/>
      <c r="W898" s="3"/>
      <c r="X898" s="3"/>
      <c r="Y898" s="3"/>
      <c r="Z898" s="3"/>
    </row>
    <row r="899" ht="12.0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66"/>
      <c r="W899" s="3"/>
      <c r="X899" s="3"/>
      <c r="Y899" s="3"/>
      <c r="Z899" s="3"/>
    </row>
    <row r="900" ht="12.0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66"/>
      <c r="W900" s="3"/>
      <c r="X900" s="3"/>
      <c r="Y900" s="3"/>
      <c r="Z900" s="3"/>
    </row>
    <row r="901" ht="12.0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66"/>
      <c r="W901" s="3"/>
      <c r="X901" s="3"/>
      <c r="Y901" s="3"/>
      <c r="Z901" s="3"/>
    </row>
    <row r="902" ht="12.0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66"/>
      <c r="W902" s="3"/>
      <c r="X902" s="3"/>
      <c r="Y902" s="3"/>
      <c r="Z902" s="3"/>
    </row>
    <row r="903" ht="12.0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66"/>
      <c r="W903" s="3"/>
      <c r="X903" s="3"/>
      <c r="Y903" s="3"/>
      <c r="Z903" s="3"/>
    </row>
    <row r="904" ht="12.0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66"/>
      <c r="W904" s="3"/>
      <c r="X904" s="3"/>
      <c r="Y904" s="3"/>
      <c r="Z904" s="3"/>
    </row>
    <row r="905" ht="12.0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66"/>
      <c r="W905" s="3"/>
      <c r="X905" s="3"/>
      <c r="Y905" s="3"/>
      <c r="Z905" s="3"/>
    </row>
    <row r="906" ht="12.0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66"/>
      <c r="W906" s="3"/>
      <c r="X906" s="3"/>
      <c r="Y906" s="3"/>
      <c r="Z906" s="3"/>
    </row>
    <row r="907" ht="12.0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66"/>
      <c r="W907" s="3"/>
      <c r="X907" s="3"/>
      <c r="Y907" s="3"/>
      <c r="Z907" s="3"/>
    </row>
    <row r="908" ht="12.0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66"/>
      <c r="W908" s="3"/>
      <c r="X908" s="3"/>
      <c r="Y908" s="3"/>
      <c r="Z908" s="3"/>
    </row>
    <row r="909" ht="12.0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66"/>
      <c r="W909" s="3"/>
      <c r="X909" s="3"/>
      <c r="Y909" s="3"/>
      <c r="Z909" s="3"/>
    </row>
    <row r="910" ht="12.0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66"/>
      <c r="W910" s="3"/>
      <c r="X910" s="3"/>
      <c r="Y910" s="3"/>
      <c r="Z910" s="3"/>
    </row>
    <row r="911" ht="12.0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66"/>
      <c r="W911" s="3"/>
      <c r="X911" s="3"/>
      <c r="Y911" s="3"/>
      <c r="Z911" s="3"/>
    </row>
    <row r="912" ht="12.0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66"/>
      <c r="W912" s="3"/>
      <c r="X912" s="3"/>
      <c r="Y912" s="3"/>
      <c r="Z912" s="3"/>
    </row>
    <row r="913" ht="12.0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66"/>
      <c r="W913" s="3"/>
      <c r="X913" s="3"/>
      <c r="Y913" s="3"/>
      <c r="Z913" s="3"/>
    </row>
    <row r="914" ht="12.0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66"/>
      <c r="W914" s="3"/>
      <c r="X914" s="3"/>
      <c r="Y914" s="3"/>
      <c r="Z914" s="3"/>
    </row>
    <row r="915" ht="12.0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66"/>
      <c r="W915" s="3"/>
      <c r="X915" s="3"/>
      <c r="Y915" s="3"/>
      <c r="Z915" s="3"/>
    </row>
    <row r="916" ht="12.0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66"/>
      <c r="W916" s="3"/>
      <c r="X916" s="3"/>
      <c r="Y916" s="3"/>
      <c r="Z916" s="3"/>
    </row>
    <row r="917" ht="12.0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66"/>
      <c r="W917" s="3"/>
      <c r="X917" s="3"/>
      <c r="Y917" s="3"/>
      <c r="Z917" s="3"/>
    </row>
    <row r="918" ht="12.0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66"/>
      <c r="W918" s="3"/>
      <c r="X918" s="3"/>
      <c r="Y918" s="3"/>
      <c r="Z918" s="3"/>
    </row>
    <row r="919" ht="12.0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66"/>
      <c r="W919" s="3"/>
      <c r="X919" s="3"/>
      <c r="Y919" s="3"/>
      <c r="Z919" s="3"/>
    </row>
    <row r="920" ht="12.0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66"/>
      <c r="W920" s="3"/>
      <c r="X920" s="3"/>
      <c r="Y920" s="3"/>
      <c r="Z920" s="3"/>
    </row>
    <row r="921" ht="12.0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66"/>
      <c r="W921" s="3"/>
      <c r="X921" s="3"/>
      <c r="Y921" s="3"/>
      <c r="Z921" s="3"/>
    </row>
    <row r="922" ht="12.0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66"/>
      <c r="W922" s="3"/>
      <c r="X922" s="3"/>
      <c r="Y922" s="3"/>
      <c r="Z922" s="3"/>
    </row>
    <row r="923" ht="12.0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66"/>
      <c r="W923" s="3"/>
      <c r="X923" s="3"/>
      <c r="Y923" s="3"/>
      <c r="Z923" s="3"/>
    </row>
    <row r="924" ht="12.0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66"/>
      <c r="W924" s="3"/>
      <c r="X924" s="3"/>
      <c r="Y924" s="3"/>
      <c r="Z924" s="3"/>
    </row>
    <row r="925" ht="12.0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66"/>
      <c r="W925" s="3"/>
      <c r="X925" s="3"/>
      <c r="Y925" s="3"/>
      <c r="Z925" s="3"/>
    </row>
    <row r="926" ht="12.0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66"/>
      <c r="W926" s="3"/>
      <c r="X926" s="3"/>
      <c r="Y926" s="3"/>
      <c r="Z926" s="3"/>
    </row>
    <row r="927" ht="12.0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66"/>
      <c r="W927" s="3"/>
      <c r="X927" s="3"/>
      <c r="Y927" s="3"/>
      <c r="Z927" s="3"/>
    </row>
    <row r="928" ht="12.0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66"/>
      <c r="W928" s="3"/>
      <c r="X928" s="3"/>
      <c r="Y928" s="3"/>
      <c r="Z928" s="3"/>
    </row>
    <row r="929" ht="12.0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66"/>
      <c r="W929" s="3"/>
      <c r="X929" s="3"/>
      <c r="Y929" s="3"/>
      <c r="Z929" s="3"/>
    </row>
    <row r="930" ht="12.0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66"/>
      <c r="W930" s="3"/>
      <c r="X930" s="3"/>
      <c r="Y930" s="3"/>
      <c r="Z930" s="3"/>
    </row>
    <row r="931" ht="12.0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66"/>
      <c r="W931" s="3"/>
      <c r="X931" s="3"/>
      <c r="Y931" s="3"/>
      <c r="Z931" s="3"/>
    </row>
    <row r="932" ht="12.0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66"/>
      <c r="W932" s="3"/>
      <c r="X932" s="3"/>
      <c r="Y932" s="3"/>
      <c r="Z932" s="3"/>
    </row>
    <row r="933" ht="12.0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66"/>
      <c r="W933" s="3"/>
      <c r="X933" s="3"/>
      <c r="Y933" s="3"/>
      <c r="Z933" s="3"/>
    </row>
    <row r="934" ht="12.0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66"/>
      <c r="W934" s="3"/>
      <c r="X934" s="3"/>
      <c r="Y934" s="3"/>
      <c r="Z934" s="3"/>
    </row>
    <row r="935" ht="12.0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66"/>
      <c r="W935" s="3"/>
      <c r="X935" s="3"/>
      <c r="Y935" s="3"/>
      <c r="Z935" s="3"/>
    </row>
    <row r="936" ht="12.0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66"/>
      <c r="W936" s="3"/>
      <c r="X936" s="3"/>
      <c r="Y936" s="3"/>
      <c r="Z936" s="3"/>
    </row>
    <row r="937" ht="12.0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66"/>
      <c r="W937" s="3"/>
      <c r="X937" s="3"/>
      <c r="Y937" s="3"/>
      <c r="Z937" s="3"/>
    </row>
    <row r="938" ht="12.0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66"/>
      <c r="W938" s="3"/>
      <c r="X938" s="3"/>
      <c r="Y938" s="3"/>
      <c r="Z938" s="3"/>
    </row>
    <row r="939" ht="12.0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66"/>
      <c r="W939" s="3"/>
      <c r="X939" s="3"/>
      <c r="Y939" s="3"/>
      <c r="Z939" s="3"/>
    </row>
    <row r="940" ht="12.0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66"/>
      <c r="W940" s="3"/>
      <c r="X940" s="3"/>
      <c r="Y940" s="3"/>
      <c r="Z940" s="3"/>
    </row>
    <row r="941" ht="12.0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66"/>
      <c r="W941" s="3"/>
      <c r="X941" s="3"/>
      <c r="Y941" s="3"/>
      <c r="Z941" s="3"/>
    </row>
    <row r="942" ht="12.0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66"/>
      <c r="W942" s="3"/>
      <c r="X942" s="3"/>
      <c r="Y942" s="3"/>
      <c r="Z942" s="3"/>
    </row>
    <row r="943" ht="12.0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66"/>
      <c r="W943" s="3"/>
      <c r="X943" s="3"/>
      <c r="Y943" s="3"/>
      <c r="Z943" s="3"/>
    </row>
    <row r="944" ht="12.0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66"/>
      <c r="W944" s="3"/>
      <c r="X944" s="3"/>
      <c r="Y944" s="3"/>
      <c r="Z944" s="3"/>
    </row>
    <row r="945" ht="12.0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66"/>
      <c r="W945" s="3"/>
      <c r="X945" s="3"/>
      <c r="Y945" s="3"/>
      <c r="Z945" s="3"/>
    </row>
    <row r="946" ht="12.0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66"/>
      <c r="W946" s="3"/>
      <c r="X946" s="3"/>
      <c r="Y946" s="3"/>
      <c r="Z946" s="3"/>
    </row>
    <row r="947" ht="12.0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66"/>
      <c r="W947" s="3"/>
      <c r="X947" s="3"/>
      <c r="Y947" s="3"/>
      <c r="Z947" s="3"/>
    </row>
    <row r="948" ht="12.0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66"/>
      <c r="W948" s="3"/>
      <c r="X948" s="3"/>
      <c r="Y948" s="3"/>
      <c r="Z948" s="3"/>
    </row>
    <row r="949" ht="12.0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66"/>
      <c r="W949" s="3"/>
      <c r="X949" s="3"/>
      <c r="Y949" s="3"/>
      <c r="Z949" s="3"/>
    </row>
    <row r="950" ht="12.0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66"/>
      <c r="W950" s="3"/>
      <c r="X950" s="3"/>
      <c r="Y950" s="3"/>
      <c r="Z950" s="3"/>
    </row>
    <row r="951" ht="12.0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66"/>
      <c r="W951" s="3"/>
      <c r="X951" s="3"/>
      <c r="Y951" s="3"/>
      <c r="Z951" s="3"/>
    </row>
    <row r="952" ht="12.0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66"/>
      <c r="W952" s="3"/>
      <c r="X952" s="3"/>
      <c r="Y952" s="3"/>
      <c r="Z952" s="3"/>
    </row>
    <row r="953" ht="12.0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66"/>
      <c r="W953" s="3"/>
      <c r="X953" s="3"/>
      <c r="Y953" s="3"/>
      <c r="Z953" s="3"/>
    </row>
    <row r="954" ht="12.0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66"/>
      <c r="W954" s="3"/>
      <c r="X954" s="3"/>
      <c r="Y954" s="3"/>
      <c r="Z954" s="3"/>
    </row>
    <row r="955" ht="12.0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66"/>
      <c r="W955" s="3"/>
      <c r="X955" s="3"/>
      <c r="Y955" s="3"/>
      <c r="Z955" s="3"/>
    </row>
    <row r="956" ht="12.0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66"/>
      <c r="W956" s="3"/>
      <c r="X956" s="3"/>
      <c r="Y956" s="3"/>
      <c r="Z956" s="3"/>
    </row>
    <row r="957" ht="12.0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66"/>
      <c r="W957" s="3"/>
      <c r="X957" s="3"/>
      <c r="Y957" s="3"/>
      <c r="Z957" s="3"/>
    </row>
    <row r="958" ht="12.0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66"/>
      <c r="W958" s="3"/>
      <c r="X958" s="3"/>
      <c r="Y958" s="3"/>
      <c r="Z958" s="3"/>
    </row>
    <row r="959" ht="12.0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66"/>
      <c r="W959" s="3"/>
      <c r="X959" s="3"/>
      <c r="Y959" s="3"/>
      <c r="Z959" s="3"/>
    </row>
    <row r="960" ht="12.0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66"/>
      <c r="W960" s="3"/>
      <c r="X960" s="3"/>
      <c r="Y960" s="3"/>
      <c r="Z960" s="3"/>
    </row>
    <row r="961" ht="12.0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66"/>
      <c r="W961" s="3"/>
      <c r="X961" s="3"/>
      <c r="Y961" s="3"/>
      <c r="Z961" s="3"/>
    </row>
    <row r="962" ht="12.0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66"/>
      <c r="W962" s="3"/>
      <c r="X962" s="3"/>
      <c r="Y962" s="3"/>
      <c r="Z962" s="3"/>
    </row>
    <row r="963" ht="12.0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66"/>
      <c r="W963" s="3"/>
      <c r="X963" s="3"/>
      <c r="Y963" s="3"/>
      <c r="Z963" s="3"/>
    </row>
    <row r="964" ht="12.0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66"/>
      <c r="W964" s="3"/>
      <c r="X964" s="3"/>
      <c r="Y964" s="3"/>
      <c r="Z964" s="3"/>
    </row>
    <row r="965" ht="12.0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66"/>
      <c r="W965" s="3"/>
      <c r="X965" s="3"/>
      <c r="Y965" s="3"/>
      <c r="Z965" s="3"/>
    </row>
    <row r="966" ht="12.0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66"/>
      <c r="W966" s="3"/>
      <c r="X966" s="3"/>
      <c r="Y966" s="3"/>
      <c r="Z966" s="3"/>
    </row>
    <row r="967" ht="12.0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66"/>
      <c r="W967" s="3"/>
      <c r="X967" s="3"/>
      <c r="Y967" s="3"/>
      <c r="Z967" s="3"/>
    </row>
    <row r="968" ht="12.0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66"/>
      <c r="W968" s="3"/>
      <c r="X968" s="3"/>
      <c r="Y968" s="3"/>
      <c r="Z968" s="3"/>
    </row>
    <row r="969" ht="12.0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66"/>
      <c r="W969" s="3"/>
      <c r="X969" s="3"/>
      <c r="Y969" s="3"/>
      <c r="Z969" s="3"/>
    </row>
    <row r="970" ht="12.0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66"/>
      <c r="W970" s="3"/>
      <c r="X970" s="3"/>
      <c r="Y970" s="3"/>
      <c r="Z970" s="3"/>
    </row>
    <row r="971" ht="12.0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66"/>
      <c r="W971" s="3"/>
      <c r="X971" s="3"/>
      <c r="Y971" s="3"/>
      <c r="Z971" s="3"/>
    </row>
    <row r="972" ht="12.0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66"/>
      <c r="W972" s="3"/>
      <c r="X972" s="3"/>
      <c r="Y972" s="3"/>
      <c r="Z972" s="3"/>
    </row>
    <row r="973" ht="12.0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66"/>
      <c r="W973" s="3"/>
      <c r="X973" s="3"/>
      <c r="Y973" s="3"/>
      <c r="Z973" s="3"/>
    </row>
    <row r="974" ht="12.0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66"/>
      <c r="W974" s="3"/>
      <c r="X974" s="3"/>
      <c r="Y974" s="3"/>
      <c r="Z974" s="3"/>
    </row>
    <row r="975" ht="12.0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66"/>
      <c r="W975" s="3"/>
      <c r="X975" s="3"/>
      <c r="Y975" s="3"/>
      <c r="Z975" s="3"/>
    </row>
    <row r="976" ht="12.0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66"/>
      <c r="W976" s="3"/>
      <c r="X976" s="3"/>
      <c r="Y976" s="3"/>
      <c r="Z976" s="3"/>
    </row>
    <row r="977" ht="12.0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66"/>
      <c r="W977" s="3"/>
      <c r="X977" s="3"/>
      <c r="Y977" s="3"/>
      <c r="Z977" s="3"/>
    </row>
    <row r="978" ht="12.0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66"/>
      <c r="W978" s="3"/>
      <c r="X978" s="3"/>
      <c r="Y978" s="3"/>
      <c r="Z978" s="3"/>
    </row>
    <row r="979" ht="12.0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66"/>
      <c r="W979" s="3"/>
      <c r="X979" s="3"/>
      <c r="Y979" s="3"/>
      <c r="Z979" s="3"/>
    </row>
    <row r="980" ht="12.0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66"/>
      <c r="W980" s="3"/>
      <c r="X980" s="3"/>
      <c r="Y980" s="3"/>
      <c r="Z980" s="3"/>
    </row>
    <row r="981" ht="12.0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66"/>
      <c r="W981" s="3"/>
      <c r="X981" s="3"/>
      <c r="Y981" s="3"/>
      <c r="Z981" s="3"/>
    </row>
    <row r="982" ht="12.0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66"/>
      <c r="W982" s="3"/>
      <c r="X982" s="3"/>
      <c r="Y982" s="3"/>
      <c r="Z982" s="3"/>
    </row>
    <row r="983" ht="12.0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66"/>
      <c r="W983" s="3"/>
      <c r="X983" s="3"/>
      <c r="Y983" s="3"/>
      <c r="Z983" s="3"/>
    </row>
    <row r="984" ht="12.0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66"/>
      <c r="W984" s="3"/>
      <c r="X984" s="3"/>
      <c r="Y984" s="3"/>
      <c r="Z984" s="3"/>
    </row>
    <row r="985" ht="12.0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66"/>
      <c r="W985" s="3"/>
      <c r="X985" s="3"/>
      <c r="Y985" s="3"/>
      <c r="Z985" s="3"/>
    </row>
    <row r="986" ht="12.0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66"/>
      <c r="W986" s="3"/>
      <c r="X986" s="3"/>
      <c r="Y986" s="3"/>
      <c r="Z986" s="3"/>
    </row>
    <row r="987" ht="12.0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66"/>
      <c r="W987" s="3"/>
      <c r="X987" s="3"/>
      <c r="Y987" s="3"/>
      <c r="Z987" s="3"/>
    </row>
    <row r="988" ht="12.0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66"/>
      <c r="W988" s="3"/>
      <c r="X988" s="3"/>
      <c r="Y988" s="3"/>
      <c r="Z988" s="3"/>
    </row>
    <row r="989" ht="12.0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66"/>
      <c r="W989" s="3"/>
      <c r="X989" s="3"/>
      <c r="Y989" s="3"/>
      <c r="Z989" s="3"/>
    </row>
    <row r="990" ht="12.0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66"/>
      <c r="W990" s="3"/>
      <c r="X990" s="3"/>
      <c r="Y990" s="3"/>
      <c r="Z990" s="3"/>
    </row>
    <row r="991" ht="12.0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66"/>
      <c r="W991" s="3"/>
      <c r="X991" s="3"/>
      <c r="Y991" s="3"/>
      <c r="Z991" s="3"/>
    </row>
    <row r="992" ht="12.0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66"/>
      <c r="W992" s="3"/>
      <c r="X992" s="3"/>
      <c r="Y992" s="3"/>
      <c r="Z992" s="3"/>
    </row>
    <row r="993" ht="12.0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66"/>
      <c r="W993" s="3"/>
      <c r="X993" s="3"/>
      <c r="Y993" s="3"/>
      <c r="Z993" s="3"/>
    </row>
    <row r="994" ht="12.0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66"/>
      <c r="W994" s="3"/>
      <c r="X994" s="3"/>
      <c r="Y994" s="3"/>
      <c r="Z994" s="3"/>
    </row>
    <row r="995" ht="12.0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66"/>
      <c r="W995" s="3"/>
      <c r="X995" s="3"/>
      <c r="Y995" s="3"/>
      <c r="Z995" s="3"/>
    </row>
    <row r="996" ht="12.0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66"/>
      <c r="W996" s="3"/>
      <c r="X996" s="3"/>
      <c r="Y996" s="3"/>
      <c r="Z996" s="3"/>
    </row>
    <row r="997" ht="12.0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66"/>
      <c r="W997" s="3"/>
      <c r="X997" s="3"/>
      <c r="Y997" s="3"/>
      <c r="Z997" s="3"/>
    </row>
    <row r="998" ht="12.0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66"/>
      <c r="W998" s="3"/>
      <c r="X998" s="3"/>
      <c r="Y998" s="3"/>
      <c r="Z998" s="3"/>
    </row>
    <row r="999" ht="12.0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66"/>
      <c r="W999" s="3"/>
      <c r="X999" s="3"/>
      <c r="Y999" s="3"/>
      <c r="Z999" s="3"/>
    </row>
    <row r="1000" ht="12.0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66"/>
      <c r="W1000" s="3"/>
      <c r="X1000" s="3"/>
      <c r="Y1000" s="3"/>
      <c r="Z1000" s="3"/>
    </row>
  </sheetData>
  <mergeCells count="39">
    <mergeCell ref="S4:S5"/>
    <mergeCell ref="T4:T5"/>
    <mergeCell ref="U4:U5"/>
    <mergeCell ref="V4:V5"/>
    <mergeCell ref="K4:K5"/>
    <mergeCell ref="L4:L5"/>
    <mergeCell ref="M4:M5"/>
    <mergeCell ref="N4:N5"/>
    <mergeCell ref="O4:O5"/>
    <mergeCell ref="P4:Q4"/>
    <mergeCell ref="R4:R5"/>
    <mergeCell ref="B4:B5"/>
    <mergeCell ref="C4:C5"/>
    <mergeCell ref="D4:F4"/>
    <mergeCell ref="G4:G5"/>
    <mergeCell ref="H4:H5"/>
    <mergeCell ref="I4:I5"/>
    <mergeCell ref="J4:J5"/>
    <mergeCell ref="B13:C13"/>
    <mergeCell ref="B17:H17"/>
    <mergeCell ref="B18:B19"/>
    <mergeCell ref="C18:C19"/>
    <mergeCell ref="D18:F18"/>
    <mergeCell ref="G18:G19"/>
    <mergeCell ref="H18:H19"/>
    <mergeCell ref="B34:C34"/>
    <mergeCell ref="P18:Q18"/>
    <mergeCell ref="R18:R19"/>
    <mergeCell ref="S18:S19"/>
    <mergeCell ref="T18:T19"/>
    <mergeCell ref="U18:U19"/>
    <mergeCell ref="V18:V19"/>
    <mergeCell ref="I18:I19"/>
    <mergeCell ref="J18:J19"/>
    <mergeCell ref="K18:K19"/>
    <mergeCell ref="L18:L19"/>
    <mergeCell ref="M18:M19"/>
    <mergeCell ref="N18:N19"/>
    <mergeCell ref="O18:O19"/>
  </mergeCells>
  <printOptions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22.0"/>
    <col customWidth="1" min="3" max="3" width="8.86"/>
    <col customWidth="1" min="4" max="5" width="13.14"/>
    <col customWidth="1" min="6" max="6" width="8.86"/>
    <col customWidth="1" min="7" max="7" width="9.43"/>
    <col customWidth="1" min="8" max="8" width="9.71"/>
    <col customWidth="1" hidden="1" min="9" max="9" width="8.86"/>
    <col customWidth="1" hidden="1" min="10" max="10" width="14.0"/>
    <col customWidth="1" hidden="1" min="11" max="11" width="8.86"/>
    <col customWidth="1" min="12" max="12" width="8.86"/>
    <col customWidth="1" min="13" max="13" width="6.43"/>
    <col customWidth="1" min="14" max="14" width="28.14"/>
    <col customWidth="1" min="15" max="15" width="8.86"/>
    <col customWidth="1" min="18" max="18" width="8.86"/>
    <col customWidth="1" min="19" max="19" width="16.43"/>
    <col customWidth="1" min="20" max="20" width="13.71"/>
    <col customWidth="1" min="21" max="26" width="8.86"/>
  </cols>
  <sheetData>
    <row r="1" ht="14.25" customHeight="1"/>
    <row r="2" ht="14.25" customHeight="1"/>
    <row r="3" ht="14.25" customHeight="1">
      <c r="A3" s="439"/>
      <c r="B3" s="440" t="s">
        <v>360</v>
      </c>
      <c r="C3" s="158"/>
      <c r="D3" s="158"/>
      <c r="E3" s="158"/>
      <c r="F3" s="158"/>
      <c r="G3" s="158"/>
      <c r="H3" s="158"/>
      <c r="I3" s="158"/>
      <c r="J3" s="158"/>
      <c r="K3" s="441"/>
      <c r="L3" s="439"/>
      <c r="M3" s="439"/>
      <c r="N3" s="440" t="s">
        <v>360</v>
      </c>
      <c r="O3" s="158"/>
      <c r="P3" s="158"/>
      <c r="Q3" s="158"/>
      <c r="R3" s="158"/>
      <c r="S3" s="158"/>
      <c r="T3" s="158"/>
    </row>
    <row r="4" ht="14.25" customHeight="1">
      <c r="A4" s="439"/>
      <c r="B4" s="442"/>
      <c r="C4" s="442"/>
      <c r="D4" s="442"/>
      <c r="E4" s="375"/>
      <c r="F4" s="375"/>
      <c r="G4" s="375"/>
      <c r="H4" s="327" t="s">
        <v>361</v>
      </c>
      <c r="I4" s="327"/>
      <c r="J4" s="327"/>
      <c r="K4" s="441"/>
      <c r="L4" s="439"/>
      <c r="M4" s="439"/>
      <c r="N4" s="442"/>
      <c r="O4" s="442"/>
      <c r="P4" s="442"/>
      <c r="Q4" s="375"/>
      <c r="R4" s="375"/>
      <c r="S4" s="375"/>
      <c r="T4" s="327" t="s">
        <v>361</v>
      </c>
    </row>
    <row r="5" ht="14.25" customHeight="1">
      <c r="A5" s="443"/>
      <c r="B5" s="444" t="s">
        <v>362</v>
      </c>
      <c r="C5" s="443" t="s">
        <v>363</v>
      </c>
      <c r="D5" s="443" t="s">
        <v>364</v>
      </c>
      <c r="E5" s="443" t="s">
        <v>365</v>
      </c>
      <c r="F5" s="443" t="s">
        <v>366</v>
      </c>
      <c r="G5" s="443" t="s">
        <v>367</v>
      </c>
      <c r="H5" s="443" t="s">
        <v>368</v>
      </c>
      <c r="I5" s="445"/>
      <c r="J5" s="445" t="s">
        <v>369</v>
      </c>
      <c r="K5" s="446" t="s">
        <v>370</v>
      </c>
      <c r="L5" s="439"/>
      <c r="M5" s="443"/>
      <c r="N5" s="444" t="s">
        <v>362</v>
      </c>
      <c r="O5" s="443" t="s">
        <v>363</v>
      </c>
      <c r="P5" s="443" t="s">
        <v>364</v>
      </c>
      <c r="Q5" s="443" t="s">
        <v>365</v>
      </c>
      <c r="R5" s="443" t="s">
        <v>366</v>
      </c>
      <c r="S5" s="443" t="s">
        <v>367</v>
      </c>
      <c r="T5" s="443" t="s">
        <v>368</v>
      </c>
    </row>
    <row r="6" ht="14.25" customHeight="1">
      <c r="A6" s="441">
        <v>1.0</v>
      </c>
      <c r="B6" s="447" t="s">
        <v>371</v>
      </c>
      <c r="C6" s="448"/>
      <c r="D6" s="449">
        <v>7438.0665</v>
      </c>
      <c r="E6" s="448">
        <v>688.22389</v>
      </c>
      <c r="F6" s="448">
        <f t="shared" ref="F6:F19" si="1">+C6+D6-E6</f>
        <v>6749.84261</v>
      </c>
      <c r="G6" s="448">
        <f>+H6-F6</f>
        <v>2574.269457</v>
      </c>
      <c r="H6" s="448">
        <f>9324112066.91/1000000</f>
        <v>9324.112067</v>
      </c>
      <c r="I6" s="450">
        <f>6749842723.27/1000000</f>
        <v>6749.842723</v>
      </c>
      <c r="J6" s="451" t="str">
        <f t="shared" ref="J6:J9" si="2">K6-I6</f>
        <v>#ERROR!</v>
      </c>
      <c r="K6" s="450" t="str">
        <f>[4]valuation!K8</f>
        <v>#ERROR!</v>
      </c>
      <c r="L6" s="439"/>
      <c r="M6" s="441">
        <v>1.0</v>
      </c>
      <c r="N6" s="447" t="s">
        <v>371</v>
      </c>
      <c r="O6" s="448"/>
      <c r="P6" s="449">
        <f>7431.2585+6.808</f>
        <v>7438.0665</v>
      </c>
      <c r="Q6" s="448">
        <f>127.133+61.09089+500</f>
        <v>688.22389</v>
      </c>
      <c r="R6" s="448">
        <f t="shared" ref="R6:R19" si="3">+O6+P6-Q6</f>
        <v>6749.84261</v>
      </c>
      <c r="S6" s="448">
        <f>2573.97782425*1000000</f>
        <v>2573977824</v>
      </c>
      <c r="T6" s="448">
        <f>9323.82043425*1000000</f>
        <v>9323820434</v>
      </c>
    </row>
    <row r="7" ht="14.25" customHeight="1">
      <c r="A7" s="441">
        <v>2.0</v>
      </c>
      <c r="B7" s="447" t="s">
        <v>193</v>
      </c>
      <c r="C7" s="448">
        <v>9824.868</v>
      </c>
      <c r="D7" s="448"/>
      <c r="E7" s="448">
        <v>9824.868</v>
      </c>
      <c r="F7" s="448">
        <f t="shared" si="1"/>
        <v>0</v>
      </c>
      <c r="G7" s="448">
        <v>0.0</v>
      </c>
      <c r="H7" s="448">
        <f>+F7+G7</f>
        <v>0</v>
      </c>
      <c r="I7" s="450">
        <v>0.0</v>
      </c>
      <c r="J7" s="451" t="str">
        <f t="shared" si="2"/>
        <v>#ERROR!</v>
      </c>
      <c r="K7" s="450" t="str">
        <f>[4]valuation!K16</f>
        <v>#ERROR!</v>
      </c>
      <c r="L7" s="439"/>
      <c r="M7" s="441">
        <v>2.0</v>
      </c>
      <c r="N7" s="447" t="s">
        <v>193</v>
      </c>
      <c r="O7" s="448">
        <v>9824.868</v>
      </c>
      <c r="P7" s="448"/>
      <c r="Q7" s="448">
        <v>9824.868</v>
      </c>
      <c r="R7" s="448">
        <f t="shared" si="3"/>
        <v>0</v>
      </c>
      <c r="S7" s="448">
        <v>0.0</v>
      </c>
      <c r="T7" s="448">
        <v>0.0</v>
      </c>
    </row>
    <row r="8" ht="14.25" customHeight="1">
      <c r="A8" s="441">
        <v>3.0</v>
      </c>
      <c r="B8" s="447" t="s">
        <v>123</v>
      </c>
      <c r="C8" s="448">
        <v>6337.2</v>
      </c>
      <c r="D8" s="448">
        <v>1351.321263</v>
      </c>
      <c r="E8" s="448"/>
      <c r="F8" s="448">
        <f t="shared" si="1"/>
        <v>7688.521263</v>
      </c>
      <c r="G8" s="448">
        <f t="shared" ref="G8:G10" si="4">+H8-F8</f>
        <v>202.705827</v>
      </c>
      <c r="H8" s="448">
        <v>7891.22709</v>
      </c>
      <c r="I8" s="450">
        <f>7688521264/1000000</f>
        <v>7688.521264</v>
      </c>
      <c r="J8" s="451" t="str">
        <f t="shared" si="2"/>
        <v>#ERROR!</v>
      </c>
      <c r="K8" s="450" t="str">
        <f>[4]valuation!K17</f>
        <v>#ERROR!</v>
      </c>
      <c r="L8" s="439"/>
      <c r="M8" s="441">
        <v>3.0</v>
      </c>
      <c r="N8" s="447" t="s">
        <v>123</v>
      </c>
      <c r="O8" s="448">
        <v>6337.2</v>
      </c>
      <c r="P8" s="448">
        <f>585.05405+383.134532+383.132681</f>
        <v>1351.321263</v>
      </c>
      <c r="Q8" s="448"/>
      <c r="R8" s="448">
        <f t="shared" si="3"/>
        <v>7688.521263</v>
      </c>
      <c r="S8" s="448">
        <f>202.478737*1000000</f>
        <v>202478737</v>
      </c>
      <c r="T8" s="448">
        <v>7891.0</v>
      </c>
    </row>
    <row r="9" ht="14.25" customHeight="1">
      <c r="A9" s="441">
        <v>4.0</v>
      </c>
      <c r="B9" s="447" t="s">
        <v>297</v>
      </c>
      <c r="C9" s="448">
        <v>1852.935</v>
      </c>
      <c r="D9" s="448">
        <v>1570.0</v>
      </c>
      <c r="E9" s="448"/>
      <c r="F9" s="448">
        <f t="shared" si="1"/>
        <v>3422.935</v>
      </c>
      <c r="G9" s="448">
        <f t="shared" si="4"/>
        <v>395.5699886</v>
      </c>
      <c r="H9" s="448">
        <v>3818.50498856</v>
      </c>
      <c r="I9" s="450">
        <f>2852934266.56/1000000+570</f>
        <v>3422.934267</v>
      </c>
      <c r="J9" s="451" t="str">
        <f t="shared" si="2"/>
        <v>#ERROR!</v>
      </c>
      <c r="K9" s="450" t="str">
        <f>[4]valuation!K18</f>
        <v>#ERROR!</v>
      </c>
      <c r="L9" s="439"/>
      <c r="M9" s="441">
        <v>4.0</v>
      </c>
      <c r="N9" s="447" t="s">
        <v>297</v>
      </c>
      <c r="O9" s="448">
        <v>1852.935</v>
      </c>
      <c r="P9" s="448">
        <v>1570.0</v>
      </c>
      <c r="Q9" s="448"/>
      <c r="R9" s="448">
        <f t="shared" si="3"/>
        <v>3422.935</v>
      </c>
      <c r="S9" s="448">
        <f>395.065*1000000</f>
        <v>395065000</v>
      </c>
      <c r="T9" s="448">
        <v>3818.0</v>
      </c>
    </row>
    <row r="10" ht="14.25" customHeight="1">
      <c r="A10" s="441">
        <v>5.0</v>
      </c>
      <c r="B10" s="447" t="s">
        <v>298</v>
      </c>
      <c r="C10" s="448">
        <v>983.0</v>
      </c>
      <c r="D10" s="448">
        <v>1500.0</v>
      </c>
      <c r="E10" s="448"/>
      <c r="F10" s="448">
        <f t="shared" si="1"/>
        <v>2483</v>
      </c>
      <c r="G10" s="448">
        <f t="shared" si="4"/>
        <v>-356.7841715</v>
      </c>
      <c r="H10" s="448">
        <v>2126.21582852</v>
      </c>
      <c r="I10" s="452">
        <f>1239081833.16/1000000+1500</f>
        <v>2739.081833</v>
      </c>
      <c r="J10" s="453">
        <f>1143-1500</f>
        <v>-357</v>
      </c>
      <c r="K10" s="452" t="str">
        <f>+[4]valuation!K19</f>
        <v>#ERROR!</v>
      </c>
      <c r="L10" s="439"/>
      <c r="M10" s="441">
        <v>5.0</v>
      </c>
      <c r="N10" s="447" t="s">
        <v>298</v>
      </c>
      <c r="O10" s="448">
        <v>983.0</v>
      </c>
      <c r="P10" s="448">
        <v>1500.0</v>
      </c>
      <c r="Q10" s="448"/>
      <c r="R10" s="448">
        <f t="shared" si="3"/>
        <v>2483</v>
      </c>
      <c r="S10" s="448">
        <f>-357*1000000</f>
        <v>-357000000</v>
      </c>
      <c r="T10" s="448">
        <v>2126.0</v>
      </c>
    </row>
    <row r="11" ht="14.25" customHeight="1">
      <c r="A11" s="454">
        <v>6.0</v>
      </c>
      <c r="B11" s="455" t="s">
        <v>299</v>
      </c>
      <c r="C11" s="456">
        <v>1382.4</v>
      </c>
      <c r="D11" s="456"/>
      <c r="E11" s="456"/>
      <c r="F11" s="456">
        <f t="shared" si="1"/>
        <v>1382.4</v>
      </c>
      <c r="G11" s="456">
        <v>397.6</v>
      </c>
      <c r="H11" s="456">
        <f>+F11+G11</f>
        <v>1780</v>
      </c>
      <c r="I11" s="450">
        <f>1048715505.2/1000000</f>
        <v>1048.715505</v>
      </c>
      <c r="J11" s="451">
        <v>397.6</v>
      </c>
      <c r="K11" s="450" t="str">
        <f>+[4]valuation!K20</f>
        <v>#ERROR!</v>
      </c>
      <c r="L11" s="439"/>
      <c r="M11" s="454">
        <v>6.0</v>
      </c>
      <c r="N11" s="455" t="s">
        <v>299</v>
      </c>
      <c r="O11" s="456">
        <v>1382.4</v>
      </c>
      <c r="P11" s="456"/>
      <c r="Q11" s="456"/>
      <c r="R11" s="456">
        <f t="shared" si="3"/>
        <v>1382.4</v>
      </c>
      <c r="S11" s="456">
        <f>397.6*1000000</f>
        <v>397600000</v>
      </c>
      <c r="T11" s="456">
        <v>1780.0</v>
      </c>
    </row>
    <row r="12" ht="14.25" customHeight="1">
      <c r="A12" s="441">
        <v>7.0</v>
      </c>
      <c r="B12" s="457" t="s">
        <v>192</v>
      </c>
      <c r="C12" s="458"/>
      <c r="D12" s="458">
        <v>104.0</v>
      </c>
      <c r="E12" s="458"/>
      <c r="F12" s="448">
        <f t="shared" si="1"/>
        <v>104</v>
      </c>
      <c r="G12" s="448"/>
      <c r="H12" s="448">
        <f t="shared" ref="H12:H19" si="5">SUM(F12:G12)</f>
        <v>104</v>
      </c>
      <c r="I12" s="450">
        <f>104000000/1000000</f>
        <v>104</v>
      </c>
      <c r="J12" s="451">
        <f t="shared" ref="J12:J17" si="6">K12-I12</f>
        <v>-104</v>
      </c>
      <c r="K12" s="450">
        <f t="shared" ref="K12:K13" si="7">C27/1000000</f>
        <v>0</v>
      </c>
      <c r="L12" s="439"/>
      <c r="M12" s="441">
        <v>7.0</v>
      </c>
      <c r="N12" s="457" t="s">
        <v>192</v>
      </c>
      <c r="O12" s="458"/>
      <c r="P12" s="458">
        <v>104.0</v>
      </c>
      <c r="Q12" s="458"/>
      <c r="R12" s="448">
        <f t="shared" si="3"/>
        <v>104</v>
      </c>
      <c r="S12" s="448">
        <v>0.0</v>
      </c>
      <c r="T12" s="448">
        <v>104.0</v>
      </c>
    </row>
    <row r="13" ht="14.25" customHeight="1">
      <c r="A13" s="441">
        <v>8.0</v>
      </c>
      <c r="B13" s="457" t="s">
        <v>321</v>
      </c>
      <c r="C13" s="458">
        <v>178.814</v>
      </c>
      <c r="D13" s="458">
        <v>21.0</v>
      </c>
      <c r="E13" s="458"/>
      <c r="F13" s="448">
        <f t="shared" si="1"/>
        <v>199.814</v>
      </c>
      <c r="G13" s="448"/>
      <c r="H13" s="448">
        <f t="shared" si="5"/>
        <v>199.814</v>
      </c>
      <c r="I13" s="450">
        <f>(39500000+160314029)/1000000</f>
        <v>199.814029</v>
      </c>
      <c r="J13" s="451">
        <f t="shared" si="6"/>
        <v>-199.814029</v>
      </c>
      <c r="K13" s="450">
        <f t="shared" si="7"/>
        <v>0</v>
      </c>
      <c r="L13" s="439"/>
      <c r="M13" s="441">
        <v>8.0</v>
      </c>
      <c r="N13" s="457" t="s">
        <v>321</v>
      </c>
      <c r="O13" s="458">
        <v>178.814</v>
      </c>
      <c r="P13" s="458">
        <f>10+11</f>
        <v>21</v>
      </c>
      <c r="Q13" s="458"/>
      <c r="R13" s="448">
        <f t="shared" si="3"/>
        <v>199.814</v>
      </c>
      <c r="S13" s="448"/>
      <c r="T13" s="448">
        <v>199.814</v>
      </c>
    </row>
    <row r="14" ht="14.25" customHeight="1">
      <c r="A14" s="441">
        <v>9.0</v>
      </c>
      <c r="B14" s="457" t="s">
        <v>196</v>
      </c>
      <c r="C14" s="458">
        <v>100.0</v>
      </c>
      <c r="D14" s="458">
        <v>312.5</v>
      </c>
      <c r="E14" s="458"/>
      <c r="F14" s="448">
        <f t="shared" si="1"/>
        <v>412.5</v>
      </c>
      <c r="G14" s="448">
        <v>-12.5</v>
      </c>
      <c r="H14" s="448">
        <f t="shared" si="5"/>
        <v>400</v>
      </c>
      <c r="I14" s="450">
        <f>412500000/1000000</f>
        <v>412.5</v>
      </c>
      <c r="J14" s="451">
        <f t="shared" si="6"/>
        <v>-412.5</v>
      </c>
      <c r="K14" s="450">
        <f>C31/1000000</f>
        <v>0</v>
      </c>
      <c r="L14" s="439"/>
      <c r="M14" s="441">
        <v>9.0</v>
      </c>
      <c r="N14" s="457" t="s">
        <v>196</v>
      </c>
      <c r="O14" s="458">
        <v>100.0</v>
      </c>
      <c r="P14" s="458">
        <f>300+12.5</f>
        <v>312.5</v>
      </c>
      <c r="Q14" s="458"/>
      <c r="R14" s="448">
        <f t="shared" si="3"/>
        <v>412.5</v>
      </c>
      <c r="S14" s="448">
        <v>0.0</v>
      </c>
      <c r="T14" s="448">
        <v>412.5</v>
      </c>
    </row>
    <row r="15" ht="14.25" customHeight="1">
      <c r="A15" s="441">
        <v>10.0</v>
      </c>
      <c r="B15" s="457" t="s">
        <v>322</v>
      </c>
      <c r="C15" s="458">
        <v>57.94</v>
      </c>
      <c r="D15" s="458">
        <v>11.0</v>
      </c>
      <c r="E15" s="458"/>
      <c r="F15" s="448">
        <f t="shared" si="1"/>
        <v>68.94</v>
      </c>
      <c r="G15" s="448">
        <v>-10.94</v>
      </c>
      <c r="H15" s="448">
        <f t="shared" si="5"/>
        <v>58</v>
      </c>
      <c r="I15" s="450">
        <f>68940163.84/1000000</f>
        <v>68.94016384</v>
      </c>
      <c r="J15" s="451">
        <f t="shared" si="6"/>
        <v>-68.94016384</v>
      </c>
      <c r="K15" s="450">
        <f>C30/1000000</f>
        <v>0</v>
      </c>
      <c r="L15" s="439"/>
      <c r="M15" s="441">
        <v>10.0</v>
      </c>
      <c r="N15" s="457" t="s">
        <v>322</v>
      </c>
      <c r="O15" s="458">
        <f>58-0.06</f>
        <v>57.94</v>
      </c>
      <c r="P15" s="458">
        <v>11.0</v>
      </c>
      <c r="Q15" s="458"/>
      <c r="R15" s="448">
        <f t="shared" si="3"/>
        <v>68.94</v>
      </c>
      <c r="S15" s="448">
        <f>0.000163839999999027*1000000</f>
        <v>163.84</v>
      </c>
      <c r="T15" s="448">
        <v>68.94016384</v>
      </c>
    </row>
    <row r="16" ht="14.25" customHeight="1">
      <c r="A16" s="441">
        <v>11.0</v>
      </c>
      <c r="B16" s="457" t="s">
        <v>227</v>
      </c>
      <c r="C16" s="458">
        <v>22.5</v>
      </c>
      <c r="D16" s="458"/>
      <c r="E16" s="458">
        <v>10.0</v>
      </c>
      <c r="F16" s="448">
        <f t="shared" si="1"/>
        <v>12.5</v>
      </c>
      <c r="G16" s="448"/>
      <c r="H16" s="448">
        <f t="shared" si="5"/>
        <v>12.5</v>
      </c>
      <c r="I16" s="450">
        <f>12500000/1000000</f>
        <v>12.5</v>
      </c>
      <c r="J16" s="451">
        <f t="shared" si="6"/>
        <v>-12.5</v>
      </c>
      <c r="K16" s="450">
        <f t="shared" ref="K16:K17" si="8">C25/1000000</f>
        <v>0</v>
      </c>
      <c r="L16" s="439"/>
      <c r="M16" s="441">
        <v>11.0</v>
      </c>
      <c r="N16" s="457" t="s">
        <v>227</v>
      </c>
      <c r="O16" s="458">
        <v>22.5</v>
      </c>
      <c r="P16" s="458"/>
      <c r="Q16" s="458">
        <v>10.0</v>
      </c>
      <c r="R16" s="448">
        <f t="shared" si="3"/>
        <v>12.5</v>
      </c>
      <c r="S16" s="448">
        <v>0.0</v>
      </c>
      <c r="T16" s="448">
        <v>12.5</v>
      </c>
    </row>
    <row r="17" ht="14.25" customHeight="1">
      <c r="A17" s="441">
        <v>12.0</v>
      </c>
      <c r="B17" s="457" t="s">
        <v>320</v>
      </c>
      <c r="C17" s="458"/>
      <c r="D17" s="458">
        <v>38.5</v>
      </c>
      <c r="E17" s="458"/>
      <c r="F17" s="448">
        <f t="shared" si="1"/>
        <v>38.5</v>
      </c>
      <c r="G17" s="448">
        <v>1.5</v>
      </c>
      <c r="H17" s="448">
        <f t="shared" si="5"/>
        <v>40</v>
      </c>
      <c r="I17" s="450">
        <f>38500000/1000000</f>
        <v>38.5</v>
      </c>
      <c r="J17" s="451">
        <f t="shared" si="6"/>
        <v>-38.5</v>
      </c>
      <c r="K17" s="450">
        <f t="shared" si="8"/>
        <v>0</v>
      </c>
      <c r="L17" s="439"/>
      <c r="M17" s="441">
        <v>12.0</v>
      </c>
      <c r="N17" s="457" t="s">
        <v>320</v>
      </c>
      <c r="O17" s="458"/>
      <c r="P17" s="458">
        <v>38.5</v>
      </c>
      <c r="Q17" s="458"/>
      <c r="R17" s="448">
        <f t="shared" si="3"/>
        <v>38.5</v>
      </c>
      <c r="S17" s="448">
        <v>1.5</v>
      </c>
      <c r="T17" s="448">
        <v>38.5</v>
      </c>
    </row>
    <row r="18" ht="14.25" customHeight="1">
      <c r="A18" s="441">
        <v>13.0</v>
      </c>
      <c r="B18" s="457" t="s">
        <v>372</v>
      </c>
      <c r="C18" s="458">
        <v>29.61</v>
      </c>
      <c r="D18" s="458"/>
      <c r="E18" s="458">
        <v>29.61</v>
      </c>
      <c r="F18" s="448">
        <f t="shared" si="1"/>
        <v>0</v>
      </c>
      <c r="G18" s="448"/>
      <c r="H18" s="448">
        <f t="shared" si="5"/>
        <v>0</v>
      </c>
      <c r="I18" s="450"/>
      <c r="J18" s="451"/>
      <c r="K18" s="450"/>
      <c r="L18" s="439"/>
      <c r="M18" s="441">
        <v>13.0</v>
      </c>
      <c r="N18" s="457" t="s">
        <v>372</v>
      </c>
      <c r="O18" s="458">
        <v>29.61</v>
      </c>
      <c r="P18" s="458"/>
      <c r="Q18" s="458">
        <v>29.61</v>
      </c>
      <c r="R18" s="448">
        <f t="shared" si="3"/>
        <v>0</v>
      </c>
      <c r="S18" s="448">
        <v>0.0</v>
      </c>
      <c r="T18" s="448">
        <v>0.0</v>
      </c>
    </row>
    <row r="19" ht="14.25" customHeight="1">
      <c r="A19" s="441">
        <v>14.0</v>
      </c>
      <c r="B19" s="457" t="s">
        <v>204</v>
      </c>
      <c r="C19" s="458">
        <v>10.0</v>
      </c>
      <c r="D19" s="458"/>
      <c r="E19" s="458"/>
      <c r="F19" s="448">
        <f t="shared" si="1"/>
        <v>10</v>
      </c>
      <c r="G19" s="448"/>
      <c r="H19" s="448">
        <f t="shared" si="5"/>
        <v>10</v>
      </c>
      <c r="I19" s="450">
        <f>10000000/1000000</f>
        <v>10</v>
      </c>
      <c r="J19" s="451">
        <f>K19-I19</f>
        <v>-10</v>
      </c>
      <c r="K19" s="450">
        <f>C29/1000000</f>
        <v>0</v>
      </c>
      <c r="L19" s="439"/>
      <c r="M19" s="441">
        <v>14.0</v>
      </c>
      <c r="N19" s="457" t="s">
        <v>204</v>
      </c>
      <c r="O19" s="458">
        <v>10.0</v>
      </c>
      <c r="P19" s="458"/>
      <c r="Q19" s="458"/>
      <c r="R19" s="448">
        <f t="shared" si="3"/>
        <v>10</v>
      </c>
      <c r="S19" s="448">
        <v>0.0</v>
      </c>
      <c r="T19" s="448">
        <v>10.0</v>
      </c>
    </row>
    <row r="20" ht="14.25" customHeight="1">
      <c r="A20" s="459" t="s">
        <v>373</v>
      </c>
      <c r="B20" s="158"/>
      <c r="C20" s="460">
        <f t="shared" ref="C20:I20" si="9">SUM(C6:C19)</f>
        <v>20779.267</v>
      </c>
      <c r="D20" s="460">
        <f t="shared" si="9"/>
        <v>12346.38776</v>
      </c>
      <c r="E20" s="460">
        <f t="shared" si="9"/>
        <v>10552.70189</v>
      </c>
      <c r="F20" s="460">
        <f t="shared" si="9"/>
        <v>22572.95287</v>
      </c>
      <c r="G20" s="460">
        <f t="shared" si="9"/>
        <v>3191.421101</v>
      </c>
      <c r="H20" s="461">
        <f t="shared" si="9"/>
        <v>25764.37397</v>
      </c>
      <c r="I20" s="460">
        <f t="shared" si="9"/>
        <v>22495.34979</v>
      </c>
      <c r="J20" s="461" t="str">
        <f>SUM(J6:J19)*1000</f>
        <v>#ERROR!</v>
      </c>
      <c r="K20" s="460" t="str">
        <f>SUM(K6:K19)</f>
        <v>#ERROR!</v>
      </c>
      <c r="L20" s="439"/>
      <c r="M20" s="459" t="s">
        <v>373</v>
      </c>
      <c r="N20" s="158"/>
      <c r="O20" s="460">
        <f t="shared" ref="O20:T20" si="10">SUM(O6:O19)</f>
        <v>20779.267</v>
      </c>
      <c r="P20" s="460">
        <f t="shared" si="10"/>
        <v>12346.38776</v>
      </c>
      <c r="Q20" s="460">
        <f t="shared" si="10"/>
        <v>10552.70189</v>
      </c>
      <c r="R20" s="460">
        <f t="shared" si="10"/>
        <v>22572.95287</v>
      </c>
      <c r="S20" s="461">
        <f t="shared" si="10"/>
        <v>3212121727</v>
      </c>
      <c r="T20" s="460">
        <f t="shared" si="10"/>
        <v>9323836896</v>
      </c>
    </row>
    <row r="21" ht="14.25" customHeight="1">
      <c r="A21" s="439"/>
      <c r="B21" s="442"/>
      <c r="C21" s="462"/>
      <c r="D21" s="442"/>
      <c r="E21" s="442"/>
      <c r="F21" s="462"/>
      <c r="G21" s="442"/>
      <c r="H21" s="442"/>
      <c r="I21" s="463"/>
      <c r="J21" s="463" t="str">
        <f>+G20-J20</f>
        <v>#ERROR!</v>
      </c>
      <c r="K21" s="464" t="str">
        <f>K20-H20</f>
        <v>#ERROR!</v>
      </c>
      <c r="L21" s="439"/>
      <c r="M21" s="439"/>
      <c r="N21" s="439"/>
      <c r="O21" s="439"/>
      <c r="P21" s="439"/>
      <c r="Q21" s="439"/>
      <c r="R21" s="439"/>
      <c r="S21" s="439"/>
      <c r="T21" s="439"/>
    </row>
    <row r="22" ht="14.25" customHeight="1">
      <c r="A22" s="439"/>
      <c r="B22" s="442"/>
      <c r="C22" s="442"/>
      <c r="D22" s="442"/>
      <c r="E22" s="442"/>
      <c r="F22" s="462"/>
      <c r="G22" s="442"/>
      <c r="H22" s="442"/>
      <c r="I22" s="439"/>
      <c r="J22" s="439"/>
      <c r="K22" s="464" t="str">
        <f>K20-'[4]FS &amp; IS10312016'!L14/1000</f>
        <v>#ERROR!</v>
      </c>
      <c r="L22" s="439"/>
      <c r="M22" s="439"/>
      <c r="N22" s="439"/>
      <c r="O22" s="439"/>
      <c r="P22" s="439"/>
      <c r="Q22" s="439"/>
      <c r="R22" s="439"/>
      <c r="S22" s="439"/>
      <c r="T22" s="439"/>
    </row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B3:J3"/>
    <mergeCell ref="N3:T3"/>
    <mergeCell ref="A20:B20"/>
    <mergeCell ref="M20:N20"/>
  </mergeCell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30.0"/>
    <col customWidth="1" hidden="1" min="4" max="4" width="12.57"/>
    <col customWidth="1" min="5" max="8" width="12.57"/>
    <col customWidth="1" min="9" max="26" width="8.71"/>
  </cols>
  <sheetData>
    <row r="1" ht="14.25" customHeight="1"/>
    <row r="2" ht="14.25" customHeight="1"/>
    <row r="3" ht="14.25" customHeight="1">
      <c r="C3" s="465" t="s">
        <v>374</v>
      </c>
      <c r="D3" s="466"/>
      <c r="E3" s="466"/>
      <c r="F3" s="466"/>
      <c r="G3" s="466"/>
      <c r="H3" s="466"/>
      <c r="I3" s="467"/>
      <c r="J3" s="467"/>
    </row>
    <row r="4" ht="14.25" customHeight="1">
      <c r="C4" s="468" t="s">
        <v>375</v>
      </c>
      <c r="D4" s="469">
        <v>2015.0</v>
      </c>
      <c r="E4" s="470" t="s">
        <v>5</v>
      </c>
      <c r="F4" s="470" t="s">
        <v>12</v>
      </c>
      <c r="G4" s="470" t="s">
        <v>15</v>
      </c>
      <c r="H4" s="471" t="s">
        <v>376</v>
      </c>
      <c r="I4" s="158"/>
      <c r="J4" s="467"/>
    </row>
    <row r="5" ht="14.25" customHeight="1">
      <c r="C5" s="472" t="s">
        <v>377</v>
      </c>
      <c r="D5" s="466">
        <v>40759.7</v>
      </c>
      <c r="E5" s="466">
        <f>+'FS &amp; IS10312016'!D15/1000</f>
        <v>35645.0631</v>
      </c>
      <c r="F5" s="473">
        <v>39595.1</v>
      </c>
      <c r="G5" s="473" t="str">
        <f>+'FS &amp; IS10312016'!Q15/1000</f>
        <v>#REF!</v>
      </c>
      <c r="H5" s="474" t="str">
        <f t="shared" ref="H5:H14" si="1">+(G5-E5)/E5</f>
        <v>#REF!</v>
      </c>
      <c r="I5" s="475" t="str">
        <f t="shared" ref="I5:I14" si="2">+(G5-F5)/F5</f>
        <v>#REF!</v>
      </c>
      <c r="J5" s="467"/>
    </row>
    <row r="6" ht="14.25" customHeight="1">
      <c r="C6" s="472" t="s">
        <v>378</v>
      </c>
      <c r="D6" s="466">
        <v>1824.6</v>
      </c>
      <c r="E6" s="466">
        <v>3017.755</v>
      </c>
      <c r="F6" s="476">
        <v>5360.5</v>
      </c>
      <c r="G6" s="476" t="str">
        <f>+('Loan port'!X36-'Loan port'!X19)/1000000</f>
        <v>#REF!</v>
      </c>
      <c r="H6" s="474" t="str">
        <f t="shared" si="1"/>
        <v>#REF!</v>
      </c>
      <c r="I6" s="475" t="str">
        <f t="shared" si="2"/>
        <v>#REF!</v>
      </c>
      <c r="J6" s="467"/>
    </row>
    <row r="7" ht="14.25" customHeight="1">
      <c r="C7" s="472" t="s">
        <v>379</v>
      </c>
      <c r="D7" s="466">
        <v>862.4</v>
      </c>
      <c r="E7" s="466">
        <f>+'FS &amp; IS10312016'!D11/1000</f>
        <v>1416.955083</v>
      </c>
      <c r="F7" s="473">
        <v>676.7</v>
      </c>
      <c r="G7" s="473" t="str">
        <f>+'FS &amp; IS10312016'!Q11/1000</f>
        <v>#REF!</v>
      </c>
      <c r="H7" s="474" t="str">
        <f t="shared" si="1"/>
        <v>#REF!</v>
      </c>
      <c r="I7" s="475" t="str">
        <f t="shared" si="2"/>
        <v>#REF!</v>
      </c>
      <c r="J7" s="467"/>
    </row>
    <row r="8" ht="14.25" customHeight="1">
      <c r="C8" s="472" t="s">
        <v>380</v>
      </c>
      <c r="D8" s="473">
        <v>34783.2</v>
      </c>
      <c r="E8" s="473">
        <f>+'FS &amp; IS10312016'!D30/1000</f>
        <v>34559.15247</v>
      </c>
      <c r="F8" s="476">
        <v>37598.0</v>
      </c>
      <c r="G8" s="476" t="str">
        <f>+'FS &amp; IS10312016'!Q30/1000</f>
        <v>#REF!</v>
      </c>
      <c r="H8" s="474" t="str">
        <f t="shared" si="1"/>
        <v>#REF!</v>
      </c>
      <c r="I8" s="475" t="str">
        <f t="shared" si="2"/>
        <v>#REF!</v>
      </c>
      <c r="J8" s="467"/>
    </row>
    <row r="9" ht="14.25" customHeight="1">
      <c r="C9" s="472" t="s">
        <v>381</v>
      </c>
      <c r="D9" s="473">
        <v>5976.5</v>
      </c>
      <c r="E9" s="473">
        <f>+'FS &amp; IS10312016'!D21/1000</f>
        <v>1085.910465</v>
      </c>
      <c r="F9" s="476">
        <f>+'FS &amp; IS10312016'!K21/1000</f>
        <v>2046.199613</v>
      </c>
      <c r="G9" s="476" t="str">
        <f>+'FS &amp; IS10312016'!Q21/1000</f>
        <v>#REF!</v>
      </c>
      <c r="H9" s="474" t="str">
        <f t="shared" si="1"/>
        <v>#REF!</v>
      </c>
      <c r="I9" s="475" t="str">
        <f t="shared" si="2"/>
        <v>#REF!</v>
      </c>
      <c r="J9" s="467"/>
    </row>
    <row r="10" ht="14.25" customHeight="1">
      <c r="C10" s="472" t="s">
        <v>382</v>
      </c>
      <c r="D10" s="473">
        <v>174.8</v>
      </c>
      <c r="E10" s="473">
        <f>+'FS &amp; IS10312016'!D58/1000</f>
        <v>694.4719586</v>
      </c>
      <c r="F10" s="473">
        <v>745.9</v>
      </c>
      <c r="G10" s="473" t="str">
        <f>+'FS &amp; IS10312016'!Q58/1000</f>
        <v>#REF!</v>
      </c>
      <c r="H10" s="474" t="str">
        <f t="shared" si="1"/>
        <v>#REF!</v>
      </c>
      <c r="I10" s="475" t="str">
        <f t="shared" si="2"/>
        <v>#REF!</v>
      </c>
      <c r="J10" s="467"/>
    </row>
    <row r="11" ht="14.25" customHeight="1">
      <c r="C11" s="472" t="s">
        <v>383</v>
      </c>
      <c r="D11" s="473">
        <v>12695.8</v>
      </c>
      <c r="E11" s="473">
        <f>+'FS &amp; IS10312016'!D47/1000</f>
        <v>191.482443</v>
      </c>
      <c r="F11" s="473">
        <f>11672.6+177.2+122.5+476.5+6.6</f>
        <v>12455.4</v>
      </c>
      <c r="G11" s="473" t="str">
        <f>+'FS &amp; IS10312016'!Q47/1000</f>
        <v>#REF!</v>
      </c>
      <c r="H11" s="474" t="str">
        <f t="shared" si="1"/>
        <v>#REF!</v>
      </c>
      <c r="I11" s="475" t="str">
        <f t="shared" si="2"/>
        <v>#REF!</v>
      </c>
      <c r="J11" s="467"/>
    </row>
    <row r="12" ht="14.25" customHeight="1">
      <c r="C12" s="472" t="s">
        <v>384</v>
      </c>
      <c r="D12" s="473">
        <v>1.3486359E7</v>
      </c>
      <c r="E12" s="473">
        <f>+valuation!E36</f>
        <v>13148162</v>
      </c>
      <c r="F12" s="477">
        <v>1.4151557E7</v>
      </c>
      <c r="G12" s="477">
        <f>+valuation!N36</f>
        <v>15883954</v>
      </c>
      <c r="H12" s="474">
        <f t="shared" si="1"/>
        <v>0.2080741019</v>
      </c>
      <c r="I12" s="475">
        <f t="shared" si="2"/>
        <v>0.1224174132</v>
      </c>
      <c r="J12" s="467"/>
    </row>
    <row r="13" ht="14.25" customHeight="1">
      <c r="C13" s="472" t="s">
        <v>385</v>
      </c>
      <c r="D13" s="477">
        <f t="shared" ref="D13:G13" si="3">D10/D12*1000000</f>
        <v>12.96124477</v>
      </c>
      <c r="E13" s="477">
        <f t="shared" si="3"/>
        <v>52.81893839</v>
      </c>
      <c r="F13" s="477">
        <f t="shared" si="3"/>
        <v>52.70798118</v>
      </c>
      <c r="G13" s="477" t="str">
        <f t="shared" si="3"/>
        <v>#REF!</v>
      </c>
      <c r="H13" s="474" t="str">
        <f t="shared" si="1"/>
        <v>#REF!</v>
      </c>
      <c r="I13" s="475" t="str">
        <f t="shared" si="2"/>
        <v>#REF!</v>
      </c>
      <c r="J13" s="467"/>
    </row>
    <row r="14" ht="14.25" customHeight="1">
      <c r="C14" s="472" t="s">
        <v>386</v>
      </c>
      <c r="D14" s="477">
        <v>2176.0</v>
      </c>
      <c r="E14" s="477">
        <f>+valuation!E38</f>
        <v>2329</v>
      </c>
      <c r="F14" s="477">
        <v>2468.1</v>
      </c>
      <c r="G14" s="477" t="str">
        <f>+valuation!N38</f>
        <v>#REF!</v>
      </c>
      <c r="H14" s="474" t="str">
        <f t="shared" si="1"/>
        <v>#REF!</v>
      </c>
      <c r="I14" s="475" t="str">
        <f t="shared" si="2"/>
        <v>#REF!</v>
      </c>
      <c r="J14" s="467"/>
    </row>
    <row r="15" ht="14.25" customHeight="1">
      <c r="C15" s="472"/>
      <c r="D15" s="477"/>
      <c r="E15" s="477"/>
      <c r="F15" s="477"/>
      <c r="G15" s="477"/>
      <c r="H15" s="477"/>
      <c r="I15" s="475"/>
      <c r="J15" s="467"/>
    </row>
    <row r="16" ht="14.25" customHeight="1">
      <c r="C16" s="478" t="s">
        <v>387</v>
      </c>
      <c r="D16" s="479">
        <v>2015.0</v>
      </c>
      <c r="E16" s="479" t="s">
        <v>5</v>
      </c>
      <c r="F16" s="479" t="s">
        <v>12</v>
      </c>
      <c r="G16" s="479" t="s">
        <v>15</v>
      </c>
      <c r="H16" s="471" t="s">
        <v>376</v>
      </c>
      <c r="I16" s="158"/>
    </row>
    <row r="17" ht="14.25" customHeight="1">
      <c r="C17" s="472" t="s">
        <v>388</v>
      </c>
      <c r="D17" s="480">
        <f>1824681/40759698</f>
        <v>0.04476679391</v>
      </c>
      <c r="E17" s="480">
        <f>+E6/E5</f>
        <v>0.08466123322</v>
      </c>
      <c r="F17" s="480">
        <f>5360574033/39595074384</f>
        <v>0.1353848709</v>
      </c>
      <c r="G17" s="480" t="str">
        <f>+G6/G5</f>
        <v>#REF!</v>
      </c>
      <c r="H17" s="480" t="str">
        <f t="shared" ref="H17:H26" si="4">G17-E17</f>
        <v>#REF!</v>
      </c>
      <c r="I17" s="481" t="str">
        <f t="shared" ref="I17:I26" si="5">G17-F17</f>
        <v>#REF!</v>
      </c>
    </row>
    <row r="18" ht="14.25" customHeight="1">
      <c r="C18" s="472" t="s">
        <v>389</v>
      </c>
      <c r="D18" s="480">
        <f>20779328/40759698</f>
        <v>0.5098008332</v>
      </c>
      <c r="E18" s="480">
        <f>+'FS &amp; IS10312016'!D14/'FS &amp; IS10312016'!D15</f>
        <v>0.6811676445</v>
      </c>
      <c r="F18" s="480">
        <f>25764374/39595074</f>
        <v>0.6506964477</v>
      </c>
      <c r="G18" s="480" t="str">
        <f>+'FS &amp; IS10312016'!Q14/'FS &amp; IS10312016'!Q15</f>
        <v>#REF!</v>
      </c>
      <c r="H18" s="480" t="str">
        <f t="shared" si="4"/>
        <v>#REF!</v>
      </c>
      <c r="I18" s="481" t="str">
        <f t="shared" si="5"/>
        <v>#REF!</v>
      </c>
    </row>
    <row r="19" ht="14.25" customHeight="1">
      <c r="C19" s="472" t="s">
        <v>390</v>
      </c>
      <c r="D19" s="480">
        <f>5976527/40759698</f>
        <v>0.1466283435</v>
      </c>
      <c r="E19" s="480"/>
      <c r="F19" s="480">
        <f>1997077/39595074</f>
        <v>0.05043751149</v>
      </c>
      <c r="G19" s="480"/>
      <c r="H19" s="480">
        <f t="shared" si="4"/>
        <v>0</v>
      </c>
      <c r="I19" s="481">
        <f t="shared" si="5"/>
        <v>-0.05043751149</v>
      </c>
    </row>
    <row r="20" ht="14.25" customHeight="1">
      <c r="C20" s="472" t="s">
        <v>391</v>
      </c>
      <c r="D20" s="480">
        <f>(20779/D8)%*100</f>
        <v>0.5973860944</v>
      </c>
      <c r="E20" s="480">
        <f>+'FS &amp; IS10312016'!D14/'FS &amp; IS10312016'!D30</f>
        <v>0.7025711549</v>
      </c>
      <c r="F20" s="480">
        <f>+'FS &amp; IS10312016'!K14/'FS &amp; IS10312016'!K30</f>
        <v>0.6844522241</v>
      </c>
      <c r="G20" s="480" t="str">
        <f>+'FS &amp; IS10312016'!Q14/'FS &amp; IS10312016'!Q30</f>
        <v>#REF!</v>
      </c>
      <c r="H20" s="480" t="str">
        <f t="shared" si="4"/>
        <v>#REF!</v>
      </c>
      <c r="I20" s="481" t="str">
        <f t="shared" si="5"/>
        <v>#REF!</v>
      </c>
    </row>
    <row r="21" ht="14.25" customHeight="1">
      <c r="C21" s="472" t="s">
        <v>392</v>
      </c>
      <c r="D21" s="480">
        <v>0.029</v>
      </c>
      <c r="E21" s="480">
        <f>+'FS &amp; IS10312016'!D52/'FS &amp; IS10312016'!D15</f>
        <v>0.01063375855</v>
      </c>
      <c r="F21" s="480">
        <f>+'FS &amp; IS10312016'!K52/'FS &amp; IS10312016'!K31</f>
        <v>0.04626999728</v>
      </c>
      <c r="G21" s="480" t="str">
        <f>+'FS &amp; IS10312016'!Q52/'FS &amp; IS10312016'!Q31</f>
        <v>#REF!</v>
      </c>
      <c r="H21" s="480" t="str">
        <f t="shared" si="4"/>
        <v>#REF!</v>
      </c>
      <c r="I21" s="481" t="str">
        <f t="shared" si="5"/>
        <v>#REF!</v>
      </c>
    </row>
    <row r="22" ht="14.25" customHeight="1">
      <c r="C22" s="472" t="s">
        <v>393</v>
      </c>
      <c r="D22" s="480">
        <v>0.006</v>
      </c>
      <c r="E22" s="480">
        <f>+'FS &amp; IS10312016'!D48/'FS &amp; IS10312016'!D31</f>
        <v>0.002932055449</v>
      </c>
      <c r="F22" s="480">
        <f>+'FS &amp; IS10312016'!K48/'FS &amp; IS10312016'!K31</f>
        <v>0.01423455639</v>
      </c>
      <c r="G22" s="480" t="str">
        <f>+'FS &amp; IS10312016'!Q48/'FS &amp; IS10312016'!Q31</f>
        <v>#REF!</v>
      </c>
      <c r="H22" s="480" t="str">
        <f t="shared" si="4"/>
        <v>#REF!</v>
      </c>
      <c r="I22" s="481" t="str">
        <f t="shared" si="5"/>
        <v>#REF!</v>
      </c>
    </row>
    <row r="23" ht="14.25" customHeight="1">
      <c r="C23" s="472" t="s">
        <v>394</v>
      </c>
      <c r="D23" s="482">
        <v>0.0215</v>
      </c>
      <c r="E23" s="482">
        <f>+'FS &amp; IS10312016'!D49/'FS &amp; IS10312016'!D31</f>
        <v>0.007533819466</v>
      </c>
      <c r="F23" s="480">
        <f>+'FS &amp; IS10312016'!K49/'FS &amp; IS10312016'!K31</f>
        <v>0.02904935152</v>
      </c>
      <c r="G23" s="480" t="str">
        <f>+'FS &amp; IS10312016'!Q49/'FS &amp; IS10312016'!Q31</f>
        <v>#REF!</v>
      </c>
      <c r="H23" s="480" t="str">
        <f t="shared" si="4"/>
        <v>#REF!</v>
      </c>
      <c r="I23" s="481" t="str">
        <f t="shared" si="5"/>
        <v>#REF!</v>
      </c>
    </row>
    <row r="24" ht="14.25" customHeight="1">
      <c r="C24" s="472" t="s">
        <v>395</v>
      </c>
      <c r="D24" s="480">
        <v>0.002</v>
      </c>
      <c r="E24" s="480">
        <f>+'FS &amp; IS10312016'!D51/'FS &amp; IS10312016'!D31</f>
        <v>0.0001678836817</v>
      </c>
      <c r="F24" s="480">
        <f>+'FS &amp; IS10312016'!K51/'FS &amp; IS10312016'!K31</f>
        <v>0.002986089374</v>
      </c>
      <c r="G24" s="480" t="str">
        <f>+'FS &amp; IS10312016'!Q51/'FS &amp; IS10312016'!Q31</f>
        <v>#REF!</v>
      </c>
      <c r="H24" s="480" t="str">
        <f t="shared" si="4"/>
        <v>#REF!</v>
      </c>
      <c r="I24" s="481" t="str">
        <f t="shared" si="5"/>
        <v>#REF!</v>
      </c>
    </row>
    <row r="25" ht="14.25" customHeight="1">
      <c r="C25" s="472" t="s">
        <v>396</v>
      </c>
      <c r="D25" s="483">
        <v>0.005</v>
      </c>
      <c r="E25" s="484">
        <f t="shared" ref="E25:G25" si="6">+E10/E8</f>
        <v>0.02009516753</v>
      </c>
      <c r="F25" s="484">
        <f t="shared" si="6"/>
        <v>0.01983882121</v>
      </c>
      <c r="G25" s="484" t="str">
        <f t="shared" si="6"/>
        <v>#REF!</v>
      </c>
      <c r="H25" s="480" t="str">
        <f t="shared" si="4"/>
        <v>#REF!</v>
      </c>
      <c r="I25" s="481" t="str">
        <f t="shared" si="5"/>
        <v>#REF!</v>
      </c>
    </row>
    <row r="26" ht="14.25" customHeight="1">
      <c r="C26" s="472" t="s">
        <v>397</v>
      </c>
      <c r="D26" s="480">
        <v>0.0043</v>
      </c>
      <c r="E26" s="485">
        <f t="shared" ref="E26:G26" si="7">+E10/E5</f>
        <v>0.0194829774</v>
      </c>
      <c r="F26" s="485">
        <f t="shared" si="7"/>
        <v>0.01883818957</v>
      </c>
      <c r="G26" s="485" t="str">
        <f t="shared" si="7"/>
        <v>#REF!</v>
      </c>
      <c r="H26" s="480" t="str">
        <f t="shared" si="4"/>
        <v>#REF!</v>
      </c>
      <c r="I26" s="481" t="str">
        <f t="shared" si="5"/>
        <v>#REF!</v>
      </c>
    </row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H4:I4"/>
    <mergeCell ref="H16:I16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8.86"/>
    <col customWidth="1" min="3" max="3" width="27.29"/>
    <col customWidth="1" min="4" max="6" width="16.0"/>
    <col customWidth="1" min="7" max="7" width="6.71"/>
    <col customWidth="1" min="8" max="8" width="11.14"/>
    <col customWidth="1" min="9" max="26" width="9.14"/>
  </cols>
  <sheetData>
    <row r="1" ht="12.0" customHeight="1">
      <c r="A1" s="68"/>
      <c r="B1" s="68"/>
      <c r="C1" s="68"/>
      <c r="D1" s="68"/>
      <c r="E1" s="68"/>
      <c r="F1" s="68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ht="12.0" customHeight="1">
      <c r="A2" s="68"/>
      <c r="B2" s="224" t="s">
        <v>173</v>
      </c>
      <c r="C2" s="224"/>
      <c r="D2" s="136"/>
      <c r="E2" s="136"/>
      <c r="F2" s="136"/>
      <c r="G2" s="30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68"/>
      <c r="B3" s="286" t="s">
        <v>174</v>
      </c>
      <c r="C3" s="286" t="s">
        <v>175</v>
      </c>
      <c r="D3" s="486" t="s">
        <v>12</v>
      </c>
      <c r="E3" s="486" t="s">
        <v>15</v>
      </c>
      <c r="F3" s="487" t="s">
        <v>18</v>
      </c>
      <c r="G3" s="164" t="s">
        <v>20</v>
      </c>
      <c r="H3" s="158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2.0" customHeight="1">
      <c r="A4" s="68"/>
      <c r="B4" s="150"/>
      <c r="C4" s="150"/>
      <c r="D4" s="488">
        <v>1.0</v>
      </c>
      <c r="E4" s="489">
        <v>2.0</v>
      </c>
      <c r="F4" s="489">
        <v>3.0</v>
      </c>
      <c r="G4" s="490" t="s">
        <v>398</v>
      </c>
      <c r="H4" s="490" t="s">
        <v>399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2.0" customHeight="1">
      <c r="A5" s="68"/>
      <c r="B5" s="236" t="s">
        <v>400</v>
      </c>
      <c r="C5" s="237" t="s">
        <v>401</v>
      </c>
      <c r="D5" s="70">
        <v>2.2655138347000006E8</v>
      </c>
      <c r="E5" s="70">
        <v>3.3486707884000003E8</v>
      </c>
      <c r="F5" s="70">
        <v>5.1725327891E8</v>
      </c>
      <c r="G5" s="84">
        <f t="shared" ref="G5:G9" si="1">+(F5-E5)/E5</f>
        <v>0.5446525251</v>
      </c>
      <c r="H5" s="84">
        <f t="shared" ref="H5:H9" si="2">(F5-D5)/D5</f>
        <v>1.283160981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2.0" customHeight="1">
      <c r="A6" s="68"/>
      <c r="B6" s="150"/>
      <c r="C6" s="237" t="s">
        <v>402</v>
      </c>
      <c r="D6" s="70">
        <v>3.49987606184E9</v>
      </c>
      <c r="E6" s="70">
        <v>3.49116243132E9</v>
      </c>
      <c r="F6" s="70">
        <v>2.3676304276E9</v>
      </c>
      <c r="G6" s="84">
        <f t="shared" si="1"/>
        <v>-0.3218217502</v>
      </c>
      <c r="H6" s="84">
        <f t="shared" si="2"/>
        <v>-0.3235102084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2.0" customHeight="1">
      <c r="A7" s="68"/>
      <c r="B7" s="150"/>
      <c r="C7" s="237" t="s">
        <v>202</v>
      </c>
      <c r="D7" s="70">
        <v>5.95867058157E9</v>
      </c>
      <c r="E7" s="70">
        <v>5.406668032826E9</v>
      </c>
      <c r="F7" s="70">
        <v>4.8573827319824E9</v>
      </c>
      <c r="G7" s="84">
        <f t="shared" si="1"/>
        <v>-0.1015940497</v>
      </c>
      <c r="H7" s="84">
        <f t="shared" si="2"/>
        <v>-0.1848210661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2.0" customHeight="1">
      <c r="A8" s="68"/>
      <c r="B8" s="150"/>
      <c r="C8" s="237" t="s">
        <v>403</v>
      </c>
      <c r="D8" s="70">
        <v>4.979060000000001E7</v>
      </c>
      <c r="E8" s="66">
        <v>4.4875008793E8</v>
      </c>
      <c r="F8" s="66">
        <v>6.869317913E7</v>
      </c>
      <c r="G8" s="84">
        <f t="shared" si="1"/>
        <v>-0.8469233077</v>
      </c>
      <c r="H8" s="84">
        <f t="shared" si="2"/>
        <v>0.3796415213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0" customHeight="1">
      <c r="A9" s="68"/>
      <c r="B9" s="150"/>
      <c r="C9" s="237" t="s">
        <v>184</v>
      </c>
      <c r="D9" s="66">
        <v>2.4152817520000003E7</v>
      </c>
      <c r="E9" s="66">
        <v>9.270710115E7</v>
      </c>
      <c r="F9" s="66">
        <v>1.206050021116E8</v>
      </c>
      <c r="G9" s="84">
        <f t="shared" si="1"/>
        <v>0.3009251785</v>
      </c>
      <c r="H9" s="84">
        <f t="shared" si="2"/>
        <v>3.993413378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0" customHeight="1">
      <c r="A10" s="68"/>
      <c r="B10" s="247"/>
      <c r="C10" s="491" t="s">
        <v>201</v>
      </c>
      <c r="D10" s="279">
        <f t="shared" ref="D10:H10" si="3">SUM(D5:D9)</f>
        <v>9759041444</v>
      </c>
      <c r="E10" s="279">
        <f t="shared" si="3"/>
        <v>9774154732</v>
      </c>
      <c r="F10" s="279">
        <f t="shared" si="3"/>
        <v>7931564620</v>
      </c>
      <c r="G10" s="492">
        <f t="shared" si="3"/>
        <v>-0.4247614039</v>
      </c>
      <c r="H10" s="492">
        <f t="shared" si="3"/>
        <v>5.147884605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68"/>
      <c r="B11" s="493" t="s">
        <v>34</v>
      </c>
      <c r="C11" s="245" t="s">
        <v>404</v>
      </c>
      <c r="D11" s="238">
        <v>2.022795523E7</v>
      </c>
      <c r="E11" s="238">
        <v>2.13386591E7</v>
      </c>
      <c r="F11" s="238">
        <v>2.27027911E7</v>
      </c>
      <c r="G11" s="494">
        <f>+(F11-E11)/E11</f>
        <v>0.06392772824</v>
      </c>
      <c r="H11" s="494">
        <f>+(F11-D11)/D11</f>
        <v>0.1223473081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68"/>
      <c r="B12" s="150"/>
      <c r="C12" s="245" t="s">
        <v>405</v>
      </c>
      <c r="D12" s="238">
        <v>0.0</v>
      </c>
      <c r="E12" s="238">
        <v>0.0</v>
      </c>
      <c r="F12" s="238">
        <v>5.3295951918E8</v>
      </c>
      <c r="G12" s="494"/>
      <c r="H12" s="494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0" customHeight="1">
      <c r="A13" s="68"/>
      <c r="B13" s="150"/>
      <c r="C13" s="245" t="s">
        <v>406</v>
      </c>
      <c r="D13" s="238">
        <v>1.5921091241E8</v>
      </c>
      <c r="E13" s="238">
        <v>1.445625927E8</v>
      </c>
      <c r="F13" s="238">
        <v>1.3290085419000006E8</v>
      </c>
      <c r="G13" s="494">
        <f>+(F13-E13)/E13</f>
        <v>-0.08066912949</v>
      </c>
      <c r="H13" s="494">
        <f>+(F13-D13)/D13</f>
        <v>-0.1652528575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0" customHeight="1">
      <c r="A14" s="68"/>
      <c r="B14" s="495"/>
      <c r="C14" s="496" t="s">
        <v>407</v>
      </c>
      <c r="D14" s="497">
        <f t="shared" ref="D14:H14" si="4">SUM(D11:D13)</f>
        <v>179438867.6</v>
      </c>
      <c r="E14" s="498">
        <f t="shared" si="4"/>
        <v>165901251.8</v>
      </c>
      <c r="F14" s="499">
        <f t="shared" si="4"/>
        <v>688563164.5</v>
      </c>
      <c r="G14" s="500">
        <f t="shared" si="4"/>
        <v>-0.01674140125</v>
      </c>
      <c r="H14" s="500">
        <f t="shared" si="4"/>
        <v>-0.04290554943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5.5" customHeight="1">
      <c r="A15" s="91"/>
      <c r="B15" s="278" t="s">
        <v>408</v>
      </c>
      <c r="C15" s="227"/>
      <c r="D15" s="94">
        <f t="shared" ref="D15:H15" si="5">+D10+D14</f>
        <v>9938480312</v>
      </c>
      <c r="E15" s="94">
        <f t="shared" si="5"/>
        <v>9940055984</v>
      </c>
      <c r="F15" s="94">
        <f t="shared" si="5"/>
        <v>8620127784</v>
      </c>
      <c r="G15" s="88">
        <f t="shared" si="5"/>
        <v>-0.4415028052</v>
      </c>
      <c r="H15" s="501">
        <f t="shared" si="5"/>
        <v>5.104979056</v>
      </c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ht="12.0" customHeight="1">
      <c r="A16" s="68"/>
      <c r="B16" s="68"/>
      <c r="C16" s="68"/>
      <c r="D16" s="66"/>
      <c r="E16" s="66"/>
      <c r="F16" s="66"/>
      <c r="G16" s="502"/>
      <c r="H16" s="6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0" customHeight="1">
      <c r="A17" s="68"/>
      <c r="B17" s="224" t="s">
        <v>223</v>
      </c>
      <c r="C17" s="283"/>
      <c r="D17" s="66"/>
      <c r="E17" s="66"/>
      <c r="F17" s="66"/>
      <c r="G17" s="502"/>
      <c r="H17" s="6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0" customHeight="1">
      <c r="A18" s="68"/>
      <c r="B18" s="493" t="s">
        <v>224</v>
      </c>
      <c r="C18" s="286" t="s">
        <v>225</v>
      </c>
      <c r="D18" s="486" t="s">
        <v>12</v>
      </c>
      <c r="E18" s="486" t="s">
        <v>15</v>
      </c>
      <c r="F18" s="487" t="s">
        <v>18</v>
      </c>
      <c r="G18" s="164" t="s">
        <v>20</v>
      </c>
      <c r="H18" s="15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68"/>
      <c r="B19" s="150"/>
      <c r="C19" s="150"/>
      <c r="D19" s="488">
        <v>1.0</v>
      </c>
      <c r="E19" s="489">
        <v>2.0</v>
      </c>
      <c r="F19" s="489">
        <v>3.0</v>
      </c>
      <c r="G19" s="490" t="s">
        <v>398</v>
      </c>
      <c r="H19" s="490" t="s">
        <v>399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68"/>
      <c r="B20" s="150"/>
      <c r="C20" s="293" t="s">
        <v>409</v>
      </c>
      <c r="D20" s="66">
        <v>5.6287298165E8</v>
      </c>
      <c r="E20" s="66">
        <v>1.3971151065E8</v>
      </c>
      <c r="F20" s="66">
        <v>8.971151065E7</v>
      </c>
      <c r="G20" s="84">
        <f t="shared" ref="G20:G23" si="6">(F20-E20)/E20</f>
        <v>-0.357880319</v>
      </c>
      <c r="H20" s="84">
        <f t="shared" ref="H20:H23" si="7">+(F20-D20)/D20</f>
        <v>-0.8406185524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68"/>
      <c r="B21" s="150"/>
      <c r="C21" s="293" t="s">
        <v>410</v>
      </c>
      <c r="D21" s="66">
        <v>8.9573758E7</v>
      </c>
      <c r="E21" s="66">
        <v>5.2494442E7</v>
      </c>
      <c r="F21" s="66">
        <v>6.1960776258E7</v>
      </c>
      <c r="G21" s="84">
        <f t="shared" si="6"/>
        <v>0.1803302197</v>
      </c>
      <c r="H21" s="84">
        <f t="shared" si="7"/>
        <v>-0.308270886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68"/>
      <c r="B22" s="150"/>
      <c r="C22" s="293" t="s">
        <v>238</v>
      </c>
      <c r="D22" s="66">
        <v>7.090177369E7</v>
      </c>
      <c r="E22" s="66">
        <v>3.0874248736E8</v>
      </c>
      <c r="F22" s="66">
        <v>1.7955388047000003E8</v>
      </c>
      <c r="G22" s="84">
        <f t="shared" si="6"/>
        <v>-0.4184348192</v>
      </c>
      <c r="H22" s="84">
        <f t="shared" si="7"/>
        <v>1.532431435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68"/>
      <c r="B23" s="150"/>
      <c r="C23" s="293" t="s">
        <v>411</v>
      </c>
      <c r="D23" s="66">
        <v>2.920669635E7</v>
      </c>
      <c r="E23" s="66">
        <v>2.989098082E7</v>
      </c>
      <c r="F23" s="66">
        <v>4.331027878E7</v>
      </c>
      <c r="G23" s="84">
        <f t="shared" si="6"/>
        <v>0.4489413727</v>
      </c>
      <c r="H23" s="84">
        <f t="shared" si="7"/>
        <v>0.4828886589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68"/>
      <c r="B24" s="247"/>
      <c r="C24" s="296" t="s">
        <v>412</v>
      </c>
      <c r="D24" s="279">
        <f t="shared" ref="D24:G24" si="8">SUM(D20:D23)</f>
        <v>752555209.7</v>
      </c>
      <c r="E24" s="279">
        <f t="shared" si="8"/>
        <v>530839420.8</v>
      </c>
      <c r="F24" s="279">
        <f t="shared" si="8"/>
        <v>374536446.2</v>
      </c>
      <c r="G24" s="503">
        <f t="shared" si="8"/>
        <v>-0.1470435459</v>
      </c>
      <c r="H24" s="492">
        <f>SUM(G20:G23)</f>
        <v>-0.1470435459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0" customHeight="1">
      <c r="A25" s="68"/>
      <c r="B25" s="493" t="s">
        <v>413</v>
      </c>
      <c r="C25" s="293" t="s">
        <v>247</v>
      </c>
      <c r="D25" s="66"/>
      <c r="E25" s="66">
        <v>2.141999999E9</v>
      </c>
      <c r="F25" s="66">
        <v>1.977999999E9</v>
      </c>
      <c r="G25" s="84">
        <f>+(F25-E25)/E25</f>
        <v>-0.07656395895</v>
      </c>
      <c r="H25" s="7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68"/>
      <c r="B26" s="150"/>
      <c r="C26" s="293" t="s">
        <v>248</v>
      </c>
      <c r="D26" s="66">
        <v>7.1233470233E8</v>
      </c>
      <c r="E26" s="66">
        <v>0.0</v>
      </c>
      <c r="F26" s="66">
        <v>0.0</v>
      </c>
      <c r="G26" s="84"/>
      <c r="H26" s="84">
        <f t="shared" ref="H26:H27" si="9">(+F26-D26)/D26</f>
        <v>-1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68"/>
      <c r="B27" s="150"/>
      <c r="C27" s="293" t="s">
        <v>41</v>
      </c>
      <c r="D27" s="66">
        <v>1.29E8</v>
      </c>
      <c r="E27" s="66">
        <v>1.20918105E8</v>
      </c>
      <c r="F27" s="66">
        <v>4.5452235E7</v>
      </c>
      <c r="G27" s="84">
        <f>+(F27-E27)/E27</f>
        <v>-0.6241072832</v>
      </c>
      <c r="H27" s="84">
        <f t="shared" si="9"/>
        <v>-0.647657093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68"/>
      <c r="B28" s="247"/>
      <c r="C28" s="491" t="s">
        <v>249</v>
      </c>
      <c r="D28" s="159">
        <f t="shared" ref="D28:H28" si="10">SUM(D25:D27)</f>
        <v>841334702.3</v>
      </c>
      <c r="E28" s="486">
        <f t="shared" si="10"/>
        <v>2262918104</v>
      </c>
      <c r="F28" s="486">
        <f t="shared" si="10"/>
        <v>2023452234</v>
      </c>
      <c r="G28" s="504">
        <f t="shared" si="10"/>
        <v>-0.7006712421</v>
      </c>
      <c r="H28" s="492">
        <f t="shared" si="10"/>
        <v>-1.647657093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3.5" customHeight="1">
      <c r="A29" s="68"/>
      <c r="B29" s="157" t="s">
        <v>414</v>
      </c>
      <c r="C29" s="158"/>
      <c r="D29" s="279">
        <f t="shared" ref="D29:H29" si="11">+D28+D24</f>
        <v>1593889912</v>
      </c>
      <c r="E29" s="279">
        <f t="shared" si="11"/>
        <v>2793757525</v>
      </c>
      <c r="F29" s="279">
        <f t="shared" si="11"/>
        <v>2397988680</v>
      </c>
      <c r="G29" s="504">
        <f t="shared" si="11"/>
        <v>-0.847714788</v>
      </c>
      <c r="H29" s="492">
        <f t="shared" si="11"/>
        <v>-1.794700639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2.0" customHeight="1">
      <c r="A30" s="68"/>
      <c r="B30" s="68"/>
      <c r="C30" s="68"/>
      <c r="D30" s="66"/>
      <c r="E30" s="66"/>
      <c r="F30" s="66"/>
      <c r="G30" s="50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0" customHeight="1">
      <c r="A31" s="68"/>
      <c r="B31" s="68"/>
      <c r="C31" s="68"/>
      <c r="D31" s="66"/>
      <c r="E31" s="66"/>
      <c r="F31" s="66"/>
      <c r="G31" s="50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0" customHeight="1">
      <c r="A32" s="68"/>
      <c r="B32" s="68"/>
      <c r="C32" s="68"/>
      <c r="D32" s="66"/>
      <c r="E32" s="66"/>
      <c r="F32" s="66"/>
      <c r="G32" s="502"/>
      <c r="H32" s="6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0" customHeight="1">
      <c r="A33" s="68"/>
      <c r="B33" s="68"/>
      <c r="C33" s="68"/>
      <c r="D33" s="66"/>
      <c r="E33" s="66"/>
      <c r="F33" s="66"/>
      <c r="G33" s="502"/>
      <c r="H33" s="6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0" customHeight="1">
      <c r="A34" s="68"/>
      <c r="B34" s="2"/>
      <c r="C34" s="2"/>
      <c r="D34" s="2"/>
      <c r="E34" s="2"/>
      <c r="F34" s="2"/>
      <c r="G34" s="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0" customHeight="1">
      <c r="A35" s="68"/>
      <c r="B35" s="2"/>
      <c r="C35" s="2"/>
      <c r="D35" s="2"/>
      <c r="E35" s="2"/>
      <c r="F35" s="2"/>
      <c r="G35" s="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0" customHeight="1">
      <c r="A36" s="68"/>
      <c r="B36" s="2"/>
      <c r="C36" s="2"/>
      <c r="D36" s="2"/>
      <c r="E36" s="2"/>
      <c r="F36" s="2"/>
      <c r="G36" s="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0" customHeight="1">
      <c r="A37" s="68"/>
      <c r="B37" s="2"/>
      <c r="C37" s="2"/>
      <c r="D37" s="2"/>
      <c r="E37" s="2"/>
      <c r="F37" s="2"/>
      <c r="G37" s="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0" customHeight="1">
      <c r="A38" s="68"/>
      <c r="B38" s="2"/>
      <c r="C38" s="2"/>
      <c r="D38" s="2"/>
      <c r="E38" s="2"/>
      <c r="F38" s="2"/>
      <c r="G38" s="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0" customHeight="1">
      <c r="A39" s="68"/>
      <c r="B39" s="2"/>
      <c r="C39" s="2"/>
      <c r="D39" s="2"/>
      <c r="E39" s="2"/>
      <c r="F39" s="2"/>
      <c r="G39" s="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0" customHeight="1">
      <c r="A40" s="68"/>
      <c r="B40" s="2"/>
      <c r="C40" s="2"/>
      <c r="D40" s="2"/>
      <c r="E40" s="2"/>
      <c r="F40" s="2"/>
      <c r="G40" s="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0" customHeight="1">
      <c r="A41" s="68"/>
      <c r="B41" s="2"/>
      <c r="C41" s="2"/>
      <c r="D41" s="2"/>
      <c r="E41" s="2"/>
      <c r="F41" s="2"/>
      <c r="G41" s="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0" customHeight="1">
      <c r="A42" s="68"/>
      <c r="B42" s="2"/>
      <c r="C42" s="2"/>
      <c r="D42" s="2"/>
      <c r="E42" s="2"/>
      <c r="F42" s="2"/>
      <c r="G42" s="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0" customHeight="1">
      <c r="A43" s="68"/>
      <c r="B43" s="2"/>
      <c r="C43" s="2"/>
      <c r="D43" s="2"/>
      <c r="E43" s="2"/>
      <c r="F43" s="2"/>
      <c r="G43" s="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0" customHeight="1">
      <c r="A44" s="68"/>
      <c r="B44" s="2"/>
      <c r="C44" s="2"/>
      <c r="D44" s="2"/>
      <c r="E44" s="2"/>
      <c r="F44" s="2"/>
      <c r="G44" s="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0" customHeight="1">
      <c r="A45" s="68"/>
      <c r="B45" s="2"/>
      <c r="C45" s="2"/>
      <c r="D45" s="2"/>
      <c r="E45" s="2"/>
      <c r="F45" s="2"/>
      <c r="G45" s="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0" customHeight="1">
      <c r="A46" s="68"/>
      <c r="B46" s="2"/>
      <c r="C46" s="2"/>
      <c r="D46" s="2"/>
      <c r="E46" s="2"/>
      <c r="F46" s="2"/>
      <c r="G46" s="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0" customHeight="1">
      <c r="A47" s="68"/>
      <c r="B47" s="2"/>
      <c r="C47" s="2"/>
      <c r="D47" s="2"/>
      <c r="E47" s="2"/>
      <c r="F47" s="2"/>
      <c r="G47" s="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0" customHeight="1">
      <c r="A48" s="68"/>
      <c r="B48" s="2"/>
      <c r="C48" s="2"/>
      <c r="D48" s="2"/>
      <c r="E48" s="2"/>
      <c r="F48" s="2"/>
      <c r="G48" s="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0" customHeight="1">
      <c r="A49" s="68"/>
      <c r="B49" s="2"/>
      <c r="C49" s="2"/>
      <c r="D49" s="2"/>
      <c r="E49" s="2"/>
      <c r="F49" s="2"/>
      <c r="G49" s="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0" customHeight="1">
      <c r="A50" s="68"/>
      <c r="B50" s="2"/>
      <c r="C50" s="2"/>
      <c r="D50" s="2"/>
      <c r="E50" s="2"/>
      <c r="F50" s="2"/>
      <c r="G50" s="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0" customHeight="1">
      <c r="A51" s="68"/>
      <c r="B51" s="2"/>
      <c r="C51" s="2"/>
      <c r="D51" s="2"/>
      <c r="E51" s="2"/>
      <c r="F51" s="2"/>
      <c r="G51" s="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0" customHeight="1">
      <c r="A52" s="68"/>
      <c r="B52" s="2"/>
      <c r="C52" s="2"/>
      <c r="D52" s="2"/>
      <c r="E52" s="2"/>
      <c r="F52" s="2"/>
      <c r="G52" s="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0" customHeight="1">
      <c r="A53" s="68"/>
      <c r="B53" s="2"/>
      <c r="C53" s="2"/>
      <c r="D53" s="2"/>
      <c r="E53" s="2"/>
      <c r="F53" s="2"/>
      <c r="G53" s="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0" customHeight="1">
      <c r="A54" s="68"/>
      <c r="B54" s="2"/>
      <c r="C54" s="2"/>
      <c r="D54" s="2"/>
      <c r="E54" s="2"/>
      <c r="F54" s="2"/>
      <c r="G54" s="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0" customHeight="1">
      <c r="A55" s="68"/>
      <c r="B55" s="2"/>
      <c r="C55" s="2"/>
      <c r="D55" s="2"/>
      <c r="E55" s="2"/>
      <c r="F55" s="2"/>
      <c r="G55" s="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0" customHeight="1">
      <c r="A56" s="68"/>
      <c r="B56" s="2"/>
      <c r="C56" s="2"/>
      <c r="D56" s="2"/>
      <c r="E56" s="2"/>
      <c r="F56" s="2"/>
      <c r="G56" s="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0" customHeight="1">
      <c r="A57" s="68"/>
      <c r="B57" s="2"/>
      <c r="C57" s="2"/>
      <c r="D57" s="2"/>
      <c r="E57" s="2"/>
      <c r="F57" s="2"/>
      <c r="G57" s="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0" customHeight="1">
      <c r="A58" s="68"/>
      <c r="B58" s="2"/>
      <c r="C58" s="2"/>
      <c r="D58" s="2"/>
      <c r="E58" s="2"/>
      <c r="F58" s="2"/>
      <c r="G58" s="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0" customHeight="1">
      <c r="A59" s="68"/>
      <c r="B59" s="2"/>
      <c r="C59" s="2"/>
      <c r="D59" s="2"/>
      <c r="E59" s="2"/>
      <c r="F59" s="2"/>
      <c r="G59" s="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0" customHeight="1">
      <c r="A60" s="68"/>
      <c r="B60" s="2"/>
      <c r="C60" s="2"/>
      <c r="D60" s="2"/>
      <c r="E60" s="2"/>
      <c r="F60" s="2"/>
      <c r="G60" s="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0" customHeight="1">
      <c r="A61" s="68"/>
      <c r="B61" s="2"/>
      <c r="C61" s="2"/>
      <c r="D61" s="2"/>
      <c r="E61" s="2"/>
      <c r="F61" s="2"/>
      <c r="G61" s="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0" customHeight="1">
      <c r="A62" s="68"/>
      <c r="B62" s="2"/>
      <c r="C62" s="2"/>
      <c r="D62" s="2"/>
      <c r="E62" s="2"/>
      <c r="F62" s="2"/>
      <c r="G62" s="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0" customHeight="1">
      <c r="A63" s="68"/>
      <c r="B63" s="2"/>
      <c r="C63" s="2"/>
      <c r="D63" s="2"/>
      <c r="E63" s="2"/>
      <c r="F63" s="2"/>
      <c r="G63" s="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0" customHeight="1">
      <c r="A64" s="68"/>
      <c r="B64" s="2"/>
      <c r="C64" s="2"/>
      <c r="D64" s="2"/>
      <c r="E64" s="2"/>
      <c r="F64" s="2"/>
      <c r="G64" s="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0" customHeight="1">
      <c r="A65" s="68"/>
      <c r="B65" s="2"/>
      <c r="C65" s="2"/>
      <c r="D65" s="2"/>
      <c r="E65" s="2"/>
      <c r="F65" s="2"/>
      <c r="G65" s="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0" customHeight="1">
      <c r="A66" s="68"/>
      <c r="B66" s="2"/>
      <c r="C66" s="2"/>
      <c r="D66" s="2"/>
      <c r="E66" s="2"/>
      <c r="F66" s="2"/>
      <c r="G66" s="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0" customHeight="1">
      <c r="A67" s="68"/>
      <c r="B67" s="2"/>
      <c r="C67" s="2"/>
      <c r="D67" s="2"/>
      <c r="E67" s="2"/>
      <c r="F67" s="2"/>
      <c r="G67" s="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0" customHeight="1">
      <c r="A68" s="68"/>
      <c r="B68" s="2"/>
      <c r="C68" s="2"/>
      <c r="D68" s="2"/>
      <c r="E68" s="2"/>
      <c r="F68" s="2"/>
      <c r="G68" s="1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0" customHeight="1">
      <c r="A69" s="68"/>
      <c r="B69" s="2"/>
      <c r="C69" s="2"/>
      <c r="D69" s="2"/>
      <c r="E69" s="2"/>
      <c r="F69" s="2"/>
      <c r="G69" s="1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0" customHeight="1">
      <c r="A70" s="68"/>
      <c r="B70" s="2"/>
      <c r="C70" s="2"/>
      <c r="D70" s="2"/>
      <c r="E70" s="2"/>
      <c r="F70" s="2"/>
      <c r="G70" s="1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0" customHeight="1">
      <c r="A71" s="68"/>
      <c r="B71" s="2"/>
      <c r="C71" s="2"/>
      <c r="D71" s="2"/>
      <c r="E71" s="2"/>
      <c r="F71" s="2"/>
      <c r="G71" s="1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0" customHeight="1">
      <c r="A72" s="68"/>
      <c r="B72" s="2"/>
      <c r="C72" s="2"/>
      <c r="D72" s="2"/>
      <c r="E72" s="2"/>
      <c r="F72" s="2"/>
      <c r="G72" s="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0" customHeight="1">
      <c r="A73" s="68"/>
      <c r="B73" s="2"/>
      <c r="C73" s="2"/>
      <c r="D73" s="2"/>
      <c r="E73" s="2"/>
      <c r="F73" s="2"/>
      <c r="G73" s="1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0" customHeight="1">
      <c r="A74" s="68"/>
      <c r="B74" s="2"/>
      <c r="C74" s="2"/>
      <c r="D74" s="2"/>
      <c r="E74" s="2"/>
      <c r="F74" s="2"/>
      <c r="G74" s="1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0" customHeight="1">
      <c r="A75" s="68"/>
      <c r="B75" s="2"/>
      <c r="C75" s="2"/>
      <c r="D75" s="2"/>
      <c r="E75" s="2"/>
      <c r="F75" s="2"/>
      <c r="G75" s="1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0" customHeight="1">
      <c r="A76" s="68"/>
      <c r="B76" s="2"/>
      <c r="C76" s="2"/>
      <c r="D76" s="2"/>
      <c r="E76" s="2"/>
      <c r="F76" s="2"/>
      <c r="G76" s="1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0" customHeight="1">
      <c r="A77" s="68"/>
      <c r="B77" s="2"/>
      <c r="C77" s="2"/>
      <c r="D77" s="2"/>
      <c r="E77" s="2"/>
      <c r="F77" s="2"/>
      <c r="G77" s="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0" customHeight="1">
      <c r="A78" s="68"/>
      <c r="B78" s="2"/>
      <c r="C78" s="2"/>
      <c r="D78" s="2"/>
      <c r="E78" s="2"/>
      <c r="F78" s="2"/>
      <c r="G78" s="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0" customHeight="1">
      <c r="A79" s="68"/>
      <c r="B79" s="2"/>
      <c r="C79" s="2"/>
      <c r="D79" s="2"/>
      <c r="E79" s="2"/>
      <c r="F79" s="2"/>
      <c r="G79" s="1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0" customHeight="1">
      <c r="A80" s="68"/>
      <c r="B80" s="2"/>
      <c r="C80" s="2"/>
      <c r="D80" s="2"/>
      <c r="E80" s="2"/>
      <c r="F80" s="2"/>
      <c r="G80" s="1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0" customHeight="1">
      <c r="A81" s="68"/>
      <c r="B81" s="2"/>
      <c r="C81" s="2"/>
      <c r="D81" s="2"/>
      <c r="E81" s="2"/>
      <c r="F81" s="2"/>
      <c r="G81" s="1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0" customHeight="1">
      <c r="A82" s="68"/>
      <c r="B82" s="2"/>
      <c r="C82" s="2"/>
      <c r="D82" s="2"/>
      <c r="E82" s="2"/>
      <c r="F82" s="2"/>
      <c r="G82" s="1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0" customHeight="1">
      <c r="A83" s="68"/>
      <c r="B83" s="2"/>
      <c r="C83" s="2"/>
      <c r="D83" s="2"/>
      <c r="E83" s="2"/>
      <c r="F83" s="2"/>
      <c r="G83" s="1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0" customHeight="1">
      <c r="A84" s="68"/>
      <c r="B84" s="2"/>
      <c r="C84" s="2"/>
      <c r="D84" s="2"/>
      <c r="E84" s="2"/>
      <c r="F84" s="2"/>
      <c r="G84" s="1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0" customHeight="1">
      <c r="A85" s="68"/>
      <c r="B85" s="2"/>
      <c r="C85" s="2"/>
      <c r="D85" s="2"/>
      <c r="E85" s="2"/>
      <c r="F85" s="2"/>
      <c r="G85" s="1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0" customHeight="1">
      <c r="A86" s="68"/>
      <c r="B86" s="2"/>
      <c r="C86" s="2"/>
      <c r="D86" s="2"/>
      <c r="E86" s="2"/>
      <c r="F86" s="2"/>
      <c r="G86" s="1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0" customHeight="1">
      <c r="A87" s="68"/>
      <c r="B87" s="2"/>
      <c r="C87" s="2"/>
      <c r="D87" s="2"/>
      <c r="E87" s="2"/>
      <c r="F87" s="2"/>
      <c r="G87" s="1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0" customHeight="1">
      <c r="A88" s="68"/>
      <c r="B88" s="2"/>
      <c r="C88" s="2"/>
      <c r="D88" s="2"/>
      <c r="E88" s="2"/>
      <c r="F88" s="2"/>
      <c r="G88" s="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0" customHeight="1">
      <c r="A89" s="68"/>
      <c r="B89" s="2"/>
      <c r="C89" s="2"/>
      <c r="D89" s="2"/>
      <c r="E89" s="2"/>
      <c r="F89" s="2"/>
      <c r="G89" s="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0" customHeight="1">
      <c r="A90" s="68"/>
      <c r="B90" s="2"/>
      <c r="C90" s="2"/>
      <c r="D90" s="2"/>
      <c r="E90" s="2"/>
      <c r="F90" s="2"/>
      <c r="G90" s="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0" customHeight="1">
      <c r="A91" s="68"/>
      <c r="B91" s="2"/>
      <c r="C91" s="2"/>
      <c r="D91" s="2"/>
      <c r="E91" s="2"/>
      <c r="F91" s="2"/>
      <c r="G91" s="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0" customHeight="1">
      <c r="A92" s="68"/>
      <c r="B92" s="2"/>
      <c r="C92" s="2"/>
      <c r="D92" s="2"/>
      <c r="E92" s="2"/>
      <c r="F92" s="2"/>
      <c r="G92" s="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0" customHeight="1">
      <c r="A93" s="68"/>
      <c r="B93" s="2"/>
      <c r="C93" s="2"/>
      <c r="D93" s="2"/>
      <c r="E93" s="2"/>
      <c r="F93" s="2"/>
      <c r="G93" s="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0" customHeight="1">
      <c r="A94" s="68"/>
      <c r="B94" s="2"/>
      <c r="C94" s="2"/>
      <c r="D94" s="2"/>
      <c r="E94" s="2"/>
      <c r="F94" s="2"/>
      <c r="G94" s="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0" customHeight="1">
      <c r="A95" s="68"/>
      <c r="B95" s="2"/>
      <c r="C95" s="2"/>
      <c r="D95" s="2"/>
      <c r="E95" s="2"/>
      <c r="F95" s="2"/>
      <c r="G95" s="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0" customHeight="1">
      <c r="A96" s="68"/>
      <c r="B96" s="2"/>
      <c r="C96" s="2"/>
      <c r="D96" s="2"/>
      <c r="E96" s="2"/>
      <c r="F96" s="2"/>
      <c r="G96" s="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0" customHeight="1">
      <c r="A97" s="68"/>
      <c r="B97" s="2"/>
      <c r="C97" s="2"/>
      <c r="D97" s="2"/>
      <c r="E97" s="2"/>
      <c r="F97" s="2"/>
      <c r="G97" s="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0" customHeight="1">
      <c r="A98" s="68"/>
      <c r="B98" s="2"/>
      <c r="C98" s="2"/>
      <c r="D98" s="2"/>
      <c r="E98" s="2"/>
      <c r="F98" s="2"/>
      <c r="G98" s="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0" customHeight="1">
      <c r="A99" s="68"/>
      <c r="B99" s="2"/>
      <c r="C99" s="2"/>
      <c r="D99" s="2"/>
      <c r="E99" s="2"/>
      <c r="F99" s="2"/>
      <c r="G99" s="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0" customHeight="1">
      <c r="A100" s="68"/>
      <c r="B100" s="2"/>
      <c r="C100" s="2"/>
      <c r="D100" s="2"/>
      <c r="E100" s="2"/>
      <c r="F100" s="2"/>
      <c r="G100" s="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0" customHeight="1">
      <c r="A101" s="68"/>
      <c r="B101" s="2"/>
      <c r="C101" s="2"/>
      <c r="D101" s="2"/>
      <c r="E101" s="2"/>
      <c r="F101" s="2"/>
      <c r="G101" s="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0" customHeight="1">
      <c r="A102" s="68"/>
      <c r="B102" s="2"/>
      <c r="C102" s="2"/>
      <c r="D102" s="2"/>
      <c r="E102" s="2"/>
      <c r="F102" s="2"/>
      <c r="G102" s="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0" customHeight="1">
      <c r="A103" s="68"/>
      <c r="B103" s="2"/>
      <c r="C103" s="2"/>
      <c r="D103" s="2"/>
      <c r="E103" s="2"/>
      <c r="F103" s="2"/>
      <c r="G103" s="1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0" customHeight="1">
      <c r="A104" s="68"/>
      <c r="B104" s="2"/>
      <c r="C104" s="2"/>
      <c r="D104" s="2"/>
      <c r="E104" s="2"/>
      <c r="F104" s="2"/>
      <c r="G104" s="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0" customHeight="1">
      <c r="A105" s="68"/>
      <c r="B105" s="2"/>
      <c r="C105" s="2"/>
      <c r="D105" s="2"/>
      <c r="E105" s="2"/>
      <c r="F105" s="2"/>
      <c r="G105" s="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0" customHeight="1">
      <c r="A106" s="68"/>
      <c r="B106" s="2"/>
      <c r="C106" s="2"/>
      <c r="D106" s="2"/>
      <c r="E106" s="2"/>
      <c r="F106" s="2"/>
      <c r="G106" s="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0" customHeight="1">
      <c r="A107" s="68"/>
      <c r="B107" s="2"/>
      <c r="C107" s="2"/>
      <c r="D107" s="2"/>
      <c r="E107" s="2"/>
      <c r="F107" s="2"/>
      <c r="G107" s="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0" customHeight="1">
      <c r="A108" s="68"/>
      <c r="B108" s="2"/>
      <c r="C108" s="2"/>
      <c r="D108" s="2"/>
      <c r="E108" s="2"/>
      <c r="F108" s="2"/>
      <c r="G108" s="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0" customHeight="1">
      <c r="A109" s="68"/>
      <c r="B109" s="2"/>
      <c r="C109" s="2"/>
      <c r="D109" s="2"/>
      <c r="E109" s="2"/>
      <c r="F109" s="2"/>
      <c r="G109" s="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0" customHeight="1">
      <c r="A110" s="68"/>
      <c r="B110" s="2"/>
      <c r="C110" s="2"/>
      <c r="D110" s="2"/>
      <c r="E110" s="2"/>
      <c r="F110" s="2"/>
      <c r="G110" s="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0" customHeight="1">
      <c r="A111" s="68"/>
      <c r="B111" s="2"/>
      <c r="C111" s="2"/>
      <c r="D111" s="2"/>
      <c r="E111" s="2"/>
      <c r="F111" s="2"/>
      <c r="G111" s="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0" customHeight="1">
      <c r="A112" s="68"/>
      <c r="B112" s="2"/>
      <c r="C112" s="2"/>
      <c r="D112" s="2"/>
      <c r="E112" s="2"/>
      <c r="F112" s="2"/>
      <c r="G112" s="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0" customHeight="1">
      <c r="A113" s="68"/>
      <c r="B113" s="2"/>
      <c r="C113" s="2"/>
      <c r="D113" s="2"/>
      <c r="E113" s="2"/>
      <c r="F113" s="2"/>
      <c r="G113" s="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0" customHeight="1">
      <c r="A114" s="68"/>
      <c r="B114" s="2"/>
      <c r="C114" s="2"/>
      <c r="D114" s="2"/>
      <c r="E114" s="2"/>
      <c r="F114" s="2"/>
      <c r="G114" s="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0" customHeight="1">
      <c r="A115" s="68"/>
      <c r="B115" s="2"/>
      <c r="C115" s="2"/>
      <c r="D115" s="2"/>
      <c r="E115" s="2"/>
      <c r="F115" s="2"/>
      <c r="G115" s="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0" customHeight="1">
      <c r="A116" s="68"/>
      <c r="B116" s="2"/>
      <c r="C116" s="2"/>
      <c r="D116" s="2"/>
      <c r="E116" s="2"/>
      <c r="F116" s="2"/>
      <c r="G116" s="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0" customHeight="1">
      <c r="A117" s="68"/>
      <c r="B117" s="2"/>
      <c r="C117" s="2"/>
      <c r="D117" s="2"/>
      <c r="E117" s="2"/>
      <c r="F117" s="2"/>
      <c r="G117" s="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0" customHeight="1">
      <c r="A118" s="68"/>
      <c r="B118" s="2"/>
      <c r="C118" s="2"/>
      <c r="D118" s="2"/>
      <c r="E118" s="2"/>
      <c r="F118" s="2"/>
      <c r="G118" s="1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0" customHeight="1">
      <c r="A119" s="68"/>
      <c r="B119" s="2"/>
      <c r="C119" s="2"/>
      <c r="D119" s="2"/>
      <c r="E119" s="2"/>
      <c r="F119" s="2"/>
      <c r="G119" s="1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0" customHeight="1">
      <c r="A120" s="68"/>
      <c r="B120" s="2"/>
      <c r="C120" s="2"/>
      <c r="D120" s="2"/>
      <c r="E120" s="2"/>
      <c r="F120" s="2"/>
      <c r="G120" s="1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0" customHeight="1">
      <c r="A121" s="68"/>
      <c r="B121" s="2"/>
      <c r="C121" s="2"/>
      <c r="D121" s="2"/>
      <c r="E121" s="2"/>
      <c r="F121" s="2"/>
      <c r="G121" s="1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0" customHeight="1">
      <c r="A122" s="68"/>
      <c r="B122" s="2"/>
      <c r="C122" s="2"/>
      <c r="D122" s="2"/>
      <c r="E122" s="2"/>
      <c r="F122" s="2"/>
      <c r="G122" s="1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0" customHeight="1">
      <c r="A123" s="68"/>
      <c r="B123" s="2"/>
      <c r="C123" s="2"/>
      <c r="D123" s="2"/>
      <c r="E123" s="2"/>
      <c r="F123" s="2"/>
      <c r="G123" s="1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0" customHeight="1">
      <c r="A124" s="68"/>
      <c r="B124" s="2"/>
      <c r="C124" s="2"/>
      <c r="D124" s="2"/>
      <c r="E124" s="2"/>
      <c r="F124" s="2"/>
      <c r="G124" s="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0" customHeight="1">
      <c r="A125" s="68"/>
      <c r="B125" s="2"/>
      <c r="C125" s="2"/>
      <c r="D125" s="2"/>
      <c r="E125" s="2"/>
      <c r="F125" s="2"/>
      <c r="G125" s="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0" customHeight="1">
      <c r="A126" s="68"/>
      <c r="B126" s="2"/>
      <c r="C126" s="2"/>
      <c r="D126" s="2"/>
      <c r="E126" s="2"/>
      <c r="F126" s="2"/>
      <c r="G126" s="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0" customHeight="1">
      <c r="A127" s="68"/>
      <c r="B127" s="2"/>
      <c r="C127" s="2"/>
      <c r="D127" s="2"/>
      <c r="E127" s="2"/>
      <c r="F127" s="2"/>
      <c r="G127" s="1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0" customHeight="1">
      <c r="A128" s="68"/>
      <c r="B128" s="2"/>
      <c r="C128" s="2"/>
      <c r="D128" s="2"/>
      <c r="E128" s="2"/>
      <c r="F128" s="2"/>
      <c r="G128" s="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0" customHeight="1">
      <c r="A129" s="68"/>
      <c r="B129" s="2"/>
      <c r="C129" s="2"/>
      <c r="D129" s="2"/>
      <c r="E129" s="2"/>
      <c r="F129" s="2"/>
      <c r="G129" s="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0" customHeight="1">
      <c r="A130" s="68"/>
      <c r="B130" s="2"/>
      <c r="C130" s="2"/>
      <c r="D130" s="2"/>
      <c r="E130" s="2"/>
      <c r="F130" s="2"/>
      <c r="G130" s="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0" customHeight="1">
      <c r="A131" s="68"/>
      <c r="B131" s="2"/>
      <c r="C131" s="2"/>
      <c r="D131" s="2"/>
      <c r="E131" s="2"/>
      <c r="F131" s="2"/>
      <c r="G131" s="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0" customHeight="1">
      <c r="A132" s="68"/>
      <c r="B132" s="2"/>
      <c r="C132" s="2"/>
      <c r="D132" s="2"/>
      <c r="E132" s="2"/>
      <c r="F132" s="2"/>
      <c r="G132" s="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0" customHeight="1">
      <c r="A133" s="68"/>
      <c r="B133" s="2"/>
      <c r="C133" s="2"/>
      <c r="D133" s="2"/>
      <c r="E133" s="2"/>
      <c r="F133" s="2"/>
      <c r="G133" s="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0" customHeight="1">
      <c r="A134" s="68"/>
      <c r="B134" s="2"/>
      <c r="C134" s="2"/>
      <c r="D134" s="2"/>
      <c r="E134" s="2"/>
      <c r="F134" s="2"/>
      <c r="G134" s="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0" customHeight="1">
      <c r="A135" s="68"/>
      <c r="B135" s="2"/>
      <c r="C135" s="2"/>
      <c r="D135" s="2"/>
      <c r="E135" s="2"/>
      <c r="F135" s="2"/>
      <c r="G135" s="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0" customHeight="1">
      <c r="A136" s="68"/>
      <c r="B136" s="2"/>
      <c r="C136" s="2"/>
      <c r="D136" s="2"/>
      <c r="E136" s="2"/>
      <c r="F136" s="2"/>
      <c r="G136" s="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0" customHeight="1">
      <c r="A137" s="68"/>
      <c r="B137" s="2"/>
      <c r="C137" s="2"/>
      <c r="D137" s="2"/>
      <c r="E137" s="2"/>
      <c r="F137" s="2"/>
      <c r="G137" s="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0" customHeight="1">
      <c r="A138" s="68"/>
      <c r="B138" s="2"/>
      <c r="C138" s="2"/>
      <c r="D138" s="2"/>
      <c r="E138" s="2"/>
      <c r="F138" s="2"/>
      <c r="G138" s="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0" customHeight="1">
      <c r="A139" s="68"/>
      <c r="B139" s="2"/>
      <c r="C139" s="2"/>
      <c r="D139" s="2"/>
      <c r="E139" s="2"/>
      <c r="F139" s="2"/>
      <c r="G139" s="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0" customHeight="1">
      <c r="A140" s="68"/>
      <c r="B140" s="2"/>
      <c r="C140" s="2"/>
      <c r="D140" s="2"/>
      <c r="E140" s="2"/>
      <c r="F140" s="2"/>
      <c r="G140" s="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0" customHeight="1">
      <c r="A141" s="68"/>
      <c r="B141" s="2"/>
      <c r="C141" s="2"/>
      <c r="D141" s="2"/>
      <c r="E141" s="2"/>
      <c r="F141" s="2"/>
      <c r="G141" s="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0" customHeight="1">
      <c r="A142" s="68"/>
      <c r="B142" s="2"/>
      <c r="C142" s="2"/>
      <c r="D142" s="2"/>
      <c r="E142" s="2"/>
      <c r="F142" s="2"/>
      <c r="G142" s="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0" customHeight="1">
      <c r="A143" s="68"/>
      <c r="B143" s="2"/>
      <c r="C143" s="2"/>
      <c r="D143" s="2"/>
      <c r="E143" s="2"/>
      <c r="F143" s="2"/>
      <c r="G143" s="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0" customHeight="1">
      <c r="A144" s="68"/>
      <c r="B144" s="2"/>
      <c r="C144" s="2"/>
      <c r="D144" s="2"/>
      <c r="E144" s="2"/>
      <c r="F144" s="2"/>
      <c r="G144" s="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0" customHeight="1">
      <c r="A145" s="68"/>
      <c r="B145" s="2"/>
      <c r="C145" s="2"/>
      <c r="D145" s="2"/>
      <c r="E145" s="2"/>
      <c r="F145" s="2"/>
      <c r="G145" s="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0" customHeight="1">
      <c r="A146" s="68"/>
      <c r="B146" s="2"/>
      <c r="C146" s="2"/>
      <c r="D146" s="2"/>
      <c r="E146" s="2"/>
      <c r="F146" s="2"/>
      <c r="G146" s="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0" customHeight="1">
      <c r="A147" s="68"/>
      <c r="B147" s="2"/>
      <c r="C147" s="2"/>
      <c r="D147" s="2"/>
      <c r="E147" s="2"/>
      <c r="F147" s="2"/>
      <c r="G147" s="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0" customHeight="1">
      <c r="A148" s="68"/>
      <c r="B148" s="2"/>
      <c r="C148" s="2"/>
      <c r="D148" s="2"/>
      <c r="E148" s="2"/>
      <c r="F148" s="2"/>
      <c r="G148" s="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0" customHeight="1">
      <c r="A149" s="68"/>
      <c r="B149" s="2"/>
      <c r="C149" s="2"/>
      <c r="D149" s="2"/>
      <c r="E149" s="2"/>
      <c r="F149" s="2"/>
      <c r="G149" s="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0" customHeight="1">
      <c r="A150" s="68"/>
      <c r="B150" s="2"/>
      <c r="C150" s="2"/>
      <c r="D150" s="2"/>
      <c r="E150" s="2"/>
      <c r="F150" s="2"/>
      <c r="G150" s="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0" customHeight="1">
      <c r="A151" s="68"/>
      <c r="B151" s="2"/>
      <c r="C151" s="2"/>
      <c r="D151" s="2"/>
      <c r="E151" s="2"/>
      <c r="F151" s="2"/>
      <c r="G151" s="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0" customHeight="1">
      <c r="A152" s="68"/>
      <c r="B152" s="2"/>
      <c r="C152" s="2"/>
      <c r="D152" s="2"/>
      <c r="E152" s="2"/>
      <c r="F152" s="2"/>
      <c r="G152" s="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0" customHeight="1">
      <c r="A153" s="68"/>
      <c r="B153" s="2"/>
      <c r="C153" s="2"/>
      <c r="D153" s="2"/>
      <c r="E153" s="2"/>
      <c r="F153" s="2"/>
      <c r="G153" s="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0" customHeight="1">
      <c r="A154" s="68"/>
      <c r="B154" s="2"/>
      <c r="C154" s="2"/>
      <c r="D154" s="2"/>
      <c r="E154" s="2"/>
      <c r="F154" s="2"/>
      <c r="G154" s="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0" customHeight="1">
      <c r="A155" s="68"/>
      <c r="B155" s="2"/>
      <c r="C155" s="2"/>
      <c r="D155" s="2"/>
      <c r="E155" s="2"/>
      <c r="F155" s="2"/>
      <c r="G155" s="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0" customHeight="1">
      <c r="A156" s="68"/>
      <c r="B156" s="2"/>
      <c r="C156" s="2"/>
      <c r="D156" s="2"/>
      <c r="E156" s="2"/>
      <c r="F156" s="2"/>
      <c r="G156" s="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0" customHeight="1">
      <c r="A157" s="68"/>
      <c r="B157" s="2"/>
      <c r="C157" s="2"/>
      <c r="D157" s="2"/>
      <c r="E157" s="2"/>
      <c r="F157" s="2"/>
      <c r="G157" s="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0" customHeight="1">
      <c r="A158" s="68"/>
      <c r="B158" s="2"/>
      <c r="C158" s="2"/>
      <c r="D158" s="2"/>
      <c r="E158" s="2"/>
      <c r="F158" s="2"/>
      <c r="G158" s="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0" customHeight="1">
      <c r="A159" s="68"/>
      <c r="B159" s="2"/>
      <c r="C159" s="2"/>
      <c r="D159" s="2"/>
      <c r="E159" s="2"/>
      <c r="F159" s="2"/>
      <c r="G159" s="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0" customHeight="1">
      <c r="A160" s="68"/>
      <c r="B160" s="2"/>
      <c r="C160" s="2"/>
      <c r="D160" s="2"/>
      <c r="E160" s="2"/>
      <c r="F160" s="2"/>
      <c r="G160" s="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0" customHeight="1">
      <c r="A161" s="68"/>
      <c r="B161" s="2"/>
      <c r="C161" s="2"/>
      <c r="D161" s="2"/>
      <c r="E161" s="2"/>
      <c r="F161" s="2"/>
      <c r="G161" s="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0" customHeight="1">
      <c r="A162" s="68"/>
      <c r="B162" s="2"/>
      <c r="C162" s="2"/>
      <c r="D162" s="2"/>
      <c r="E162" s="2"/>
      <c r="F162" s="2"/>
      <c r="G162" s="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0" customHeight="1">
      <c r="A163" s="68"/>
      <c r="B163" s="2"/>
      <c r="C163" s="2"/>
      <c r="D163" s="2"/>
      <c r="E163" s="2"/>
      <c r="F163" s="2"/>
      <c r="G163" s="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0" customHeight="1">
      <c r="A164" s="68"/>
      <c r="B164" s="2"/>
      <c r="C164" s="2"/>
      <c r="D164" s="2"/>
      <c r="E164" s="2"/>
      <c r="F164" s="2"/>
      <c r="G164" s="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0" customHeight="1">
      <c r="A165" s="68"/>
      <c r="B165" s="2"/>
      <c r="C165" s="2"/>
      <c r="D165" s="2"/>
      <c r="E165" s="2"/>
      <c r="F165" s="2"/>
      <c r="G165" s="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0" customHeight="1">
      <c r="A166" s="68"/>
      <c r="B166" s="2"/>
      <c r="C166" s="2"/>
      <c r="D166" s="2"/>
      <c r="E166" s="2"/>
      <c r="F166" s="2"/>
      <c r="G166" s="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0" customHeight="1">
      <c r="A167" s="68"/>
      <c r="B167" s="2"/>
      <c r="C167" s="2"/>
      <c r="D167" s="2"/>
      <c r="E167" s="2"/>
      <c r="F167" s="2"/>
      <c r="G167" s="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0" customHeight="1">
      <c r="A168" s="68"/>
      <c r="B168" s="2"/>
      <c r="C168" s="2"/>
      <c r="D168" s="2"/>
      <c r="E168" s="2"/>
      <c r="F168" s="2"/>
      <c r="G168" s="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0" customHeight="1">
      <c r="A169" s="68"/>
      <c r="B169" s="2"/>
      <c r="C169" s="2"/>
      <c r="D169" s="2"/>
      <c r="E169" s="2"/>
      <c r="F169" s="2"/>
      <c r="G169" s="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0" customHeight="1">
      <c r="A170" s="68"/>
      <c r="B170" s="2"/>
      <c r="C170" s="2"/>
      <c r="D170" s="2"/>
      <c r="E170" s="2"/>
      <c r="F170" s="2"/>
      <c r="G170" s="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0" customHeight="1">
      <c r="A171" s="68"/>
      <c r="B171" s="2"/>
      <c r="C171" s="2"/>
      <c r="D171" s="2"/>
      <c r="E171" s="2"/>
      <c r="F171" s="2"/>
      <c r="G171" s="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0" customHeight="1">
      <c r="A172" s="68"/>
      <c r="B172" s="2"/>
      <c r="C172" s="2"/>
      <c r="D172" s="2"/>
      <c r="E172" s="2"/>
      <c r="F172" s="2"/>
      <c r="G172" s="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0" customHeight="1">
      <c r="A173" s="68"/>
      <c r="B173" s="2"/>
      <c r="C173" s="2"/>
      <c r="D173" s="2"/>
      <c r="E173" s="2"/>
      <c r="F173" s="2"/>
      <c r="G173" s="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0" customHeight="1">
      <c r="A174" s="68"/>
      <c r="B174" s="2"/>
      <c r="C174" s="2"/>
      <c r="D174" s="2"/>
      <c r="E174" s="2"/>
      <c r="F174" s="2"/>
      <c r="G174" s="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0" customHeight="1">
      <c r="A175" s="68"/>
      <c r="B175" s="2"/>
      <c r="C175" s="2"/>
      <c r="D175" s="2"/>
      <c r="E175" s="2"/>
      <c r="F175" s="2"/>
      <c r="G175" s="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0" customHeight="1">
      <c r="A176" s="68"/>
      <c r="B176" s="2"/>
      <c r="C176" s="2"/>
      <c r="D176" s="2"/>
      <c r="E176" s="2"/>
      <c r="F176" s="2"/>
      <c r="G176" s="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0" customHeight="1">
      <c r="A177" s="68"/>
      <c r="B177" s="2"/>
      <c r="C177" s="2"/>
      <c r="D177" s="2"/>
      <c r="E177" s="2"/>
      <c r="F177" s="2"/>
      <c r="G177" s="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0" customHeight="1">
      <c r="A178" s="68"/>
      <c r="B178" s="2"/>
      <c r="C178" s="2"/>
      <c r="D178" s="2"/>
      <c r="E178" s="2"/>
      <c r="F178" s="2"/>
      <c r="G178" s="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0" customHeight="1">
      <c r="A179" s="68"/>
      <c r="B179" s="2"/>
      <c r="C179" s="2"/>
      <c r="D179" s="2"/>
      <c r="E179" s="2"/>
      <c r="F179" s="2"/>
      <c r="G179" s="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0" customHeight="1">
      <c r="A180" s="68"/>
      <c r="B180" s="2"/>
      <c r="C180" s="2"/>
      <c r="D180" s="2"/>
      <c r="E180" s="2"/>
      <c r="F180" s="2"/>
      <c r="G180" s="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0" customHeight="1">
      <c r="A181" s="68"/>
      <c r="B181" s="2"/>
      <c r="C181" s="2"/>
      <c r="D181" s="2"/>
      <c r="E181" s="2"/>
      <c r="F181" s="2"/>
      <c r="G181" s="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0" customHeight="1">
      <c r="A182" s="68"/>
      <c r="B182" s="2"/>
      <c r="C182" s="2"/>
      <c r="D182" s="2"/>
      <c r="E182" s="2"/>
      <c r="F182" s="2"/>
      <c r="G182" s="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0" customHeight="1">
      <c r="A183" s="68"/>
      <c r="B183" s="2"/>
      <c r="C183" s="2"/>
      <c r="D183" s="2"/>
      <c r="E183" s="2"/>
      <c r="F183" s="2"/>
      <c r="G183" s="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0" customHeight="1">
      <c r="A184" s="68"/>
      <c r="B184" s="2"/>
      <c r="C184" s="2"/>
      <c r="D184" s="2"/>
      <c r="E184" s="2"/>
      <c r="F184" s="2"/>
      <c r="G184" s="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0" customHeight="1">
      <c r="A185" s="68"/>
      <c r="B185" s="2"/>
      <c r="C185" s="2"/>
      <c r="D185" s="2"/>
      <c r="E185" s="2"/>
      <c r="F185" s="2"/>
      <c r="G185" s="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0" customHeight="1">
      <c r="A186" s="68"/>
      <c r="B186" s="2"/>
      <c r="C186" s="2"/>
      <c r="D186" s="2"/>
      <c r="E186" s="2"/>
      <c r="F186" s="2"/>
      <c r="G186" s="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0" customHeight="1">
      <c r="A187" s="68"/>
      <c r="B187" s="2"/>
      <c r="C187" s="2"/>
      <c r="D187" s="2"/>
      <c r="E187" s="2"/>
      <c r="F187" s="2"/>
      <c r="G187" s="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0" customHeight="1">
      <c r="A188" s="68"/>
      <c r="B188" s="2"/>
      <c r="C188" s="2"/>
      <c r="D188" s="2"/>
      <c r="E188" s="2"/>
      <c r="F188" s="2"/>
      <c r="G188" s="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0" customHeight="1">
      <c r="A189" s="68"/>
      <c r="B189" s="2"/>
      <c r="C189" s="2"/>
      <c r="D189" s="2"/>
      <c r="E189" s="2"/>
      <c r="F189" s="2"/>
      <c r="G189" s="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0" customHeight="1">
      <c r="A190" s="68"/>
      <c r="B190" s="2"/>
      <c r="C190" s="2"/>
      <c r="D190" s="2"/>
      <c r="E190" s="2"/>
      <c r="F190" s="2"/>
      <c r="G190" s="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0" customHeight="1">
      <c r="A191" s="68"/>
      <c r="B191" s="2"/>
      <c r="C191" s="2"/>
      <c r="D191" s="2"/>
      <c r="E191" s="2"/>
      <c r="F191" s="2"/>
      <c r="G191" s="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0" customHeight="1">
      <c r="A192" s="68"/>
      <c r="B192" s="2"/>
      <c r="C192" s="2"/>
      <c r="D192" s="2"/>
      <c r="E192" s="2"/>
      <c r="F192" s="2"/>
      <c r="G192" s="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0" customHeight="1">
      <c r="A193" s="68"/>
      <c r="B193" s="2"/>
      <c r="C193" s="2"/>
      <c r="D193" s="2"/>
      <c r="E193" s="2"/>
      <c r="F193" s="2"/>
      <c r="G193" s="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0" customHeight="1">
      <c r="A194" s="68"/>
      <c r="B194" s="2"/>
      <c r="C194" s="2"/>
      <c r="D194" s="2"/>
      <c r="E194" s="2"/>
      <c r="F194" s="2"/>
      <c r="G194" s="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0" customHeight="1">
      <c r="A195" s="68"/>
      <c r="B195" s="2"/>
      <c r="C195" s="2"/>
      <c r="D195" s="2"/>
      <c r="E195" s="2"/>
      <c r="F195" s="2"/>
      <c r="G195" s="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0" customHeight="1">
      <c r="A196" s="68"/>
      <c r="B196" s="2"/>
      <c r="C196" s="2"/>
      <c r="D196" s="2"/>
      <c r="E196" s="2"/>
      <c r="F196" s="2"/>
      <c r="G196" s="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0" customHeight="1">
      <c r="A197" s="68"/>
      <c r="B197" s="2"/>
      <c r="C197" s="2"/>
      <c r="D197" s="2"/>
      <c r="E197" s="2"/>
      <c r="F197" s="2"/>
      <c r="G197" s="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0" customHeight="1">
      <c r="A198" s="68"/>
      <c r="B198" s="2"/>
      <c r="C198" s="2"/>
      <c r="D198" s="2"/>
      <c r="E198" s="2"/>
      <c r="F198" s="2"/>
      <c r="G198" s="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0" customHeight="1">
      <c r="A199" s="68"/>
      <c r="B199" s="2"/>
      <c r="C199" s="2"/>
      <c r="D199" s="2"/>
      <c r="E199" s="2"/>
      <c r="F199" s="2"/>
      <c r="G199" s="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0" customHeight="1">
      <c r="A200" s="68"/>
      <c r="B200" s="2"/>
      <c r="C200" s="2"/>
      <c r="D200" s="2"/>
      <c r="E200" s="2"/>
      <c r="F200" s="2"/>
      <c r="G200" s="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0" customHeight="1">
      <c r="A201" s="68"/>
      <c r="B201" s="2"/>
      <c r="C201" s="2"/>
      <c r="D201" s="2"/>
      <c r="E201" s="2"/>
      <c r="F201" s="2"/>
      <c r="G201" s="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0" customHeight="1">
      <c r="A202" s="68"/>
      <c r="B202" s="2"/>
      <c r="C202" s="2"/>
      <c r="D202" s="2"/>
      <c r="E202" s="2"/>
      <c r="F202" s="2"/>
      <c r="G202" s="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0" customHeight="1">
      <c r="A203" s="68"/>
      <c r="B203" s="2"/>
      <c r="C203" s="2"/>
      <c r="D203" s="2"/>
      <c r="E203" s="2"/>
      <c r="F203" s="2"/>
      <c r="G203" s="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0" customHeight="1">
      <c r="A204" s="68"/>
      <c r="B204" s="2"/>
      <c r="C204" s="2"/>
      <c r="D204" s="2"/>
      <c r="E204" s="2"/>
      <c r="F204" s="2"/>
      <c r="G204" s="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0" customHeight="1">
      <c r="A205" s="68"/>
      <c r="B205" s="2"/>
      <c r="C205" s="2"/>
      <c r="D205" s="2"/>
      <c r="E205" s="2"/>
      <c r="F205" s="2"/>
      <c r="G205" s="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0" customHeight="1">
      <c r="A206" s="68"/>
      <c r="B206" s="2"/>
      <c r="C206" s="2"/>
      <c r="D206" s="2"/>
      <c r="E206" s="2"/>
      <c r="F206" s="2"/>
      <c r="G206" s="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0" customHeight="1">
      <c r="A207" s="68"/>
      <c r="B207" s="2"/>
      <c r="C207" s="2"/>
      <c r="D207" s="2"/>
      <c r="E207" s="2"/>
      <c r="F207" s="2"/>
      <c r="G207" s="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0" customHeight="1">
      <c r="A208" s="68"/>
      <c r="B208" s="2"/>
      <c r="C208" s="2"/>
      <c r="D208" s="2"/>
      <c r="E208" s="2"/>
      <c r="F208" s="2"/>
      <c r="G208" s="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0" customHeight="1">
      <c r="A209" s="68"/>
      <c r="B209" s="2"/>
      <c r="C209" s="2"/>
      <c r="D209" s="2"/>
      <c r="E209" s="2"/>
      <c r="F209" s="2"/>
      <c r="G209" s="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0" customHeight="1">
      <c r="A210" s="68"/>
      <c r="B210" s="2"/>
      <c r="C210" s="2"/>
      <c r="D210" s="2"/>
      <c r="E210" s="2"/>
      <c r="F210" s="2"/>
      <c r="G210" s="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0" customHeight="1">
      <c r="A211" s="68"/>
      <c r="B211" s="2"/>
      <c r="C211" s="2"/>
      <c r="D211" s="2"/>
      <c r="E211" s="2"/>
      <c r="F211" s="2"/>
      <c r="G211" s="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0" customHeight="1">
      <c r="A212" s="68"/>
      <c r="B212" s="2"/>
      <c r="C212" s="2"/>
      <c r="D212" s="2"/>
      <c r="E212" s="2"/>
      <c r="F212" s="2"/>
      <c r="G212" s="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0" customHeight="1">
      <c r="A213" s="68"/>
      <c r="B213" s="2"/>
      <c r="C213" s="2"/>
      <c r="D213" s="2"/>
      <c r="E213" s="2"/>
      <c r="F213" s="2"/>
      <c r="G213" s="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0" customHeight="1">
      <c r="A214" s="68"/>
      <c r="B214" s="2"/>
      <c r="C214" s="2"/>
      <c r="D214" s="2"/>
      <c r="E214" s="2"/>
      <c r="F214" s="2"/>
      <c r="G214" s="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0" customHeight="1">
      <c r="A215" s="68"/>
      <c r="B215" s="2"/>
      <c r="C215" s="2"/>
      <c r="D215" s="2"/>
      <c r="E215" s="2"/>
      <c r="F215" s="2"/>
      <c r="G215" s="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0" customHeight="1">
      <c r="A216" s="68"/>
      <c r="B216" s="2"/>
      <c r="C216" s="2"/>
      <c r="D216" s="2"/>
      <c r="E216" s="2"/>
      <c r="F216" s="2"/>
      <c r="G216" s="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0" customHeight="1">
      <c r="A217" s="68"/>
      <c r="B217" s="2"/>
      <c r="C217" s="2"/>
      <c r="D217" s="2"/>
      <c r="E217" s="2"/>
      <c r="F217" s="2"/>
      <c r="G217" s="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0" customHeight="1">
      <c r="A218" s="68"/>
      <c r="B218" s="2"/>
      <c r="C218" s="2"/>
      <c r="D218" s="2"/>
      <c r="E218" s="2"/>
      <c r="F218" s="2"/>
      <c r="G218" s="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0" customHeight="1">
      <c r="A219" s="68"/>
      <c r="B219" s="2"/>
      <c r="C219" s="2"/>
      <c r="D219" s="2"/>
      <c r="E219" s="2"/>
      <c r="F219" s="2"/>
      <c r="G219" s="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0" customHeight="1">
      <c r="A220" s="68"/>
      <c r="B220" s="2"/>
      <c r="C220" s="2"/>
      <c r="D220" s="2"/>
      <c r="E220" s="2"/>
      <c r="F220" s="2"/>
      <c r="G220" s="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0" customHeight="1">
      <c r="A221" s="68"/>
      <c r="B221" s="2"/>
      <c r="C221" s="2"/>
      <c r="D221" s="2"/>
      <c r="E221" s="2"/>
      <c r="F221" s="2"/>
      <c r="G221" s="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0" customHeight="1">
      <c r="A222" s="68"/>
      <c r="B222" s="2"/>
      <c r="C222" s="2"/>
      <c r="D222" s="2"/>
      <c r="E222" s="2"/>
      <c r="F222" s="2"/>
      <c r="G222" s="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0" customHeight="1">
      <c r="A223" s="68"/>
      <c r="B223" s="2"/>
      <c r="C223" s="2"/>
      <c r="D223" s="2"/>
      <c r="E223" s="2"/>
      <c r="F223" s="2"/>
      <c r="G223" s="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0" customHeight="1">
      <c r="A224" s="68"/>
      <c r="B224" s="2"/>
      <c r="C224" s="2"/>
      <c r="D224" s="2"/>
      <c r="E224" s="2"/>
      <c r="F224" s="2"/>
      <c r="G224" s="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0" customHeight="1">
      <c r="A225" s="68"/>
      <c r="B225" s="2"/>
      <c r="C225" s="2"/>
      <c r="D225" s="2"/>
      <c r="E225" s="2"/>
      <c r="F225" s="2"/>
      <c r="G225" s="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0" customHeight="1">
      <c r="A226" s="68"/>
      <c r="B226" s="2"/>
      <c r="C226" s="2"/>
      <c r="D226" s="2"/>
      <c r="E226" s="2"/>
      <c r="F226" s="2"/>
      <c r="G226" s="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0" customHeight="1">
      <c r="A227" s="68"/>
      <c r="B227" s="2"/>
      <c r="C227" s="2"/>
      <c r="D227" s="2"/>
      <c r="E227" s="2"/>
      <c r="F227" s="2"/>
      <c r="G227" s="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0" customHeight="1">
      <c r="A228" s="68"/>
      <c r="B228" s="2"/>
      <c r="C228" s="2"/>
      <c r="D228" s="2"/>
      <c r="E228" s="2"/>
      <c r="F228" s="2"/>
      <c r="G228" s="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0" customHeight="1">
      <c r="A229" s="68"/>
      <c r="B229" s="2"/>
      <c r="C229" s="2"/>
      <c r="D229" s="2"/>
      <c r="E229" s="2"/>
      <c r="F229" s="2"/>
      <c r="G229" s="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0" customHeight="1">
      <c r="A230" s="68"/>
      <c r="B230" s="2"/>
      <c r="C230" s="2"/>
      <c r="D230" s="2"/>
      <c r="E230" s="2"/>
      <c r="F230" s="2"/>
      <c r="G230" s="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0" customHeight="1">
      <c r="A231" s="68"/>
      <c r="B231" s="2"/>
      <c r="C231" s="2"/>
      <c r="D231" s="2"/>
      <c r="E231" s="2"/>
      <c r="F231" s="2"/>
      <c r="G231" s="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0" customHeight="1">
      <c r="A232" s="68"/>
      <c r="B232" s="2"/>
      <c r="C232" s="2"/>
      <c r="D232" s="2"/>
      <c r="E232" s="2"/>
      <c r="F232" s="2"/>
      <c r="G232" s="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0" customHeight="1">
      <c r="A233" s="68"/>
      <c r="B233" s="2"/>
      <c r="C233" s="2"/>
      <c r="D233" s="2"/>
      <c r="E233" s="2"/>
      <c r="F233" s="2"/>
      <c r="G233" s="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0" customHeight="1">
      <c r="A234" s="68"/>
      <c r="B234" s="2"/>
      <c r="C234" s="2"/>
      <c r="D234" s="2"/>
      <c r="E234" s="2"/>
      <c r="F234" s="2"/>
      <c r="G234" s="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0" customHeight="1">
      <c r="A235" s="68"/>
      <c r="B235" s="2"/>
      <c r="C235" s="2"/>
      <c r="D235" s="2"/>
      <c r="E235" s="2"/>
      <c r="F235" s="2"/>
      <c r="G235" s="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0" customHeight="1">
      <c r="A236" s="68"/>
      <c r="B236" s="2"/>
      <c r="C236" s="2"/>
      <c r="D236" s="2"/>
      <c r="E236" s="2"/>
      <c r="F236" s="2"/>
      <c r="G236" s="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0" customHeight="1">
      <c r="A237" s="68"/>
      <c r="B237" s="2"/>
      <c r="C237" s="2"/>
      <c r="D237" s="2"/>
      <c r="E237" s="2"/>
      <c r="F237" s="2"/>
      <c r="G237" s="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0" customHeight="1">
      <c r="A238" s="68"/>
      <c r="B238" s="2"/>
      <c r="C238" s="2"/>
      <c r="D238" s="2"/>
      <c r="E238" s="2"/>
      <c r="F238" s="2"/>
      <c r="G238" s="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0" customHeight="1">
      <c r="A239" s="68"/>
      <c r="B239" s="2"/>
      <c r="C239" s="2"/>
      <c r="D239" s="2"/>
      <c r="E239" s="2"/>
      <c r="F239" s="2"/>
      <c r="G239" s="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0" customHeight="1">
      <c r="A240" s="68"/>
      <c r="B240" s="2"/>
      <c r="C240" s="2"/>
      <c r="D240" s="2"/>
      <c r="E240" s="2"/>
      <c r="F240" s="2"/>
      <c r="G240" s="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0" customHeight="1">
      <c r="A241" s="68"/>
      <c r="B241" s="2"/>
      <c r="C241" s="2"/>
      <c r="D241" s="2"/>
      <c r="E241" s="2"/>
      <c r="F241" s="2"/>
      <c r="G241" s="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0" customHeight="1">
      <c r="A242" s="68"/>
      <c r="B242" s="2"/>
      <c r="C242" s="2"/>
      <c r="D242" s="2"/>
      <c r="E242" s="2"/>
      <c r="F242" s="2"/>
      <c r="G242" s="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0" customHeight="1">
      <c r="A243" s="68"/>
      <c r="B243" s="2"/>
      <c r="C243" s="2"/>
      <c r="D243" s="2"/>
      <c r="E243" s="2"/>
      <c r="F243" s="2"/>
      <c r="G243" s="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0" customHeight="1">
      <c r="A244" s="68"/>
      <c r="B244" s="2"/>
      <c r="C244" s="2"/>
      <c r="D244" s="2"/>
      <c r="E244" s="2"/>
      <c r="F244" s="2"/>
      <c r="G244" s="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0" customHeight="1">
      <c r="A245" s="68"/>
      <c r="B245" s="2"/>
      <c r="C245" s="2"/>
      <c r="D245" s="2"/>
      <c r="E245" s="2"/>
      <c r="F245" s="2"/>
      <c r="G245" s="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0" customHeight="1">
      <c r="A246" s="68"/>
      <c r="B246" s="2"/>
      <c r="C246" s="2"/>
      <c r="D246" s="2"/>
      <c r="E246" s="2"/>
      <c r="F246" s="2"/>
      <c r="G246" s="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0" customHeight="1">
      <c r="A247" s="68"/>
      <c r="B247" s="2"/>
      <c r="C247" s="2"/>
      <c r="D247" s="2"/>
      <c r="E247" s="2"/>
      <c r="F247" s="2"/>
      <c r="G247" s="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0" customHeight="1">
      <c r="A248" s="68"/>
      <c r="B248" s="2"/>
      <c r="C248" s="2"/>
      <c r="D248" s="2"/>
      <c r="E248" s="2"/>
      <c r="F248" s="2"/>
      <c r="G248" s="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0" customHeight="1">
      <c r="A249" s="68"/>
      <c r="B249" s="2"/>
      <c r="C249" s="2"/>
      <c r="D249" s="2"/>
      <c r="E249" s="2"/>
      <c r="F249" s="2"/>
      <c r="G249" s="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0" customHeight="1">
      <c r="A250" s="68"/>
      <c r="B250" s="2"/>
      <c r="C250" s="2"/>
      <c r="D250" s="2"/>
      <c r="E250" s="2"/>
      <c r="F250" s="2"/>
      <c r="G250" s="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0" customHeight="1">
      <c r="A251" s="68"/>
      <c r="B251" s="2"/>
      <c r="C251" s="2"/>
      <c r="D251" s="2"/>
      <c r="E251" s="2"/>
      <c r="F251" s="2"/>
      <c r="G251" s="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0" customHeight="1">
      <c r="A252" s="68"/>
      <c r="B252" s="2"/>
      <c r="C252" s="2"/>
      <c r="D252" s="2"/>
      <c r="E252" s="2"/>
      <c r="F252" s="2"/>
      <c r="G252" s="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0" customHeight="1">
      <c r="A253" s="68"/>
      <c r="B253" s="2"/>
      <c r="C253" s="2"/>
      <c r="D253" s="2"/>
      <c r="E253" s="2"/>
      <c r="F253" s="2"/>
      <c r="G253" s="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0" customHeight="1">
      <c r="A254" s="68"/>
      <c r="B254" s="2"/>
      <c r="C254" s="2"/>
      <c r="D254" s="2"/>
      <c r="E254" s="2"/>
      <c r="F254" s="2"/>
      <c r="G254" s="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0" customHeight="1">
      <c r="A255" s="68"/>
      <c r="B255" s="2"/>
      <c r="C255" s="2"/>
      <c r="D255" s="2"/>
      <c r="E255" s="2"/>
      <c r="F255" s="2"/>
      <c r="G255" s="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0" customHeight="1">
      <c r="A256" s="68"/>
      <c r="B256" s="2"/>
      <c r="C256" s="2"/>
      <c r="D256" s="2"/>
      <c r="E256" s="2"/>
      <c r="F256" s="2"/>
      <c r="G256" s="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0" customHeight="1">
      <c r="A257" s="68"/>
      <c r="B257" s="2"/>
      <c r="C257" s="2"/>
      <c r="D257" s="2"/>
      <c r="E257" s="2"/>
      <c r="F257" s="2"/>
      <c r="G257" s="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0" customHeight="1">
      <c r="A258" s="68"/>
      <c r="B258" s="2"/>
      <c r="C258" s="2"/>
      <c r="D258" s="2"/>
      <c r="E258" s="2"/>
      <c r="F258" s="2"/>
      <c r="G258" s="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0" customHeight="1">
      <c r="A259" s="68"/>
      <c r="B259" s="2"/>
      <c r="C259" s="2"/>
      <c r="D259" s="2"/>
      <c r="E259" s="2"/>
      <c r="F259" s="2"/>
      <c r="G259" s="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0" customHeight="1">
      <c r="A260" s="68"/>
      <c r="B260" s="2"/>
      <c r="C260" s="2"/>
      <c r="D260" s="2"/>
      <c r="E260" s="2"/>
      <c r="F260" s="2"/>
      <c r="G260" s="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0" customHeight="1">
      <c r="A261" s="68"/>
      <c r="B261" s="2"/>
      <c r="C261" s="2"/>
      <c r="D261" s="2"/>
      <c r="E261" s="2"/>
      <c r="F261" s="2"/>
      <c r="G261" s="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0" customHeight="1">
      <c r="A262" s="68"/>
      <c r="B262" s="2"/>
      <c r="C262" s="2"/>
      <c r="D262" s="2"/>
      <c r="E262" s="2"/>
      <c r="F262" s="2"/>
      <c r="G262" s="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0" customHeight="1">
      <c r="A263" s="68"/>
      <c r="B263" s="2"/>
      <c r="C263" s="2"/>
      <c r="D263" s="2"/>
      <c r="E263" s="2"/>
      <c r="F263" s="2"/>
      <c r="G263" s="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0" customHeight="1">
      <c r="A264" s="68"/>
      <c r="B264" s="2"/>
      <c r="C264" s="2"/>
      <c r="D264" s="2"/>
      <c r="E264" s="2"/>
      <c r="F264" s="2"/>
      <c r="G264" s="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0" customHeight="1">
      <c r="A265" s="68"/>
      <c r="B265" s="2"/>
      <c r="C265" s="2"/>
      <c r="D265" s="2"/>
      <c r="E265" s="2"/>
      <c r="F265" s="2"/>
      <c r="G265" s="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0" customHeight="1">
      <c r="A266" s="68"/>
      <c r="B266" s="2"/>
      <c r="C266" s="2"/>
      <c r="D266" s="2"/>
      <c r="E266" s="2"/>
      <c r="F266" s="2"/>
      <c r="G266" s="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0" customHeight="1">
      <c r="A267" s="68"/>
      <c r="B267" s="2"/>
      <c r="C267" s="2"/>
      <c r="D267" s="2"/>
      <c r="E267" s="2"/>
      <c r="F267" s="2"/>
      <c r="G267" s="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0" customHeight="1">
      <c r="A268" s="68"/>
      <c r="B268" s="2"/>
      <c r="C268" s="2"/>
      <c r="D268" s="2"/>
      <c r="E268" s="2"/>
      <c r="F268" s="2"/>
      <c r="G268" s="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0" customHeight="1">
      <c r="A269" s="68"/>
      <c r="B269" s="2"/>
      <c r="C269" s="2"/>
      <c r="D269" s="2"/>
      <c r="E269" s="2"/>
      <c r="F269" s="2"/>
      <c r="G269" s="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0" customHeight="1">
      <c r="A270" s="68"/>
      <c r="B270" s="2"/>
      <c r="C270" s="2"/>
      <c r="D270" s="2"/>
      <c r="E270" s="2"/>
      <c r="F270" s="2"/>
      <c r="G270" s="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0" customHeight="1">
      <c r="A271" s="68"/>
      <c r="B271" s="2"/>
      <c r="C271" s="2"/>
      <c r="D271" s="2"/>
      <c r="E271" s="2"/>
      <c r="F271" s="2"/>
      <c r="G271" s="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0" customHeight="1">
      <c r="A272" s="68"/>
      <c r="B272" s="2"/>
      <c r="C272" s="2"/>
      <c r="D272" s="2"/>
      <c r="E272" s="2"/>
      <c r="F272" s="2"/>
      <c r="G272" s="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0" customHeight="1">
      <c r="A273" s="68"/>
      <c r="B273" s="2"/>
      <c r="C273" s="2"/>
      <c r="D273" s="2"/>
      <c r="E273" s="2"/>
      <c r="F273" s="2"/>
      <c r="G273" s="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0" customHeight="1">
      <c r="A274" s="68"/>
      <c r="B274" s="2"/>
      <c r="C274" s="2"/>
      <c r="D274" s="2"/>
      <c r="E274" s="2"/>
      <c r="F274" s="2"/>
      <c r="G274" s="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0" customHeight="1">
      <c r="A275" s="68"/>
      <c r="B275" s="2"/>
      <c r="C275" s="2"/>
      <c r="D275" s="2"/>
      <c r="E275" s="2"/>
      <c r="F275" s="2"/>
      <c r="G275" s="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0" customHeight="1">
      <c r="A276" s="68"/>
      <c r="B276" s="2"/>
      <c r="C276" s="2"/>
      <c r="D276" s="2"/>
      <c r="E276" s="2"/>
      <c r="F276" s="2"/>
      <c r="G276" s="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0" customHeight="1">
      <c r="A277" s="68"/>
      <c r="B277" s="2"/>
      <c r="C277" s="2"/>
      <c r="D277" s="2"/>
      <c r="E277" s="2"/>
      <c r="F277" s="2"/>
      <c r="G277" s="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0" customHeight="1">
      <c r="A278" s="68"/>
      <c r="B278" s="2"/>
      <c r="C278" s="2"/>
      <c r="D278" s="2"/>
      <c r="E278" s="2"/>
      <c r="F278" s="2"/>
      <c r="G278" s="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0" customHeight="1">
      <c r="A279" s="68"/>
      <c r="B279" s="2"/>
      <c r="C279" s="2"/>
      <c r="D279" s="2"/>
      <c r="E279" s="2"/>
      <c r="F279" s="2"/>
      <c r="G279" s="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0" customHeight="1">
      <c r="A280" s="68"/>
      <c r="B280" s="2"/>
      <c r="C280" s="2"/>
      <c r="D280" s="2"/>
      <c r="E280" s="2"/>
      <c r="F280" s="2"/>
      <c r="G280" s="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0" customHeight="1">
      <c r="A281" s="68"/>
      <c r="B281" s="2"/>
      <c r="C281" s="2"/>
      <c r="D281" s="2"/>
      <c r="E281" s="2"/>
      <c r="F281" s="2"/>
      <c r="G281" s="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0" customHeight="1">
      <c r="A282" s="68"/>
      <c r="B282" s="2"/>
      <c r="C282" s="2"/>
      <c r="D282" s="2"/>
      <c r="E282" s="2"/>
      <c r="F282" s="2"/>
      <c r="G282" s="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0" customHeight="1">
      <c r="A283" s="68"/>
      <c r="B283" s="2"/>
      <c r="C283" s="2"/>
      <c r="D283" s="2"/>
      <c r="E283" s="2"/>
      <c r="F283" s="2"/>
      <c r="G283" s="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0" customHeight="1">
      <c r="A284" s="68"/>
      <c r="B284" s="2"/>
      <c r="C284" s="2"/>
      <c r="D284" s="2"/>
      <c r="E284" s="2"/>
      <c r="F284" s="2"/>
      <c r="G284" s="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0" customHeight="1">
      <c r="A285" s="68"/>
      <c r="B285" s="2"/>
      <c r="C285" s="2"/>
      <c r="D285" s="2"/>
      <c r="E285" s="2"/>
      <c r="F285" s="2"/>
      <c r="G285" s="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0" customHeight="1">
      <c r="A286" s="68"/>
      <c r="B286" s="2"/>
      <c r="C286" s="2"/>
      <c r="D286" s="2"/>
      <c r="E286" s="2"/>
      <c r="F286" s="2"/>
      <c r="G286" s="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0" customHeight="1">
      <c r="A287" s="68"/>
      <c r="B287" s="2"/>
      <c r="C287" s="2"/>
      <c r="D287" s="2"/>
      <c r="E287" s="2"/>
      <c r="F287" s="2"/>
      <c r="G287" s="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0" customHeight="1">
      <c r="A288" s="68"/>
      <c r="B288" s="2"/>
      <c r="C288" s="2"/>
      <c r="D288" s="2"/>
      <c r="E288" s="2"/>
      <c r="F288" s="2"/>
      <c r="G288" s="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0" customHeight="1">
      <c r="A289" s="68"/>
      <c r="B289" s="2"/>
      <c r="C289" s="2"/>
      <c r="D289" s="2"/>
      <c r="E289" s="2"/>
      <c r="F289" s="2"/>
      <c r="G289" s="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0" customHeight="1">
      <c r="A290" s="68"/>
      <c r="B290" s="2"/>
      <c r="C290" s="2"/>
      <c r="D290" s="2"/>
      <c r="E290" s="2"/>
      <c r="F290" s="2"/>
      <c r="G290" s="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0" customHeight="1">
      <c r="A291" s="68"/>
      <c r="B291" s="2"/>
      <c r="C291" s="2"/>
      <c r="D291" s="2"/>
      <c r="E291" s="2"/>
      <c r="F291" s="2"/>
      <c r="G291" s="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0" customHeight="1">
      <c r="A292" s="68"/>
      <c r="B292" s="2"/>
      <c r="C292" s="2"/>
      <c r="D292" s="2"/>
      <c r="E292" s="2"/>
      <c r="F292" s="2"/>
      <c r="G292" s="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0" customHeight="1">
      <c r="A293" s="68"/>
      <c r="B293" s="2"/>
      <c r="C293" s="2"/>
      <c r="D293" s="2"/>
      <c r="E293" s="2"/>
      <c r="F293" s="2"/>
      <c r="G293" s="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0" customHeight="1">
      <c r="A294" s="68"/>
      <c r="B294" s="2"/>
      <c r="C294" s="2"/>
      <c r="D294" s="2"/>
      <c r="E294" s="2"/>
      <c r="F294" s="2"/>
      <c r="G294" s="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0" customHeight="1">
      <c r="A295" s="68"/>
      <c r="B295" s="2"/>
      <c r="C295" s="2"/>
      <c r="D295" s="2"/>
      <c r="E295" s="2"/>
      <c r="F295" s="2"/>
      <c r="G295" s="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0" customHeight="1">
      <c r="A296" s="68"/>
      <c r="B296" s="2"/>
      <c r="C296" s="2"/>
      <c r="D296" s="2"/>
      <c r="E296" s="2"/>
      <c r="F296" s="2"/>
      <c r="G296" s="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0" customHeight="1">
      <c r="A297" s="68"/>
      <c r="B297" s="2"/>
      <c r="C297" s="2"/>
      <c r="D297" s="2"/>
      <c r="E297" s="2"/>
      <c r="F297" s="2"/>
      <c r="G297" s="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0" customHeight="1">
      <c r="A298" s="68"/>
      <c r="B298" s="2"/>
      <c r="C298" s="2"/>
      <c r="D298" s="2"/>
      <c r="E298" s="2"/>
      <c r="F298" s="2"/>
      <c r="G298" s="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0" customHeight="1">
      <c r="A299" s="68"/>
      <c r="B299" s="2"/>
      <c r="C299" s="2"/>
      <c r="D299" s="2"/>
      <c r="E299" s="2"/>
      <c r="F299" s="2"/>
      <c r="G299" s="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0" customHeight="1">
      <c r="A300" s="68"/>
      <c r="B300" s="2"/>
      <c r="C300" s="2"/>
      <c r="D300" s="2"/>
      <c r="E300" s="2"/>
      <c r="F300" s="2"/>
      <c r="G300" s="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0" customHeight="1">
      <c r="A301" s="68"/>
      <c r="B301" s="2"/>
      <c r="C301" s="2"/>
      <c r="D301" s="2"/>
      <c r="E301" s="2"/>
      <c r="F301" s="2"/>
      <c r="G301" s="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0" customHeight="1">
      <c r="A302" s="68"/>
      <c r="B302" s="2"/>
      <c r="C302" s="2"/>
      <c r="D302" s="2"/>
      <c r="E302" s="2"/>
      <c r="F302" s="2"/>
      <c r="G302" s="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0" customHeight="1">
      <c r="A303" s="68"/>
      <c r="B303" s="2"/>
      <c r="C303" s="2"/>
      <c r="D303" s="2"/>
      <c r="E303" s="2"/>
      <c r="F303" s="2"/>
      <c r="G303" s="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0" customHeight="1">
      <c r="A304" s="68"/>
      <c r="B304" s="2"/>
      <c r="C304" s="2"/>
      <c r="D304" s="2"/>
      <c r="E304" s="2"/>
      <c r="F304" s="2"/>
      <c r="G304" s="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0" customHeight="1">
      <c r="A305" s="68"/>
      <c r="B305" s="2"/>
      <c r="C305" s="2"/>
      <c r="D305" s="2"/>
      <c r="E305" s="2"/>
      <c r="F305" s="2"/>
      <c r="G305" s="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0" customHeight="1">
      <c r="A306" s="68"/>
      <c r="B306" s="2"/>
      <c r="C306" s="2"/>
      <c r="D306" s="2"/>
      <c r="E306" s="2"/>
      <c r="F306" s="2"/>
      <c r="G306" s="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0" customHeight="1">
      <c r="A307" s="68"/>
      <c r="B307" s="2"/>
      <c r="C307" s="2"/>
      <c r="D307" s="2"/>
      <c r="E307" s="2"/>
      <c r="F307" s="2"/>
      <c r="G307" s="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0" customHeight="1">
      <c r="A308" s="68"/>
      <c r="B308" s="2"/>
      <c r="C308" s="2"/>
      <c r="D308" s="2"/>
      <c r="E308" s="2"/>
      <c r="F308" s="2"/>
      <c r="G308" s="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0" customHeight="1">
      <c r="A309" s="68"/>
      <c r="B309" s="2"/>
      <c r="C309" s="2"/>
      <c r="D309" s="2"/>
      <c r="E309" s="2"/>
      <c r="F309" s="2"/>
      <c r="G309" s="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0" customHeight="1">
      <c r="A310" s="68"/>
      <c r="B310" s="2"/>
      <c r="C310" s="2"/>
      <c r="D310" s="2"/>
      <c r="E310" s="2"/>
      <c r="F310" s="2"/>
      <c r="G310" s="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0" customHeight="1">
      <c r="A311" s="68"/>
      <c r="B311" s="2"/>
      <c r="C311" s="2"/>
      <c r="D311" s="2"/>
      <c r="E311" s="2"/>
      <c r="F311" s="2"/>
      <c r="G311" s="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0" customHeight="1">
      <c r="A312" s="68"/>
      <c r="B312" s="2"/>
      <c r="C312" s="2"/>
      <c r="D312" s="2"/>
      <c r="E312" s="2"/>
      <c r="F312" s="2"/>
      <c r="G312" s="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0" customHeight="1">
      <c r="A313" s="68"/>
      <c r="B313" s="2"/>
      <c r="C313" s="2"/>
      <c r="D313" s="2"/>
      <c r="E313" s="2"/>
      <c r="F313" s="2"/>
      <c r="G313" s="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0" customHeight="1">
      <c r="A314" s="68"/>
      <c r="B314" s="2"/>
      <c r="C314" s="2"/>
      <c r="D314" s="2"/>
      <c r="E314" s="2"/>
      <c r="F314" s="2"/>
      <c r="G314" s="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0" customHeight="1">
      <c r="A315" s="68"/>
      <c r="B315" s="2"/>
      <c r="C315" s="2"/>
      <c r="D315" s="2"/>
      <c r="E315" s="2"/>
      <c r="F315" s="2"/>
      <c r="G315" s="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0" customHeight="1">
      <c r="A316" s="68"/>
      <c r="B316" s="2"/>
      <c r="C316" s="2"/>
      <c r="D316" s="2"/>
      <c r="E316" s="2"/>
      <c r="F316" s="2"/>
      <c r="G316" s="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0" customHeight="1">
      <c r="A317" s="68"/>
      <c r="B317" s="2"/>
      <c r="C317" s="2"/>
      <c r="D317" s="2"/>
      <c r="E317" s="2"/>
      <c r="F317" s="2"/>
      <c r="G317" s="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0" customHeight="1">
      <c r="A318" s="68"/>
      <c r="B318" s="2"/>
      <c r="C318" s="2"/>
      <c r="D318" s="2"/>
      <c r="E318" s="2"/>
      <c r="F318" s="2"/>
      <c r="G318" s="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0" customHeight="1">
      <c r="A319" s="68"/>
      <c r="B319" s="2"/>
      <c r="C319" s="2"/>
      <c r="D319" s="2"/>
      <c r="E319" s="2"/>
      <c r="F319" s="2"/>
      <c r="G319" s="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0" customHeight="1">
      <c r="A320" s="68"/>
      <c r="B320" s="2"/>
      <c r="C320" s="2"/>
      <c r="D320" s="2"/>
      <c r="E320" s="2"/>
      <c r="F320" s="2"/>
      <c r="G320" s="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0" customHeight="1">
      <c r="A321" s="68"/>
      <c r="B321" s="2"/>
      <c r="C321" s="2"/>
      <c r="D321" s="2"/>
      <c r="E321" s="2"/>
      <c r="F321" s="2"/>
      <c r="G321" s="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0" customHeight="1">
      <c r="A322" s="68"/>
      <c r="B322" s="2"/>
      <c r="C322" s="2"/>
      <c r="D322" s="2"/>
      <c r="E322" s="2"/>
      <c r="F322" s="2"/>
      <c r="G322" s="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0" customHeight="1">
      <c r="A323" s="68"/>
      <c r="B323" s="2"/>
      <c r="C323" s="2"/>
      <c r="D323" s="2"/>
      <c r="E323" s="2"/>
      <c r="F323" s="2"/>
      <c r="G323" s="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0" customHeight="1">
      <c r="A324" s="68"/>
      <c r="B324" s="2"/>
      <c r="C324" s="2"/>
      <c r="D324" s="2"/>
      <c r="E324" s="2"/>
      <c r="F324" s="2"/>
      <c r="G324" s="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0" customHeight="1">
      <c r="A325" s="68"/>
      <c r="B325" s="2"/>
      <c r="C325" s="2"/>
      <c r="D325" s="2"/>
      <c r="E325" s="2"/>
      <c r="F325" s="2"/>
      <c r="G325" s="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0" customHeight="1">
      <c r="A326" s="68"/>
      <c r="B326" s="2"/>
      <c r="C326" s="2"/>
      <c r="D326" s="2"/>
      <c r="E326" s="2"/>
      <c r="F326" s="2"/>
      <c r="G326" s="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0" customHeight="1">
      <c r="A327" s="68"/>
      <c r="B327" s="2"/>
      <c r="C327" s="2"/>
      <c r="D327" s="2"/>
      <c r="E327" s="2"/>
      <c r="F327" s="2"/>
      <c r="G327" s="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0" customHeight="1">
      <c r="A328" s="68"/>
      <c r="B328" s="2"/>
      <c r="C328" s="2"/>
      <c r="D328" s="2"/>
      <c r="E328" s="2"/>
      <c r="F328" s="2"/>
      <c r="G328" s="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0" customHeight="1">
      <c r="A329" s="68"/>
      <c r="B329" s="2"/>
      <c r="C329" s="2"/>
      <c r="D329" s="2"/>
      <c r="E329" s="2"/>
      <c r="F329" s="2"/>
      <c r="G329" s="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0" customHeight="1">
      <c r="A330" s="68"/>
      <c r="B330" s="2"/>
      <c r="C330" s="2"/>
      <c r="D330" s="2"/>
      <c r="E330" s="2"/>
      <c r="F330" s="2"/>
      <c r="G330" s="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0" customHeight="1">
      <c r="A331" s="68"/>
      <c r="B331" s="2"/>
      <c r="C331" s="2"/>
      <c r="D331" s="2"/>
      <c r="E331" s="2"/>
      <c r="F331" s="2"/>
      <c r="G331" s="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0" customHeight="1">
      <c r="A332" s="68"/>
      <c r="B332" s="2"/>
      <c r="C332" s="2"/>
      <c r="D332" s="2"/>
      <c r="E332" s="2"/>
      <c r="F332" s="2"/>
      <c r="G332" s="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0" customHeight="1">
      <c r="A333" s="68"/>
      <c r="B333" s="2"/>
      <c r="C333" s="2"/>
      <c r="D333" s="2"/>
      <c r="E333" s="2"/>
      <c r="F333" s="2"/>
      <c r="G333" s="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0" customHeight="1">
      <c r="A334" s="68"/>
      <c r="B334" s="2"/>
      <c r="C334" s="2"/>
      <c r="D334" s="2"/>
      <c r="E334" s="2"/>
      <c r="F334" s="2"/>
      <c r="G334" s="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0" customHeight="1">
      <c r="A335" s="68"/>
      <c r="B335" s="2"/>
      <c r="C335" s="2"/>
      <c r="D335" s="2"/>
      <c r="E335" s="2"/>
      <c r="F335" s="2"/>
      <c r="G335" s="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0" customHeight="1">
      <c r="A336" s="68"/>
      <c r="B336" s="2"/>
      <c r="C336" s="2"/>
      <c r="D336" s="2"/>
      <c r="E336" s="2"/>
      <c r="F336" s="2"/>
      <c r="G336" s="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0" customHeight="1">
      <c r="A337" s="68"/>
      <c r="B337" s="2"/>
      <c r="C337" s="2"/>
      <c r="D337" s="2"/>
      <c r="E337" s="2"/>
      <c r="F337" s="2"/>
      <c r="G337" s="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0" customHeight="1">
      <c r="A338" s="68"/>
      <c r="B338" s="2"/>
      <c r="C338" s="2"/>
      <c r="D338" s="2"/>
      <c r="E338" s="2"/>
      <c r="F338" s="2"/>
      <c r="G338" s="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0" customHeight="1">
      <c r="A339" s="68"/>
      <c r="B339" s="2"/>
      <c r="C339" s="2"/>
      <c r="D339" s="2"/>
      <c r="E339" s="2"/>
      <c r="F339" s="2"/>
      <c r="G339" s="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0" customHeight="1">
      <c r="A340" s="68"/>
      <c r="B340" s="2"/>
      <c r="C340" s="2"/>
      <c r="D340" s="2"/>
      <c r="E340" s="2"/>
      <c r="F340" s="2"/>
      <c r="G340" s="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0" customHeight="1">
      <c r="A341" s="68"/>
      <c r="B341" s="2"/>
      <c r="C341" s="2"/>
      <c r="D341" s="2"/>
      <c r="E341" s="2"/>
      <c r="F341" s="2"/>
      <c r="G341" s="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0" customHeight="1">
      <c r="A342" s="68"/>
      <c r="B342" s="2"/>
      <c r="C342" s="2"/>
      <c r="D342" s="2"/>
      <c r="E342" s="2"/>
      <c r="F342" s="2"/>
      <c r="G342" s="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0" customHeight="1">
      <c r="A343" s="68"/>
      <c r="B343" s="2"/>
      <c r="C343" s="2"/>
      <c r="D343" s="2"/>
      <c r="E343" s="2"/>
      <c r="F343" s="2"/>
      <c r="G343" s="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0" customHeight="1">
      <c r="A344" s="68"/>
      <c r="B344" s="2"/>
      <c r="C344" s="2"/>
      <c r="D344" s="2"/>
      <c r="E344" s="2"/>
      <c r="F344" s="2"/>
      <c r="G344" s="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0" customHeight="1">
      <c r="A345" s="68"/>
      <c r="B345" s="2"/>
      <c r="C345" s="2"/>
      <c r="D345" s="2"/>
      <c r="E345" s="2"/>
      <c r="F345" s="2"/>
      <c r="G345" s="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0" customHeight="1">
      <c r="A346" s="68"/>
      <c r="B346" s="2"/>
      <c r="C346" s="2"/>
      <c r="D346" s="2"/>
      <c r="E346" s="2"/>
      <c r="F346" s="2"/>
      <c r="G346" s="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0" customHeight="1">
      <c r="A347" s="68"/>
      <c r="B347" s="2"/>
      <c r="C347" s="2"/>
      <c r="D347" s="2"/>
      <c r="E347" s="2"/>
      <c r="F347" s="2"/>
      <c r="G347" s="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0" customHeight="1">
      <c r="A348" s="68"/>
      <c r="B348" s="2"/>
      <c r="C348" s="2"/>
      <c r="D348" s="2"/>
      <c r="E348" s="2"/>
      <c r="F348" s="2"/>
      <c r="G348" s="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0" customHeight="1">
      <c r="A349" s="68"/>
      <c r="B349" s="2"/>
      <c r="C349" s="2"/>
      <c r="D349" s="2"/>
      <c r="E349" s="2"/>
      <c r="F349" s="2"/>
      <c r="G349" s="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0" customHeight="1">
      <c r="A350" s="68"/>
      <c r="B350" s="2"/>
      <c r="C350" s="2"/>
      <c r="D350" s="2"/>
      <c r="E350" s="2"/>
      <c r="F350" s="2"/>
      <c r="G350" s="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0" customHeight="1">
      <c r="A351" s="68"/>
      <c r="B351" s="2"/>
      <c r="C351" s="2"/>
      <c r="D351" s="2"/>
      <c r="E351" s="2"/>
      <c r="F351" s="2"/>
      <c r="G351" s="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0" customHeight="1">
      <c r="A352" s="68"/>
      <c r="B352" s="2"/>
      <c r="C352" s="2"/>
      <c r="D352" s="2"/>
      <c r="E352" s="2"/>
      <c r="F352" s="2"/>
      <c r="G352" s="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0" customHeight="1">
      <c r="A353" s="68"/>
      <c r="B353" s="2"/>
      <c r="C353" s="2"/>
      <c r="D353" s="2"/>
      <c r="E353" s="2"/>
      <c r="F353" s="2"/>
      <c r="G353" s="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0" customHeight="1">
      <c r="A354" s="68"/>
      <c r="B354" s="2"/>
      <c r="C354" s="2"/>
      <c r="D354" s="2"/>
      <c r="E354" s="2"/>
      <c r="F354" s="2"/>
      <c r="G354" s="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0" customHeight="1">
      <c r="A355" s="68"/>
      <c r="B355" s="2"/>
      <c r="C355" s="2"/>
      <c r="D355" s="2"/>
      <c r="E355" s="2"/>
      <c r="F355" s="2"/>
      <c r="G355" s="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0" customHeight="1">
      <c r="A356" s="68"/>
      <c r="B356" s="2"/>
      <c r="C356" s="2"/>
      <c r="D356" s="2"/>
      <c r="E356" s="2"/>
      <c r="F356" s="2"/>
      <c r="G356" s="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0" customHeight="1">
      <c r="A357" s="68"/>
      <c r="B357" s="2"/>
      <c r="C357" s="2"/>
      <c r="D357" s="2"/>
      <c r="E357" s="2"/>
      <c r="F357" s="2"/>
      <c r="G357" s="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0" customHeight="1">
      <c r="A358" s="68"/>
      <c r="B358" s="2"/>
      <c r="C358" s="2"/>
      <c r="D358" s="2"/>
      <c r="E358" s="2"/>
      <c r="F358" s="2"/>
      <c r="G358" s="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0" customHeight="1">
      <c r="A359" s="68"/>
      <c r="B359" s="2"/>
      <c r="C359" s="2"/>
      <c r="D359" s="2"/>
      <c r="E359" s="2"/>
      <c r="F359" s="2"/>
      <c r="G359" s="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0" customHeight="1">
      <c r="A360" s="68"/>
      <c r="B360" s="2"/>
      <c r="C360" s="2"/>
      <c r="D360" s="2"/>
      <c r="E360" s="2"/>
      <c r="F360" s="2"/>
      <c r="G360" s="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0" customHeight="1">
      <c r="A361" s="68"/>
      <c r="B361" s="2"/>
      <c r="C361" s="2"/>
      <c r="D361" s="2"/>
      <c r="E361" s="2"/>
      <c r="F361" s="2"/>
      <c r="G361" s="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0" customHeight="1">
      <c r="A362" s="68"/>
      <c r="B362" s="2"/>
      <c r="C362" s="2"/>
      <c r="D362" s="2"/>
      <c r="E362" s="2"/>
      <c r="F362" s="2"/>
      <c r="G362" s="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0" customHeight="1">
      <c r="A363" s="68"/>
      <c r="B363" s="2"/>
      <c r="C363" s="2"/>
      <c r="D363" s="2"/>
      <c r="E363" s="2"/>
      <c r="F363" s="2"/>
      <c r="G363" s="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0" customHeight="1">
      <c r="A364" s="68"/>
      <c r="B364" s="2"/>
      <c r="C364" s="2"/>
      <c r="D364" s="2"/>
      <c r="E364" s="2"/>
      <c r="F364" s="2"/>
      <c r="G364" s="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0" customHeight="1">
      <c r="A365" s="68"/>
      <c r="B365" s="2"/>
      <c r="C365" s="2"/>
      <c r="D365" s="2"/>
      <c r="E365" s="2"/>
      <c r="F365" s="2"/>
      <c r="G365" s="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0" customHeight="1">
      <c r="A366" s="68"/>
      <c r="B366" s="2"/>
      <c r="C366" s="2"/>
      <c r="D366" s="2"/>
      <c r="E366" s="2"/>
      <c r="F366" s="2"/>
      <c r="G366" s="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0" customHeight="1">
      <c r="A367" s="68"/>
      <c r="B367" s="2"/>
      <c r="C367" s="2"/>
      <c r="D367" s="2"/>
      <c r="E367" s="2"/>
      <c r="F367" s="2"/>
      <c r="G367" s="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0" customHeight="1">
      <c r="A368" s="68"/>
      <c r="B368" s="2"/>
      <c r="C368" s="2"/>
      <c r="D368" s="2"/>
      <c r="E368" s="2"/>
      <c r="F368" s="2"/>
      <c r="G368" s="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0" customHeight="1">
      <c r="A369" s="68"/>
      <c r="B369" s="2"/>
      <c r="C369" s="2"/>
      <c r="D369" s="2"/>
      <c r="E369" s="2"/>
      <c r="F369" s="2"/>
      <c r="G369" s="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0" customHeight="1">
      <c r="A370" s="68"/>
      <c r="B370" s="2"/>
      <c r="C370" s="2"/>
      <c r="D370" s="2"/>
      <c r="E370" s="2"/>
      <c r="F370" s="2"/>
      <c r="G370" s="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0" customHeight="1">
      <c r="A371" s="68"/>
      <c r="B371" s="2"/>
      <c r="C371" s="2"/>
      <c r="D371" s="2"/>
      <c r="E371" s="2"/>
      <c r="F371" s="2"/>
      <c r="G371" s="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0" customHeight="1">
      <c r="A372" s="68"/>
      <c r="B372" s="2"/>
      <c r="C372" s="2"/>
      <c r="D372" s="2"/>
      <c r="E372" s="2"/>
      <c r="F372" s="2"/>
      <c r="G372" s="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0" customHeight="1">
      <c r="A373" s="68"/>
      <c r="B373" s="2"/>
      <c r="C373" s="2"/>
      <c r="D373" s="2"/>
      <c r="E373" s="2"/>
      <c r="F373" s="2"/>
      <c r="G373" s="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0" customHeight="1">
      <c r="A374" s="68"/>
      <c r="B374" s="2"/>
      <c r="C374" s="2"/>
      <c r="D374" s="2"/>
      <c r="E374" s="2"/>
      <c r="F374" s="2"/>
      <c r="G374" s="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0" customHeight="1">
      <c r="A375" s="68"/>
      <c r="B375" s="2"/>
      <c r="C375" s="2"/>
      <c r="D375" s="2"/>
      <c r="E375" s="2"/>
      <c r="F375" s="2"/>
      <c r="G375" s="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0" customHeight="1">
      <c r="A376" s="68"/>
      <c r="B376" s="2"/>
      <c r="C376" s="2"/>
      <c r="D376" s="2"/>
      <c r="E376" s="2"/>
      <c r="F376" s="2"/>
      <c r="G376" s="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0" customHeight="1">
      <c r="A377" s="68"/>
      <c r="B377" s="2"/>
      <c r="C377" s="2"/>
      <c r="D377" s="2"/>
      <c r="E377" s="2"/>
      <c r="F377" s="2"/>
      <c r="G377" s="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0" customHeight="1">
      <c r="A378" s="68"/>
      <c r="B378" s="2"/>
      <c r="C378" s="2"/>
      <c r="D378" s="2"/>
      <c r="E378" s="2"/>
      <c r="F378" s="2"/>
      <c r="G378" s="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0" customHeight="1">
      <c r="A379" s="68"/>
      <c r="B379" s="2"/>
      <c r="C379" s="2"/>
      <c r="D379" s="2"/>
      <c r="E379" s="2"/>
      <c r="F379" s="2"/>
      <c r="G379" s="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0" customHeight="1">
      <c r="A380" s="68"/>
      <c r="B380" s="2"/>
      <c r="C380" s="2"/>
      <c r="D380" s="2"/>
      <c r="E380" s="2"/>
      <c r="F380" s="2"/>
      <c r="G380" s="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0" customHeight="1">
      <c r="A381" s="68"/>
      <c r="B381" s="2"/>
      <c r="C381" s="2"/>
      <c r="D381" s="2"/>
      <c r="E381" s="2"/>
      <c r="F381" s="2"/>
      <c r="G381" s="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0" customHeight="1">
      <c r="A382" s="68"/>
      <c r="B382" s="2"/>
      <c r="C382" s="2"/>
      <c r="D382" s="2"/>
      <c r="E382" s="2"/>
      <c r="F382" s="2"/>
      <c r="G382" s="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0" customHeight="1">
      <c r="A383" s="68"/>
      <c r="B383" s="2"/>
      <c r="C383" s="2"/>
      <c r="D383" s="2"/>
      <c r="E383" s="2"/>
      <c r="F383" s="2"/>
      <c r="G383" s="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0" customHeight="1">
      <c r="A384" s="68"/>
      <c r="B384" s="2"/>
      <c r="C384" s="2"/>
      <c r="D384" s="2"/>
      <c r="E384" s="2"/>
      <c r="F384" s="2"/>
      <c r="G384" s="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0" customHeight="1">
      <c r="A385" s="68"/>
      <c r="B385" s="2"/>
      <c r="C385" s="2"/>
      <c r="D385" s="2"/>
      <c r="E385" s="2"/>
      <c r="F385" s="2"/>
      <c r="G385" s="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0" customHeight="1">
      <c r="A386" s="68"/>
      <c r="B386" s="2"/>
      <c r="C386" s="2"/>
      <c r="D386" s="2"/>
      <c r="E386" s="2"/>
      <c r="F386" s="2"/>
      <c r="G386" s="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0" customHeight="1">
      <c r="A387" s="68"/>
      <c r="B387" s="2"/>
      <c r="C387" s="2"/>
      <c r="D387" s="2"/>
      <c r="E387" s="2"/>
      <c r="F387" s="2"/>
      <c r="G387" s="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0" customHeight="1">
      <c r="A388" s="68"/>
      <c r="B388" s="2"/>
      <c r="C388" s="2"/>
      <c r="D388" s="2"/>
      <c r="E388" s="2"/>
      <c r="F388" s="2"/>
      <c r="G388" s="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0" customHeight="1">
      <c r="A389" s="68"/>
      <c r="B389" s="2"/>
      <c r="C389" s="2"/>
      <c r="D389" s="2"/>
      <c r="E389" s="2"/>
      <c r="F389" s="2"/>
      <c r="G389" s="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0" customHeight="1">
      <c r="A390" s="68"/>
      <c r="B390" s="2"/>
      <c r="C390" s="2"/>
      <c r="D390" s="2"/>
      <c r="E390" s="2"/>
      <c r="F390" s="2"/>
      <c r="G390" s="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0" customHeight="1">
      <c r="A391" s="68"/>
      <c r="B391" s="2"/>
      <c r="C391" s="2"/>
      <c r="D391" s="2"/>
      <c r="E391" s="2"/>
      <c r="F391" s="2"/>
      <c r="G391" s="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0" customHeight="1">
      <c r="A392" s="68"/>
      <c r="B392" s="2"/>
      <c r="C392" s="2"/>
      <c r="D392" s="2"/>
      <c r="E392" s="2"/>
      <c r="F392" s="2"/>
      <c r="G392" s="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0" customHeight="1">
      <c r="A393" s="68"/>
      <c r="B393" s="2"/>
      <c r="C393" s="2"/>
      <c r="D393" s="2"/>
      <c r="E393" s="2"/>
      <c r="F393" s="2"/>
      <c r="G393" s="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0" customHeight="1">
      <c r="A394" s="68"/>
      <c r="B394" s="2"/>
      <c r="C394" s="2"/>
      <c r="D394" s="2"/>
      <c r="E394" s="2"/>
      <c r="F394" s="2"/>
      <c r="G394" s="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0" customHeight="1">
      <c r="A395" s="68"/>
      <c r="B395" s="2"/>
      <c r="C395" s="2"/>
      <c r="D395" s="2"/>
      <c r="E395" s="2"/>
      <c r="F395" s="2"/>
      <c r="G395" s="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0" customHeight="1">
      <c r="A396" s="68"/>
      <c r="B396" s="2"/>
      <c r="C396" s="2"/>
      <c r="D396" s="2"/>
      <c r="E396" s="2"/>
      <c r="F396" s="2"/>
      <c r="G396" s="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0" customHeight="1">
      <c r="A397" s="68"/>
      <c r="B397" s="2"/>
      <c r="C397" s="2"/>
      <c r="D397" s="2"/>
      <c r="E397" s="2"/>
      <c r="F397" s="2"/>
      <c r="G397" s="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0" customHeight="1">
      <c r="A398" s="68"/>
      <c r="B398" s="2"/>
      <c r="C398" s="2"/>
      <c r="D398" s="2"/>
      <c r="E398" s="2"/>
      <c r="F398" s="2"/>
      <c r="G398" s="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0" customHeight="1">
      <c r="A399" s="68"/>
      <c r="B399" s="2"/>
      <c r="C399" s="2"/>
      <c r="D399" s="2"/>
      <c r="E399" s="2"/>
      <c r="F399" s="2"/>
      <c r="G399" s="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0" customHeight="1">
      <c r="A400" s="68"/>
      <c r="B400" s="2"/>
      <c r="C400" s="2"/>
      <c r="D400" s="2"/>
      <c r="E400" s="2"/>
      <c r="F400" s="2"/>
      <c r="G400" s="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0" customHeight="1">
      <c r="A401" s="68"/>
      <c r="B401" s="2"/>
      <c r="C401" s="2"/>
      <c r="D401" s="2"/>
      <c r="E401" s="2"/>
      <c r="F401" s="2"/>
      <c r="G401" s="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0" customHeight="1">
      <c r="A402" s="68"/>
      <c r="B402" s="2"/>
      <c r="C402" s="2"/>
      <c r="D402" s="2"/>
      <c r="E402" s="2"/>
      <c r="F402" s="2"/>
      <c r="G402" s="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0" customHeight="1">
      <c r="A403" s="68"/>
      <c r="B403" s="2"/>
      <c r="C403" s="2"/>
      <c r="D403" s="2"/>
      <c r="E403" s="2"/>
      <c r="F403" s="2"/>
      <c r="G403" s="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0" customHeight="1">
      <c r="A404" s="68"/>
      <c r="B404" s="2"/>
      <c r="C404" s="2"/>
      <c r="D404" s="2"/>
      <c r="E404" s="2"/>
      <c r="F404" s="2"/>
      <c r="G404" s="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0" customHeight="1">
      <c r="A405" s="68"/>
      <c r="B405" s="2"/>
      <c r="C405" s="2"/>
      <c r="D405" s="2"/>
      <c r="E405" s="2"/>
      <c r="F405" s="2"/>
      <c r="G405" s="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0" customHeight="1">
      <c r="A406" s="68"/>
      <c r="B406" s="2"/>
      <c r="C406" s="2"/>
      <c r="D406" s="2"/>
      <c r="E406" s="2"/>
      <c r="F406" s="2"/>
      <c r="G406" s="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0" customHeight="1">
      <c r="A407" s="68"/>
      <c r="B407" s="2"/>
      <c r="C407" s="2"/>
      <c r="D407" s="2"/>
      <c r="E407" s="2"/>
      <c r="F407" s="2"/>
      <c r="G407" s="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0" customHeight="1">
      <c r="A408" s="68"/>
      <c r="B408" s="2"/>
      <c r="C408" s="2"/>
      <c r="D408" s="2"/>
      <c r="E408" s="2"/>
      <c r="F408" s="2"/>
      <c r="G408" s="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0" customHeight="1">
      <c r="A409" s="68"/>
      <c r="B409" s="2"/>
      <c r="C409" s="2"/>
      <c r="D409" s="2"/>
      <c r="E409" s="2"/>
      <c r="F409" s="2"/>
      <c r="G409" s="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0" customHeight="1">
      <c r="A410" s="68"/>
      <c r="B410" s="2"/>
      <c r="C410" s="2"/>
      <c r="D410" s="2"/>
      <c r="E410" s="2"/>
      <c r="F410" s="2"/>
      <c r="G410" s="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0" customHeight="1">
      <c r="A411" s="68"/>
      <c r="B411" s="2"/>
      <c r="C411" s="2"/>
      <c r="D411" s="2"/>
      <c r="E411" s="2"/>
      <c r="F411" s="2"/>
      <c r="G411" s="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0" customHeight="1">
      <c r="A412" s="68"/>
      <c r="B412" s="2"/>
      <c r="C412" s="2"/>
      <c r="D412" s="2"/>
      <c r="E412" s="2"/>
      <c r="F412" s="2"/>
      <c r="G412" s="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0" customHeight="1">
      <c r="A413" s="68"/>
      <c r="B413" s="2"/>
      <c r="C413" s="2"/>
      <c r="D413" s="2"/>
      <c r="E413" s="2"/>
      <c r="F413" s="2"/>
      <c r="G413" s="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0" customHeight="1">
      <c r="A414" s="68"/>
      <c r="B414" s="2"/>
      <c r="C414" s="2"/>
      <c r="D414" s="2"/>
      <c r="E414" s="2"/>
      <c r="F414" s="2"/>
      <c r="G414" s="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0" customHeight="1">
      <c r="A415" s="68"/>
      <c r="B415" s="2"/>
      <c r="C415" s="2"/>
      <c r="D415" s="2"/>
      <c r="E415" s="2"/>
      <c r="F415" s="2"/>
      <c r="G415" s="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0" customHeight="1">
      <c r="A416" s="68"/>
      <c r="B416" s="2"/>
      <c r="C416" s="2"/>
      <c r="D416" s="2"/>
      <c r="E416" s="2"/>
      <c r="F416" s="2"/>
      <c r="G416" s="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0" customHeight="1">
      <c r="A417" s="68"/>
      <c r="B417" s="2"/>
      <c r="C417" s="2"/>
      <c r="D417" s="2"/>
      <c r="E417" s="2"/>
      <c r="F417" s="2"/>
      <c r="G417" s="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0" customHeight="1">
      <c r="A418" s="68"/>
      <c r="B418" s="2"/>
      <c r="C418" s="2"/>
      <c r="D418" s="2"/>
      <c r="E418" s="2"/>
      <c r="F418" s="2"/>
      <c r="G418" s="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0" customHeight="1">
      <c r="A419" s="68"/>
      <c r="B419" s="2"/>
      <c r="C419" s="2"/>
      <c r="D419" s="2"/>
      <c r="E419" s="2"/>
      <c r="F419" s="2"/>
      <c r="G419" s="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0" customHeight="1">
      <c r="A420" s="68"/>
      <c r="B420" s="2"/>
      <c r="C420" s="2"/>
      <c r="D420" s="2"/>
      <c r="E420" s="2"/>
      <c r="F420" s="2"/>
      <c r="G420" s="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0" customHeight="1">
      <c r="A421" s="68"/>
      <c r="B421" s="2"/>
      <c r="C421" s="2"/>
      <c r="D421" s="2"/>
      <c r="E421" s="2"/>
      <c r="F421" s="2"/>
      <c r="G421" s="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0" customHeight="1">
      <c r="A422" s="68"/>
      <c r="B422" s="2"/>
      <c r="C422" s="2"/>
      <c r="D422" s="2"/>
      <c r="E422" s="2"/>
      <c r="F422" s="2"/>
      <c r="G422" s="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0" customHeight="1">
      <c r="A423" s="68"/>
      <c r="B423" s="2"/>
      <c r="C423" s="2"/>
      <c r="D423" s="2"/>
      <c r="E423" s="2"/>
      <c r="F423" s="2"/>
      <c r="G423" s="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0" customHeight="1">
      <c r="A424" s="68"/>
      <c r="B424" s="2"/>
      <c r="C424" s="2"/>
      <c r="D424" s="2"/>
      <c r="E424" s="2"/>
      <c r="F424" s="2"/>
      <c r="G424" s="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0" customHeight="1">
      <c r="A425" s="68"/>
      <c r="B425" s="2"/>
      <c r="C425" s="2"/>
      <c r="D425" s="2"/>
      <c r="E425" s="2"/>
      <c r="F425" s="2"/>
      <c r="G425" s="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0" customHeight="1">
      <c r="A426" s="68"/>
      <c r="B426" s="2"/>
      <c r="C426" s="2"/>
      <c r="D426" s="2"/>
      <c r="E426" s="2"/>
      <c r="F426" s="2"/>
      <c r="G426" s="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0" customHeight="1">
      <c r="A427" s="68"/>
      <c r="B427" s="2"/>
      <c r="C427" s="2"/>
      <c r="D427" s="2"/>
      <c r="E427" s="2"/>
      <c r="F427" s="2"/>
      <c r="G427" s="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0" customHeight="1">
      <c r="A428" s="68"/>
      <c r="B428" s="2"/>
      <c r="C428" s="2"/>
      <c r="D428" s="2"/>
      <c r="E428" s="2"/>
      <c r="F428" s="2"/>
      <c r="G428" s="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0" customHeight="1">
      <c r="A429" s="68"/>
      <c r="B429" s="2"/>
      <c r="C429" s="2"/>
      <c r="D429" s="2"/>
      <c r="E429" s="2"/>
      <c r="F429" s="2"/>
      <c r="G429" s="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0" customHeight="1">
      <c r="A430" s="68"/>
      <c r="B430" s="2"/>
      <c r="C430" s="2"/>
      <c r="D430" s="2"/>
      <c r="E430" s="2"/>
      <c r="F430" s="2"/>
      <c r="G430" s="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0" customHeight="1">
      <c r="A431" s="68"/>
      <c r="B431" s="2"/>
      <c r="C431" s="2"/>
      <c r="D431" s="2"/>
      <c r="E431" s="2"/>
      <c r="F431" s="2"/>
      <c r="G431" s="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0" customHeight="1">
      <c r="A432" s="68"/>
      <c r="B432" s="2"/>
      <c r="C432" s="2"/>
      <c r="D432" s="2"/>
      <c r="E432" s="2"/>
      <c r="F432" s="2"/>
      <c r="G432" s="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0" customHeight="1">
      <c r="A433" s="68"/>
      <c r="B433" s="2"/>
      <c r="C433" s="2"/>
      <c r="D433" s="2"/>
      <c r="E433" s="2"/>
      <c r="F433" s="2"/>
      <c r="G433" s="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0" customHeight="1">
      <c r="A434" s="68"/>
      <c r="B434" s="2"/>
      <c r="C434" s="2"/>
      <c r="D434" s="2"/>
      <c r="E434" s="2"/>
      <c r="F434" s="2"/>
      <c r="G434" s="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0" customHeight="1">
      <c r="A435" s="68"/>
      <c r="B435" s="2"/>
      <c r="C435" s="2"/>
      <c r="D435" s="2"/>
      <c r="E435" s="2"/>
      <c r="F435" s="2"/>
      <c r="G435" s="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0" customHeight="1">
      <c r="A436" s="68"/>
      <c r="B436" s="2"/>
      <c r="C436" s="2"/>
      <c r="D436" s="2"/>
      <c r="E436" s="2"/>
      <c r="F436" s="2"/>
      <c r="G436" s="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0" customHeight="1">
      <c r="A437" s="68"/>
      <c r="B437" s="2"/>
      <c r="C437" s="2"/>
      <c r="D437" s="2"/>
      <c r="E437" s="2"/>
      <c r="F437" s="2"/>
      <c r="G437" s="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0" customHeight="1">
      <c r="A438" s="68"/>
      <c r="B438" s="2"/>
      <c r="C438" s="2"/>
      <c r="D438" s="2"/>
      <c r="E438" s="2"/>
      <c r="F438" s="2"/>
      <c r="G438" s="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0" customHeight="1">
      <c r="A439" s="68"/>
      <c r="B439" s="2"/>
      <c r="C439" s="2"/>
      <c r="D439" s="2"/>
      <c r="E439" s="2"/>
      <c r="F439" s="2"/>
      <c r="G439" s="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0" customHeight="1">
      <c r="A440" s="68"/>
      <c r="B440" s="2"/>
      <c r="C440" s="2"/>
      <c r="D440" s="2"/>
      <c r="E440" s="2"/>
      <c r="F440" s="2"/>
      <c r="G440" s="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0" customHeight="1">
      <c r="A441" s="68"/>
      <c r="B441" s="2"/>
      <c r="C441" s="2"/>
      <c r="D441" s="2"/>
      <c r="E441" s="2"/>
      <c r="F441" s="2"/>
      <c r="G441" s="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0" customHeight="1">
      <c r="A442" s="68"/>
      <c r="B442" s="2"/>
      <c r="C442" s="2"/>
      <c r="D442" s="2"/>
      <c r="E442" s="2"/>
      <c r="F442" s="2"/>
      <c r="G442" s="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0" customHeight="1">
      <c r="A443" s="68"/>
      <c r="B443" s="2"/>
      <c r="C443" s="2"/>
      <c r="D443" s="2"/>
      <c r="E443" s="2"/>
      <c r="F443" s="2"/>
      <c r="G443" s="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0" customHeight="1">
      <c r="A444" s="68"/>
      <c r="B444" s="2"/>
      <c r="C444" s="2"/>
      <c r="D444" s="2"/>
      <c r="E444" s="2"/>
      <c r="F444" s="2"/>
      <c r="G444" s="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0" customHeight="1">
      <c r="A445" s="68"/>
      <c r="B445" s="2"/>
      <c r="C445" s="2"/>
      <c r="D445" s="2"/>
      <c r="E445" s="2"/>
      <c r="F445" s="2"/>
      <c r="G445" s="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0" customHeight="1">
      <c r="A446" s="68"/>
      <c r="B446" s="2"/>
      <c r="C446" s="2"/>
      <c r="D446" s="2"/>
      <c r="E446" s="2"/>
      <c r="F446" s="2"/>
      <c r="G446" s="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0" customHeight="1">
      <c r="A447" s="68"/>
      <c r="B447" s="2"/>
      <c r="C447" s="2"/>
      <c r="D447" s="2"/>
      <c r="E447" s="2"/>
      <c r="F447" s="2"/>
      <c r="G447" s="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0" customHeight="1">
      <c r="A448" s="68"/>
      <c r="B448" s="2"/>
      <c r="C448" s="2"/>
      <c r="D448" s="2"/>
      <c r="E448" s="2"/>
      <c r="F448" s="2"/>
      <c r="G448" s="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0" customHeight="1">
      <c r="A449" s="68"/>
      <c r="B449" s="2"/>
      <c r="C449" s="2"/>
      <c r="D449" s="2"/>
      <c r="E449" s="2"/>
      <c r="F449" s="2"/>
      <c r="G449" s="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0" customHeight="1">
      <c r="A450" s="68"/>
      <c r="B450" s="2"/>
      <c r="C450" s="2"/>
      <c r="D450" s="2"/>
      <c r="E450" s="2"/>
      <c r="F450" s="2"/>
      <c r="G450" s="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0" customHeight="1">
      <c r="A451" s="68"/>
      <c r="B451" s="2"/>
      <c r="C451" s="2"/>
      <c r="D451" s="2"/>
      <c r="E451" s="2"/>
      <c r="F451" s="2"/>
      <c r="G451" s="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0" customHeight="1">
      <c r="A452" s="68"/>
      <c r="B452" s="2"/>
      <c r="C452" s="2"/>
      <c r="D452" s="2"/>
      <c r="E452" s="2"/>
      <c r="F452" s="2"/>
      <c r="G452" s="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0" customHeight="1">
      <c r="A453" s="68"/>
      <c r="B453" s="2"/>
      <c r="C453" s="2"/>
      <c r="D453" s="2"/>
      <c r="E453" s="2"/>
      <c r="F453" s="2"/>
      <c r="G453" s="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0" customHeight="1">
      <c r="A454" s="68"/>
      <c r="B454" s="2"/>
      <c r="C454" s="2"/>
      <c r="D454" s="2"/>
      <c r="E454" s="2"/>
      <c r="F454" s="2"/>
      <c r="G454" s="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0" customHeight="1">
      <c r="A455" s="68"/>
      <c r="B455" s="2"/>
      <c r="C455" s="2"/>
      <c r="D455" s="2"/>
      <c r="E455" s="2"/>
      <c r="F455" s="2"/>
      <c r="G455" s="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0" customHeight="1">
      <c r="A456" s="68"/>
      <c r="B456" s="2"/>
      <c r="C456" s="2"/>
      <c r="D456" s="2"/>
      <c r="E456" s="2"/>
      <c r="F456" s="2"/>
      <c r="G456" s="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0" customHeight="1">
      <c r="A457" s="68"/>
      <c r="B457" s="2"/>
      <c r="C457" s="2"/>
      <c r="D457" s="2"/>
      <c r="E457" s="2"/>
      <c r="F457" s="2"/>
      <c r="G457" s="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0" customHeight="1">
      <c r="A458" s="68"/>
      <c r="B458" s="2"/>
      <c r="C458" s="2"/>
      <c r="D458" s="2"/>
      <c r="E458" s="2"/>
      <c r="F458" s="2"/>
      <c r="G458" s="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0" customHeight="1">
      <c r="A459" s="68"/>
      <c r="B459" s="2"/>
      <c r="C459" s="2"/>
      <c r="D459" s="2"/>
      <c r="E459" s="2"/>
      <c r="F459" s="2"/>
      <c r="G459" s="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0" customHeight="1">
      <c r="A460" s="68"/>
      <c r="B460" s="2"/>
      <c r="C460" s="2"/>
      <c r="D460" s="2"/>
      <c r="E460" s="2"/>
      <c r="F460" s="2"/>
      <c r="G460" s="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0" customHeight="1">
      <c r="A461" s="68"/>
      <c r="B461" s="2"/>
      <c r="C461" s="2"/>
      <c r="D461" s="2"/>
      <c r="E461" s="2"/>
      <c r="F461" s="2"/>
      <c r="G461" s="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0" customHeight="1">
      <c r="A462" s="68"/>
      <c r="B462" s="2"/>
      <c r="C462" s="2"/>
      <c r="D462" s="2"/>
      <c r="E462" s="2"/>
      <c r="F462" s="2"/>
      <c r="G462" s="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0" customHeight="1">
      <c r="A463" s="68"/>
      <c r="B463" s="2"/>
      <c r="C463" s="2"/>
      <c r="D463" s="2"/>
      <c r="E463" s="2"/>
      <c r="F463" s="2"/>
      <c r="G463" s="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0" customHeight="1">
      <c r="A464" s="68"/>
      <c r="B464" s="2"/>
      <c r="C464" s="2"/>
      <c r="D464" s="2"/>
      <c r="E464" s="2"/>
      <c r="F464" s="2"/>
      <c r="G464" s="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0" customHeight="1">
      <c r="A465" s="68"/>
      <c r="B465" s="2"/>
      <c r="C465" s="2"/>
      <c r="D465" s="2"/>
      <c r="E465" s="2"/>
      <c r="F465" s="2"/>
      <c r="G465" s="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0" customHeight="1">
      <c r="A466" s="68"/>
      <c r="B466" s="2"/>
      <c r="C466" s="2"/>
      <c r="D466" s="2"/>
      <c r="E466" s="2"/>
      <c r="F466" s="2"/>
      <c r="G466" s="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0" customHeight="1">
      <c r="A467" s="68"/>
      <c r="B467" s="2"/>
      <c r="C467" s="2"/>
      <c r="D467" s="2"/>
      <c r="E467" s="2"/>
      <c r="F467" s="2"/>
      <c r="G467" s="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0" customHeight="1">
      <c r="A468" s="68"/>
      <c r="B468" s="2"/>
      <c r="C468" s="2"/>
      <c r="D468" s="2"/>
      <c r="E468" s="2"/>
      <c r="F468" s="2"/>
      <c r="G468" s="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0" customHeight="1">
      <c r="A469" s="68"/>
      <c r="B469" s="2"/>
      <c r="C469" s="2"/>
      <c r="D469" s="2"/>
      <c r="E469" s="2"/>
      <c r="F469" s="2"/>
      <c r="G469" s="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0" customHeight="1">
      <c r="A470" s="68"/>
      <c r="B470" s="2"/>
      <c r="C470" s="2"/>
      <c r="D470" s="2"/>
      <c r="E470" s="2"/>
      <c r="F470" s="2"/>
      <c r="G470" s="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0" customHeight="1">
      <c r="A471" s="68"/>
      <c r="B471" s="2"/>
      <c r="C471" s="2"/>
      <c r="D471" s="2"/>
      <c r="E471" s="2"/>
      <c r="F471" s="2"/>
      <c r="G471" s="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0" customHeight="1">
      <c r="A472" s="68"/>
      <c r="B472" s="2"/>
      <c r="C472" s="2"/>
      <c r="D472" s="2"/>
      <c r="E472" s="2"/>
      <c r="F472" s="2"/>
      <c r="G472" s="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0" customHeight="1">
      <c r="A473" s="68"/>
      <c r="B473" s="2"/>
      <c r="C473" s="2"/>
      <c r="D473" s="2"/>
      <c r="E473" s="2"/>
      <c r="F473" s="2"/>
      <c r="G473" s="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0" customHeight="1">
      <c r="A474" s="68"/>
      <c r="B474" s="2"/>
      <c r="C474" s="2"/>
      <c r="D474" s="2"/>
      <c r="E474" s="2"/>
      <c r="F474" s="2"/>
      <c r="G474" s="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0" customHeight="1">
      <c r="A475" s="68"/>
      <c r="B475" s="2"/>
      <c r="C475" s="2"/>
      <c r="D475" s="2"/>
      <c r="E475" s="2"/>
      <c r="F475" s="2"/>
      <c r="G475" s="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0" customHeight="1">
      <c r="A476" s="68"/>
      <c r="B476" s="2"/>
      <c r="C476" s="2"/>
      <c r="D476" s="2"/>
      <c r="E476" s="2"/>
      <c r="F476" s="2"/>
      <c r="G476" s="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0" customHeight="1">
      <c r="A477" s="68"/>
      <c r="B477" s="2"/>
      <c r="C477" s="2"/>
      <c r="D477" s="2"/>
      <c r="E477" s="2"/>
      <c r="F477" s="2"/>
      <c r="G477" s="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0" customHeight="1">
      <c r="A478" s="68"/>
      <c r="B478" s="2"/>
      <c r="C478" s="2"/>
      <c r="D478" s="2"/>
      <c r="E478" s="2"/>
      <c r="F478" s="2"/>
      <c r="G478" s="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0" customHeight="1">
      <c r="A479" s="68"/>
      <c r="B479" s="2"/>
      <c r="C479" s="2"/>
      <c r="D479" s="2"/>
      <c r="E479" s="2"/>
      <c r="F479" s="2"/>
      <c r="G479" s="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0" customHeight="1">
      <c r="A480" s="68"/>
      <c r="B480" s="2"/>
      <c r="C480" s="2"/>
      <c r="D480" s="2"/>
      <c r="E480" s="2"/>
      <c r="F480" s="2"/>
      <c r="G480" s="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0" customHeight="1">
      <c r="A481" s="68"/>
      <c r="B481" s="2"/>
      <c r="C481" s="2"/>
      <c r="D481" s="2"/>
      <c r="E481" s="2"/>
      <c r="F481" s="2"/>
      <c r="G481" s="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0" customHeight="1">
      <c r="A482" s="68"/>
      <c r="B482" s="2"/>
      <c r="C482" s="2"/>
      <c r="D482" s="2"/>
      <c r="E482" s="2"/>
      <c r="F482" s="2"/>
      <c r="G482" s="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0" customHeight="1">
      <c r="A483" s="68"/>
      <c r="B483" s="2"/>
      <c r="C483" s="2"/>
      <c r="D483" s="2"/>
      <c r="E483" s="2"/>
      <c r="F483" s="2"/>
      <c r="G483" s="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0" customHeight="1">
      <c r="A484" s="68"/>
      <c r="B484" s="2"/>
      <c r="C484" s="2"/>
      <c r="D484" s="2"/>
      <c r="E484" s="2"/>
      <c r="F484" s="2"/>
      <c r="G484" s="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0" customHeight="1">
      <c r="A485" s="68"/>
      <c r="B485" s="2"/>
      <c r="C485" s="2"/>
      <c r="D485" s="2"/>
      <c r="E485" s="2"/>
      <c r="F485" s="2"/>
      <c r="G485" s="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0" customHeight="1">
      <c r="A486" s="68"/>
      <c r="B486" s="2"/>
      <c r="C486" s="2"/>
      <c r="D486" s="2"/>
      <c r="E486" s="2"/>
      <c r="F486" s="2"/>
      <c r="G486" s="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0" customHeight="1">
      <c r="A487" s="68"/>
      <c r="B487" s="2"/>
      <c r="C487" s="2"/>
      <c r="D487" s="2"/>
      <c r="E487" s="2"/>
      <c r="F487" s="2"/>
      <c r="G487" s="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0" customHeight="1">
      <c r="A488" s="68"/>
      <c r="B488" s="2"/>
      <c r="C488" s="2"/>
      <c r="D488" s="2"/>
      <c r="E488" s="2"/>
      <c r="F488" s="2"/>
      <c r="G488" s="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0" customHeight="1">
      <c r="A489" s="68"/>
      <c r="B489" s="2"/>
      <c r="C489" s="2"/>
      <c r="D489" s="2"/>
      <c r="E489" s="2"/>
      <c r="F489" s="2"/>
      <c r="G489" s="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0" customHeight="1">
      <c r="A490" s="68"/>
      <c r="B490" s="2"/>
      <c r="C490" s="2"/>
      <c r="D490" s="2"/>
      <c r="E490" s="2"/>
      <c r="F490" s="2"/>
      <c r="G490" s="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0" customHeight="1">
      <c r="A491" s="68"/>
      <c r="B491" s="2"/>
      <c r="C491" s="2"/>
      <c r="D491" s="2"/>
      <c r="E491" s="2"/>
      <c r="F491" s="2"/>
      <c r="G491" s="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0" customHeight="1">
      <c r="A492" s="68"/>
      <c r="B492" s="2"/>
      <c r="C492" s="2"/>
      <c r="D492" s="2"/>
      <c r="E492" s="2"/>
      <c r="F492" s="2"/>
      <c r="G492" s="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0" customHeight="1">
      <c r="A493" s="68"/>
      <c r="B493" s="2"/>
      <c r="C493" s="2"/>
      <c r="D493" s="2"/>
      <c r="E493" s="2"/>
      <c r="F493" s="2"/>
      <c r="G493" s="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0" customHeight="1">
      <c r="A494" s="68"/>
      <c r="B494" s="2"/>
      <c r="C494" s="2"/>
      <c r="D494" s="2"/>
      <c r="E494" s="2"/>
      <c r="F494" s="2"/>
      <c r="G494" s="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0" customHeight="1">
      <c r="A495" s="68"/>
      <c r="B495" s="2"/>
      <c r="C495" s="2"/>
      <c r="D495" s="2"/>
      <c r="E495" s="2"/>
      <c r="F495" s="2"/>
      <c r="G495" s="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0" customHeight="1">
      <c r="A496" s="68"/>
      <c r="B496" s="2"/>
      <c r="C496" s="2"/>
      <c r="D496" s="2"/>
      <c r="E496" s="2"/>
      <c r="F496" s="2"/>
      <c r="G496" s="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0" customHeight="1">
      <c r="A497" s="68"/>
      <c r="B497" s="2"/>
      <c r="C497" s="2"/>
      <c r="D497" s="2"/>
      <c r="E497" s="2"/>
      <c r="F497" s="2"/>
      <c r="G497" s="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0" customHeight="1">
      <c r="A498" s="68"/>
      <c r="B498" s="2"/>
      <c r="C498" s="2"/>
      <c r="D498" s="2"/>
      <c r="E498" s="2"/>
      <c r="F498" s="2"/>
      <c r="G498" s="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0" customHeight="1">
      <c r="A499" s="68"/>
      <c r="B499" s="2"/>
      <c r="C499" s="2"/>
      <c r="D499" s="2"/>
      <c r="E499" s="2"/>
      <c r="F499" s="2"/>
      <c r="G499" s="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0" customHeight="1">
      <c r="A500" s="68"/>
      <c r="B500" s="2"/>
      <c r="C500" s="2"/>
      <c r="D500" s="2"/>
      <c r="E500" s="2"/>
      <c r="F500" s="2"/>
      <c r="G500" s="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0" customHeight="1">
      <c r="A501" s="68"/>
      <c r="B501" s="2"/>
      <c r="C501" s="2"/>
      <c r="D501" s="2"/>
      <c r="E501" s="2"/>
      <c r="F501" s="2"/>
      <c r="G501" s="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0" customHeight="1">
      <c r="A502" s="68"/>
      <c r="B502" s="2"/>
      <c r="C502" s="2"/>
      <c r="D502" s="2"/>
      <c r="E502" s="2"/>
      <c r="F502" s="2"/>
      <c r="G502" s="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0" customHeight="1">
      <c r="A503" s="68"/>
      <c r="B503" s="2"/>
      <c r="C503" s="2"/>
      <c r="D503" s="2"/>
      <c r="E503" s="2"/>
      <c r="F503" s="2"/>
      <c r="G503" s="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0" customHeight="1">
      <c r="A504" s="68"/>
      <c r="B504" s="2"/>
      <c r="C504" s="2"/>
      <c r="D504" s="2"/>
      <c r="E504" s="2"/>
      <c r="F504" s="2"/>
      <c r="G504" s="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0" customHeight="1">
      <c r="A505" s="68"/>
      <c r="B505" s="2"/>
      <c r="C505" s="2"/>
      <c r="D505" s="2"/>
      <c r="E505" s="2"/>
      <c r="F505" s="2"/>
      <c r="G505" s="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0" customHeight="1">
      <c r="A506" s="68"/>
      <c r="B506" s="2"/>
      <c r="C506" s="2"/>
      <c r="D506" s="2"/>
      <c r="E506" s="2"/>
      <c r="F506" s="2"/>
      <c r="G506" s="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0" customHeight="1">
      <c r="A507" s="68"/>
      <c r="B507" s="2"/>
      <c r="C507" s="2"/>
      <c r="D507" s="2"/>
      <c r="E507" s="2"/>
      <c r="F507" s="2"/>
      <c r="G507" s="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0" customHeight="1">
      <c r="A508" s="68"/>
      <c r="B508" s="2"/>
      <c r="C508" s="2"/>
      <c r="D508" s="2"/>
      <c r="E508" s="2"/>
      <c r="F508" s="2"/>
      <c r="G508" s="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0" customHeight="1">
      <c r="A509" s="68"/>
      <c r="B509" s="2"/>
      <c r="C509" s="2"/>
      <c r="D509" s="2"/>
      <c r="E509" s="2"/>
      <c r="F509" s="2"/>
      <c r="G509" s="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0" customHeight="1">
      <c r="A510" s="68"/>
      <c r="B510" s="2"/>
      <c r="C510" s="2"/>
      <c r="D510" s="2"/>
      <c r="E510" s="2"/>
      <c r="F510" s="2"/>
      <c r="G510" s="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0" customHeight="1">
      <c r="A511" s="68"/>
      <c r="B511" s="2"/>
      <c r="C511" s="2"/>
      <c r="D511" s="2"/>
      <c r="E511" s="2"/>
      <c r="F511" s="2"/>
      <c r="G511" s="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0" customHeight="1">
      <c r="A512" s="68"/>
      <c r="B512" s="2"/>
      <c r="C512" s="2"/>
      <c r="D512" s="2"/>
      <c r="E512" s="2"/>
      <c r="F512" s="2"/>
      <c r="G512" s="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0" customHeight="1">
      <c r="A513" s="68"/>
      <c r="B513" s="2"/>
      <c r="C513" s="2"/>
      <c r="D513" s="2"/>
      <c r="E513" s="2"/>
      <c r="F513" s="2"/>
      <c r="G513" s="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0" customHeight="1">
      <c r="A514" s="68"/>
      <c r="B514" s="2"/>
      <c r="C514" s="2"/>
      <c r="D514" s="2"/>
      <c r="E514" s="2"/>
      <c r="F514" s="2"/>
      <c r="G514" s="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0" customHeight="1">
      <c r="A515" s="68"/>
      <c r="B515" s="2"/>
      <c r="C515" s="2"/>
      <c r="D515" s="2"/>
      <c r="E515" s="2"/>
      <c r="F515" s="2"/>
      <c r="G515" s="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0" customHeight="1">
      <c r="A516" s="68"/>
      <c r="B516" s="2"/>
      <c r="C516" s="2"/>
      <c r="D516" s="2"/>
      <c r="E516" s="2"/>
      <c r="F516" s="2"/>
      <c r="G516" s="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0" customHeight="1">
      <c r="A517" s="68"/>
      <c r="B517" s="2"/>
      <c r="C517" s="2"/>
      <c r="D517" s="2"/>
      <c r="E517" s="2"/>
      <c r="F517" s="2"/>
      <c r="G517" s="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0" customHeight="1">
      <c r="A518" s="68"/>
      <c r="B518" s="2"/>
      <c r="C518" s="2"/>
      <c r="D518" s="2"/>
      <c r="E518" s="2"/>
      <c r="F518" s="2"/>
      <c r="G518" s="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0" customHeight="1">
      <c r="A519" s="68"/>
      <c r="B519" s="2"/>
      <c r="C519" s="2"/>
      <c r="D519" s="2"/>
      <c r="E519" s="2"/>
      <c r="F519" s="2"/>
      <c r="G519" s="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0" customHeight="1">
      <c r="A520" s="68"/>
      <c r="B520" s="2"/>
      <c r="C520" s="2"/>
      <c r="D520" s="2"/>
      <c r="E520" s="2"/>
      <c r="F520" s="2"/>
      <c r="G520" s="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0" customHeight="1">
      <c r="A521" s="68"/>
      <c r="B521" s="2"/>
      <c r="C521" s="2"/>
      <c r="D521" s="2"/>
      <c r="E521" s="2"/>
      <c r="F521" s="2"/>
      <c r="G521" s="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0" customHeight="1">
      <c r="A522" s="68"/>
      <c r="B522" s="2"/>
      <c r="C522" s="2"/>
      <c r="D522" s="2"/>
      <c r="E522" s="2"/>
      <c r="F522" s="2"/>
      <c r="G522" s="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0" customHeight="1">
      <c r="A523" s="68"/>
      <c r="B523" s="2"/>
      <c r="C523" s="2"/>
      <c r="D523" s="2"/>
      <c r="E523" s="2"/>
      <c r="F523" s="2"/>
      <c r="G523" s="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0" customHeight="1">
      <c r="A524" s="68"/>
      <c r="B524" s="2"/>
      <c r="C524" s="2"/>
      <c r="D524" s="2"/>
      <c r="E524" s="2"/>
      <c r="F524" s="2"/>
      <c r="G524" s="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0" customHeight="1">
      <c r="A525" s="68"/>
      <c r="B525" s="2"/>
      <c r="C525" s="2"/>
      <c r="D525" s="2"/>
      <c r="E525" s="2"/>
      <c r="F525" s="2"/>
      <c r="G525" s="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0" customHeight="1">
      <c r="A526" s="68"/>
      <c r="B526" s="2"/>
      <c r="C526" s="2"/>
      <c r="D526" s="2"/>
      <c r="E526" s="2"/>
      <c r="F526" s="2"/>
      <c r="G526" s="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0" customHeight="1">
      <c r="A527" s="68"/>
      <c r="B527" s="2"/>
      <c r="C527" s="2"/>
      <c r="D527" s="2"/>
      <c r="E527" s="2"/>
      <c r="F527" s="2"/>
      <c r="G527" s="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0" customHeight="1">
      <c r="A528" s="68"/>
      <c r="B528" s="2"/>
      <c r="C528" s="2"/>
      <c r="D528" s="2"/>
      <c r="E528" s="2"/>
      <c r="F528" s="2"/>
      <c r="G528" s="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0" customHeight="1">
      <c r="A529" s="68"/>
      <c r="B529" s="2"/>
      <c r="C529" s="2"/>
      <c r="D529" s="2"/>
      <c r="E529" s="2"/>
      <c r="F529" s="2"/>
      <c r="G529" s="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0" customHeight="1">
      <c r="A530" s="68"/>
      <c r="B530" s="2"/>
      <c r="C530" s="2"/>
      <c r="D530" s="2"/>
      <c r="E530" s="2"/>
      <c r="F530" s="2"/>
      <c r="G530" s="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0" customHeight="1">
      <c r="A531" s="68"/>
      <c r="B531" s="2"/>
      <c r="C531" s="2"/>
      <c r="D531" s="2"/>
      <c r="E531" s="2"/>
      <c r="F531" s="2"/>
      <c r="G531" s="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0" customHeight="1">
      <c r="A532" s="68"/>
      <c r="B532" s="2"/>
      <c r="C532" s="2"/>
      <c r="D532" s="2"/>
      <c r="E532" s="2"/>
      <c r="F532" s="2"/>
      <c r="G532" s="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0" customHeight="1">
      <c r="A533" s="68"/>
      <c r="B533" s="2"/>
      <c r="C533" s="2"/>
      <c r="D533" s="2"/>
      <c r="E533" s="2"/>
      <c r="F533" s="2"/>
      <c r="G533" s="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0" customHeight="1">
      <c r="A534" s="68"/>
      <c r="B534" s="2"/>
      <c r="C534" s="2"/>
      <c r="D534" s="2"/>
      <c r="E534" s="2"/>
      <c r="F534" s="2"/>
      <c r="G534" s="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0" customHeight="1">
      <c r="A535" s="68"/>
      <c r="B535" s="2"/>
      <c r="C535" s="2"/>
      <c r="D535" s="2"/>
      <c r="E535" s="2"/>
      <c r="F535" s="2"/>
      <c r="G535" s="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0" customHeight="1">
      <c r="A536" s="68"/>
      <c r="B536" s="2"/>
      <c r="C536" s="2"/>
      <c r="D536" s="2"/>
      <c r="E536" s="2"/>
      <c r="F536" s="2"/>
      <c r="G536" s="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0" customHeight="1">
      <c r="A537" s="68"/>
      <c r="B537" s="2"/>
      <c r="C537" s="2"/>
      <c r="D537" s="2"/>
      <c r="E537" s="2"/>
      <c r="F537" s="2"/>
      <c r="G537" s="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0" customHeight="1">
      <c r="A538" s="68"/>
      <c r="B538" s="2"/>
      <c r="C538" s="2"/>
      <c r="D538" s="2"/>
      <c r="E538" s="2"/>
      <c r="F538" s="2"/>
      <c r="G538" s="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0" customHeight="1">
      <c r="A539" s="68"/>
      <c r="B539" s="2"/>
      <c r="C539" s="2"/>
      <c r="D539" s="2"/>
      <c r="E539" s="2"/>
      <c r="F539" s="2"/>
      <c r="G539" s="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0" customHeight="1">
      <c r="A540" s="68"/>
      <c r="B540" s="2"/>
      <c r="C540" s="2"/>
      <c r="D540" s="2"/>
      <c r="E540" s="2"/>
      <c r="F540" s="2"/>
      <c r="G540" s="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0" customHeight="1">
      <c r="A541" s="68"/>
      <c r="B541" s="2"/>
      <c r="C541" s="2"/>
      <c r="D541" s="2"/>
      <c r="E541" s="2"/>
      <c r="F541" s="2"/>
      <c r="G541" s="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0" customHeight="1">
      <c r="A542" s="68"/>
      <c r="B542" s="2"/>
      <c r="C542" s="2"/>
      <c r="D542" s="2"/>
      <c r="E542" s="2"/>
      <c r="F542" s="2"/>
      <c r="G542" s="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0" customHeight="1">
      <c r="A543" s="68"/>
      <c r="B543" s="2"/>
      <c r="C543" s="2"/>
      <c r="D543" s="2"/>
      <c r="E543" s="2"/>
      <c r="F543" s="2"/>
      <c r="G543" s="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0" customHeight="1">
      <c r="A544" s="68"/>
      <c r="B544" s="2"/>
      <c r="C544" s="2"/>
      <c r="D544" s="2"/>
      <c r="E544" s="2"/>
      <c r="F544" s="2"/>
      <c r="G544" s="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0" customHeight="1">
      <c r="A545" s="68"/>
      <c r="B545" s="2"/>
      <c r="C545" s="2"/>
      <c r="D545" s="2"/>
      <c r="E545" s="2"/>
      <c r="F545" s="2"/>
      <c r="G545" s="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0" customHeight="1">
      <c r="A546" s="68"/>
      <c r="B546" s="2"/>
      <c r="C546" s="2"/>
      <c r="D546" s="2"/>
      <c r="E546" s="2"/>
      <c r="F546" s="2"/>
      <c r="G546" s="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0" customHeight="1">
      <c r="A547" s="68"/>
      <c r="B547" s="2"/>
      <c r="C547" s="2"/>
      <c r="D547" s="2"/>
      <c r="E547" s="2"/>
      <c r="F547" s="2"/>
      <c r="G547" s="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0" customHeight="1">
      <c r="A548" s="68"/>
      <c r="B548" s="2"/>
      <c r="C548" s="2"/>
      <c r="D548" s="2"/>
      <c r="E548" s="2"/>
      <c r="F548" s="2"/>
      <c r="G548" s="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0" customHeight="1">
      <c r="A549" s="68"/>
      <c r="B549" s="2"/>
      <c r="C549" s="2"/>
      <c r="D549" s="2"/>
      <c r="E549" s="2"/>
      <c r="F549" s="2"/>
      <c r="G549" s="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0" customHeight="1">
      <c r="A550" s="68"/>
      <c r="B550" s="2"/>
      <c r="C550" s="2"/>
      <c r="D550" s="2"/>
      <c r="E550" s="2"/>
      <c r="F550" s="2"/>
      <c r="G550" s="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0" customHeight="1">
      <c r="A551" s="68"/>
      <c r="B551" s="2"/>
      <c r="C551" s="2"/>
      <c r="D551" s="2"/>
      <c r="E551" s="2"/>
      <c r="F551" s="2"/>
      <c r="G551" s="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0" customHeight="1">
      <c r="A552" s="68"/>
      <c r="B552" s="2"/>
      <c r="C552" s="2"/>
      <c r="D552" s="2"/>
      <c r="E552" s="2"/>
      <c r="F552" s="2"/>
      <c r="G552" s="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0" customHeight="1">
      <c r="A553" s="68"/>
      <c r="B553" s="2"/>
      <c r="C553" s="2"/>
      <c r="D553" s="2"/>
      <c r="E553" s="2"/>
      <c r="F553" s="2"/>
      <c r="G553" s="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0" customHeight="1">
      <c r="A554" s="68"/>
      <c r="B554" s="2"/>
      <c r="C554" s="2"/>
      <c r="D554" s="2"/>
      <c r="E554" s="2"/>
      <c r="F554" s="2"/>
      <c r="G554" s="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0" customHeight="1">
      <c r="A555" s="68"/>
      <c r="B555" s="2"/>
      <c r="C555" s="2"/>
      <c r="D555" s="2"/>
      <c r="E555" s="2"/>
      <c r="F555" s="2"/>
      <c r="G555" s="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0" customHeight="1">
      <c r="A556" s="68"/>
      <c r="B556" s="2"/>
      <c r="C556" s="2"/>
      <c r="D556" s="2"/>
      <c r="E556" s="2"/>
      <c r="F556" s="2"/>
      <c r="G556" s="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0" customHeight="1">
      <c r="A557" s="68"/>
      <c r="B557" s="2"/>
      <c r="C557" s="2"/>
      <c r="D557" s="2"/>
      <c r="E557" s="2"/>
      <c r="F557" s="2"/>
      <c r="G557" s="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0" customHeight="1">
      <c r="A558" s="68"/>
      <c r="B558" s="2"/>
      <c r="C558" s="2"/>
      <c r="D558" s="2"/>
      <c r="E558" s="2"/>
      <c r="F558" s="2"/>
      <c r="G558" s="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0" customHeight="1">
      <c r="A559" s="68"/>
      <c r="B559" s="2"/>
      <c r="C559" s="2"/>
      <c r="D559" s="2"/>
      <c r="E559" s="2"/>
      <c r="F559" s="2"/>
      <c r="G559" s="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0" customHeight="1">
      <c r="A560" s="68"/>
      <c r="B560" s="2"/>
      <c r="C560" s="2"/>
      <c r="D560" s="2"/>
      <c r="E560" s="2"/>
      <c r="F560" s="2"/>
      <c r="G560" s="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0" customHeight="1">
      <c r="A561" s="68"/>
      <c r="B561" s="2"/>
      <c r="C561" s="2"/>
      <c r="D561" s="2"/>
      <c r="E561" s="2"/>
      <c r="F561" s="2"/>
      <c r="G561" s="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0" customHeight="1">
      <c r="A562" s="68"/>
      <c r="B562" s="2"/>
      <c r="C562" s="2"/>
      <c r="D562" s="2"/>
      <c r="E562" s="2"/>
      <c r="F562" s="2"/>
      <c r="G562" s="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0" customHeight="1">
      <c r="A563" s="68"/>
      <c r="B563" s="2"/>
      <c r="C563" s="2"/>
      <c r="D563" s="2"/>
      <c r="E563" s="2"/>
      <c r="F563" s="2"/>
      <c r="G563" s="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0" customHeight="1">
      <c r="A564" s="68"/>
      <c r="B564" s="2"/>
      <c r="C564" s="2"/>
      <c r="D564" s="2"/>
      <c r="E564" s="2"/>
      <c r="F564" s="2"/>
      <c r="G564" s="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0" customHeight="1">
      <c r="A565" s="68"/>
      <c r="B565" s="2"/>
      <c r="C565" s="2"/>
      <c r="D565" s="2"/>
      <c r="E565" s="2"/>
      <c r="F565" s="2"/>
      <c r="G565" s="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0" customHeight="1">
      <c r="A566" s="68"/>
      <c r="B566" s="2"/>
      <c r="C566" s="2"/>
      <c r="D566" s="2"/>
      <c r="E566" s="2"/>
      <c r="F566" s="2"/>
      <c r="G566" s="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0" customHeight="1">
      <c r="A567" s="68"/>
      <c r="B567" s="2"/>
      <c r="C567" s="2"/>
      <c r="D567" s="2"/>
      <c r="E567" s="2"/>
      <c r="F567" s="2"/>
      <c r="G567" s="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0" customHeight="1">
      <c r="A568" s="68"/>
      <c r="B568" s="2"/>
      <c r="C568" s="2"/>
      <c r="D568" s="2"/>
      <c r="E568" s="2"/>
      <c r="F568" s="2"/>
      <c r="G568" s="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0" customHeight="1">
      <c r="A569" s="68"/>
      <c r="B569" s="2"/>
      <c r="C569" s="2"/>
      <c r="D569" s="2"/>
      <c r="E569" s="2"/>
      <c r="F569" s="2"/>
      <c r="G569" s="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0" customHeight="1">
      <c r="A570" s="68"/>
      <c r="B570" s="2"/>
      <c r="C570" s="2"/>
      <c r="D570" s="2"/>
      <c r="E570" s="2"/>
      <c r="F570" s="2"/>
      <c r="G570" s="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0" customHeight="1">
      <c r="A571" s="68"/>
      <c r="B571" s="2"/>
      <c r="C571" s="2"/>
      <c r="D571" s="2"/>
      <c r="E571" s="2"/>
      <c r="F571" s="2"/>
      <c r="G571" s="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0" customHeight="1">
      <c r="A572" s="68"/>
      <c r="B572" s="2"/>
      <c r="C572" s="2"/>
      <c r="D572" s="2"/>
      <c r="E572" s="2"/>
      <c r="F572" s="2"/>
      <c r="G572" s="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0" customHeight="1">
      <c r="A573" s="68"/>
      <c r="B573" s="2"/>
      <c r="C573" s="2"/>
      <c r="D573" s="2"/>
      <c r="E573" s="2"/>
      <c r="F573" s="2"/>
      <c r="G573" s="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0" customHeight="1">
      <c r="A574" s="68"/>
      <c r="B574" s="2"/>
      <c r="C574" s="2"/>
      <c r="D574" s="2"/>
      <c r="E574" s="2"/>
      <c r="F574" s="2"/>
      <c r="G574" s="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0" customHeight="1">
      <c r="A575" s="68"/>
      <c r="B575" s="2"/>
      <c r="C575" s="2"/>
      <c r="D575" s="2"/>
      <c r="E575" s="2"/>
      <c r="F575" s="2"/>
      <c r="G575" s="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0" customHeight="1">
      <c r="A576" s="68"/>
      <c r="B576" s="2"/>
      <c r="C576" s="2"/>
      <c r="D576" s="2"/>
      <c r="E576" s="2"/>
      <c r="F576" s="2"/>
      <c r="G576" s="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0" customHeight="1">
      <c r="A577" s="68"/>
      <c r="B577" s="2"/>
      <c r="C577" s="2"/>
      <c r="D577" s="2"/>
      <c r="E577" s="2"/>
      <c r="F577" s="2"/>
      <c r="G577" s="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0" customHeight="1">
      <c r="A578" s="68"/>
      <c r="B578" s="2"/>
      <c r="C578" s="2"/>
      <c r="D578" s="2"/>
      <c r="E578" s="2"/>
      <c r="F578" s="2"/>
      <c r="G578" s="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0" customHeight="1">
      <c r="A579" s="68"/>
      <c r="B579" s="2"/>
      <c r="C579" s="2"/>
      <c r="D579" s="2"/>
      <c r="E579" s="2"/>
      <c r="F579" s="2"/>
      <c r="G579" s="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0" customHeight="1">
      <c r="A580" s="68"/>
      <c r="B580" s="2"/>
      <c r="C580" s="2"/>
      <c r="D580" s="2"/>
      <c r="E580" s="2"/>
      <c r="F580" s="2"/>
      <c r="G580" s="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0" customHeight="1">
      <c r="A581" s="68"/>
      <c r="B581" s="2"/>
      <c r="C581" s="2"/>
      <c r="D581" s="2"/>
      <c r="E581" s="2"/>
      <c r="F581" s="2"/>
      <c r="G581" s="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0" customHeight="1">
      <c r="A582" s="68"/>
      <c r="B582" s="2"/>
      <c r="C582" s="2"/>
      <c r="D582" s="2"/>
      <c r="E582" s="2"/>
      <c r="F582" s="2"/>
      <c r="G582" s="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0" customHeight="1">
      <c r="A583" s="68"/>
      <c r="B583" s="2"/>
      <c r="C583" s="2"/>
      <c r="D583" s="2"/>
      <c r="E583" s="2"/>
      <c r="F583" s="2"/>
      <c r="G583" s="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0" customHeight="1">
      <c r="A584" s="68"/>
      <c r="B584" s="2"/>
      <c r="C584" s="2"/>
      <c r="D584" s="2"/>
      <c r="E584" s="2"/>
      <c r="F584" s="2"/>
      <c r="G584" s="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0" customHeight="1">
      <c r="A585" s="68"/>
      <c r="B585" s="2"/>
      <c r="C585" s="2"/>
      <c r="D585" s="2"/>
      <c r="E585" s="2"/>
      <c r="F585" s="2"/>
      <c r="G585" s="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0" customHeight="1">
      <c r="A586" s="68"/>
      <c r="B586" s="2"/>
      <c r="C586" s="2"/>
      <c r="D586" s="2"/>
      <c r="E586" s="2"/>
      <c r="F586" s="2"/>
      <c r="G586" s="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0" customHeight="1">
      <c r="A587" s="68"/>
      <c r="B587" s="2"/>
      <c r="C587" s="2"/>
      <c r="D587" s="2"/>
      <c r="E587" s="2"/>
      <c r="F587" s="2"/>
      <c r="G587" s="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0" customHeight="1">
      <c r="A588" s="68"/>
      <c r="B588" s="2"/>
      <c r="C588" s="2"/>
      <c r="D588" s="2"/>
      <c r="E588" s="2"/>
      <c r="F588" s="2"/>
      <c r="G588" s="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0" customHeight="1">
      <c r="A589" s="68"/>
      <c r="B589" s="2"/>
      <c r="C589" s="2"/>
      <c r="D589" s="2"/>
      <c r="E589" s="2"/>
      <c r="F589" s="2"/>
      <c r="G589" s="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0" customHeight="1">
      <c r="A590" s="68"/>
      <c r="B590" s="2"/>
      <c r="C590" s="2"/>
      <c r="D590" s="2"/>
      <c r="E590" s="2"/>
      <c r="F590" s="2"/>
      <c r="G590" s="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0" customHeight="1">
      <c r="A591" s="68"/>
      <c r="B591" s="2"/>
      <c r="C591" s="2"/>
      <c r="D591" s="2"/>
      <c r="E591" s="2"/>
      <c r="F591" s="2"/>
      <c r="G591" s="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0" customHeight="1">
      <c r="A592" s="68"/>
      <c r="B592" s="2"/>
      <c r="C592" s="2"/>
      <c r="D592" s="2"/>
      <c r="E592" s="2"/>
      <c r="F592" s="2"/>
      <c r="G592" s="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0" customHeight="1">
      <c r="A593" s="68"/>
      <c r="B593" s="2"/>
      <c r="C593" s="2"/>
      <c r="D593" s="2"/>
      <c r="E593" s="2"/>
      <c r="F593" s="2"/>
      <c r="G593" s="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0" customHeight="1">
      <c r="A594" s="68"/>
      <c r="B594" s="2"/>
      <c r="C594" s="2"/>
      <c r="D594" s="2"/>
      <c r="E594" s="2"/>
      <c r="F594" s="2"/>
      <c r="G594" s="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0" customHeight="1">
      <c r="A595" s="68"/>
      <c r="B595" s="2"/>
      <c r="C595" s="2"/>
      <c r="D595" s="2"/>
      <c r="E595" s="2"/>
      <c r="F595" s="2"/>
      <c r="G595" s="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0" customHeight="1">
      <c r="A596" s="68"/>
      <c r="B596" s="2"/>
      <c r="C596" s="2"/>
      <c r="D596" s="2"/>
      <c r="E596" s="2"/>
      <c r="F596" s="2"/>
      <c r="G596" s="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0" customHeight="1">
      <c r="A597" s="68"/>
      <c r="B597" s="2"/>
      <c r="C597" s="2"/>
      <c r="D597" s="2"/>
      <c r="E597" s="2"/>
      <c r="F597" s="2"/>
      <c r="G597" s="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0" customHeight="1">
      <c r="A598" s="68"/>
      <c r="B598" s="2"/>
      <c r="C598" s="2"/>
      <c r="D598" s="2"/>
      <c r="E598" s="2"/>
      <c r="F598" s="2"/>
      <c r="G598" s="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0" customHeight="1">
      <c r="A599" s="68"/>
      <c r="B599" s="2"/>
      <c r="C599" s="2"/>
      <c r="D599" s="2"/>
      <c r="E599" s="2"/>
      <c r="F599" s="2"/>
      <c r="G599" s="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0" customHeight="1">
      <c r="A600" s="68"/>
      <c r="B600" s="2"/>
      <c r="C600" s="2"/>
      <c r="D600" s="2"/>
      <c r="E600" s="2"/>
      <c r="F600" s="2"/>
      <c r="G600" s="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0" customHeight="1">
      <c r="A601" s="68"/>
      <c r="B601" s="2"/>
      <c r="C601" s="2"/>
      <c r="D601" s="2"/>
      <c r="E601" s="2"/>
      <c r="F601" s="2"/>
      <c r="G601" s="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0" customHeight="1">
      <c r="A602" s="68"/>
      <c r="B602" s="2"/>
      <c r="C602" s="2"/>
      <c r="D602" s="2"/>
      <c r="E602" s="2"/>
      <c r="F602" s="2"/>
      <c r="G602" s="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0" customHeight="1">
      <c r="A603" s="68"/>
      <c r="B603" s="2"/>
      <c r="C603" s="2"/>
      <c r="D603" s="2"/>
      <c r="E603" s="2"/>
      <c r="F603" s="2"/>
      <c r="G603" s="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0" customHeight="1">
      <c r="A604" s="68"/>
      <c r="B604" s="2"/>
      <c r="C604" s="2"/>
      <c r="D604" s="2"/>
      <c r="E604" s="2"/>
      <c r="F604" s="2"/>
      <c r="G604" s="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0" customHeight="1">
      <c r="A605" s="68"/>
      <c r="B605" s="2"/>
      <c r="C605" s="2"/>
      <c r="D605" s="2"/>
      <c r="E605" s="2"/>
      <c r="F605" s="2"/>
      <c r="G605" s="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0" customHeight="1">
      <c r="A606" s="68"/>
      <c r="B606" s="2"/>
      <c r="C606" s="2"/>
      <c r="D606" s="2"/>
      <c r="E606" s="2"/>
      <c r="F606" s="2"/>
      <c r="G606" s="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0" customHeight="1">
      <c r="A607" s="68"/>
      <c r="B607" s="2"/>
      <c r="C607" s="2"/>
      <c r="D607" s="2"/>
      <c r="E607" s="2"/>
      <c r="F607" s="2"/>
      <c r="G607" s="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0" customHeight="1">
      <c r="A608" s="68"/>
      <c r="B608" s="2"/>
      <c r="C608" s="2"/>
      <c r="D608" s="2"/>
      <c r="E608" s="2"/>
      <c r="F608" s="2"/>
      <c r="G608" s="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0" customHeight="1">
      <c r="A609" s="68"/>
      <c r="B609" s="2"/>
      <c r="C609" s="2"/>
      <c r="D609" s="2"/>
      <c r="E609" s="2"/>
      <c r="F609" s="2"/>
      <c r="G609" s="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0" customHeight="1">
      <c r="A610" s="68"/>
      <c r="B610" s="2"/>
      <c r="C610" s="2"/>
      <c r="D610" s="2"/>
      <c r="E610" s="2"/>
      <c r="F610" s="2"/>
      <c r="G610" s="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0" customHeight="1">
      <c r="A611" s="68"/>
      <c r="B611" s="2"/>
      <c r="C611" s="2"/>
      <c r="D611" s="2"/>
      <c r="E611" s="2"/>
      <c r="F611" s="2"/>
      <c r="G611" s="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0" customHeight="1">
      <c r="A612" s="68"/>
      <c r="B612" s="2"/>
      <c r="C612" s="2"/>
      <c r="D612" s="2"/>
      <c r="E612" s="2"/>
      <c r="F612" s="2"/>
      <c r="G612" s="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0" customHeight="1">
      <c r="A613" s="68"/>
      <c r="B613" s="2"/>
      <c r="C613" s="2"/>
      <c r="D613" s="2"/>
      <c r="E613" s="2"/>
      <c r="F613" s="2"/>
      <c r="G613" s="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0" customHeight="1">
      <c r="A614" s="68"/>
      <c r="B614" s="2"/>
      <c r="C614" s="2"/>
      <c r="D614" s="2"/>
      <c r="E614" s="2"/>
      <c r="F614" s="2"/>
      <c r="G614" s="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0" customHeight="1">
      <c r="A615" s="68"/>
      <c r="B615" s="2"/>
      <c r="C615" s="2"/>
      <c r="D615" s="2"/>
      <c r="E615" s="2"/>
      <c r="F615" s="2"/>
      <c r="G615" s="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0" customHeight="1">
      <c r="A616" s="68"/>
      <c r="B616" s="2"/>
      <c r="C616" s="2"/>
      <c r="D616" s="2"/>
      <c r="E616" s="2"/>
      <c r="F616" s="2"/>
      <c r="G616" s="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0" customHeight="1">
      <c r="A617" s="68"/>
      <c r="B617" s="2"/>
      <c r="C617" s="2"/>
      <c r="D617" s="2"/>
      <c r="E617" s="2"/>
      <c r="F617" s="2"/>
      <c r="G617" s="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0" customHeight="1">
      <c r="A618" s="68"/>
      <c r="B618" s="2"/>
      <c r="C618" s="2"/>
      <c r="D618" s="2"/>
      <c r="E618" s="2"/>
      <c r="F618" s="2"/>
      <c r="G618" s="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0" customHeight="1">
      <c r="A619" s="68"/>
      <c r="B619" s="2"/>
      <c r="C619" s="2"/>
      <c r="D619" s="2"/>
      <c r="E619" s="2"/>
      <c r="F619" s="2"/>
      <c r="G619" s="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0" customHeight="1">
      <c r="A620" s="68"/>
      <c r="B620" s="2"/>
      <c r="C620" s="2"/>
      <c r="D620" s="2"/>
      <c r="E620" s="2"/>
      <c r="F620" s="2"/>
      <c r="G620" s="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0" customHeight="1">
      <c r="A621" s="68"/>
      <c r="B621" s="2"/>
      <c r="C621" s="2"/>
      <c r="D621" s="2"/>
      <c r="E621" s="2"/>
      <c r="F621" s="2"/>
      <c r="G621" s="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0" customHeight="1">
      <c r="A622" s="68"/>
      <c r="B622" s="2"/>
      <c r="C622" s="2"/>
      <c r="D622" s="2"/>
      <c r="E622" s="2"/>
      <c r="F622" s="2"/>
      <c r="G622" s="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0" customHeight="1">
      <c r="A623" s="68"/>
      <c r="B623" s="2"/>
      <c r="C623" s="2"/>
      <c r="D623" s="2"/>
      <c r="E623" s="2"/>
      <c r="F623" s="2"/>
      <c r="G623" s="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0" customHeight="1">
      <c r="A624" s="68"/>
      <c r="B624" s="2"/>
      <c r="C624" s="2"/>
      <c r="D624" s="2"/>
      <c r="E624" s="2"/>
      <c r="F624" s="2"/>
      <c r="G624" s="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0" customHeight="1">
      <c r="A625" s="68"/>
      <c r="B625" s="2"/>
      <c r="C625" s="2"/>
      <c r="D625" s="2"/>
      <c r="E625" s="2"/>
      <c r="F625" s="2"/>
      <c r="G625" s="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0" customHeight="1">
      <c r="A626" s="68"/>
      <c r="B626" s="2"/>
      <c r="C626" s="2"/>
      <c r="D626" s="2"/>
      <c r="E626" s="2"/>
      <c r="F626" s="2"/>
      <c r="G626" s="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0" customHeight="1">
      <c r="A627" s="68"/>
      <c r="B627" s="2"/>
      <c r="C627" s="2"/>
      <c r="D627" s="2"/>
      <c r="E627" s="2"/>
      <c r="F627" s="2"/>
      <c r="G627" s="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0" customHeight="1">
      <c r="A628" s="68"/>
      <c r="B628" s="2"/>
      <c r="C628" s="2"/>
      <c r="D628" s="2"/>
      <c r="E628" s="2"/>
      <c r="F628" s="2"/>
      <c r="G628" s="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0" customHeight="1">
      <c r="A629" s="68"/>
      <c r="B629" s="2"/>
      <c r="C629" s="2"/>
      <c r="D629" s="2"/>
      <c r="E629" s="2"/>
      <c r="F629" s="2"/>
      <c r="G629" s="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0" customHeight="1">
      <c r="A630" s="68"/>
      <c r="B630" s="2"/>
      <c r="C630" s="2"/>
      <c r="D630" s="2"/>
      <c r="E630" s="2"/>
      <c r="F630" s="2"/>
      <c r="G630" s="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0" customHeight="1">
      <c r="A631" s="68"/>
      <c r="B631" s="2"/>
      <c r="C631" s="2"/>
      <c r="D631" s="2"/>
      <c r="E631" s="2"/>
      <c r="F631" s="2"/>
      <c r="G631" s="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0" customHeight="1">
      <c r="A632" s="68"/>
      <c r="B632" s="2"/>
      <c r="C632" s="2"/>
      <c r="D632" s="2"/>
      <c r="E632" s="2"/>
      <c r="F632" s="2"/>
      <c r="G632" s="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0" customHeight="1">
      <c r="A633" s="68"/>
      <c r="B633" s="2"/>
      <c r="C633" s="2"/>
      <c r="D633" s="2"/>
      <c r="E633" s="2"/>
      <c r="F633" s="2"/>
      <c r="G633" s="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0" customHeight="1">
      <c r="A634" s="68"/>
      <c r="B634" s="2"/>
      <c r="C634" s="2"/>
      <c r="D634" s="2"/>
      <c r="E634" s="2"/>
      <c r="F634" s="2"/>
      <c r="G634" s="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0" customHeight="1">
      <c r="A635" s="68"/>
      <c r="B635" s="2"/>
      <c r="C635" s="2"/>
      <c r="D635" s="2"/>
      <c r="E635" s="2"/>
      <c r="F635" s="2"/>
      <c r="G635" s="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0" customHeight="1">
      <c r="A636" s="68"/>
      <c r="B636" s="2"/>
      <c r="C636" s="2"/>
      <c r="D636" s="2"/>
      <c r="E636" s="2"/>
      <c r="F636" s="2"/>
      <c r="G636" s="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0" customHeight="1">
      <c r="A637" s="68"/>
      <c r="B637" s="2"/>
      <c r="C637" s="2"/>
      <c r="D637" s="2"/>
      <c r="E637" s="2"/>
      <c r="F637" s="2"/>
      <c r="G637" s="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0" customHeight="1">
      <c r="A638" s="68"/>
      <c r="B638" s="2"/>
      <c r="C638" s="2"/>
      <c r="D638" s="2"/>
      <c r="E638" s="2"/>
      <c r="F638" s="2"/>
      <c r="G638" s="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0" customHeight="1">
      <c r="A639" s="68"/>
      <c r="B639" s="2"/>
      <c r="C639" s="2"/>
      <c r="D639" s="2"/>
      <c r="E639" s="2"/>
      <c r="F639" s="2"/>
      <c r="G639" s="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0" customHeight="1">
      <c r="A640" s="68"/>
      <c r="B640" s="2"/>
      <c r="C640" s="2"/>
      <c r="D640" s="2"/>
      <c r="E640" s="2"/>
      <c r="F640" s="2"/>
      <c r="G640" s="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0" customHeight="1">
      <c r="A641" s="68"/>
      <c r="B641" s="2"/>
      <c r="C641" s="2"/>
      <c r="D641" s="2"/>
      <c r="E641" s="2"/>
      <c r="F641" s="2"/>
      <c r="G641" s="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0" customHeight="1">
      <c r="A642" s="68"/>
      <c r="B642" s="2"/>
      <c r="C642" s="2"/>
      <c r="D642" s="2"/>
      <c r="E642" s="2"/>
      <c r="F642" s="2"/>
      <c r="G642" s="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0" customHeight="1">
      <c r="A643" s="68"/>
      <c r="B643" s="2"/>
      <c r="C643" s="2"/>
      <c r="D643" s="2"/>
      <c r="E643" s="2"/>
      <c r="F643" s="2"/>
      <c r="G643" s="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0" customHeight="1">
      <c r="A644" s="68"/>
      <c r="B644" s="2"/>
      <c r="C644" s="2"/>
      <c r="D644" s="2"/>
      <c r="E644" s="2"/>
      <c r="F644" s="2"/>
      <c r="G644" s="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0" customHeight="1">
      <c r="A645" s="68"/>
      <c r="B645" s="2"/>
      <c r="C645" s="2"/>
      <c r="D645" s="2"/>
      <c r="E645" s="2"/>
      <c r="F645" s="2"/>
      <c r="G645" s="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0" customHeight="1">
      <c r="A646" s="68"/>
      <c r="B646" s="2"/>
      <c r="C646" s="2"/>
      <c r="D646" s="2"/>
      <c r="E646" s="2"/>
      <c r="F646" s="2"/>
      <c r="G646" s="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0" customHeight="1">
      <c r="A647" s="68"/>
      <c r="B647" s="2"/>
      <c r="C647" s="2"/>
      <c r="D647" s="2"/>
      <c r="E647" s="2"/>
      <c r="F647" s="2"/>
      <c r="G647" s="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0" customHeight="1">
      <c r="A648" s="68"/>
      <c r="B648" s="2"/>
      <c r="C648" s="2"/>
      <c r="D648" s="2"/>
      <c r="E648" s="2"/>
      <c r="F648" s="2"/>
      <c r="G648" s="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0" customHeight="1">
      <c r="A649" s="68"/>
      <c r="B649" s="2"/>
      <c r="C649" s="2"/>
      <c r="D649" s="2"/>
      <c r="E649" s="2"/>
      <c r="F649" s="2"/>
      <c r="G649" s="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0" customHeight="1">
      <c r="A650" s="68"/>
      <c r="B650" s="2"/>
      <c r="C650" s="2"/>
      <c r="D650" s="2"/>
      <c r="E650" s="2"/>
      <c r="F650" s="2"/>
      <c r="G650" s="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0" customHeight="1">
      <c r="A651" s="68"/>
      <c r="B651" s="2"/>
      <c r="C651" s="2"/>
      <c r="D651" s="2"/>
      <c r="E651" s="2"/>
      <c r="F651" s="2"/>
      <c r="G651" s="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0" customHeight="1">
      <c r="A652" s="68"/>
      <c r="B652" s="2"/>
      <c r="C652" s="2"/>
      <c r="D652" s="2"/>
      <c r="E652" s="2"/>
      <c r="F652" s="2"/>
      <c r="G652" s="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0" customHeight="1">
      <c r="A653" s="68"/>
      <c r="B653" s="2"/>
      <c r="C653" s="2"/>
      <c r="D653" s="2"/>
      <c r="E653" s="2"/>
      <c r="F653" s="2"/>
      <c r="G653" s="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0" customHeight="1">
      <c r="A654" s="68"/>
      <c r="B654" s="2"/>
      <c r="C654" s="2"/>
      <c r="D654" s="2"/>
      <c r="E654" s="2"/>
      <c r="F654" s="2"/>
      <c r="G654" s="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0" customHeight="1">
      <c r="A655" s="68"/>
      <c r="B655" s="2"/>
      <c r="C655" s="2"/>
      <c r="D655" s="2"/>
      <c r="E655" s="2"/>
      <c r="F655" s="2"/>
      <c r="G655" s="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0" customHeight="1">
      <c r="A656" s="68"/>
      <c r="B656" s="2"/>
      <c r="C656" s="2"/>
      <c r="D656" s="2"/>
      <c r="E656" s="2"/>
      <c r="F656" s="2"/>
      <c r="G656" s="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0" customHeight="1">
      <c r="A657" s="68"/>
      <c r="B657" s="2"/>
      <c r="C657" s="2"/>
      <c r="D657" s="2"/>
      <c r="E657" s="2"/>
      <c r="F657" s="2"/>
      <c r="G657" s="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0" customHeight="1">
      <c r="A658" s="68"/>
      <c r="B658" s="2"/>
      <c r="C658" s="2"/>
      <c r="D658" s="2"/>
      <c r="E658" s="2"/>
      <c r="F658" s="2"/>
      <c r="G658" s="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0" customHeight="1">
      <c r="A659" s="68"/>
      <c r="B659" s="2"/>
      <c r="C659" s="2"/>
      <c r="D659" s="2"/>
      <c r="E659" s="2"/>
      <c r="F659" s="2"/>
      <c r="G659" s="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0" customHeight="1">
      <c r="A660" s="68"/>
      <c r="B660" s="2"/>
      <c r="C660" s="2"/>
      <c r="D660" s="2"/>
      <c r="E660" s="2"/>
      <c r="F660" s="2"/>
      <c r="G660" s="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0" customHeight="1">
      <c r="A661" s="68"/>
      <c r="B661" s="2"/>
      <c r="C661" s="2"/>
      <c r="D661" s="2"/>
      <c r="E661" s="2"/>
      <c r="F661" s="2"/>
      <c r="G661" s="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0" customHeight="1">
      <c r="A662" s="68"/>
      <c r="B662" s="2"/>
      <c r="C662" s="2"/>
      <c r="D662" s="2"/>
      <c r="E662" s="2"/>
      <c r="F662" s="2"/>
      <c r="G662" s="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0" customHeight="1">
      <c r="A663" s="68"/>
      <c r="B663" s="2"/>
      <c r="C663" s="2"/>
      <c r="D663" s="2"/>
      <c r="E663" s="2"/>
      <c r="F663" s="2"/>
      <c r="G663" s="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0" customHeight="1">
      <c r="A664" s="68"/>
      <c r="B664" s="2"/>
      <c r="C664" s="2"/>
      <c r="D664" s="2"/>
      <c r="E664" s="2"/>
      <c r="F664" s="2"/>
      <c r="G664" s="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0" customHeight="1">
      <c r="A665" s="68"/>
      <c r="B665" s="2"/>
      <c r="C665" s="2"/>
      <c r="D665" s="2"/>
      <c r="E665" s="2"/>
      <c r="F665" s="2"/>
      <c r="G665" s="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0" customHeight="1">
      <c r="A666" s="68"/>
      <c r="B666" s="2"/>
      <c r="C666" s="2"/>
      <c r="D666" s="2"/>
      <c r="E666" s="2"/>
      <c r="F666" s="2"/>
      <c r="G666" s="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0" customHeight="1">
      <c r="A667" s="68"/>
      <c r="B667" s="2"/>
      <c r="C667" s="2"/>
      <c r="D667" s="2"/>
      <c r="E667" s="2"/>
      <c r="F667" s="2"/>
      <c r="G667" s="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0" customHeight="1">
      <c r="A668" s="68"/>
      <c r="B668" s="2"/>
      <c r="C668" s="2"/>
      <c r="D668" s="2"/>
      <c r="E668" s="2"/>
      <c r="F668" s="2"/>
      <c r="G668" s="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0" customHeight="1">
      <c r="A669" s="68"/>
      <c r="B669" s="2"/>
      <c r="C669" s="2"/>
      <c r="D669" s="2"/>
      <c r="E669" s="2"/>
      <c r="F669" s="2"/>
      <c r="G669" s="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0" customHeight="1">
      <c r="A670" s="68"/>
      <c r="B670" s="2"/>
      <c r="C670" s="2"/>
      <c r="D670" s="2"/>
      <c r="E670" s="2"/>
      <c r="F670" s="2"/>
      <c r="G670" s="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0" customHeight="1">
      <c r="A671" s="68"/>
      <c r="B671" s="2"/>
      <c r="C671" s="2"/>
      <c r="D671" s="2"/>
      <c r="E671" s="2"/>
      <c r="F671" s="2"/>
      <c r="G671" s="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0" customHeight="1">
      <c r="A672" s="68"/>
      <c r="B672" s="2"/>
      <c r="C672" s="2"/>
      <c r="D672" s="2"/>
      <c r="E672" s="2"/>
      <c r="F672" s="2"/>
      <c r="G672" s="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0" customHeight="1">
      <c r="A673" s="68"/>
      <c r="B673" s="2"/>
      <c r="C673" s="2"/>
      <c r="D673" s="2"/>
      <c r="E673" s="2"/>
      <c r="F673" s="2"/>
      <c r="G673" s="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0" customHeight="1">
      <c r="A674" s="68"/>
      <c r="B674" s="2"/>
      <c r="C674" s="2"/>
      <c r="D674" s="2"/>
      <c r="E674" s="2"/>
      <c r="F674" s="2"/>
      <c r="G674" s="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0" customHeight="1">
      <c r="A675" s="68"/>
      <c r="B675" s="2"/>
      <c r="C675" s="2"/>
      <c r="D675" s="2"/>
      <c r="E675" s="2"/>
      <c r="F675" s="2"/>
      <c r="G675" s="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0" customHeight="1">
      <c r="A676" s="68"/>
      <c r="B676" s="2"/>
      <c r="C676" s="2"/>
      <c r="D676" s="2"/>
      <c r="E676" s="2"/>
      <c r="F676" s="2"/>
      <c r="G676" s="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0" customHeight="1">
      <c r="A677" s="68"/>
      <c r="B677" s="2"/>
      <c r="C677" s="2"/>
      <c r="D677" s="2"/>
      <c r="E677" s="2"/>
      <c r="F677" s="2"/>
      <c r="G677" s="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0" customHeight="1">
      <c r="A678" s="68"/>
      <c r="B678" s="2"/>
      <c r="C678" s="2"/>
      <c r="D678" s="2"/>
      <c r="E678" s="2"/>
      <c r="F678" s="2"/>
      <c r="G678" s="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0" customHeight="1">
      <c r="A679" s="68"/>
      <c r="B679" s="2"/>
      <c r="C679" s="2"/>
      <c r="D679" s="2"/>
      <c r="E679" s="2"/>
      <c r="F679" s="2"/>
      <c r="G679" s="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0" customHeight="1">
      <c r="A680" s="68"/>
      <c r="B680" s="2"/>
      <c r="C680" s="2"/>
      <c r="D680" s="2"/>
      <c r="E680" s="2"/>
      <c r="F680" s="2"/>
      <c r="G680" s="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0" customHeight="1">
      <c r="A681" s="68"/>
      <c r="B681" s="2"/>
      <c r="C681" s="2"/>
      <c r="D681" s="2"/>
      <c r="E681" s="2"/>
      <c r="F681" s="2"/>
      <c r="G681" s="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0" customHeight="1">
      <c r="A682" s="68"/>
      <c r="B682" s="2"/>
      <c r="C682" s="2"/>
      <c r="D682" s="2"/>
      <c r="E682" s="2"/>
      <c r="F682" s="2"/>
      <c r="G682" s="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0" customHeight="1">
      <c r="A683" s="68"/>
      <c r="B683" s="2"/>
      <c r="C683" s="2"/>
      <c r="D683" s="2"/>
      <c r="E683" s="2"/>
      <c r="F683" s="2"/>
      <c r="G683" s="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0" customHeight="1">
      <c r="A684" s="68"/>
      <c r="B684" s="2"/>
      <c r="C684" s="2"/>
      <c r="D684" s="2"/>
      <c r="E684" s="2"/>
      <c r="F684" s="2"/>
      <c r="G684" s="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0" customHeight="1">
      <c r="A685" s="68"/>
      <c r="B685" s="2"/>
      <c r="C685" s="2"/>
      <c r="D685" s="2"/>
      <c r="E685" s="2"/>
      <c r="F685" s="2"/>
      <c r="G685" s="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0" customHeight="1">
      <c r="A686" s="68"/>
      <c r="B686" s="2"/>
      <c r="C686" s="2"/>
      <c r="D686" s="2"/>
      <c r="E686" s="2"/>
      <c r="F686" s="2"/>
      <c r="G686" s="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0" customHeight="1">
      <c r="A687" s="68"/>
      <c r="B687" s="2"/>
      <c r="C687" s="2"/>
      <c r="D687" s="2"/>
      <c r="E687" s="2"/>
      <c r="F687" s="2"/>
      <c r="G687" s="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0" customHeight="1">
      <c r="A688" s="68"/>
      <c r="B688" s="2"/>
      <c r="C688" s="2"/>
      <c r="D688" s="2"/>
      <c r="E688" s="2"/>
      <c r="F688" s="2"/>
      <c r="G688" s="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0" customHeight="1">
      <c r="A689" s="68"/>
      <c r="B689" s="2"/>
      <c r="C689" s="2"/>
      <c r="D689" s="2"/>
      <c r="E689" s="2"/>
      <c r="F689" s="2"/>
      <c r="G689" s="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0" customHeight="1">
      <c r="A690" s="68"/>
      <c r="B690" s="2"/>
      <c r="C690" s="2"/>
      <c r="D690" s="2"/>
      <c r="E690" s="2"/>
      <c r="F690" s="2"/>
      <c r="G690" s="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0" customHeight="1">
      <c r="A691" s="68"/>
      <c r="B691" s="2"/>
      <c r="C691" s="2"/>
      <c r="D691" s="2"/>
      <c r="E691" s="2"/>
      <c r="F691" s="2"/>
      <c r="G691" s="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0" customHeight="1">
      <c r="A692" s="68"/>
      <c r="B692" s="2"/>
      <c r="C692" s="2"/>
      <c r="D692" s="2"/>
      <c r="E692" s="2"/>
      <c r="F692" s="2"/>
      <c r="G692" s="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0" customHeight="1">
      <c r="A693" s="68"/>
      <c r="B693" s="2"/>
      <c r="C693" s="2"/>
      <c r="D693" s="2"/>
      <c r="E693" s="2"/>
      <c r="F693" s="2"/>
      <c r="G693" s="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0" customHeight="1">
      <c r="A694" s="68"/>
      <c r="B694" s="2"/>
      <c r="C694" s="2"/>
      <c r="D694" s="2"/>
      <c r="E694" s="2"/>
      <c r="F694" s="2"/>
      <c r="G694" s="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0" customHeight="1">
      <c r="A695" s="68"/>
      <c r="B695" s="2"/>
      <c r="C695" s="2"/>
      <c r="D695" s="2"/>
      <c r="E695" s="2"/>
      <c r="F695" s="2"/>
      <c r="G695" s="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0" customHeight="1">
      <c r="A696" s="68"/>
      <c r="B696" s="2"/>
      <c r="C696" s="2"/>
      <c r="D696" s="2"/>
      <c r="E696" s="2"/>
      <c r="F696" s="2"/>
      <c r="G696" s="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0" customHeight="1">
      <c r="A697" s="68"/>
      <c r="B697" s="2"/>
      <c r="C697" s="2"/>
      <c r="D697" s="2"/>
      <c r="E697" s="2"/>
      <c r="F697" s="2"/>
      <c r="G697" s="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0" customHeight="1">
      <c r="A698" s="68"/>
      <c r="B698" s="2"/>
      <c r="C698" s="2"/>
      <c r="D698" s="2"/>
      <c r="E698" s="2"/>
      <c r="F698" s="2"/>
      <c r="G698" s="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0" customHeight="1">
      <c r="A699" s="68"/>
      <c r="B699" s="2"/>
      <c r="C699" s="2"/>
      <c r="D699" s="2"/>
      <c r="E699" s="2"/>
      <c r="F699" s="2"/>
      <c r="G699" s="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0" customHeight="1">
      <c r="A700" s="68"/>
      <c r="B700" s="2"/>
      <c r="C700" s="2"/>
      <c r="D700" s="2"/>
      <c r="E700" s="2"/>
      <c r="F700" s="2"/>
      <c r="G700" s="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0" customHeight="1">
      <c r="A701" s="68"/>
      <c r="B701" s="2"/>
      <c r="C701" s="2"/>
      <c r="D701" s="2"/>
      <c r="E701" s="2"/>
      <c r="F701" s="2"/>
      <c r="G701" s="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0" customHeight="1">
      <c r="A702" s="68"/>
      <c r="B702" s="2"/>
      <c r="C702" s="2"/>
      <c r="D702" s="2"/>
      <c r="E702" s="2"/>
      <c r="F702" s="2"/>
      <c r="G702" s="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0" customHeight="1">
      <c r="A703" s="68"/>
      <c r="B703" s="2"/>
      <c r="C703" s="2"/>
      <c r="D703" s="2"/>
      <c r="E703" s="2"/>
      <c r="F703" s="2"/>
      <c r="G703" s="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0" customHeight="1">
      <c r="A704" s="68"/>
      <c r="B704" s="2"/>
      <c r="C704" s="2"/>
      <c r="D704" s="2"/>
      <c r="E704" s="2"/>
      <c r="F704" s="2"/>
      <c r="G704" s="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0" customHeight="1">
      <c r="A705" s="68"/>
      <c r="B705" s="2"/>
      <c r="C705" s="2"/>
      <c r="D705" s="2"/>
      <c r="E705" s="2"/>
      <c r="F705" s="2"/>
      <c r="G705" s="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0" customHeight="1">
      <c r="A706" s="68"/>
      <c r="B706" s="2"/>
      <c r="C706" s="2"/>
      <c r="D706" s="2"/>
      <c r="E706" s="2"/>
      <c r="F706" s="2"/>
      <c r="G706" s="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0" customHeight="1">
      <c r="A707" s="68"/>
      <c r="B707" s="2"/>
      <c r="C707" s="2"/>
      <c r="D707" s="2"/>
      <c r="E707" s="2"/>
      <c r="F707" s="2"/>
      <c r="G707" s="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0" customHeight="1">
      <c r="A708" s="68"/>
      <c r="B708" s="2"/>
      <c r="C708" s="2"/>
      <c r="D708" s="2"/>
      <c r="E708" s="2"/>
      <c r="F708" s="2"/>
      <c r="G708" s="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0" customHeight="1">
      <c r="A709" s="68"/>
      <c r="B709" s="2"/>
      <c r="C709" s="2"/>
      <c r="D709" s="2"/>
      <c r="E709" s="2"/>
      <c r="F709" s="2"/>
      <c r="G709" s="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0" customHeight="1">
      <c r="A710" s="68"/>
      <c r="B710" s="2"/>
      <c r="C710" s="2"/>
      <c r="D710" s="2"/>
      <c r="E710" s="2"/>
      <c r="F710" s="2"/>
      <c r="G710" s="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0" customHeight="1">
      <c r="A711" s="68"/>
      <c r="B711" s="2"/>
      <c r="C711" s="2"/>
      <c r="D711" s="2"/>
      <c r="E711" s="2"/>
      <c r="F711" s="2"/>
      <c r="G711" s="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0" customHeight="1">
      <c r="A712" s="68"/>
      <c r="B712" s="2"/>
      <c r="C712" s="2"/>
      <c r="D712" s="2"/>
      <c r="E712" s="2"/>
      <c r="F712" s="2"/>
      <c r="G712" s="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0" customHeight="1">
      <c r="A713" s="68"/>
      <c r="B713" s="2"/>
      <c r="C713" s="2"/>
      <c r="D713" s="2"/>
      <c r="E713" s="2"/>
      <c r="F713" s="2"/>
      <c r="G713" s="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0" customHeight="1">
      <c r="A714" s="68"/>
      <c r="B714" s="2"/>
      <c r="C714" s="2"/>
      <c r="D714" s="2"/>
      <c r="E714" s="2"/>
      <c r="F714" s="2"/>
      <c r="G714" s="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0" customHeight="1">
      <c r="A715" s="68"/>
      <c r="B715" s="2"/>
      <c r="C715" s="2"/>
      <c r="D715" s="2"/>
      <c r="E715" s="2"/>
      <c r="F715" s="2"/>
      <c r="G715" s="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0" customHeight="1">
      <c r="A716" s="68"/>
      <c r="B716" s="2"/>
      <c r="C716" s="2"/>
      <c r="D716" s="2"/>
      <c r="E716" s="2"/>
      <c r="F716" s="2"/>
      <c r="G716" s="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0" customHeight="1">
      <c r="A717" s="68"/>
      <c r="B717" s="2"/>
      <c r="C717" s="2"/>
      <c r="D717" s="2"/>
      <c r="E717" s="2"/>
      <c r="F717" s="2"/>
      <c r="G717" s="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0" customHeight="1">
      <c r="A718" s="68"/>
      <c r="B718" s="2"/>
      <c r="C718" s="2"/>
      <c r="D718" s="2"/>
      <c r="E718" s="2"/>
      <c r="F718" s="2"/>
      <c r="G718" s="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0" customHeight="1">
      <c r="A719" s="68"/>
      <c r="B719" s="2"/>
      <c r="C719" s="2"/>
      <c r="D719" s="2"/>
      <c r="E719" s="2"/>
      <c r="F719" s="2"/>
      <c r="G719" s="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0" customHeight="1">
      <c r="A720" s="68"/>
      <c r="B720" s="2"/>
      <c r="C720" s="2"/>
      <c r="D720" s="2"/>
      <c r="E720" s="2"/>
      <c r="F720" s="2"/>
      <c r="G720" s="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0" customHeight="1">
      <c r="A721" s="68"/>
      <c r="B721" s="2"/>
      <c r="C721" s="2"/>
      <c r="D721" s="2"/>
      <c r="E721" s="2"/>
      <c r="F721" s="2"/>
      <c r="G721" s="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0" customHeight="1">
      <c r="A722" s="68"/>
      <c r="B722" s="2"/>
      <c r="C722" s="2"/>
      <c r="D722" s="2"/>
      <c r="E722" s="2"/>
      <c r="F722" s="2"/>
      <c r="G722" s="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0" customHeight="1">
      <c r="A723" s="68"/>
      <c r="B723" s="2"/>
      <c r="C723" s="2"/>
      <c r="D723" s="2"/>
      <c r="E723" s="2"/>
      <c r="F723" s="2"/>
      <c r="G723" s="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0" customHeight="1">
      <c r="A724" s="68"/>
      <c r="B724" s="2"/>
      <c r="C724" s="2"/>
      <c r="D724" s="2"/>
      <c r="E724" s="2"/>
      <c r="F724" s="2"/>
      <c r="G724" s="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0" customHeight="1">
      <c r="A725" s="68"/>
      <c r="B725" s="2"/>
      <c r="C725" s="2"/>
      <c r="D725" s="2"/>
      <c r="E725" s="2"/>
      <c r="F725" s="2"/>
      <c r="G725" s="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0" customHeight="1">
      <c r="A726" s="68"/>
      <c r="B726" s="2"/>
      <c r="C726" s="2"/>
      <c r="D726" s="2"/>
      <c r="E726" s="2"/>
      <c r="F726" s="2"/>
      <c r="G726" s="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0" customHeight="1">
      <c r="A727" s="68"/>
      <c r="B727" s="2"/>
      <c r="C727" s="2"/>
      <c r="D727" s="2"/>
      <c r="E727" s="2"/>
      <c r="F727" s="2"/>
      <c r="G727" s="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0" customHeight="1">
      <c r="A728" s="68"/>
      <c r="B728" s="2"/>
      <c r="C728" s="2"/>
      <c r="D728" s="2"/>
      <c r="E728" s="2"/>
      <c r="F728" s="2"/>
      <c r="G728" s="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0" customHeight="1">
      <c r="A729" s="68"/>
      <c r="B729" s="2"/>
      <c r="C729" s="2"/>
      <c r="D729" s="2"/>
      <c r="E729" s="2"/>
      <c r="F729" s="2"/>
      <c r="G729" s="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0" customHeight="1">
      <c r="A730" s="68"/>
      <c r="B730" s="2"/>
      <c r="C730" s="2"/>
      <c r="D730" s="2"/>
      <c r="E730" s="2"/>
      <c r="F730" s="2"/>
      <c r="G730" s="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0" customHeight="1">
      <c r="A731" s="68"/>
      <c r="B731" s="2"/>
      <c r="C731" s="2"/>
      <c r="D731" s="2"/>
      <c r="E731" s="2"/>
      <c r="F731" s="2"/>
      <c r="G731" s="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0" customHeight="1">
      <c r="A732" s="68"/>
      <c r="B732" s="2"/>
      <c r="C732" s="2"/>
      <c r="D732" s="2"/>
      <c r="E732" s="2"/>
      <c r="F732" s="2"/>
      <c r="G732" s="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0" customHeight="1">
      <c r="A733" s="68"/>
      <c r="B733" s="2"/>
      <c r="C733" s="2"/>
      <c r="D733" s="2"/>
      <c r="E733" s="2"/>
      <c r="F733" s="2"/>
      <c r="G733" s="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0" customHeight="1">
      <c r="A734" s="68"/>
      <c r="B734" s="2"/>
      <c r="C734" s="2"/>
      <c r="D734" s="2"/>
      <c r="E734" s="2"/>
      <c r="F734" s="2"/>
      <c r="G734" s="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0" customHeight="1">
      <c r="A735" s="68"/>
      <c r="B735" s="2"/>
      <c r="C735" s="2"/>
      <c r="D735" s="2"/>
      <c r="E735" s="2"/>
      <c r="F735" s="2"/>
      <c r="G735" s="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0" customHeight="1">
      <c r="A736" s="68"/>
      <c r="B736" s="2"/>
      <c r="C736" s="2"/>
      <c r="D736" s="2"/>
      <c r="E736" s="2"/>
      <c r="F736" s="2"/>
      <c r="G736" s="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0" customHeight="1">
      <c r="A737" s="68"/>
      <c r="B737" s="2"/>
      <c r="C737" s="2"/>
      <c r="D737" s="2"/>
      <c r="E737" s="2"/>
      <c r="F737" s="2"/>
      <c r="G737" s="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0" customHeight="1">
      <c r="A738" s="68"/>
      <c r="B738" s="2"/>
      <c r="C738" s="2"/>
      <c r="D738" s="2"/>
      <c r="E738" s="2"/>
      <c r="F738" s="2"/>
      <c r="G738" s="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0" customHeight="1">
      <c r="A739" s="68"/>
      <c r="B739" s="2"/>
      <c r="C739" s="2"/>
      <c r="D739" s="2"/>
      <c r="E739" s="2"/>
      <c r="F739" s="2"/>
      <c r="G739" s="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0" customHeight="1">
      <c r="A740" s="68"/>
      <c r="B740" s="2"/>
      <c r="C740" s="2"/>
      <c r="D740" s="2"/>
      <c r="E740" s="2"/>
      <c r="F740" s="2"/>
      <c r="G740" s="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0" customHeight="1">
      <c r="A741" s="68"/>
      <c r="B741" s="2"/>
      <c r="C741" s="2"/>
      <c r="D741" s="2"/>
      <c r="E741" s="2"/>
      <c r="F741" s="2"/>
      <c r="G741" s="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0" customHeight="1">
      <c r="A742" s="68"/>
      <c r="B742" s="2"/>
      <c r="C742" s="2"/>
      <c r="D742" s="2"/>
      <c r="E742" s="2"/>
      <c r="F742" s="2"/>
      <c r="G742" s="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0" customHeight="1">
      <c r="A743" s="68"/>
      <c r="B743" s="2"/>
      <c r="C743" s="2"/>
      <c r="D743" s="2"/>
      <c r="E743" s="2"/>
      <c r="F743" s="2"/>
      <c r="G743" s="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0" customHeight="1">
      <c r="A744" s="68"/>
      <c r="B744" s="2"/>
      <c r="C744" s="2"/>
      <c r="D744" s="2"/>
      <c r="E744" s="2"/>
      <c r="F744" s="2"/>
      <c r="G744" s="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0" customHeight="1">
      <c r="A745" s="68"/>
      <c r="B745" s="2"/>
      <c r="C745" s="2"/>
      <c r="D745" s="2"/>
      <c r="E745" s="2"/>
      <c r="F745" s="2"/>
      <c r="G745" s="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0" customHeight="1">
      <c r="A746" s="68"/>
      <c r="B746" s="2"/>
      <c r="C746" s="2"/>
      <c r="D746" s="2"/>
      <c r="E746" s="2"/>
      <c r="F746" s="2"/>
      <c r="G746" s="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0" customHeight="1">
      <c r="A747" s="68"/>
      <c r="B747" s="2"/>
      <c r="C747" s="2"/>
      <c r="D747" s="2"/>
      <c r="E747" s="2"/>
      <c r="F747" s="2"/>
      <c r="G747" s="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0" customHeight="1">
      <c r="A748" s="68"/>
      <c r="B748" s="2"/>
      <c r="C748" s="2"/>
      <c r="D748" s="2"/>
      <c r="E748" s="2"/>
      <c r="F748" s="2"/>
      <c r="G748" s="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0" customHeight="1">
      <c r="A749" s="68"/>
      <c r="B749" s="2"/>
      <c r="C749" s="2"/>
      <c r="D749" s="2"/>
      <c r="E749" s="2"/>
      <c r="F749" s="2"/>
      <c r="G749" s="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0" customHeight="1">
      <c r="A750" s="68"/>
      <c r="B750" s="2"/>
      <c r="C750" s="2"/>
      <c r="D750" s="2"/>
      <c r="E750" s="2"/>
      <c r="F750" s="2"/>
      <c r="G750" s="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0" customHeight="1">
      <c r="A751" s="68"/>
      <c r="B751" s="2"/>
      <c r="C751" s="2"/>
      <c r="D751" s="2"/>
      <c r="E751" s="2"/>
      <c r="F751" s="2"/>
      <c r="G751" s="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0" customHeight="1">
      <c r="A752" s="68"/>
      <c r="B752" s="2"/>
      <c r="C752" s="2"/>
      <c r="D752" s="2"/>
      <c r="E752" s="2"/>
      <c r="F752" s="2"/>
      <c r="G752" s="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0" customHeight="1">
      <c r="A753" s="68"/>
      <c r="B753" s="2"/>
      <c r="C753" s="2"/>
      <c r="D753" s="2"/>
      <c r="E753" s="2"/>
      <c r="F753" s="2"/>
      <c r="G753" s="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0" customHeight="1">
      <c r="A754" s="68"/>
      <c r="B754" s="2"/>
      <c r="C754" s="2"/>
      <c r="D754" s="2"/>
      <c r="E754" s="2"/>
      <c r="F754" s="2"/>
      <c r="G754" s="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0" customHeight="1">
      <c r="A755" s="68"/>
      <c r="B755" s="2"/>
      <c r="C755" s="2"/>
      <c r="D755" s="2"/>
      <c r="E755" s="2"/>
      <c r="F755" s="2"/>
      <c r="G755" s="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0" customHeight="1">
      <c r="A756" s="68"/>
      <c r="B756" s="2"/>
      <c r="C756" s="2"/>
      <c r="D756" s="2"/>
      <c r="E756" s="2"/>
      <c r="F756" s="2"/>
      <c r="G756" s="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0" customHeight="1">
      <c r="A757" s="68"/>
      <c r="B757" s="2"/>
      <c r="C757" s="2"/>
      <c r="D757" s="2"/>
      <c r="E757" s="2"/>
      <c r="F757" s="2"/>
      <c r="G757" s="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0" customHeight="1">
      <c r="A758" s="68"/>
      <c r="B758" s="2"/>
      <c r="C758" s="2"/>
      <c r="D758" s="2"/>
      <c r="E758" s="2"/>
      <c r="F758" s="2"/>
      <c r="G758" s="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0" customHeight="1">
      <c r="A759" s="68"/>
      <c r="B759" s="2"/>
      <c r="C759" s="2"/>
      <c r="D759" s="2"/>
      <c r="E759" s="2"/>
      <c r="F759" s="2"/>
      <c r="G759" s="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0" customHeight="1">
      <c r="A760" s="68"/>
      <c r="B760" s="2"/>
      <c r="C760" s="2"/>
      <c r="D760" s="2"/>
      <c r="E760" s="2"/>
      <c r="F760" s="2"/>
      <c r="G760" s="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0" customHeight="1">
      <c r="A761" s="68"/>
      <c r="B761" s="2"/>
      <c r="C761" s="2"/>
      <c r="D761" s="2"/>
      <c r="E761" s="2"/>
      <c r="F761" s="2"/>
      <c r="G761" s="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0" customHeight="1">
      <c r="A762" s="68"/>
      <c r="B762" s="2"/>
      <c r="C762" s="2"/>
      <c r="D762" s="2"/>
      <c r="E762" s="2"/>
      <c r="F762" s="2"/>
      <c r="G762" s="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0" customHeight="1">
      <c r="A763" s="68"/>
      <c r="B763" s="2"/>
      <c r="C763" s="2"/>
      <c r="D763" s="2"/>
      <c r="E763" s="2"/>
      <c r="F763" s="2"/>
      <c r="G763" s="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0" customHeight="1">
      <c r="A764" s="68"/>
      <c r="B764" s="2"/>
      <c r="C764" s="2"/>
      <c r="D764" s="2"/>
      <c r="E764" s="2"/>
      <c r="F764" s="2"/>
      <c r="G764" s="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0" customHeight="1">
      <c r="A765" s="68"/>
      <c r="B765" s="2"/>
      <c r="C765" s="2"/>
      <c r="D765" s="2"/>
      <c r="E765" s="2"/>
      <c r="F765" s="2"/>
      <c r="G765" s="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0" customHeight="1">
      <c r="A766" s="68"/>
      <c r="B766" s="2"/>
      <c r="C766" s="2"/>
      <c r="D766" s="2"/>
      <c r="E766" s="2"/>
      <c r="F766" s="2"/>
      <c r="G766" s="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0" customHeight="1">
      <c r="A767" s="68"/>
      <c r="B767" s="2"/>
      <c r="C767" s="2"/>
      <c r="D767" s="2"/>
      <c r="E767" s="2"/>
      <c r="F767" s="2"/>
      <c r="G767" s="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0" customHeight="1">
      <c r="A768" s="68"/>
      <c r="B768" s="2"/>
      <c r="C768" s="2"/>
      <c r="D768" s="2"/>
      <c r="E768" s="2"/>
      <c r="F768" s="2"/>
      <c r="G768" s="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0" customHeight="1">
      <c r="A769" s="68"/>
      <c r="B769" s="2"/>
      <c r="C769" s="2"/>
      <c r="D769" s="2"/>
      <c r="E769" s="2"/>
      <c r="F769" s="2"/>
      <c r="G769" s="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0" customHeight="1">
      <c r="A770" s="68"/>
      <c r="B770" s="2"/>
      <c r="C770" s="2"/>
      <c r="D770" s="2"/>
      <c r="E770" s="2"/>
      <c r="F770" s="2"/>
      <c r="G770" s="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0" customHeight="1">
      <c r="A771" s="68"/>
      <c r="B771" s="2"/>
      <c r="C771" s="2"/>
      <c r="D771" s="2"/>
      <c r="E771" s="2"/>
      <c r="F771" s="2"/>
      <c r="G771" s="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0" customHeight="1">
      <c r="A772" s="68"/>
      <c r="B772" s="2"/>
      <c r="C772" s="2"/>
      <c r="D772" s="2"/>
      <c r="E772" s="2"/>
      <c r="F772" s="2"/>
      <c r="G772" s="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0" customHeight="1">
      <c r="A773" s="68"/>
      <c r="B773" s="2"/>
      <c r="C773" s="2"/>
      <c r="D773" s="2"/>
      <c r="E773" s="2"/>
      <c r="F773" s="2"/>
      <c r="G773" s="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0" customHeight="1">
      <c r="A774" s="68"/>
      <c r="B774" s="2"/>
      <c r="C774" s="2"/>
      <c r="D774" s="2"/>
      <c r="E774" s="2"/>
      <c r="F774" s="2"/>
      <c r="G774" s="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0" customHeight="1">
      <c r="A775" s="68"/>
      <c r="B775" s="2"/>
      <c r="C775" s="2"/>
      <c r="D775" s="2"/>
      <c r="E775" s="2"/>
      <c r="F775" s="2"/>
      <c r="G775" s="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0" customHeight="1">
      <c r="A776" s="68"/>
      <c r="B776" s="2"/>
      <c r="C776" s="2"/>
      <c r="D776" s="2"/>
      <c r="E776" s="2"/>
      <c r="F776" s="2"/>
      <c r="G776" s="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0" customHeight="1">
      <c r="A777" s="68"/>
      <c r="B777" s="2"/>
      <c r="C777" s="2"/>
      <c r="D777" s="2"/>
      <c r="E777" s="2"/>
      <c r="F777" s="2"/>
      <c r="G777" s="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0" customHeight="1">
      <c r="A778" s="68"/>
      <c r="B778" s="2"/>
      <c r="C778" s="2"/>
      <c r="D778" s="2"/>
      <c r="E778" s="2"/>
      <c r="F778" s="2"/>
      <c r="G778" s="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0" customHeight="1">
      <c r="A779" s="68"/>
      <c r="B779" s="2"/>
      <c r="C779" s="2"/>
      <c r="D779" s="2"/>
      <c r="E779" s="2"/>
      <c r="F779" s="2"/>
      <c r="G779" s="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0" customHeight="1">
      <c r="A780" s="68"/>
      <c r="B780" s="2"/>
      <c r="C780" s="2"/>
      <c r="D780" s="2"/>
      <c r="E780" s="2"/>
      <c r="F780" s="2"/>
      <c r="G780" s="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0" customHeight="1">
      <c r="A781" s="68"/>
      <c r="B781" s="2"/>
      <c r="C781" s="2"/>
      <c r="D781" s="2"/>
      <c r="E781" s="2"/>
      <c r="F781" s="2"/>
      <c r="G781" s="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0" customHeight="1">
      <c r="A782" s="68"/>
      <c r="B782" s="2"/>
      <c r="C782" s="2"/>
      <c r="D782" s="2"/>
      <c r="E782" s="2"/>
      <c r="F782" s="2"/>
      <c r="G782" s="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0" customHeight="1">
      <c r="A783" s="68"/>
      <c r="B783" s="2"/>
      <c r="C783" s="2"/>
      <c r="D783" s="2"/>
      <c r="E783" s="2"/>
      <c r="F783" s="2"/>
      <c r="G783" s="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0" customHeight="1">
      <c r="A784" s="68"/>
      <c r="B784" s="2"/>
      <c r="C784" s="2"/>
      <c r="D784" s="2"/>
      <c r="E784" s="2"/>
      <c r="F784" s="2"/>
      <c r="G784" s="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0" customHeight="1">
      <c r="A785" s="68"/>
      <c r="B785" s="2"/>
      <c r="C785" s="2"/>
      <c r="D785" s="2"/>
      <c r="E785" s="2"/>
      <c r="F785" s="2"/>
      <c r="G785" s="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0" customHeight="1">
      <c r="A786" s="68"/>
      <c r="B786" s="2"/>
      <c r="C786" s="2"/>
      <c r="D786" s="2"/>
      <c r="E786" s="2"/>
      <c r="F786" s="2"/>
      <c r="G786" s="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0" customHeight="1">
      <c r="A787" s="68"/>
      <c r="B787" s="2"/>
      <c r="C787" s="2"/>
      <c r="D787" s="2"/>
      <c r="E787" s="2"/>
      <c r="F787" s="2"/>
      <c r="G787" s="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0" customHeight="1">
      <c r="A788" s="68"/>
      <c r="B788" s="2"/>
      <c r="C788" s="2"/>
      <c r="D788" s="2"/>
      <c r="E788" s="2"/>
      <c r="F788" s="2"/>
      <c r="G788" s="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0" customHeight="1">
      <c r="A789" s="68"/>
      <c r="B789" s="2"/>
      <c r="C789" s="2"/>
      <c r="D789" s="2"/>
      <c r="E789" s="2"/>
      <c r="F789" s="2"/>
      <c r="G789" s="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0" customHeight="1">
      <c r="A790" s="68"/>
      <c r="B790" s="2"/>
      <c r="C790" s="2"/>
      <c r="D790" s="2"/>
      <c r="E790" s="2"/>
      <c r="F790" s="2"/>
      <c r="G790" s="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0" customHeight="1">
      <c r="A791" s="68"/>
      <c r="B791" s="2"/>
      <c r="C791" s="2"/>
      <c r="D791" s="2"/>
      <c r="E791" s="2"/>
      <c r="F791" s="2"/>
      <c r="G791" s="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0" customHeight="1">
      <c r="A792" s="68"/>
      <c r="B792" s="2"/>
      <c r="C792" s="2"/>
      <c r="D792" s="2"/>
      <c r="E792" s="2"/>
      <c r="F792" s="2"/>
      <c r="G792" s="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0" customHeight="1">
      <c r="A793" s="68"/>
      <c r="B793" s="2"/>
      <c r="C793" s="2"/>
      <c r="D793" s="2"/>
      <c r="E793" s="2"/>
      <c r="F793" s="2"/>
      <c r="G793" s="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0" customHeight="1">
      <c r="A794" s="68"/>
      <c r="B794" s="2"/>
      <c r="C794" s="2"/>
      <c r="D794" s="2"/>
      <c r="E794" s="2"/>
      <c r="F794" s="2"/>
      <c r="G794" s="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0" customHeight="1">
      <c r="A795" s="68"/>
      <c r="B795" s="2"/>
      <c r="C795" s="2"/>
      <c r="D795" s="2"/>
      <c r="E795" s="2"/>
      <c r="F795" s="2"/>
      <c r="G795" s="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0" customHeight="1">
      <c r="A796" s="68"/>
      <c r="B796" s="2"/>
      <c r="C796" s="2"/>
      <c r="D796" s="2"/>
      <c r="E796" s="2"/>
      <c r="F796" s="2"/>
      <c r="G796" s="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0" customHeight="1">
      <c r="A797" s="68"/>
      <c r="B797" s="2"/>
      <c r="C797" s="2"/>
      <c r="D797" s="2"/>
      <c r="E797" s="2"/>
      <c r="F797" s="2"/>
      <c r="G797" s="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0" customHeight="1">
      <c r="A798" s="68"/>
      <c r="B798" s="2"/>
      <c r="C798" s="2"/>
      <c r="D798" s="2"/>
      <c r="E798" s="2"/>
      <c r="F798" s="2"/>
      <c r="G798" s="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0" customHeight="1">
      <c r="A799" s="68"/>
      <c r="B799" s="2"/>
      <c r="C799" s="2"/>
      <c r="D799" s="2"/>
      <c r="E799" s="2"/>
      <c r="F799" s="2"/>
      <c r="G799" s="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0" customHeight="1">
      <c r="A800" s="68"/>
      <c r="B800" s="2"/>
      <c r="C800" s="2"/>
      <c r="D800" s="2"/>
      <c r="E800" s="2"/>
      <c r="F800" s="2"/>
      <c r="G800" s="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0" customHeight="1">
      <c r="A801" s="68"/>
      <c r="B801" s="2"/>
      <c r="C801" s="2"/>
      <c r="D801" s="2"/>
      <c r="E801" s="2"/>
      <c r="F801" s="2"/>
      <c r="G801" s="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0" customHeight="1">
      <c r="A802" s="68"/>
      <c r="B802" s="2"/>
      <c r="C802" s="2"/>
      <c r="D802" s="2"/>
      <c r="E802" s="2"/>
      <c r="F802" s="2"/>
      <c r="G802" s="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0" customHeight="1">
      <c r="A803" s="68"/>
      <c r="B803" s="2"/>
      <c r="C803" s="2"/>
      <c r="D803" s="2"/>
      <c r="E803" s="2"/>
      <c r="F803" s="2"/>
      <c r="G803" s="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0" customHeight="1">
      <c r="A804" s="68"/>
      <c r="B804" s="2"/>
      <c r="C804" s="2"/>
      <c r="D804" s="2"/>
      <c r="E804" s="2"/>
      <c r="F804" s="2"/>
      <c r="G804" s="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0" customHeight="1">
      <c r="A805" s="68"/>
      <c r="B805" s="2"/>
      <c r="C805" s="2"/>
      <c r="D805" s="2"/>
      <c r="E805" s="2"/>
      <c r="F805" s="2"/>
      <c r="G805" s="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0" customHeight="1">
      <c r="A806" s="68"/>
      <c r="B806" s="2"/>
      <c r="C806" s="2"/>
      <c r="D806" s="2"/>
      <c r="E806" s="2"/>
      <c r="F806" s="2"/>
      <c r="G806" s="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0" customHeight="1">
      <c r="A807" s="68"/>
      <c r="B807" s="2"/>
      <c r="C807" s="2"/>
      <c r="D807" s="2"/>
      <c r="E807" s="2"/>
      <c r="F807" s="2"/>
      <c r="G807" s="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0" customHeight="1">
      <c r="A808" s="68"/>
      <c r="B808" s="2"/>
      <c r="C808" s="2"/>
      <c r="D808" s="2"/>
      <c r="E808" s="2"/>
      <c r="F808" s="2"/>
      <c r="G808" s="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0" customHeight="1">
      <c r="A809" s="68"/>
      <c r="B809" s="2"/>
      <c r="C809" s="2"/>
      <c r="D809" s="2"/>
      <c r="E809" s="2"/>
      <c r="F809" s="2"/>
      <c r="G809" s="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0" customHeight="1">
      <c r="A810" s="68"/>
      <c r="B810" s="2"/>
      <c r="C810" s="2"/>
      <c r="D810" s="2"/>
      <c r="E810" s="2"/>
      <c r="F810" s="2"/>
      <c r="G810" s="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0" customHeight="1">
      <c r="A811" s="68"/>
      <c r="B811" s="2"/>
      <c r="C811" s="2"/>
      <c r="D811" s="2"/>
      <c r="E811" s="2"/>
      <c r="F811" s="2"/>
      <c r="G811" s="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0" customHeight="1">
      <c r="A812" s="68"/>
      <c r="B812" s="2"/>
      <c r="C812" s="2"/>
      <c r="D812" s="2"/>
      <c r="E812" s="2"/>
      <c r="F812" s="2"/>
      <c r="G812" s="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0" customHeight="1">
      <c r="A813" s="68"/>
      <c r="B813" s="2"/>
      <c r="C813" s="2"/>
      <c r="D813" s="2"/>
      <c r="E813" s="2"/>
      <c r="F813" s="2"/>
      <c r="G813" s="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0" customHeight="1">
      <c r="A814" s="68"/>
      <c r="B814" s="2"/>
      <c r="C814" s="2"/>
      <c r="D814" s="2"/>
      <c r="E814" s="2"/>
      <c r="F814" s="2"/>
      <c r="G814" s="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0" customHeight="1">
      <c r="A815" s="68"/>
      <c r="B815" s="2"/>
      <c r="C815" s="2"/>
      <c r="D815" s="2"/>
      <c r="E815" s="2"/>
      <c r="F815" s="2"/>
      <c r="G815" s="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0" customHeight="1">
      <c r="A816" s="68"/>
      <c r="B816" s="2"/>
      <c r="C816" s="2"/>
      <c r="D816" s="2"/>
      <c r="E816" s="2"/>
      <c r="F816" s="2"/>
      <c r="G816" s="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0" customHeight="1">
      <c r="A817" s="68"/>
      <c r="B817" s="2"/>
      <c r="C817" s="2"/>
      <c r="D817" s="2"/>
      <c r="E817" s="2"/>
      <c r="F817" s="2"/>
      <c r="G817" s="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0" customHeight="1">
      <c r="A818" s="68"/>
      <c r="B818" s="2"/>
      <c r="C818" s="2"/>
      <c r="D818" s="2"/>
      <c r="E818" s="2"/>
      <c r="F818" s="2"/>
      <c r="G818" s="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0" customHeight="1">
      <c r="A819" s="68"/>
      <c r="B819" s="2"/>
      <c r="C819" s="2"/>
      <c r="D819" s="2"/>
      <c r="E819" s="2"/>
      <c r="F819" s="2"/>
      <c r="G819" s="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0" customHeight="1">
      <c r="A820" s="68"/>
      <c r="B820" s="2"/>
      <c r="C820" s="2"/>
      <c r="D820" s="2"/>
      <c r="E820" s="2"/>
      <c r="F820" s="2"/>
      <c r="G820" s="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0" customHeight="1">
      <c r="A821" s="68"/>
      <c r="B821" s="2"/>
      <c r="C821" s="2"/>
      <c r="D821" s="2"/>
      <c r="E821" s="2"/>
      <c r="F821" s="2"/>
      <c r="G821" s="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0" customHeight="1">
      <c r="A822" s="68"/>
      <c r="B822" s="2"/>
      <c r="C822" s="2"/>
      <c r="D822" s="2"/>
      <c r="E822" s="2"/>
      <c r="F822" s="2"/>
      <c r="G822" s="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0" customHeight="1">
      <c r="A823" s="68"/>
      <c r="B823" s="2"/>
      <c r="C823" s="2"/>
      <c r="D823" s="2"/>
      <c r="E823" s="2"/>
      <c r="F823" s="2"/>
      <c r="G823" s="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0" customHeight="1">
      <c r="A824" s="68"/>
      <c r="B824" s="2"/>
      <c r="C824" s="2"/>
      <c r="D824" s="2"/>
      <c r="E824" s="2"/>
      <c r="F824" s="2"/>
      <c r="G824" s="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0" customHeight="1">
      <c r="A825" s="68"/>
      <c r="B825" s="2"/>
      <c r="C825" s="2"/>
      <c r="D825" s="2"/>
      <c r="E825" s="2"/>
      <c r="F825" s="2"/>
      <c r="G825" s="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0" customHeight="1">
      <c r="A826" s="68"/>
      <c r="B826" s="2"/>
      <c r="C826" s="2"/>
      <c r="D826" s="2"/>
      <c r="E826" s="2"/>
      <c r="F826" s="2"/>
      <c r="G826" s="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0" customHeight="1">
      <c r="A827" s="68"/>
      <c r="B827" s="2"/>
      <c r="C827" s="2"/>
      <c r="D827" s="2"/>
      <c r="E827" s="2"/>
      <c r="F827" s="2"/>
      <c r="G827" s="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0" customHeight="1">
      <c r="A828" s="68"/>
      <c r="B828" s="2"/>
      <c r="C828" s="2"/>
      <c r="D828" s="2"/>
      <c r="E828" s="2"/>
      <c r="F828" s="2"/>
      <c r="G828" s="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0" customHeight="1">
      <c r="A829" s="68"/>
      <c r="B829" s="2"/>
      <c r="C829" s="2"/>
      <c r="D829" s="2"/>
      <c r="E829" s="2"/>
      <c r="F829" s="2"/>
      <c r="G829" s="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0" customHeight="1">
      <c r="A830" s="68"/>
      <c r="B830" s="2"/>
      <c r="C830" s="2"/>
      <c r="D830" s="2"/>
      <c r="E830" s="2"/>
      <c r="F830" s="2"/>
      <c r="G830" s="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0" customHeight="1">
      <c r="A831" s="68"/>
      <c r="B831" s="2"/>
      <c r="C831" s="2"/>
      <c r="D831" s="2"/>
      <c r="E831" s="2"/>
      <c r="F831" s="2"/>
      <c r="G831" s="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0" customHeight="1">
      <c r="A832" s="68"/>
      <c r="B832" s="2"/>
      <c r="C832" s="2"/>
      <c r="D832" s="2"/>
      <c r="E832" s="2"/>
      <c r="F832" s="2"/>
      <c r="G832" s="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0" customHeight="1">
      <c r="A833" s="68"/>
      <c r="B833" s="2"/>
      <c r="C833" s="2"/>
      <c r="D833" s="2"/>
      <c r="E833" s="2"/>
      <c r="F833" s="2"/>
      <c r="G833" s="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0" customHeight="1">
      <c r="A834" s="68"/>
      <c r="B834" s="2"/>
      <c r="C834" s="2"/>
      <c r="D834" s="2"/>
      <c r="E834" s="2"/>
      <c r="F834" s="2"/>
      <c r="G834" s="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0" customHeight="1">
      <c r="A835" s="68"/>
      <c r="B835" s="2"/>
      <c r="C835" s="2"/>
      <c r="D835" s="2"/>
      <c r="E835" s="2"/>
      <c r="F835" s="2"/>
      <c r="G835" s="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0" customHeight="1">
      <c r="A836" s="68"/>
      <c r="B836" s="2"/>
      <c r="C836" s="2"/>
      <c r="D836" s="2"/>
      <c r="E836" s="2"/>
      <c r="F836" s="2"/>
      <c r="G836" s="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0" customHeight="1">
      <c r="A837" s="68"/>
      <c r="B837" s="2"/>
      <c r="C837" s="2"/>
      <c r="D837" s="2"/>
      <c r="E837" s="2"/>
      <c r="F837" s="2"/>
      <c r="G837" s="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0" customHeight="1">
      <c r="A838" s="68"/>
      <c r="B838" s="2"/>
      <c r="C838" s="2"/>
      <c r="D838" s="2"/>
      <c r="E838" s="2"/>
      <c r="F838" s="2"/>
      <c r="G838" s="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0" customHeight="1">
      <c r="A839" s="68"/>
      <c r="B839" s="2"/>
      <c r="C839" s="2"/>
      <c r="D839" s="2"/>
      <c r="E839" s="2"/>
      <c r="F839" s="2"/>
      <c r="G839" s="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0" customHeight="1">
      <c r="A840" s="68"/>
      <c r="B840" s="2"/>
      <c r="C840" s="2"/>
      <c r="D840" s="2"/>
      <c r="E840" s="2"/>
      <c r="F840" s="2"/>
      <c r="G840" s="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0" customHeight="1">
      <c r="A841" s="68"/>
      <c r="B841" s="2"/>
      <c r="C841" s="2"/>
      <c r="D841" s="2"/>
      <c r="E841" s="2"/>
      <c r="F841" s="2"/>
      <c r="G841" s="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0" customHeight="1">
      <c r="A842" s="68"/>
      <c r="B842" s="2"/>
      <c r="C842" s="2"/>
      <c r="D842" s="2"/>
      <c r="E842" s="2"/>
      <c r="F842" s="2"/>
      <c r="G842" s="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0" customHeight="1">
      <c r="A843" s="68"/>
      <c r="B843" s="2"/>
      <c r="C843" s="2"/>
      <c r="D843" s="2"/>
      <c r="E843" s="2"/>
      <c r="F843" s="2"/>
      <c r="G843" s="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0" customHeight="1">
      <c r="A844" s="68"/>
      <c r="B844" s="2"/>
      <c r="C844" s="2"/>
      <c r="D844" s="2"/>
      <c r="E844" s="2"/>
      <c r="F844" s="2"/>
      <c r="G844" s="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0" customHeight="1">
      <c r="A845" s="68"/>
      <c r="B845" s="2"/>
      <c r="C845" s="2"/>
      <c r="D845" s="2"/>
      <c r="E845" s="2"/>
      <c r="F845" s="2"/>
      <c r="G845" s="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0" customHeight="1">
      <c r="A846" s="68"/>
      <c r="B846" s="2"/>
      <c r="C846" s="2"/>
      <c r="D846" s="2"/>
      <c r="E846" s="2"/>
      <c r="F846" s="2"/>
      <c r="G846" s="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0" customHeight="1">
      <c r="A847" s="68"/>
      <c r="B847" s="2"/>
      <c r="C847" s="2"/>
      <c r="D847" s="2"/>
      <c r="E847" s="2"/>
      <c r="F847" s="2"/>
      <c r="G847" s="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0" customHeight="1">
      <c r="A848" s="68"/>
      <c r="B848" s="2"/>
      <c r="C848" s="2"/>
      <c r="D848" s="2"/>
      <c r="E848" s="2"/>
      <c r="F848" s="2"/>
      <c r="G848" s="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0" customHeight="1">
      <c r="A849" s="68"/>
      <c r="B849" s="2"/>
      <c r="C849" s="2"/>
      <c r="D849" s="2"/>
      <c r="E849" s="2"/>
      <c r="F849" s="2"/>
      <c r="G849" s="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0" customHeight="1">
      <c r="A850" s="68"/>
      <c r="B850" s="2"/>
      <c r="C850" s="2"/>
      <c r="D850" s="2"/>
      <c r="E850" s="2"/>
      <c r="F850" s="2"/>
      <c r="G850" s="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0" customHeight="1">
      <c r="A851" s="68"/>
      <c r="B851" s="2"/>
      <c r="C851" s="2"/>
      <c r="D851" s="2"/>
      <c r="E851" s="2"/>
      <c r="F851" s="2"/>
      <c r="G851" s="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0" customHeight="1">
      <c r="A852" s="68"/>
      <c r="B852" s="2"/>
      <c r="C852" s="2"/>
      <c r="D852" s="2"/>
      <c r="E852" s="2"/>
      <c r="F852" s="2"/>
      <c r="G852" s="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0" customHeight="1">
      <c r="A853" s="68"/>
      <c r="B853" s="2"/>
      <c r="C853" s="2"/>
      <c r="D853" s="2"/>
      <c r="E853" s="2"/>
      <c r="F853" s="2"/>
      <c r="G853" s="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0" customHeight="1">
      <c r="A854" s="68"/>
      <c r="B854" s="2"/>
      <c r="C854" s="2"/>
      <c r="D854" s="2"/>
      <c r="E854" s="2"/>
      <c r="F854" s="2"/>
      <c r="G854" s="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0" customHeight="1">
      <c r="A855" s="68"/>
      <c r="B855" s="2"/>
      <c r="C855" s="2"/>
      <c r="D855" s="2"/>
      <c r="E855" s="2"/>
      <c r="F855" s="2"/>
      <c r="G855" s="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0" customHeight="1">
      <c r="A856" s="68"/>
      <c r="B856" s="2"/>
      <c r="C856" s="2"/>
      <c r="D856" s="2"/>
      <c r="E856" s="2"/>
      <c r="F856" s="2"/>
      <c r="G856" s="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0" customHeight="1">
      <c r="A857" s="68"/>
      <c r="B857" s="2"/>
      <c r="C857" s="2"/>
      <c r="D857" s="2"/>
      <c r="E857" s="2"/>
      <c r="F857" s="2"/>
      <c r="G857" s="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0" customHeight="1">
      <c r="A858" s="68"/>
      <c r="B858" s="2"/>
      <c r="C858" s="2"/>
      <c r="D858" s="2"/>
      <c r="E858" s="2"/>
      <c r="F858" s="2"/>
      <c r="G858" s="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0" customHeight="1">
      <c r="A859" s="68"/>
      <c r="B859" s="2"/>
      <c r="C859" s="2"/>
      <c r="D859" s="2"/>
      <c r="E859" s="2"/>
      <c r="F859" s="2"/>
      <c r="G859" s="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0" customHeight="1">
      <c r="A860" s="68"/>
      <c r="B860" s="2"/>
      <c r="C860" s="2"/>
      <c r="D860" s="2"/>
      <c r="E860" s="2"/>
      <c r="F860" s="2"/>
      <c r="G860" s="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0" customHeight="1">
      <c r="A861" s="68"/>
      <c r="B861" s="2"/>
      <c r="C861" s="2"/>
      <c r="D861" s="2"/>
      <c r="E861" s="2"/>
      <c r="F861" s="2"/>
      <c r="G861" s="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0" customHeight="1">
      <c r="A862" s="68"/>
      <c r="B862" s="2"/>
      <c r="C862" s="2"/>
      <c r="D862" s="2"/>
      <c r="E862" s="2"/>
      <c r="F862" s="2"/>
      <c r="G862" s="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0" customHeight="1">
      <c r="A863" s="68"/>
      <c r="B863" s="2"/>
      <c r="C863" s="2"/>
      <c r="D863" s="2"/>
      <c r="E863" s="2"/>
      <c r="F863" s="2"/>
      <c r="G863" s="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0" customHeight="1">
      <c r="A864" s="68"/>
      <c r="B864" s="2"/>
      <c r="C864" s="2"/>
      <c r="D864" s="2"/>
      <c r="E864" s="2"/>
      <c r="F864" s="2"/>
      <c r="G864" s="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0" customHeight="1">
      <c r="A865" s="68"/>
      <c r="B865" s="2"/>
      <c r="C865" s="2"/>
      <c r="D865" s="2"/>
      <c r="E865" s="2"/>
      <c r="F865" s="2"/>
      <c r="G865" s="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0" customHeight="1">
      <c r="A866" s="68"/>
      <c r="B866" s="2"/>
      <c r="C866" s="2"/>
      <c r="D866" s="2"/>
      <c r="E866" s="2"/>
      <c r="F866" s="2"/>
      <c r="G866" s="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0" customHeight="1">
      <c r="A867" s="68"/>
      <c r="B867" s="2"/>
      <c r="C867" s="2"/>
      <c r="D867" s="2"/>
      <c r="E867" s="2"/>
      <c r="F867" s="2"/>
      <c r="G867" s="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0" customHeight="1">
      <c r="A868" s="68"/>
      <c r="B868" s="2"/>
      <c r="C868" s="2"/>
      <c r="D868" s="2"/>
      <c r="E868" s="2"/>
      <c r="F868" s="2"/>
      <c r="G868" s="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0" customHeight="1">
      <c r="A869" s="68"/>
      <c r="B869" s="2"/>
      <c r="C869" s="2"/>
      <c r="D869" s="2"/>
      <c r="E869" s="2"/>
      <c r="F869" s="2"/>
      <c r="G869" s="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0" customHeight="1">
      <c r="A870" s="68"/>
      <c r="B870" s="2"/>
      <c r="C870" s="2"/>
      <c r="D870" s="2"/>
      <c r="E870" s="2"/>
      <c r="F870" s="2"/>
      <c r="G870" s="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0" customHeight="1">
      <c r="A871" s="68"/>
      <c r="B871" s="2"/>
      <c r="C871" s="2"/>
      <c r="D871" s="2"/>
      <c r="E871" s="2"/>
      <c r="F871" s="2"/>
      <c r="G871" s="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0" customHeight="1">
      <c r="A872" s="68"/>
      <c r="B872" s="2"/>
      <c r="C872" s="2"/>
      <c r="D872" s="2"/>
      <c r="E872" s="2"/>
      <c r="F872" s="2"/>
      <c r="G872" s="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0" customHeight="1">
      <c r="A873" s="68"/>
      <c r="B873" s="2"/>
      <c r="C873" s="2"/>
      <c r="D873" s="2"/>
      <c r="E873" s="2"/>
      <c r="F873" s="2"/>
      <c r="G873" s="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0" customHeight="1">
      <c r="A874" s="68"/>
      <c r="B874" s="2"/>
      <c r="C874" s="2"/>
      <c r="D874" s="2"/>
      <c r="E874" s="2"/>
      <c r="F874" s="2"/>
      <c r="G874" s="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0" customHeight="1">
      <c r="A875" s="68"/>
      <c r="B875" s="2"/>
      <c r="C875" s="2"/>
      <c r="D875" s="2"/>
      <c r="E875" s="2"/>
      <c r="F875" s="2"/>
      <c r="G875" s="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0" customHeight="1">
      <c r="A876" s="68"/>
      <c r="B876" s="2"/>
      <c r="C876" s="2"/>
      <c r="D876" s="2"/>
      <c r="E876" s="2"/>
      <c r="F876" s="2"/>
      <c r="G876" s="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0" customHeight="1">
      <c r="A877" s="68"/>
      <c r="B877" s="2"/>
      <c r="C877" s="2"/>
      <c r="D877" s="2"/>
      <c r="E877" s="2"/>
      <c r="F877" s="2"/>
      <c r="G877" s="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0" customHeight="1">
      <c r="A878" s="68"/>
      <c r="B878" s="2"/>
      <c r="C878" s="2"/>
      <c r="D878" s="2"/>
      <c r="E878" s="2"/>
      <c r="F878" s="2"/>
      <c r="G878" s="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0" customHeight="1">
      <c r="A879" s="68"/>
      <c r="B879" s="2"/>
      <c r="C879" s="2"/>
      <c r="D879" s="2"/>
      <c r="E879" s="2"/>
      <c r="F879" s="2"/>
      <c r="G879" s="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0" customHeight="1">
      <c r="A880" s="68"/>
      <c r="B880" s="2"/>
      <c r="C880" s="2"/>
      <c r="D880" s="2"/>
      <c r="E880" s="2"/>
      <c r="F880" s="2"/>
      <c r="G880" s="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0" customHeight="1">
      <c r="A881" s="68"/>
      <c r="B881" s="2"/>
      <c r="C881" s="2"/>
      <c r="D881" s="2"/>
      <c r="E881" s="2"/>
      <c r="F881" s="2"/>
      <c r="G881" s="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0" customHeight="1">
      <c r="A882" s="68"/>
      <c r="B882" s="2"/>
      <c r="C882" s="2"/>
      <c r="D882" s="2"/>
      <c r="E882" s="2"/>
      <c r="F882" s="2"/>
      <c r="G882" s="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0" customHeight="1">
      <c r="A883" s="68"/>
      <c r="B883" s="2"/>
      <c r="C883" s="2"/>
      <c r="D883" s="2"/>
      <c r="E883" s="2"/>
      <c r="F883" s="2"/>
      <c r="G883" s="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0" customHeight="1">
      <c r="A884" s="68"/>
      <c r="B884" s="2"/>
      <c r="C884" s="2"/>
      <c r="D884" s="2"/>
      <c r="E884" s="2"/>
      <c r="F884" s="2"/>
      <c r="G884" s="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0" customHeight="1">
      <c r="A885" s="68"/>
      <c r="B885" s="2"/>
      <c r="C885" s="2"/>
      <c r="D885" s="2"/>
      <c r="E885" s="2"/>
      <c r="F885" s="2"/>
      <c r="G885" s="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0" customHeight="1">
      <c r="A886" s="68"/>
      <c r="B886" s="2"/>
      <c r="C886" s="2"/>
      <c r="D886" s="2"/>
      <c r="E886" s="2"/>
      <c r="F886" s="2"/>
      <c r="G886" s="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0" customHeight="1">
      <c r="A887" s="68"/>
      <c r="B887" s="2"/>
      <c r="C887" s="2"/>
      <c r="D887" s="2"/>
      <c r="E887" s="2"/>
      <c r="F887" s="2"/>
      <c r="G887" s="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0" customHeight="1">
      <c r="A888" s="68"/>
      <c r="B888" s="2"/>
      <c r="C888" s="2"/>
      <c r="D888" s="2"/>
      <c r="E888" s="2"/>
      <c r="F888" s="2"/>
      <c r="G888" s="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0" customHeight="1">
      <c r="A889" s="68"/>
      <c r="B889" s="2"/>
      <c r="C889" s="2"/>
      <c r="D889" s="2"/>
      <c r="E889" s="2"/>
      <c r="F889" s="2"/>
      <c r="G889" s="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0" customHeight="1">
      <c r="A890" s="68"/>
      <c r="B890" s="2"/>
      <c r="C890" s="2"/>
      <c r="D890" s="2"/>
      <c r="E890" s="2"/>
      <c r="F890" s="2"/>
      <c r="G890" s="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0" customHeight="1">
      <c r="A891" s="68"/>
      <c r="B891" s="2"/>
      <c r="C891" s="2"/>
      <c r="D891" s="2"/>
      <c r="E891" s="2"/>
      <c r="F891" s="2"/>
      <c r="G891" s="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0" customHeight="1">
      <c r="A892" s="68"/>
      <c r="B892" s="2"/>
      <c r="C892" s="2"/>
      <c r="D892" s="2"/>
      <c r="E892" s="2"/>
      <c r="F892" s="2"/>
      <c r="G892" s="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0" customHeight="1">
      <c r="A893" s="68"/>
      <c r="B893" s="2"/>
      <c r="C893" s="2"/>
      <c r="D893" s="2"/>
      <c r="E893" s="2"/>
      <c r="F893" s="2"/>
      <c r="G893" s="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0" customHeight="1">
      <c r="A894" s="68"/>
      <c r="B894" s="2"/>
      <c r="C894" s="2"/>
      <c r="D894" s="2"/>
      <c r="E894" s="2"/>
      <c r="F894" s="2"/>
      <c r="G894" s="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0" customHeight="1">
      <c r="A895" s="68"/>
      <c r="B895" s="2"/>
      <c r="C895" s="2"/>
      <c r="D895" s="2"/>
      <c r="E895" s="2"/>
      <c r="F895" s="2"/>
      <c r="G895" s="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0" customHeight="1">
      <c r="A896" s="68"/>
      <c r="B896" s="2"/>
      <c r="C896" s="2"/>
      <c r="D896" s="2"/>
      <c r="E896" s="2"/>
      <c r="F896" s="2"/>
      <c r="G896" s="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0" customHeight="1">
      <c r="A897" s="68"/>
      <c r="B897" s="2"/>
      <c r="C897" s="2"/>
      <c r="D897" s="2"/>
      <c r="E897" s="2"/>
      <c r="F897" s="2"/>
      <c r="G897" s="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0" customHeight="1">
      <c r="A898" s="68"/>
      <c r="B898" s="2"/>
      <c r="C898" s="2"/>
      <c r="D898" s="2"/>
      <c r="E898" s="2"/>
      <c r="F898" s="2"/>
      <c r="G898" s="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0" customHeight="1">
      <c r="A899" s="68"/>
      <c r="B899" s="2"/>
      <c r="C899" s="2"/>
      <c r="D899" s="2"/>
      <c r="E899" s="2"/>
      <c r="F899" s="2"/>
      <c r="G899" s="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0" customHeight="1">
      <c r="A900" s="68"/>
      <c r="B900" s="2"/>
      <c r="C900" s="2"/>
      <c r="D900" s="2"/>
      <c r="E900" s="2"/>
      <c r="F900" s="2"/>
      <c r="G900" s="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0" customHeight="1">
      <c r="A901" s="68"/>
      <c r="B901" s="2"/>
      <c r="C901" s="2"/>
      <c r="D901" s="2"/>
      <c r="E901" s="2"/>
      <c r="F901" s="2"/>
      <c r="G901" s="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0" customHeight="1">
      <c r="A902" s="68"/>
      <c r="B902" s="2"/>
      <c r="C902" s="2"/>
      <c r="D902" s="2"/>
      <c r="E902" s="2"/>
      <c r="F902" s="2"/>
      <c r="G902" s="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0" customHeight="1">
      <c r="A903" s="68"/>
      <c r="B903" s="2"/>
      <c r="C903" s="2"/>
      <c r="D903" s="2"/>
      <c r="E903" s="2"/>
      <c r="F903" s="2"/>
      <c r="G903" s="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0" customHeight="1">
      <c r="A904" s="68"/>
      <c r="B904" s="2"/>
      <c r="C904" s="2"/>
      <c r="D904" s="2"/>
      <c r="E904" s="2"/>
      <c r="F904" s="2"/>
      <c r="G904" s="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0" customHeight="1">
      <c r="A905" s="68"/>
      <c r="B905" s="2"/>
      <c r="C905" s="2"/>
      <c r="D905" s="2"/>
      <c r="E905" s="2"/>
      <c r="F905" s="2"/>
      <c r="G905" s="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0" customHeight="1">
      <c r="A906" s="68"/>
      <c r="B906" s="2"/>
      <c r="C906" s="2"/>
      <c r="D906" s="2"/>
      <c r="E906" s="2"/>
      <c r="F906" s="2"/>
      <c r="G906" s="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0" customHeight="1">
      <c r="A907" s="68"/>
      <c r="B907" s="2"/>
      <c r="C907" s="2"/>
      <c r="D907" s="2"/>
      <c r="E907" s="2"/>
      <c r="F907" s="2"/>
      <c r="G907" s="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0" customHeight="1">
      <c r="A908" s="68"/>
      <c r="B908" s="2"/>
      <c r="C908" s="2"/>
      <c r="D908" s="2"/>
      <c r="E908" s="2"/>
      <c r="F908" s="2"/>
      <c r="G908" s="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0" customHeight="1">
      <c r="A909" s="68"/>
      <c r="B909" s="2"/>
      <c r="C909" s="2"/>
      <c r="D909" s="2"/>
      <c r="E909" s="2"/>
      <c r="F909" s="2"/>
      <c r="G909" s="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0" customHeight="1">
      <c r="A910" s="68"/>
      <c r="B910" s="2"/>
      <c r="C910" s="2"/>
      <c r="D910" s="2"/>
      <c r="E910" s="2"/>
      <c r="F910" s="2"/>
      <c r="G910" s="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0" customHeight="1">
      <c r="A911" s="68"/>
      <c r="B911" s="2"/>
      <c r="C911" s="2"/>
      <c r="D911" s="2"/>
      <c r="E911" s="2"/>
      <c r="F911" s="2"/>
      <c r="G911" s="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0" customHeight="1">
      <c r="A912" s="68"/>
      <c r="B912" s="2"/>
      <c r="C912" s="2"/>
      <c r="D912" s="2"/>
      <c r="E912" s="2"/>
      <c r="F912" s="2"/>
      <c r="G912" s="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0" customHeight="1">
      <c r="A913" s="68"/>
      <c r="B913" s="2"/>
      <c r="C913" s="2"/>
      <c r="D913" s="2"/>
      <c r="E913" s="2"/>
      <c r="F913" s="2"/>
      <c r="G913" s="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0" customHeight="1">
      <c r="A914" s="68"/>
      <c r="B914" s="2"/>
      <c r="C914" s="2"/>
      <c r="D914" s="2"/>
      <c r="E914" s="2"/>
      <c r="F914" s="2"/>
      <c r="G914" s="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0" customHeight="1">
      <c r="A915" s="68"/>
      <c r="B915" s="2"/>
      <c r="C915" s="2"/>
      <c r="D915" s="2"/>
      <c r="E915" s="2"/>
      <c r="F915" s="2"/>
      <c r="G915" s="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0" customHeight="1">
      <c r="A916" s="68"/>
      <c r="B916" s="2"/>
      <c r="C916" s="2"/>
      <c r="D916" s="2"/>
      <c r="E916" s="2"/>
      <c r="F916" s="2"/>
      <c r="G916" s="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0" customHeight="1">
      <c r="A917" s="68"/>
      <c r="B917" s="2"/>
      <c r="C917" s="2"/>
      <c r="D917" s="2"/>
      <c r="E917" s="2"/>
      <c r="F917" s="2"/>
      <c r="G917" s="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0" customHeight="1">
      <c r="A918" s="68"/>
      <c r="B918" s="2"/>
      <c r="C918" s="2"/>
      <c r="D918" s="2"/>
      <c r="E918" s="2"/>
      <c r="F918" s="2"/>
      <c r="G918" s="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0" customHeight="1">
      <c r="A919" s="68"/>
      <c r="B919" s="2"/>
      <c r="C919" s="2"/>
      <c r="D919" s="2"/>
      <c r="E919" s="2"/>
      <c r="F919" s="2"/>
      <c r="G919" s="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0" customHeight="1">
      <c r="A920" s="68"/>
      <c r="B920" s="2"/>
      <c r="C920" s="2"/>
      <c r="D920" s="2"/>
      <c r="E920" s="2"/>
      <c r="F920" s="2"/>
      <c r="G920" s="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0" customHeight="1">
      <c r="A921" s="68"/>
      <c r="B921" s="2"/>
      <c r="C921" s="2"/>
      <c r="D921" s="2"/>
      <c r="E921" s="2"/>
      <c r="F921" s="2"/>
      <c r="G921" s="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0" customHeight="1">
      <c r="A922" s="68"/>
      <c r="B922" s="2"/>
      <c r="C922" s="2"/>
      <c r="D922" s="2"/>
      <c r="E922" s="2"/>
      <c r="F922" s="2"/>
      <c r="G922" s="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0" customHeight="1">
      <c r="A923" s="68"/>
      <c r="B923" s="2"/>
      <c r="C923" s="2"/>
      <c r="D923" s="2"/>
      <c r="E923" s="2"/>
      <c r="F923" s="2"/>
      <c r="G923" s="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0" customHeight="1">
      <c r="A924" s="68"/>
      <c r="B924" s="2"/>
      <c r="C924" s="2"/>
      <c r="D924" s="2"/>
      <c r="E924" s="2"/>
      <c r="F924" s="2"/>
      <c r="G924" s="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0" customHeight="1">
      <c r="A925" s="68"/>
      <c r="B925" s="2"/>
      <c r="C925" s="2"/>
      <c r="D925" s="2"/>
      <c r="E925" s="2"/>
      <c r="F925" s="2"/>
      <c r="G925" s="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0" customHeight="1">
      <c r="A926" s="68"/>
      <c r="B926" s="2"/>
      <c r="C926" s="2"/>
      <c r="D926" s="2"/>
      <c r="E926" s="2"/>
      <c r="F926" s="2"/>
      <c r="G926" s="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0" customHeight="1">
      <c r="A927" s="68"/>
      <c r="B927" s="2"/>
      <c r="C927" s="2"/>
      <c r="D927" s="2"/>
      <c r="E927" s="2"/>
      <c r="F927" s="2"/>
      <c r="G927" s="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0" customHeight="1">
      <c r="A928" s="68"/>
      <c r="B928" s="2"/>
      <c r="C928" s="2"/>
      <c r="D928" s="2"/>
      <c r="E928" s="2"/>
      <c r="F928" s="2"/>
      <c r="G928" s="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0" customHeight="1">
      <c r="A929" s="68"/>
      <c r="B929" s="2"/>
      <c r="C929" s="2"/>
      <c r="D929" s="2"/>
      <c r="E929" s="2"/>
      <c r="F929" s="2"/>
      <c r="G929" s="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0" customHeight="1">
      <c r="A930" s="68"/>
      <c r="B930" s="2"/>
      <c r="C930" s="2"/>
      <c r="D930" s="2"/>
      <c r="E930" s="2"/>
      <c r="F930" s="2"/>
      <c r="G930" s="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0" customHeight="1">
      <c r="A931" s="68"/>
      <c r="B931" s="2"/>
      <c r="C931" s="2"/>
      <c r="D931" s="2"/>
      <c r="E931" s="2"/>
      <c r="F931" s="2"/>
      <c r="G931" s="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0" customHeight="1">
      <c r="A932" s="68"/>
      <c r="B932" s="2"/>
      <c r="C932" s="2"/>
      <c r="D932" s="2"/>
      <c r="E932" s="2"/>
      <c r="F932" s="2"/>
      <c r="G932" s="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0" customHeight="1">
      <c r="A933" s="68"/>
      <c r="B933" s="2"/>
      <c r="C933" s="2"/>
      <c r="D933" s="2"/>
      <c r="E933" s="2"/>
      <c r="F933" s="2"/>
      <c r="G933" s="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0" customHeight="1">
      <c r="A934" s="68"/>
      <c r="B934" s="2"/>
      <c r="C934" s="2"/>
      <c r="D934" s="2"/>
      <c r="E934" s="2"/>
      <c r="F934" s="2"/>
      <c r="G934" s="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0" customHeight="1">
      <c r="A935" s="68"/>
      <c r="B935" s="2"/>
      <c r="C935" s="2"/>
      <c r="D935" s="2"/>
      <c r="E935" s="2"/>
      <c r="F935" s="2"/>
      <c r="G935" s="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0" customHeight="1">
      <c r="A936" s="68"/>
      <c r="B936" s="2"/>
      <c r="C936" s="2"/>
      <c r="D936" s="2"/>
      <c r="E936" s="2"/>
      <c r="F936" s="2"/>
      <c r="G936" s="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0" customHeight="1">
      <c r="A937" s="68"/>
      <c r="B937" s="2"/>
      <c r="C937" s="2"/>
      <c r="D937" s="2"/>
      <c r="E937" s="2"/>
      <c r="F937" s="2"/>
      <c r="G937" s="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0" customHeight="1">
      <c r="A938" s="68"/>
      <c r="B938" s="2"/>
      <c r="C938" s="2"/>
      <c r="D938" s="2"/>
      <c r="E938" s="2"/>
      <c r="F938" s="2"/>
      <c r="G938" s="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0" customHeight="1">
      <c r="A939" s="68"/>
      <c r="B939" s="2"/>
      <c r="C939" s="2"/>
      <c r="D939" s="2"/>
      <c r="E939" s="2"/>
      <c r="F939" s="2"/>
      <c r="G939" s="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0" customHeight="1">
      <c r="A940" s="68"/>
      <c r="B940" s="2"/>
      <c r="C940" s="2"/>
      <c r="D940" s="2"/>
      <c r="E940" s="2"/>
      <c r="F940" s="2"/>
      <c r="G940" s="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0" customHeight="1">
      <c r="A941" s="68"/>
      <c r="B941" s="2"/>
      <c r="C941" s="2"/>
      <c r="D941" s="2"/>
      <c r="E941" s="2"/>
      <c r="F941" s="2"/>
      <c r="G941" s="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0" customHeight="1">
      <c r="A942" s="68"/>
      <c r="B942" s="2"/>
      <c r="C942" s="2"/>
      <c r="D942" s="2"/>
      <c r="E942" s="2"/>
      <c r="F942" s="2"/>
      <c r="G942" s="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0" customHeight="1">
      <c r="A943" s="68"/>
      <c r="B943" s="2"/>
      <c r="C943" s="2"/>
      <c r="D943" s="2"/>
      <c r="E943" s="2"/>
      <c r="F943" s="2"/>
      <c r="G943" s="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0" customHeight="1">
      <c r="A944" s="68"/>
      <c r="B944" s="2"/>
      <c r="C944" s="2"/>
      <c r="D944" s="2"/>
      <c r="E944" s="2"/>
      <c r="F944" s="2"/>
      <c r="G944" s="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0" customHeight="1">
      <c r="A945" s="68"/>
      <c r="B945" s="2"/>
      <c r="C945" s="2"/>
      <c r="D945" s="2"/>
      <c r="E945" s="2"/>
      <c r="F945" s="2"/>
      <c r="G945" s="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0" customHeight="1">
      <c r="A946" s="68"/>
      <c r="B946" s="2"/>
      <c r="C946" s="2"/>
      <c r="D946" s="2"/>
      <c r="E946" s="2"/>
      <c r="F946" s="2"/>
      <c r="G946" s="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0" customHeight="1">
      <c r="A947" s="68"/>
      <c r="B947" s="2"/>
      <c r="C947" s="2"/>
      <c r="D947" s="2"/>
      <c r="E947" s="2"/>
      <c r="F947" s="2"/>
      <c r="G947" s="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0" customHeight="1">
      <c r="A948" s="68"/>
      <c r="B948" s="2"/>
      <c r="C948" s="2"/>
      <c r="D948" s="2"/>
      <c r="E948" s="2"/>
      <c r="F948" s="2"/>
      <c r="G948" s="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0" customHeight="1">
      <c r="A949" s="68"/>
      <c r="B949" s="2"/>
      <c r="C949" s="2"/>
      <c r="D949" s="2"/>
      <c r="E949" s="2"/>
      <c r="F949" s="2"/>
      <c r="G949" s="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0" customHeight="1">
      <c r="A950" s="68"/>
      <c r="B950" s="2"/>
      <c r="C950" s="2"/>
      <c r="D950" s="2"/>
      <c r="E950" s="2"/>
      <c r="F950" s="2"/>
      <c r="G950" s="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0" customHeight="1">
      <c r="A951" s="68"/>
      <c r="B951" s="2"/>
      <c r="C951" s="2"/>
      <c r="D951" s="2"/>
      <c r="E951" s="2"/>
      <c r="F951" s="2"/>
      <c r="G951" s="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0" customHeight="1">
      <c r="A952" s="68"/>
      <c r="B952" s="2"/>
      <c r="C952" s="2"/>
      <c r="D952" s="2"/>
      <c r="E952" s="2"/>
      <c r="F952" s="2"/>
      <c r="G952" s="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0" customHeight="1">
      <c r="A953" s="68"/>
      <c r="B953" s="2"/>
      <c r="C953" s="2"/>
      <c r="D953" s="2"/>
      <c r="E953" s="2"/>
      <c r="F953" s="2"/>
      <c r="G953" s="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0" customHeight="1">
      <c r="A954" s="68"/>
      <c r="B954" s="2"/>
      <c r="C954" s="2"/>
      <c r="D954" s="2"/>
      <c r="E954" s="2"/>
      <c r="F954" s="2"/>
      <c r="G954" s="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0" customHeight="1">
      <c r="A955" s="68"/>
      <c r="B955" s="2"/>
      <c r="C955" s="2"/>
      <c r="D955" s="2"/>
      <c r="E955" s="2"/>
      <c r="F955" s="2"/>
      <c r="G955" s="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0" customHeight="1">
      <c r="A956" s="68"/>
      <c r="B956" s="2"/>
      <c r="C956" s="2"/>
      <c r="D956" s="2"/>
      <c r="E956" s="2"/>
      <c r="F956" s="2"/>
      <c r="G956" s="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0" customHeight="1">
      <c r="A957" s="68"/>
      <c r="B957" s="2"/>
      <c r="C957" s="2"/>
      <c r="D957" s="2"/>
      <c r="E957" s="2"/>
      <c r="F957" s="2"/>
      <c r="G957" s="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0" customHeight="1">
      <c r="A958" s="68"/>
      <c r="B958" s="2"/>
      <c r="C958" s="2"/>
      <c r="D958" s="2"/>
      <c r="E958" s="2"/>
      <c r="F958" s="2"/>
      <c r="G958" s="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0" customHeight="1">
      <c r="A959" s="68"/>
      <c r="B959" s="2"/>
      <c r="C959" s="2"/>
      <c r="D959" s="2"/>
      <c r="E959" s="2"/>
      <c r="F959" s="2"/>
      <c r="G959" s="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0" customHeight="1">
      <c r="A960" s="68"/>
      <c r="B960" s="2"/>
      <c r="C960" s="2"/>
      <c r="D960" s="2"/>
      <c r="E960" s="2"/>
      <c r="F960" s="2"/>
      <c r="G960" s="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0" customHeight="1">
      <c r="A961" s="68"/>
      <c r="B961" s="2"/>
      <c r="C961" s="2"/>
      <c r="D961" s="2"/>
      <c r="E961" s="2"/>
      <c r="F961" s="2"/>
      <c r="G961" s="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0" customHeight="1">
      <c r="A962" s="68"/>
      <c r="B962" s="2"/>
      <c r="C962" s="2"/>
      <c r="D962" s="2"/>
      <c r="E962" s="2"/>
      <c r="F962" s="2"/>
      <c r="G962" s="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0" customHeight="1">
      <c r="A963" s="68"/>
      <c r="B963" s="2"/>
      <c r="C963" s="2"/>
      <c r="D963" s="2"/>
      <c r="E963" s="2"/>
      <c r="F963" s="2"/>
      <c r="G963" s="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0" customHeight="1">
      <c r="A964" s="68"/>
      <c r="B964" s="2"/>
      <c r="C964" s="2"/>
      <c r="D964" s="2"/>
      <c r="E964" s="2"/>
      <c r="F964" s="2"/>
      <c r="G964" s="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0" customHeight="1">
      <c r="A965" s="68"/>
      <c r="B965" s="2"/>
      <c r="C965" s="2"/>
      <c r="D965" s="2"/>
      <c r="E965" s="2"/>
      <c r="F965" s="2"/>
      <c r="G965" s="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0" customHeight="1">
      <c r="A966" s="68"/>
      <c r="B966" s="2"/>
      <c r="C966" s="2"/>
      <c r="D966" s="2"/>
      <c r="E966" s="2"/>
      <c r="F966" s="2"/>
      <c r="G966" s="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0" customHeight="1">
      <c r="A967" s="68"/>
      <c r="B967" s="2"/>
      <c r="C967" s="2"/>
      <c r="D967" s="2"/>
      <c r="E967" s="2"/>
      <c r="F967" s="2"/>
      <c r="G967" s="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0" customHeight="1">
      <c r="A968" s="68"/>
      <c r="B968" s="2"/>
      <c r="C968" s="2"/>
      <c r="D968" s="2"/>
      <c r="E968" s="2"/>
      <c r="F968" s="2"/>
      <c r="G968" s="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0" customHeight="1">
      <c r="A969" s="68"/>
      <c r="B969" s="2"/>
      <c r="C969" s="2"/>
      <c r="D969" s="2"/>
      <c r="E969" s="2"/>
      <c r="F969" s="2"/>
      <c r="G969" s="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0" customHeight="1">
      <c r="A970" s="68"/>
      <c r="B970" s="2"/>
      <c r="C970" s="2"/>
      <c r="D970" s="2"/>
      <c r="E970" s="2"/>
      <c r="F970" s="2"/>
      <c r="G970" s="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0" customHeight="1">
      <c r="A971" s="68"/>
      <c r="B971" s="2"/>
      <c r="C971" s="2"/>
      <c r="D971" s="2"/>
      <c r="E971" s="2"/>
      <c r="F971" s="2"/>
      <c r="G971" s="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0" customHeight="1">
      <c r="A972" s="68"/>
      <c r="B972" s="2"/>
      <c r="C972" s="2"/>
      <c r="D972" s="2"/>
      <c r="E972" s="2"/>
      <c r="F972" s="2"/>
      <c r="G972" s="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0" customHeight="1">
      <c r="A973" s="68"/>
      <c r="B973" s="2"/>
      <c r="C973" s="2"/>
      <c r="D973" s="2"/>
      <c r="E973" s="2"/>
      <c r="F973" s="2"/>
      <c r="G973" s="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0" customHeight="1">
      <c r="A974" s="68"/>
      <c r="B974" s="2"/>
      <c r="C974" s="2"/>
      <c r="D974" s="2"/>
      <c r="E974" s="2"/>
      <c r="F974" s="2"/>
      <c r="G974" s="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0" customHeight="1">
      <c r="A975" s="68"/>
      <c r="B975" s="2"/>
      <c r="C975" s="2"/>
      <c r="D975" s="2"/>
      <c r="E975" s="2"/>
      <c r="F975" s="2"/>
      <c r="G975" s="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0" customHeight="1">
      <c r="A976" s="68"/>
      <c r="B976" s="2"/>
      <c r="C976" s="2"/>
      <c r="D976" s="2"/>
      <c r="E976" s="2"/>
      <c r="F976" s="2"/>
      <c r="G976" s="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0" customHeight="1">
      <c r="A977" s="68"/>
      <c r="B977" s="2"/>
      <c r="C977" s="2"/>
      <c r="D977" s="2"/>
      <c r="E977" s="2"/>
      <c r="F977" s="2"/>
      <c r="G977" s="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0" customHeight="1">
      <c r="A978" s="68"/>
      <c r="B978" s="2"/>
      <c r="C978" s="2"/>
      <c r="D978" s="2"/>
      <c r="E978" s="2"/>
      <c r="F978" s="2"/>
      <c r="G978" s="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0" customHeight="1">
      <c r="A979" s="68"/>
      <c r="B979" s="2"/>
      <c r="C979" s="2"/>
      <c r="D979" s="2"/>
      <c r="E979" s="2"/>
      <c r="F979" s="2"/>
      <c r="G979" s="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0" customHeight="1">
      <c r="A980" s="68"/>
      <c r="B980" s="2"/>
      <c r="C980" s="2"/>
      <c r="D980" s="2"/>
      <c r="E980" s="2"/>
      <c r="F980" s="2"/>
      <c r="G980" s="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0" customHeight="1">
      <c r="A981" s="68"/>
      <c r="B981" s="2"/>
      <c r="C981" s="2"/>
      <c r="D981" s="2"/>
      <c r="E981" s="2"/>
      <c r="F981" s="2"/>
      <c r="G981" s="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0" customHeight="1">
      <c r="A982" s="68"/>
      <c r="B982" s="2"/>
      <c r="C982" s="2"/>
      <c r="D982" s="2"/>
      <c r="E982" s="2"/>
      <c r="F982" s="2"/>
      <c r="G982" s="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0" customHeight="1">
      <c r="A983" s="68"/>
      <c r="B983" s="2"/>
      <c r="C983" s="2"/>
      <c r="D983" s="2"/>
      <c r="E983" s="2"/>
      <c r="F983" s="2"/>
      <c r="G983" s="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0" customHeight="1">
      <c r="A984" s="68"/>
      <c r="B984" s="2"/>
      <c r="C984" s="2"/>
      <c r="D984" s="2"/>
      <c r="E984" s="2"/>
      <c r="F984" s="2"/>
      <c r="G984" s="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0" customHeight="1">
      <c r="A985" s="68"/>
      <c r="B985" s="2"/>
      <c r="C985" s="2"/>
      <c r="D985" s="2"/>
      <c r="E985" s="2"/>
      <c r="F985" s="2"/>
      <c r="G985" s="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0" customHeight="1">
      <c r="A986" s="68"/>
      <c r="B986" s="2"/>
      <c r="C986" s="2"/>
      <c r="D986" s="2"/>
      <c r="E986" s="2"/>
      <c r="F986" s="2"/>
      <c r="G986" s="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0" customHeight="1">
      <c r="A987" s="68"/>
      <c r="B987" s="2"/>
      <c r="C987" s="2"/>
      <c r="D987" s="2"/>
      <c r="E987" s="2"/>
      <c r="F987" s="2"/>
      <c r="G987" s="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0" customHeight="1">
      <c r="A988" s="68"/>
      <c r="B988" s="2"/>
      <c r="C988" s="2"/>
      <c r="D988" s="2"/>
      <c r="E988" s="2"/>
      <c r="F988" s="2"/>
      <c r="G988" s="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0" customHeight="1">
      <c r="A989" s="68"/>
      <c r="B989" s="2"/>
      <c r="C989" s="2"/>
      <c r="D989" s="2"/>
      <c r="E989" s="2"/>
      <c r="F989" s="2"/>
      <c r="G989" s="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0" customHeight="1">
      <c r="A990" s="68"/>
      <c r="B990" s="2"/>
      <c r="C990" s="2"/>
      <c r="D990" s="2"/>
      <c r="E990" s="2"/>
      <c r="F990" s="2"/>
      <c r="G990" s="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0" customHeight="1">
      <c r="A991" s="68"/>
      <c r="B991" s="2"/>
      <c r="C991" s="2"/>
      <c r="D991" s="2"/>
      <c r="E991" s="2"/>
      <c r="F991" s="2"/>
      <c r="G991" s="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0" customHeight="1">
      <c r="A992" s="68"/>
      <c r="B992" s="2"/>
      <c r="C992" s="2"/>
      <c r="D992" s="2"/>
      <c r="E992" s="2"/>
      <c r="F992" s="2"/>
      <c r="G992" s="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0" customHeight="1">
      <c r="A993" s="68"/>
      <c r="B993" s="2"/>
      <c r="C993" s="2"/>
      <c r="D993" s="2"/>
      <c r="E993" s="2"/>
      <c r="F993" s="2"/>
      <c r="G993" s="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0" customHeight="1">
      <c r="A994" s="68"/>
      <c r="B994" s="2"/>
      <c r="C994" s="2"/>
      <c r="D994" s="2"/>
      <c r="E994" s="2"/>
      <c r="F994" s="2"/>
      <c r="G994" s="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0" customHeight="1">
      <c r="A995" s="68"/>
      <c r="B995" s="2"/>
      <c r="C995" s="2"/>
      <c r="D995" s="2"/>
      <c r="E995" s="2"/>
      <c r="F995" s="2"/>
      <c r="G995" s="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0" customHeight="1">
      <c r="A996" s="68"/>
      <c r="B996" s="2"/>
      <c r="C996" s="2"/>
      <c r="D996" s="2"/>
      <c r="E996" s="2"/>
      <c r="F996" s="2"/>
      <c r="G996" s="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0" customHeight="1">
      <c r="A997" s="68"/>
      <c r="B997" s="2"/>
      <c r="C997" s="2"/>
      <c r="D997" s="2"/>
      <c r="E997" s="2"/>
      <c r="F997" s="2"/>
      <c r="G997" s="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0" customHeight="1">
      <c r="A998" s="68"/>
      <c r="B998" s="2"/>
      <c r="C998" s="2"/>
      <c r="D998" s="2"/>
      <c r="E998" s="2"/>
      <c r="F998" s="2"/>
      <c r="G998" s="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0" customHeight="1">
      <c r="A999" s="68"/>
      <c r="B999" s="2"/>
      <c r="C999" s="2"/>
      <c r="D999" s="2"/>
      <c r="E999" s="2"/>
      <c r="F999" s="2"/>
      <c r="G999" s="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0" customHeight="1">
      <c r="A1000" s="68"/>
      <c r="B1000" s="2"/>
      <c r="C1000" s="2"/>
      <c r="D1000" s="2"/>
      <c r="E1000" s="2"/>
      <c r="F1000" s="2"/>
      <c r="G1000" s="1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C18:C19"/>
    <mergeCell ref="G18:H18"/>
    <mergeCell ref="B25:B28"/>
    <mergeCell ref="B29:C29"/>
    <mergeCell ref="B3:B4"/>
    <mergeCell ref="C3:C4"/>
    <mergeCell ref="G3:H3"/>
    <mergeCell ref="B5:B10"/>
    <mergeCell ref="B11:B13"/>
    <mergeCell ref="B15:C15"/>
    <mergeCell ref="B18:B24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2015-11-18T22:24:07Z</dcterms:created>
  <dc:creator>User</dc:creator>
</cp:coreProperties>
</file>